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buğra\Desktop\"/>
    </mc:Choice>
  </mc:AlternateContent>
  <xr:revisionPtr revIDLastSave="0" documentId="13_ncr:1_{B5205684-0EF5-4F44-A390-14BCD07ACE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M1458" i="1"/>
  <c r="L1458" i="1"/>
  <c r="K1458" i="1"/>
  <c r="J1458" i="1"/>
  <c r="I1458" i="1"/>
  <c r="H1458" i="1"/>
  <c r="G1458" i="1"/>
  <c r="F1458" i="1"/>
  <c r="E1458" i="1"/>
  <c r="D1458" i="1"/>
  <c r="C1458" i="1"/>
  <c r="M1457" i="1"/>
  <c r="L1457" i="1"/>
  <c r="K1457" i="1"/>
  <c r="J1457" i="1"/>
  <c r="I1457" i="1"/>
  <c r="H1457" i="1"/>
  <c r="G1457" i="1"/>
  <c r="F1457" i="1"/>
  <c r="E1457" i="1"/>
  <c r="D1457" i="1"/>
  <c r="C1457" i="1"/>
  <c r="M1456" i="1"/>
  <c r="L1456" i="1"/>
  <c r="K1456" i="1"/>
  <c r="J1456" i="1"/>
  <c r="I1456" i="1"/>
  <c r="H1456" i="1"/>
  <c r="G1456" i="1"/>
  <c r="F1456" i="1"/>
  <c r="E1456" i="1"/>
  <c r="D1456" i="1"/>
  <c r="C1456" i="1"/>
  <c r="M1455" i="1"/>
  <c r="L1455" i="1"/>
  <c r="K1455" i="1"/>
  <c r="J1455" i="1"/>
  <c r="I1455" i="1"/>
  <c r="H1455" i="1"/>
  <c r="G1455" i="1"/>
  <c r="F1455" i="1"/>
  <c r="E1455" i="1"/>
  <c r="D1455" i="1"/>
  <c r="C1455" i="1"/>
  <c r="B1455" i="1"/>
  <c r="A1455" i="1"/>
  <c r="M1454" i="1"/>
  <c r="L1454" i="1"/>
  <c r="K1454" i="1"/>
  <c r="J1454" i="1"/>
  <c r="I1454" i="1"/>
  <c r="H1454" i="1"/>
  <c r="G1454" i="1"/>
  <c r="F1454" i="1"/>
  <c r="E1454" i="1"/>
  <c r="D1454" i="1"/>
  <c r="C1454" i="1"/>
  <c r="B1454" i="1"/>
  <c r="A1454" i="1"/>
  <c r="M1453" i="1"/>
  <c r="L1453" i="1"/>
  <c r="K1453" i="1"/>
  <c r="J1453" i="1"/>
  <c r="I1453" i="1"/>
  <c r="H1453" i="1"/>
  <c r="G1453" i="1"/>
  <c r="F1453" i="1"/>
  <c r="E1453" i="1"/>
  <c r="D1453" i="1"/>
  <c r="C1453" i="1"/>
  <c r="B1453" i="1"/>
  <c r="A1453" i="1"/>
  <c r="M1452" i="1"/>
  <c r="L1452" i="1"/>
  <c r="K1452" i="1"/>
  <c r="J1452" i="1"/>
  <c r="I1452" i="1"/>
  <c r="H1452" i="1"/>
  <c r="G1452" i="1"/>
  <c r="F1452" i="1"/>
  <c r="E1452" i="1"/>
  <c r="D1452" i="1"/>
  <c r="C1452" i="1"/>
  <c r="B1452" i="1"/>
  <c r="A1452" i="1"/>
  <c r="M1451" i="1"/>
  <c r="L1451" i="1"/>
  <c r="K1451" i="1"/>
  <c r="J1451" i="1"/>
  <c r="I1451" i="1"/>
  <c r="H1451" i="1"/>
  <c r="G1451" i="1"/>
  <c r="F1451" i="1"/>
  <c r="E1451" i="1"/>
  <c r="D1451" i="1"/>
  <c r="C1451" i="1"/>
  <c r="B1451" i="1"/>
  <c r="A1451" i="1"/>
  <c r="M1450" i="1"/>
  <c r="L1450" i="1"/>
  <c r="K1450" i="1"/>
  <c r="J1450" i="1"/>
  <c r="I1450" i="1"/>
  <c r="H1450" i="1"/>
  <c r="G1450" i="1"/>
  <c r="F1450" i="1"/>
  <c r="E1450" i="1"/>
  <c r="D1450" i="1"/>
  <c r="C1450" i="1"/>
  <c r="B1450" i="1"/>
  <c r="A1450" i="1"/>
  <c r="M1449" i="1"/>
  <c r="L1449" i="1"/>
  <c r="K1449" i="1"/>
  <c r="J1449" i="1"/>
  <c r="I1449" i="1"/>
  <c r="H1449" i="1"/>
  <c r="G1449" i="1"/>
  <c r="F1449" i="1"/>
  <c r="E1449" i="1"/>
  <c r="D1449" i="1"/>
  <c r="C1449" i="1"/>
  <c r="B1449" i="1"/>
  <c r="A1449" i="1"/>
  <c r="M1448" i="1"/>
  <c r="L1448" i="1"/>
  <c r="K1448" i="1"/>
  <c r="J1448" i="1"/>
  <c r="I1448" i="1"/>
  <c r="H1448" i="1"/>
  <c r="G1448" i="1"/>
  <c r="F1448" i="1"/>
  <c r="E1448" i="1"/>
  <c r="D1448" i="1"/>
  <c r="C1448" i="1"/>
  <c r="B1448" i="1"/>
  <c r="A1448" i="1"/>
  <c r="M1447" i="1"/>
  <c r="L1447" i="1"/>
  <c r="K1447" i="1"/>
  <c r="J1447" i="1"/>
  <c r="I1447" i="1"/>
  <c r="H1447" i="1"/>
  <c r="G1447" i="1"/>
  <c r="F1447" i="1"/>
  <c r="E1447" i="1"/>
  <c r="D1447" i="1"/>
  <c r="C1447" i="1"/>
  <c r="B1447" i="1"/>
  <c r="A1447" i="1"/>
  <c r="M1446" i="1"/>
  <c r="L1446" i="1"/>
  <c r="K1446" i="1"/>
  <c r="J1446" i="1"/>
  <c r="I1446" i="1"/>
  <c r="H1446" i="1"/>
  <c r="G1446" i="1"/>
  <c r="F1446" i="1"/>
  <c r="E1446" i="1"/>
  <c r="D1446" i="1"/>
  <c r="C1446" i="1"/>
  <c r="B1446" i="1"/>
  <c r="A1446" i="1"/>
  <c r="M1445" i="1"/>
  <c r="L1445" i="1"/>
  <c r="K1445" i="1"/>
  <c r="J1445" i="1"/>
  <c r="I1445" i="1"/>
  <c r="H1445" i="1"/>
  <c r="G1445" i="1"/>
  <c r="F1445" i="1"/>
  <c r="E1445" i="1"/>
  <c r="D1445" i="1"/>
  <c r="C1445" i="1"/>
  <c r="B1445" i="1"/>
  <c r="A1445" i="1"/>
  <c r="M1444" i="1"/>
  <c r="L1444" i="1"/>
  <c r="K1444" i="1"/>
  <c r="J1444" i="1"/>
  <c r="I1444" i="1"/>
  <c r="H1444" i="1"/>
  <c r="G1444" i="1"/>
  <c r="F1444" i="1"/>
  <c r="E1444" i="1"/>
  <c r="D1444" i="1"/>
  <c r="C1444" i="1"/>
  <c r="B1444" i="1"/>
  <c r="A1444" i="1"/>
  <c r="M1443" i="1"/>
  <c r="L1443" i="1"/>
  <c r="K1443" i="1"/>
  <c r="J1443" i="1"/>
  <c r="I1443" i="1"/>
  <c r="H1443" i="1"/>
  <c r="G1443" i="1"/>
  <c r="F1443" i="1"/>
  <c r="E1443" i="1"/>
  <c r="D1443" i="1"/>
  <c r="C1443" i="1"/>
  <c r="B1443" i="1"/>
  <c r="A1443" i="1"/>
  <c r="M1442" i="1"/>
  <c r="L1442" i="1"/>
  <c r="K1442" i="1"/>
  <c r="J1442" i="1"/>
  <c r="I1442" i="1"/>
  <c r="H1442" i="1"/>
  <c r="G1442" i="1"/>
  <c r="F1442" i="1"/>
  <c r="E1442" i="1"/>
  <c r="D1442" i="1"/>
  <c r="C1442" i="1"/>
  <c r="B1442" i="1"/>
  <c r="A1442" i="1"/>
  <c r="M1441" i="1"/>
  <c r="L1441" i="1"/>
  <c r="K1441" i="1"/>
  <c r="J1441" i="1"/>
  <c r="I1441" i="1"/>
  <c r="H1441" i="1"/>
  <c r="G1441" i="1"/>
  <c r="F1441" i="1"/>
  <c r="E1441" i="1"/>
  <c r="D1441" i="1"/>
  <c r="C1441" i="1"/>
  <c r="B1441" i="1"/>
  <c r="A1441" i="1"/>
  <c r="M1440" i="1"/>
  <c r="L1440" i="1"/>
  <c r="K1440" i="1"/>
  <c r="J1440" i="1"/>
  <c r="I1440" i="1"/>
  <c r="H1440" i="1"/>
  <c r="G1440" i="1"/>
  <c r="F1440" i="1"/>
  <c r="E1440" i="1"/>
  <c r="D1440" i="1"/>
  <c r="C1440" i="1"/>
  <c r="B1440" i="1"/>
  <c r="A1440" i="1"/>
  <c r="M1439" i="1"/>
  <c r="L1439" i="1"/>
  <c r="K1439" i="1"/>
  <c r="J1439" i="1"/>
  <c r="I1439" i="1"/>
  <c r="H1439" i="1"/>
  <c r="G1439" i="1"/>
  <c r="F1439" i="1"/>
  <c r="E1439" i="1"/>
  <c r="D1439" i="1"/>
  <c r="C1439" i="1"/>
  <c r="B1439" i="1"/>
  <c r="A1439" i="1"/>
  <c r="M1438" i="1"/>
  <c r="L1438" i="1"/>
  <c r="K1438" i="1"/>
  <c r="J1438" i="1"/>
  <c r="I1438" i="1"/>
  <c r="H1438" i="1"/>
  <c r="G1438" i="1"/>
  <c r="F1438" i="1"/>
  <c r="E1438" i="1"/>
  <c r="D1438" i="1"/>
  <c r="C1438" i="1"/>
  <c r="B1438" i="1"/>
  <c r="A1438" i="1"/>
  <c r="M1437" i="1"/>
  <c r="L1437" i="1"/>
  <c r="K1437" i="1"/>
  <c r="J1437" i="1"/>
  <c r="I1437" i="1"/>
  <c r="H1437" i="1"/>
  <c r="G1437" i="1"/>
  <c r="F1437" i="1"/>
  <c r="E1437" i="1"/>
  <c r="D1437" i="1"/>
  <c r="C1437" i="1"/>
  <c r="B1437" i="1"/>
  <c r="A1437" i="1"/>
  <c r="M1436" i="1"/>
  <c r="L1436" i="1"/>
  <c r="K1436" i="1"/>
  <c r="J1436" i="1"/>
  <c r="I1436" i="1"/>
  <c r="H1436" i="1"/>
  <c r="G1436" i="1"/>
  <c r="F1436" i="1"/>
  <c r="E1436" i="1"/>
  <c r="D1436" i="1"/>
  <c r="C1436" i="1"/>
  <c r="B1436" i="1"/>
  <c r="A1436" i="1"/>
  <c r="M1435" i="1"/>
  <c r="L1435" i="1"/>
  <c r="K1435" i="1"/>
  <c r="J1435" i="1"/>
  <c r="I1435" i="1"/>
  <c r="H1435" i="1"/>
  <c r="G1435" i="1"/>
  <c r="F1435" i="1"/>
  <c r="E1435" i="1"/>
  <c r="D1435" i="1"/>
  <c r="C1435" i="1"/>
  <c r="B1435" i="1"/>
  <c r="A1435" i="1"/>
  <c r="M1434" i="1"/>
  <c r="L1434" i="1"/>
  <c r="K1434" i="1"/>
  <c r="J1434" i="1"/>
  <c r="I1434" i="1"/>
  <c r="H1434" i="1"/>
  <c r="G1434" i="1"/>
  <c r="F1434" i="1"/>
  <c r="E1434" i="1"/>
  <c r="D1434" i="1"/>
  <c r="C1434" i="1"/>
  <c r="B1434" i="1"/>
  <c r="A1434" i="1"/>
  <c r="M1433" i="1"/>
  <c r="L1433" i="1"/>
  <c r="K1433" i="1"/>
  <c r="J1433" i="1"/>
  <c r="I1433" i="1"/>
  <c r="H1433" i="1"/>
  <c r="G1433" i="1"/>
  <c r="F1433" i="1"/>
  <c r="E1433" i="1"/>
  <c r="D1433" i="1"/>
  <c r="C1433" i="1"/>
  <c r="B1433" i="1"/>
  <c r="A1433" i="1"/>
  <c r="M1432" i="1"/>
  <c r="L1432" i="1"/>
  <c r="K1432" i="1"/>
  <c r="J1432" i="1"/>
  <c r="I1432" i="1"/>
  <c r="H1432" i="1"/>
  <c r="G1432" i="1"/>
  <c r="F1432" i="1"/>
  <c r="E1432" i="1"/>
  <c r="D1432" i="1"/>
  <c r="C1432" i="1"/>
  <c r="B1432" i="1"/>
  <c r="A1432" i="1"/>
  <c r="M1431" i="1"/>
  <c r="L1431" i="1"/>
  <c r="K1431" i="1"/>
  <c r="J1431" i="1"/>
  <c r="I1431" i="1"/>
  <c r="H1431" i="1"/>
  <c r="G1431" i="1"/>
  <c r="F1431" i="1"/>
  <c r="E1431" i="1"/>
  <c r="D1431" i="1"/>
  <c r="C1431" i="1"/>
  <c r="B1431" i="1"/>
  <c r="A1431" i="1"/>
  <c r="M1430" i="1"/>
  <c r="L1430" i="1"/>
  <c r="K1430" i="1"/>
  <c r="J1430" i="1"/>
  <c r="I1430" i="1"/>
  <c r="H1430" i="1"/>
  <c r="G1430" i="1"/>
  <c r="F1430" i="1"/>
  <c r="E1430" i="1"/>
  <c r="D1430" i="1"/>
  <c r="C1430" i="1"/>
  <c r="B1430" i="1"/>
  <c r="A1430" i="1"/>
  <c r="M1429" i="1"/>
  <c r="L1429" i="1"/>
  <c r="K1429" i="1"/>
  <c r="J1429" i="1"/>
  <c r="I1429" i="1"/>
  <c r="H1429" i="1"/>
  <c r="G1429" i="1"/>
  <c r="F1429" i="1"/>
  <c r="E1429" i="1"/>
  <c r="D1429" i="1"/>
  <c r="C1429" i="1"/>
  <c r="B1429" i="1"/>
  <c r="A1429" i="1"/>
  <c r="M1428" i="1"/>
  <c r="L1428" i="1"/>
  <c r="K1428" i="1"/>
  <c r="J1428" i="1"/>
  <c r="I1428" i="1"/>
  <c r="H1428" i="1"/>
  <c r="G1428" i="1"/>
  <c r="F1428" i="1"/>
  <c r="E1428" i="1"/>
  <c r="D1428" i="1"/>
  <c r="C1428" i="1"/>
  <c r="B1428" i="1"/>
  <c r="A1428" i="1"/>
  <c r="M1427" i="1"/>
  <c r="L1427" i="1"/>
  <c r="K1427" i="1"/>
  <c r="J1427" i="1"/>
  <c r="I1427" i="1"/>
  <c r="H1427" i="1"/>
  <c r="G1427" i="1"/>
  <c r="F1427" i="1"/>
  <c r="E1427" i="1"/>
  <c r="D1427" i="1"/>
  <c r="C1427" i="1"/>
  <c r="B1427" i="1"/>
  <c r="A1427" i="1"/>
  <c r="M1426" i="1"/>
  <c r="L1426" i="1"/>
  <c r="K1426" i="1"/>
  <c r="J1426" i="1"/>
  <c r="I1426" i="1"/>
  <c r="H1426" i="1"/>
  <c r="G1426" i="1"/>
  <c r="F1426" i="1"/>
  <c r="E1426" i="1"/>
  <c r="D1426" i="1"/>
  <c r="C1426" i="1"/>
  <c r="B1426" i="1"/>
  <c r="A1426" i="1"/>
  <c r="M1425" i="1"/>
  <c r="L1425" i="1"/>
  <c r="K1425" i="1"/>
  <c r="J1425" i="1"/>
  <c r="I1425" i="1"/>
  <c r="H1425" i="1"/>
  <c r="G1425" i="1"/>
  <c r="F1425" i="1"/>
  <c r="E1425" i="1"/>
  <c r="D1425" i="1"/>
  <c r="C1425" i="1"/>
  <c r="B1425" i="1"/>
  <c r="A1425" i="1"/>
  <c r="M1424" i="1"/>
  <c r="L1424" i="1"/>
  <c r="K1424" i="1"/>
  <c r="J1424" i="1"/>
  <c r="I1424" i="1"/>
  <c r="H1424" i="1"/>
  <c r="G1424" i="1"/>
  <c r="F1424" i="1"/>
  <c r="E1424" i="1"/>
  <c r="D1424" i="1"/>
  <c r="C1424" i="1"/>
  <c r="B1424" i="1"/>
  <c r="A1424" i="1"/>
  <c r="M1423" i="1"/>
  <c r="L1423" i="1"/>
  <c r="K1423" i="1"/>
  <c r="J1423" i="1"/>
  <c r="I1423" i="1"/>
  <c r="H1423" i="1"/>
  <c r="G1423" i="1"/>
  <c r="F1423" i="1"/>
  <c r="E1423" i="1"/>
  <c r="D1423" i="1"/>
  <c r="C1423" i="1"/>
  <c r="B1423" i="1"/>
  <c r="A1423" i="1"/>
  <c r="M1422" i="1"/>
  <c r="L1422" i="1"/>
  <c r="K1422" i="1"/>
  <c r="J1422" i="1"/>
  <c r="I1422" i="1"/>
  <c r="H1422" i="1"/>
  <c r="G1422" i="1"/>
  <c r="F1422" i="1"/>
  <c r="E1422" i="1"/>
  <c r="D1422" i="1"/>
  <c r="C1422" i="1"/>
  <c r="B1422" i="1"/>
  <c r="A1422" i="1"/>
  <c r="M1421" i="1"/>
  <c r="L1421" i="1"/>
  <c r="K1421" i="1"/>
  <c r="J1421" i="1"/>
  <c r="I1421" i="1"/>
  <c r="H1421" i="1"/>
  <c r="G1421" i="1"/>
  <c r="F1421" i="1"/>
  <c r="E1421" i="1"/>
  <c r="D1421" i="1"/>
  <c r="C1421" i="1"/>
  <c r="B1421" i="1"/>
  <c r="A1421" i="1"/>
  <c r="M1420" i="1"/>
  <c r="L1420" i="1"/>
  <c r="K1420" i="1"/>
  <c r="J1420" i="1"/>
  <c r="I1420" i="1"/>
  <c r="H1420" i="1"/>
  <c r="G1420" i="1"/>
  <c r="F1420" i="1"/>
  <c r="E1420" i="1"/>
  <c r="D1420" i="1"/>
  <c r="C1420" i="1"/>
  <c r="B1420" i="1"/>
  <c r="A1420" i="1"/>
  <c r="M1419" i="1"/>
  <c r="L1419" i="1"/>
  <c r="K1419" i="1"/>
  <c r="J1419" i="1"/>
  <c r="I1419" i="1"/>
  <c r="H1419" i="1"/>
  <c r="G1419" i="1"/>
  <c r="F1419" i="1"/>
  <c r="E1419" i="1"/>
  <c r="D1419" i="1"/>
  <c r="C1419" i="1"/>
  <c r="B1419" i="1"/>
  <c r="A1419" i="1"/>
  <c r="M1418" i="1"/>
  <c r="L1418" i="1"/>
  <c r="K1418" i="1"/>
  <c r="J1418" i="1"/>
  <c r="I1418" i="1"/>
  <c r="H1418" i="1"/>
  <c r="G1418" i="1"/>
  <c r="F1418" i="1"/>
  <c r="E1418" i="1"/>
  <c r="D1418" i="1"/>
  <c r="C1418" i="1"/>
  <c r="B1418" i="1"/>
  <c r="A1418" i="1"/>
  <c r="M1417" i="1"/>
  <c r="L1417" i="1"/>
  <c r="K1417" i="1"/>
  <c r="J1417" i="1"/>
  <c r="I1417" i="1"/>
  <c r="H1417" i="1"/>
  <c r="G1417" i="1"/>
  <c r="F1417" i="1"/>
  <c r="E1417" i="1"/>
  <c r="D1417" i="1"/>
  <c r="C1417" i="1"/>
  <c r="B1417" i="1"/>
  <c r="A1417" i="1"/>
  <c r="M1416" i="1"/>
  <c r="L1416" i="1"/>
  <c r="K1416" i="1"/>
  <c r="J1416" i="1"/>
  <c r="I1416" i="1"/>
  <c r="H1416" i="1"/>
  <c r="G1416" i="1"/>
  <c r="F1416" i="1"/>
  <c r="E1416" i="1"/>
  <c r="D1416" i="1"/>
  <c r="C1416" i="1"/>
  <c r="B1416" i="1"/>
  <c r="A1416" i="1"/>
  <c r="M1415" i="1"/>
  <c r="L1415" i="1"/>
  <c r="K1415" i="1"/>
  <c r="J1415" i="1"/>
  <c r="I1415" i="1"/>
  <c r="H1415" i="1"/>
  <c r="G1415" i="1"/>
  <c r="F1415" i="1"/>
  <c r="E1415" i="1"/>
  <c r="D1415" i="1"/>
  <c r="C1415" i="1"/>
  <c r="B1415" i="1"/>
  <c r="A1415" i="1"/>
  <c r="M1414" i="1"/>
  <c r="L1414" i="1"/>
  <c r="K1414" i="1"/>
  <c r="J1414" i="1"/>
  <c r="I1414" i="1"/>
  <c r="H1414" i="1"/>
  <c r="G1414" i="1"/>
  <c r="F1414" i="1"/>
  <c r="E1414" i="1"/>
  <c r="D1414" i="1"/>
  <c r="C1414" i="1"/>
  <c r="B1414" i="1"/>
  <c r="A1414" i="1"/>
  <c r="M1413" i="1"/>
  <c r="L1413" i="1"/>
  <c r="K1413" i="1"/>
  <c r="J1413" i="1"/>
  <c r="I1413" i="1"/>
  <c r="H1413" i="1"/>
  <c r="G1413" i="1"/>
  <c r="F1413" i="1"/>
  <c r="E1413" i="1"/>
  <c r="D1413" i="1"/>
  <c r="C1413" i="1"/>
  <c r="B1413" i="1"/>
  <c r="A1413" i="1"/>
  <c r="M1412" i="1"/>
  <c r="L1412" i="1"/>
  <c r="K1412" i="1"/>
  <c r="J1412" i="1"/>
  <c r="I1412" i="1"/>
  <c r="H1412" i="1"/>
  <c r="G1412" i="1"/>
  <c r="F1412" i="1"/>
  <c r="E1412" i="1"/>
  <c r="D1412" i="1"/>
  <c r="C1412" i="1"/>
  <c r="B1412" i="1"/>
  <c r="A1412" i="1"/>
  <c r="M1411" i="1"/>
  <c r="L1411" i="1"/>
  <c r="K1411" i="1"/>
  <c r="J1411" i="1"/>
  <c r="I1411" i="1"/>
  <c r="H1411" i="1"/>
  <c r="G1411" i="1"/>
  <c r="F1411" i="1"/>
  <c r="E1411" i="1"/>
  <c r="D1411" i="1"/>
  <c r="C1411" i="1"/>
  <c r="B1411" i="1"/>
  <c r="A1411" i="1"/>
  <c r="M1410" i="1"/>
  <c r="L1410" i="1"/>
  <c r="K1410" i="1"/>
  <c r="J1410" i="1"/>
  <c r="I1410" i="1"/>
  <c r="H1410" i="1"/>
  <c r="G1410" i="1"/>
  <c r="F1410" i="1"/>
  <c r="E1410" i="1"/>
  <c r="D1410" i="1"/>
  <c r="C1410" i="1"/>
  <c r="B1410" i="1"/>
  <c r="A1410" i="1"/>
  <c r="M1409" i="1"/>
  <c r="L1409" i="1"/>
  <c r="K1409" i="1"/>
  <c r="J1409" i="1"/>
  <c r="I1409" i="1"/>
  <c r="H1409" i="1"/>
  <c r="G1409" i="1"/>
  <c r="F1409" i="1"/>
  <c r="E1409" i="1"/>
  <c r="D1409" i="1"/>
  <c r="C1409" i="1"/>
  <c r="B1409" i="1"/>
  <c r="A1409" i="1"/>
  <c r="M1408" i="1"/>
  <c r="L1408" i="1"/>
  <c r="K1408" i="1"/>
  <c r="J1408" i="1"/>
  <c r="I1408" i="1"/>
  <c r="H1408" i="1"/>
  <c r="G1408" i="1"/>
  <c r="F1408" i="1"/>
  <c r="E1408" i="1"/>
  <c r="D1408" i="1"/>
  <c r="C1408" i="1"/>
  <c r="B1408" i="1"/>
  <c r="A1408" i="1"/>
  <c r="M1407" i="1"/>
  <c r="L1407" i="1"/>
  <c r="K1407" i="1"/>
  <c r="J1407" i="1"/>
  <c r="I1407" i="1"/>
  <c r="H1407" i="1"/>
  <c r="G1407" i="1"/>
  <c r="F1407" i="1"/>
  <c r="E1407" i="1"/>
  <c r="D1407" i="1"/>
  <c r="C1407" i="1"/>
  <c r="B1407" i="1"/>
  <c r="A1407" i="1"/>
  <c r="M1406" i="1"/>
  <c r="L1406" i="1"/>
  <c r="K1406" i="1"/>
  <c r="J1406" i="1"/>
  <c r="I1406" i="1"/>
  <c r="H1406" i="1"/>
  <c r="G1406" i="1"/>
  <c r="F1406" i="1"/>
  <c r="E1406" i="1"/>
  <c r="D1406" i="1"/>
  <c r="C1406" i="1"/>
  <c r="B1406" i="1"/>
  <c r="A1406" i="1"/>
  <c r="M1405" i="1"/>
  <c r="L1405" i="1"/>
  <c r="K1405" i="1"/>
  <c r="J1405" i="1"/>
  <c r="I1405" i="1"/>
  <c r="H1405" i="1"/>
  <c r="G1405" i="1"/>
  <c r="F1405" i="1"/>
  <c r="E1405" i="1"/>
  <c r="D1405" i="1"/>
  <c r="C1405" i="1"/>
  <c r="B1405" i="1"/>
  <c r="A1405" i="1"/>
  <c r="M1404" i="1"/>
  <c r="L1404" i="1"/>
  <c r="K1404" i="1"/>
  <c r="J1404" i="1"/>
  <c r="I1404" i="1"/>
  <c r="H1404" i="1"/>
  <c r="G1404" i="1"/>
  <c r="F1404" i="1"/>
  <c r="E1404" i="1"/>
  <c r="D1404" i="1"/>
  <c r="C1404" i="1"/>
  <c r="B1404" i="1"/>
  <c r="A1404" i="1"/>
  <c r="M1403" i="1"/>
  <c r="L1403" i="1"/>
  <c r="K1403" i="1"/>
  <c r="J1403" i="1"/>
  <c r="I1403" i="1"/>
  <c r="H1403" i="1"/>
  <c r="G1403" i="1"/>
  <c r="F1403" i="1"/>
  <c r="E1403" i="1"/>
  <c r="D1403" i="1"/>
  <c r="C1403" i="1"/>
  <c r="B1403" i="1"/>
  <c r="A1403" i="1"/>
  <c r="M1402" i="1"/>
  <c r="L1402" i="1"/>
  <c r="K1402" i="1"/>
  <c r="J1402" i="1"/>
  <c r="I1402" i="1"/>
  <c r="H1402" i="1"/>
  <c r="G1402" i="1"/>
  <c r="F1402" i="1"/>
  <c r="E1402" i="1"/>
  <c r="D1402" i="1"/>
  <c r="C1402" i="1"/>
  <c r="B1402" i="1"/>
  <c r="A1402" i="1"/>
  <c r="M1401" i="1"/>
  <c r="L1401" i="1"/>
  <c r="K1401" i="1"/>
  <c r="J1401" i="1"/>
  <c r="I1401" i="1"/>
  <c r="H1401" i="1"/>
  <c r="G1401" i="1"/>
  <c r="F1401" i="1"/>
  <c r="E1401" i="1"/>
  <c r="D1401" i="1"/>
  <c r="C1401" i="1"/>
  <c r="B1401" i="1"/>
  <c r="A1401" i="1"/>
  <c r="M1400" i="1"/>
  <c r="L1400" i="1"/>
  <c r="K1400" i="1"/>
  <c r="J1400" i="1"/>
  <c r="I1400" i="1"/>
  <c r="H1400" i="1"/>
  <c r="G1400" i="1"/>
  <c r="F1400" i="1"/>
  <c r="E1400" i="1"/>
  <c r="D1400" i="1"/>
  <c r="C1400" i="1"/>
  <c r="B1400" i="1"/>
  <c r="A1400" i="1"/>
  <c r="M1399" i="1"/>
  <c r="L1399" i="1"/>
  <c r="K1399" i="1"/>
  <c r="J1399" i="1"/>
  <c r="I1399" i="1"/>
  <c r="H1399" i="1"/>
  <c r="G1399" i="1"/>
  <c r="F1399" i="1"/>
  <c r="E1399" i="1"/>
  <c r="D1399" i="1"/>
  <c r="C1399" i="1"/>
  <c r="B1399" i="1"/>
  <c r="A1399" i="1"/>
  <c r="M1398" i="1"/>
  <c r="L1398" i="1"/>
  <c r="K1398" i="1"/>
  <c r="J1398" i="1"/>
  <c r="I1398" i="1"/>
  <c r="H1398" i="1"/>
  <c r="G1398" i="1"/>
  <c r="F1398" i="1"/>
  <c r="E1398" i="1"/>
  <c r="D1398" i="1"/>
  <c r="C1398" i="1"/>
  <c r="B1398" i="1"/>
  <c r="A1398" i="1"/>
  <c r="M1397" i="1"/>
  <c r="L1397" i="1"/>
  <c r="K1397" i="1"/>
  <c r="J1397" i="1"/>
  <c r="I1397" i="1"/>
  <c r="H1397" i="1"/>
  <c r="G1397" i="1"/>
  <c r="F1397" i="1"/>
  <c r="E1397" i="1"/>
  <c r="D1397" i="1"/>
  <c r="C1397" i="1"/>
  <c r="B1397" i="1"/>
  <c r="A1397" i="1"/>
  <c r="M1396" i="1"/>
  <c r="L1396" i="1"/>
  <c r="K1396" i="1"/>
  <c r="J1396" i="1"/>
  <c r="I1396" i="1"/>
  <c r="H1396" i="1"/>
  <c r="G1396" i="1"/>
  <c r="F1396" i="1"/>
  <c r="E1396" i="1"/>
  <c r="D1396" i="1"/>
  <c r="C1396" i="1"/>
  <c r="B1396" i="1"/>
  <c r="A1396" i="1"/>
  <c r="M1395" i="1"/>
  <c r="L1395" i="1"/>
  <c r="K1395" i="1"/>
  <c r="J1395" i="1"/>
  <c r="I1395" i="1"/>
  <c r="H1395" i="1"/>
  <c r="G1395" i="1"/>
  <c r="F1395" i="1"/>
  <c r="E1395" i="1"/>
  <c r="D1395" i="1"/>
  <c r="C1395" i="1"/>
  <c r="B1395" i="1"/>
  <c r="A1395" i="1"/>
  <c r="M1394" i="1"/>
  <c r="L1394" i="1"/>
  <c r="K1394" i="1"/>
  <c r="J1394" i="1"/>
  <c r="I1394" i="1"/>
  <c r="H1394" i="1"/>
  <c r="G1394" i="1"/>
  <c r="F1394" i="1"/>
  <c r="E1394" i="1"/>
  <c r="D1394" i="1"/>
  <c r="C1394" i="1"/>
  <c r="B1394" i="1"/>
  <c r="A1394" i="1"/>
  <c r="M1393" i="1"/>
  <c r="L1393" i="1"/>
  <c r="K1393" i="1"/>
  <c r="J1393" i="1"/>
  <c r="I1393" i="1"/>
  <c r="H1393" i="1"/>
  <c r="G1393" i="1"/>
  <c r="F1393" i="1"/>
  <c r="E1393" i="1"/>
  <c r="D1393" i="1"/>
  <c r="C1393" i="1"/>
  <c r="B1393" i="1"/>
  <c r="A1393" i="1"/>
  <c r="M1392" i="1"/>
  <c r="L1392" i="1"/>
  <c r="K1392" i="1"/>
  <c r="J1392" i="1"/>
  <c r="I1392" i="1"/>
  <c r="H1392" i="1"/>
  <c r="G1392" i="1"/>
  <c r="F1392" i="1"/>
  <c r="E1392" i="1"/>
  <c r="D1392" i="1"/>
  <c r="C1392" i="1"/>
  <c r="B1392" i="1"/>
  <c r="A1392" i="1"/>
  <c r="M1391" i="1"/>
  <c r="L1391" i="1"/>
  <c r="K1391" i="1"/>
  <c r="J1391" i="1"/>
  <c r="I1391" i="1"/>
  <c r="H1391" i="1"/>
  <c r="G1391" i="1"/>
  <c r="F1391" i="1"/>
  <c r="E1391" i="1"/>
  <c r="D1391" i="1"/>
  <c r="C1391" i="1"/>
  <c r="B1391" i="1"/>
  <c r="A1391" i="1"/>
  <c r="M1390" i="1"/>
  <c r="L1390" i="1"/>
  <c r="K1390" i="1"/>
  <c r="J1390" i="1"/>
  <c r="I1390" i="1"/>
  <c r="H1390" i="1"/>
  <c r="G1390" i="1"/>
  <c r="F1390" i="1"/>
  <c r="E1390" i="1"/>
  <c r="D1390" i="1"/>
  <c r="C1390" i="1"/>
  <c r="B1390" i="1"/>
  <c r="A1390" i="1"/>
  <c r="M1389" i="1"/>
  <c r="L1389" i="1"/>
  <c r="K1389" i="1"/>
  <c r="J1389" i="1"/>
  <c r="I1389" i="1"/>
  <c r="H1389" i="1"/>
  <c r="G1389" i="1"/>
  <c r="F1389" i="1"/>
  <c r="E1389" i="1"/>
  <c r="D1389" i="1"/>
  <c r="C1389" i="1"/>
  <c r="B1389" i="1"/>
  <c r="A1389" i="1"/>
  <c r="M1388" i="1"/>
  <c r="L1388" i="1"/>
  <c r="K1388" i="1"/>
  <c r="J1388" i="1"/>
  <c r="I1388" i="1"/>
  <c r="H1388" i="1"/>
  <c r="G1388" i="1"/>
  <c r="F1388" i="1"/>
  <c r="E1388" i="1"/>
  <c r="D1388" i="1"/>
  <c r="C1388" i="1"/>
  <c r="B1388" i="1"/>
  <c r="A1388" i="1"/>
  <c r="M1387" i="1"/>
  <c r="L1387" i="1"/>
  <c r="K1387" i="1"/>
  <c r="J1387" i="1"/>
  <c r="I1387" i="1"/>
  <c r="H1387" i="1"/>
  <c r="G1387" i="1"/>
  <c r="F1387" i="1"/>
  <c r="E1387" i="1"/>
  <c r="D1387" i="1"/>
  <c r="C1387" i="1"/>
  <c r="B1387" i="1"/>
  <c r="A1387" i="1"/>
  <c r="M1386" i="1"/>
  <c r="L1386" i="1"/>
  <c r="K1386" i="1"/>
  <c r="J1386" i="1"/>
  <c r="I1386" i="1"/>
  <c r="H1386" i="1"/>
  <c r="G1386" i="1"/>
  <c r="F1386" i="1"/>
  <c r="E1386" i="1"/>
  <c r="D1386" i="1"/>
  <c r="C1386" i="1"/>
  <c r="B1386" i="1"/>
  <c r="A1386" i="1"/>
  <c r="M1385" i="1"/>
  <c r="L1385" i="1"/>
  <c r="K1385" i="1"/>
  <c r="J1385" i="1"/>
  <c r="I1385" i="1"/>
  <c r="H1385" i="1"/>
  <c r="G1385" i="1"/>
  <c r="F1385" i="1"/>
  <c r="E1385" i="1"/>
  <c r="D1385" i="1"/>
  <c r="C1385" i="1"/>
  <c r="B1385" i="1"/>
  <c r="A1385" i="1"/>
  <c r="M1384" i="1"/>
  <c r="L1384" i="1"/>
  <c r="K1384" i="1"/>
  <c r="J1384" i="1"/>
  <c r="I1384" i="1"/>
  <c r="H1384" i="1"/>
  <c r="G1384" i="1"/>
  <c r="F1384" i="1"/>
  <c r="E1384" i="1"/>
  <c r="D1384" i="1"/>
  <c r="C1384" i="1"/>
  <c r="B1384" i="1"/>
  <c r="A1384" i="1"/>
  <c r="M1383" i="1"/>
  <c r="L1383" i="1"/>
  <c r="K1383" i="1"/>
  <c r="J1383" i="1"/>
  <c r="I1383" i="1"/>
  <c r="H1383" i="1"/>
  <c r="G1383" i="1"/>
  <c r="F1383" i="1"/>
  <c r="E1383" i="1"/>
  <c r="D1383" i="1"/>
  <c r="C1383" i="1"/>
  <c r="B1383" i="1"/>
  <c r="A1383" i="1"/>
  <c r="M1382" i="1"/>
  <c r="L1382" i="1"/>
  <c r="K1382" i="1"/>
  <c r="J1382" i="1"/>
  <c r="I1382" i="1"/>
  <c r="H1382" i="1"/>
  <c r="G1382" i="1"/>
  <c r="F1382" i="1"/>
  <c r="E1382" i="1"/>
  <c r="D1382" i="1"/>
  <c r="C1382" i="1"/>
  <c r="B1382" i="1"/>
  <c r="A1382" i="1"/>
  <c r="M1381" i="1"/>
  <c r="L1381" i="1"/>
  <c r="K1381" i="1"/>
  <c r="J1381" i="1"/>
  <c r="I1381" i="1"/>
  <c r="H1381" i="1"/>
  <c r="G1381" i="1"/>
  <c r="F1381" i="1"/>
  <c r="E1381" i="1"/>
  <c r="D1381" i="1"/>
  <c r="C1381" i="1"/>
  <c r="B1381" i="1"/>
  <c r="A1381" i="1"/>
  <c r="M1380" i="1"/>
  <c r="L1380" i="1"/>
  <c r="K1380" i="1"/>
  <c r="J1380" i="1"/>
  <c r="I1380" i="1"/>
  <c r="H1380" i="1"/>
  <c r="G1380" i="1"/>
  <c r="F1380" i="1"/>
  <c r="E1380" i="1"/>
  <c r="D1380" i="1"/>
  <c r="C1380" i="1"/>
  <c r="B1380" i="1"/>
  <c r="A1380" i="1"/>
  <c r="M1379" i="1"/>
  <c r="L1379" i="1"/>
  <c r="K1379" i="1"/>
  <c r="J1379" i="1"/>
  <c r="I1379" i="1"/>
  <c r="H1379" i="1"/>
  <c r="G1379" i="1"/>
  <c r="F1379" i="1"/>
  <c r="E1379" i="1"/>
  <c r="D1379" i="1"/>
  <c r="C1379" i="1"/>
  <c r="B1379" i="1"/>
  <c r="A1379" i="1"/>
  <c r="M1378" i="1"/>
  <c r="L1378" i="1"/>
  <c r="K1378" i="1"/>
  <c r="J1378" i="1"/>
  <c r="I1378" i="1"/>
  <c r="H1378" i="1"/>
  <c r="G1378" i="1"/>
  <c r="F1378" i="1"/>
  <c r="E1378" i="1"/>
  <c r="D1378" i="1"/>
  <c r="C1378" i="1"/>
  <c r="B1378" i="1"/>
  <c r="A1378" i="1"/>
  <c r="M1377" i="1"/>
  <c r="L1377" i="1"/>
  <c r="K1377" i="1"/>
  <c r="J1377" i="1"/>
  <c r="I1377" i="1"/>
  <c r="H1377" i="1"/>
  <c r="G1377" i="1"/>
  <c r="F1377" i="1"/>
  <c r="E1377" i="1"/>
  <c r="D1377" i="1"/>
  <c r="C1377" i="1"/>
  <c r="B1377" i="1"/>
  <c r="A1377" i="1"/>
  <c r="M1376" i="1"/>
  <c r="L1376" i="1"/>
  <c r="K1376" i="1"/>
  <c r="J1376" i="1"/>
  <c r="I1376" i="1"/>
  <c r="H1376" i="1"/>
  <c r="G1376" i="1"/>
  <c r="F1376" i="1"/>
  <c r="E1376" i="1"/>
  <c r="D1376" i="1"/>
  <c r="C1376" i="1"/>
  <c r="B1376" i="1"/>
  <c r="A1376" i="1"/>
  <c r="M1375" i="1"/>
  <c r="L1375" i="1"/>
  <c r="K1375" i="1"/>
  <c r="J1375" i="1"/>
  <c r="I1375" i="1"/>
  <c r="H1375" i="1"/>
  <c r="G1375" i="1"/>
  <c r="F1375" i="1"/>
  <c r="E1375" i="1"/>
  <c r="D1375" i="1"/>
  <c r="C1375" i="1"/>
  <c r="B1375" i="1"/>
  <c r="A1375" i="1"/>
  <c r="M1374" i="1"/>
  <c r="L1374" i="1"/>
  <c r="K1374" i="1"/>
  <c r="J1374" i="1"/>
  <c r="I1374" i="1"/>
  <c r="H1374" i="1"/>
  <c r="G1374" i="1"/>
  <c r="F1374" i="1"/>
  <c r="E1374" i="1"/>
  <c r="D1374" i="1"/>
  <c r="C1374" i="1"/>
  <c r="B1374" i="1"/>
  <c r="A1374" i="1"/>
  <c r="M1373" i="1"/>
  <c r="L1373" i="1"/>
  <c r="K1373" i="1"/>
  <c r="J1373" i="1"/>
  <c r="I1373" i="1"/>
  <c r="H1373" i="1"/>
  <c r="G1373" i="1"/>
  <c r="F1373" i="1"/>
  <c r="E1373" i="1"/>
  <c r="D1373" i="1"/>
  <c r="C1373" i="1"/>
  <c r="B1373" i="1"/>
  <c r="A1373" i="1"/>
  <c r="M1372" i="1"/>
  <c r="L1372" i="1"/>
  <c r="K1372" i="1"/>
  <c r="J1372" i="1"/>
  <c r="I1372" i="1"/>
  <c r="H1372" i="1"/>
  <c r="G1372" i="1"/>
  <c r="F1372" i="1"/>
  <c r="E1372" i="1"/>
  <c r="D1372" i="1"/>
  <c r="C1372" i="1"/>
  <c r="B1372" i="1"/>
  <c r="A1372" i="1"/>
  <c r="M1371" i="1"/>
  <c r="L1371" i="1"/>
  <c r="K1371" i="1"/>
  <c r="J1371" i="1"/>
  <c r="I1371" i="1"/>
  <c r="H1371" i="1"/>
  <c r="G1371" i="1"/>
  <c r="F1371" i="1"/>
  <c r="E1371" i="1"/>
  <c r="D1371" i="1"/>
  <c r="C1371" i="1"/>
  <c r="B1371" i="1"/>
  <c r="A1371" i="1"/>
  <c r="M1370" i="1"/>
  <c r="L1370" i="1"/>
  <c r="K1370" i="1"/>
  <c r="J1370" i="1"/>
  <c r="I1370" i="1"/>
  <c r="H1370" i="1"/>
  <c r="G1370" i="1"/>
  <c r="F1370" i="1"/>
  <c r="E1370" i="1"/>
  <c r="D1370" i="1"/>
  <c r="C1370" i="1"/>
  <c r="B1370" i="1"/>
  <c r="A1370" i="1"/>
  <c r="M1369" i="1"/>
  <c r="L1369" i="1"/>
  <c r="K1369" i="1"/>
  <c r="J1369" i="1"/>
  <c r="I1369" i="1"/>
  <c r="H1369" i="1"/>
  <c r="G1369" i="1"/>
  <c r="F1369" i="1"/>
  <c r="E1369" i="1"/>
  <c r="D1369" i="1"/>
  <c r="C1369" i="1"/>
  <c r="B1369" i="1"/>
  <c r="A1369" i="1"/>
  <c r="M1368" i="1"/>
  <c r="L1368" i="1"/>
  <c r="K1368" i="1"/>
  <c r="J1368" i="1"/>
  <c r="I1368" i="1"/>
  <c r="H1368" i="1"/>
  <c r="G1368" i="1"/>
  <c r="F1368" i="1"/>
  <c r="E1368" i="1"/>
  <c r="D1368" i="1"/>
  <c r="C1368" i="1"/>
  <c r="B1368" i="1"/>
  <c r="A1368" i="1"/>
  <c r="M1367" i="1"/>
  <c r="L1367" i="1"/>
  <c r="K1367" i="1"/>
  <c r="J1367" i="1"/>
  <c r="I1367" i="1"/>
  <c r="H1367" i="1"/>
  <c r="G1367" i="1"/>
  <c r="F1367" i="1"/>
  <c r="E1367" i="1"/>
  <c r="D1367" i="1"/>
  <c r="C1367" i="1"/>
  <c r="B1367" i="1"/>
  <c r="A1367" i="1"/>
  <c r="M1366" i="1"/>
  <c r="L1366" i="1"/>
  <c r="K1366" i="1"/>
  <c r="J1366" i="1"/>
  <c r="I1366" i="1"/>
  <c r="H1366" i="1"/>
  <c r="G1366" i="1"/>
  <c r="F1366" i="1"/>
  <c r="E1366" i="1"/>
  <c r="D1366" i="1"/>
  <c r="C1366" i="1"/>
  <c r="B1366" i="1"/>
  <c r="A1366" i="1"/>
  <c r="M1365" i="1"/>
  <c r="L1365" i="1"/>
  <c r="K1365" i="1"/>
  <c r="J1365" i="1"/>
  <c r="I1365" i="1"/>
  <c r="H1365" i="1"/>
  <c r="G1365" i="1"/>
  <c r="F1365" i="1"/>
  <c r="E1365" i="1"/>
  <c r="D1365" i="1"/>
  <c r="C1365" i="1"/>
  <c r="B1365" i="1"/>
  <c r="A1365" i="1"/>
  <c r="M1364" i="1"/>
  <c r="L1364" i="1"/>
  <c r="K1364" i="1"/>
  <c r="J1364" i="1"/>
  <c r="I1364" i="1"/>
  <c r="H1364" i="1"/>
  <c r="G1364" i="1"/>
  <c r="F1364" i="1"/>
  <c r="E1364" i="1"/>
  <c r="D1364" i="1"/>
  <c r="C1364" i="1"/>
  <c r="B1364" i="1"/>
  <c r="A1364" i="1"/>
  <c r="M1363" i="1"/>
  <c r="L1363" i="1"/>
  <c r="K1363" i="1"/>
  <c r="J1363" i="1"/>
  <c r="I1363" i="1"/>
  <c r="H1363" i="1"/>
  <c r="G1363" i="1"/>
  <c r="F1363" i="1"/>
  <c r="E1363" i="1"/>
  <c r="D1363" i="1"/>
  <c r="C1363" i="1"/>
  <c r="B1363" i="1"/>
  <c r="A1363" i="1"/>
  <c r="M1362" i="1"/>
  <c r="L1362" i="1"/>
  <c r="K1362" i="1"/>
  <c r="J1362" i="1"/>
  <c r="I1362" i="1"/>
  <c r="H1362" i="1"/>
  <c r="G1362" i="1"/>
  <c r="F1362" i="1"/>
  <c r="E1362" i="1"/>
  <c r="D1362" i="1"/>
  <c r="C1362" i="1"/>
  <c r="B1362" i="1"/>
  <c r="A1362" i="1"/>
  <c r="M1361" i="1"/>
  <c r="L1361" i="1"/>
  <c r="K1361" i="1"/>
  <c r="J1361" i="1"/>
  <c r="I1361" i="1"/>
  <c r="H1361" i="1"/>
  <c r="G1361" i="1"/>
  <c r="F1361" i="1"/>
  <c r="E1361" i="1"/>
  <c r="D1361" i="1"/>
  <c r="C1361" i="1"/>
  <c r="B1361" i="1"/>
  <c r="A1361" i="1"/>
  <c r="M1360" i="1"/>
  <c r="L1360" i="1"/>
  <c r="K1360" i="1"/>
  <c r="J1360" i="1"/>
  <c r="I1360" i="1"/>
  <c r="H1360" i="1"/>
  <c r="G1360" i="1"/>
  <c r="F1360" i="1"/>
  <c r="E1360" i="1"/>
  <c r="D1360" i="1"/>
  <c r="C1360" i="1"/>
  <c r="B1360" i="1"/>
  <c r="A1360" i="1"/>
  <c r="M1359" i="1"/>
  <c r="L1359" i="1"/>
  <c r="K1359" i="1"/>
  <c r="J1359" i="1"/>
  <c r="I1359" i="1"/>
  <c r="H1359" i="1"/>
  <c r="G1359" i="1"/>
  <c r="F1359" i="1"/>
  <c r="E1359" i="1"/>
  <c r="D1359" i="1"/>
  <c r="C1359" i="1"/>
  <c r="B1359" i="1"/>
  <c r="A1359" i="1"/>
  <c r="M1358" i="1"/>
  <c r="L1358" i="1"/>
  <c r="K1358" i="1"/>
  <c r="J1358" i="1"/>
  <c r="I1358" i="1"/>
  <c r="H1358" i="1"/>
  <c r="G1358" i="1"/>
  <c r="F1358" i="1"/>
  <c r="E1358" i="1"/>
  <c r="D1358" i="1"/>
  <c r="C1358" i="1"/>
  <c r="B1358" i="1"/>
  <c r="A1358" i="1"/>
  <c r="M1357" i="1"/>
  <c r="L1357" i="1"/>
  <c r="K1357" i="1"/>
  <c r="J1357" i="1"/>
  <c r="I1357" i="1"/>
  <c r="H1357" i="1"/>
  <c r="G1357" i="1"/>
  <c r="F1357" i="1"/>
  <c r="E1357" i="1"/>
  <c r="D1357" i="1"/>
  <c r="C1357" i="1"/>
  <c r="B1357" i="1"/>
  <c r="A1357" i="1"/>
  <c r="M1356" i="1"/>
  <c r="L1356" i="1"/>
  <c r="K1356" i="1"/>
  <c r="J1356" i="1"/>
  <c r="I1356" i="1"/>
  <c r="H1356" i="1"/>
  <c r="G1356" i="1"/>
  <c r="F1356" i="1"/>
  <c r="E1356" i="1"/>
  <c r="D1356" i="1"/>
  <c r="C1356" i="1"/>
  <c r="B1356" i="1"/>
  <c r="A1356" i="1"/>
  <c r="M1355" i="1"/>
  <c r="L1355" i="1"/>
  <c r="K1355" i="1"/>
  <c r="J1355" i="1"/>
  <c r="I1355" i="1"/>
  <c r="H1355" i="1"/>
  <c r="G1355" i="1"/>
  <c r="F1355" i="1"/>
  <c r="E1355" i="1"/>
  <c r="D1355" i="1"/>
  <c r="C1355" i="1"/>
  <c r="B1355" i="1"/>
  <c r="A1355" i="1"/>
  <c r="M1354" i="1"/>
  <c r="L1354" i="1"/>
  <c r="K1354" i="1"/>
  <c r="J1354" i="1"/>
  <c r="I1354" i="1"/>
  <c r="H1354" i="1"/>
  <c r="G1354" i="1"/>
  <c r="F1354" i="1"/>
  <c r="E1354" i="1"/>
  <c r="D1354" i="1"/>
  <c r="C1354" i="1"/>
  <c r="B1354" i="1"/>
  <c r="A1354" i="1"/>
  <c r="M1353" i="1"/>
  <c r="L1353" i="1"/>
  <c r="K1353" i="1"/>
  <c r="J1353" i="1"/>
  <c r="I1353" i="1"/>
  <c r="H1353" i="1"/>
  <c r="G1353" i="1"/>
  <c r="F1353" i="1"/>
  <c r="E1353" i="1"/>
  <c r="D1353" i="1"/>
  <c r="C1353" i="1"/>
  <c r="B1353" i="1"/>
  <c r="A1353" i="1"/>
  <c r="M1352" i="1"/>
  <c r="L1352" i="1"/>
  <c r="K1352" i="1"/>
  <c r="J1352" i="1"/>
  <c r="I1352" i="1"/>
  <c r="H1352" i="1"/>
  <c r="G1352" i="1"/>
  <c r="F1352" i="1"/>
  <c r="E1352" i="1"/>
  <c r="D1352" i="1"/>
  <c r="C1352" i="1"/>
  <c r="B1352" i="1"/>
  <c r="A1352" i="1"/>
  <c r="M1351" i="1"/>
  <c r="L1351" i="1"/>
  <c r="K1351" i="1"/>
  <c r="J1351" i="1"/>
  <c r="I1351" i="1"/>
  <c r="H1351" i="1"/>
  <c r="G1351" i="1"/>
  <c r="F1351" i="1"/>
  <c r="E1351" i="1"/>
  <c r="D1351" i="1"/>
  <c r="C1351" i="1"/>
  <c r="B1351" i="1"/>
  <c r="A1351" i="1"/>
  <c r="M1350" i="1"/>
  <c r="L1350" i="1"/>
  <c r="K1350" i="1"/>
  <c r="J1350" i="1"/>
  <c r="I1350" i="1"/>
  <c r="H1350" i="1"/>
  <c r="G1350" i="1"/>
  <c r="F1350" i="1"/>
  <c r="E1350" i="1"/>
  <c r="D1350" i="1"/>
  <c r="C1350" i="1"/>
  <c r="B1350" i="1"/>
  <c r="A1350" i="1"/>
  <c r="M1349" i="1"/>
  <c r="L1349" i="1"/>
  <c r="K1349" i="1"/>
  <c r="J1349" i="1"/>
  <c r="I1349" i="1"/>
  <c r="H1349" i="1"/>
  <c r="G1349" i="1"/>
  <c r="F1349" i="1"/>
  <c r="E1349" i="1"/>
  <c r="D1349" i="1"/>
  <c r="C1349" i="1"/>
  <c r="B1349" i="1"/>
  <c r="A1349" i="1"/>
  <c r="M1348" i="1"/>
  <c r="L1348" i="1"/>
  <c r="K1348" i="1"/>
  <c r="J1348" i="1"/>
  <c r="I1348" i="1"/>
  <c r="H1348" i="1"/>
  <c r="G1348" i="1"/>
  <c r="F1348" i="1"/>
  <c r="E1348" i="1"/>
  <c r="D1348" i="1"/>
  <c r="C1348" i="1"/>
  <c r="B1348" i="1"/>
  <c r="A1348" i="1"/>
  <c r="M1347" i="1"/>
  <c r="L1347" i="1"/>
  <c r="K1347" i="1"/>
  <c r="J1347" i="1"/>
  <c r="I1347" i="1"/>
  <c r="H1347" i="1"/>
  <c r="G1347" i="1"/>
  <c r="F1347" i="1"/>
  <c r="E1347" i="1"/>
  <c r="D1347" i="1"/>
  <c r="C1347" i="1"/>
  <c r="B1347" i="1"/>
  <c r="A1347" i="1"/>
  <c r="M1346" i="1"/>
  <c r="L1346" i="1"/>
  <c r="K1346" i="1"/>
  <c r="J1346" i="1"/>
  <c r="I1346" i="1"/>
  <c r="H1346" i="1"/>
  <c r="G1346" i="1"/>
  <c r="F1346" i="1"/>
  <c r="E1346" i="1"/>
  <c r="D1346" i="1"/>
  <c r="C1346" i="1"/>
  <c r="B1346" i="1"/>
  <c r="A1346" i="1"/>
  <c r="M1345" i="1"/>
  <c r="L1345" i="1"/>
  <c r="K1345" i="1"/>
  <c r="J1345" i="1"/>
  <c r="I1345" i="1"/>
  <c r="H1345" i="1"/>
  <c r="G1345" i="1"/>
  <c r="F1345" i="1"/>
  <c r="E1345" i="1"/>
  <c r="D1345" i="1"/>
  <c r="C1345" i="1"/>
  <c r="B1345" i="1"/>
  <c r="A1345" i="1"/>
  <c r="M1344" i="1"/>
  <c r="L1344" i="1"/>
  <c r="K1344" i="1"/>
  <c r="J1344" i="1"/>
  <c r="I1344" i="1"/>
  <c r="H1344" i="1"/>
  <c r="G1344" i="1"/>
  <c r="F1344" i="1"/>
  <c r="E1344" i="1"/>
  <c r="D1344" i="1"/>
  <c r="C1344" i="1"/>
  <c r="B1344" i="1"/>
  <c r="A1344" i="1"/>
  <c r="M1343" i="1"/>
  <c r="L1343" i="1"/>
  <c r="K1343" i="1"/>
  <c r="J1343" i="1"/>
  <c r="I1343" i="1"/>
  <c r="H1343" i="1"/>
  <c r="G1343" i="1"/>
  <c r="F1343" i="1"/>
  <c r="E1343" i="1"/>
  <c r="D1343" i="1"/>
  <c r="C1343" i="1"/>
  <c r="B1343" i="1"/>
  <c r="A1343" i="1"/>
  <c r="M1342" i="1"/>
  <c r="L1342" i="1"/>
  <c r="K1342" i="1"/>
  <c r="J1342" i="1"/>
  <c r="I1342" i="1"/>
  <c r="H1342" i="1"/>
  <c r="G1342" i="1"/>
  <c r="F1342" i="1"/>
  <c r="E1342" i="1"/>
  <c r="D1342" i="1"/>
  <c r="C1342" i="1"/>
  <c r="B1342" i="1"/>
  <c r="A1342" i="1"/>
  <c r="M1341" i="1"/>
  <c r="L1341" i="1"/>
  <c r="K1341" i="1"/>
  <c r="J1341" i="1"/>
  <c r="I1341" i="1"/>
  <c r="H1341" i="1"/>
  <c r="G1341" i="1"/>
  <c r="F1341" i="1"/>
  <c r="E1341" i="1"/>
  <c r="D1341" i="1"/>
  <c r="C1341" i="1"/>
  <c r="B1341" i="1"/>
  <c r="A1341" i="1"/>
  <c r="M1340" i="1"/>
  <c r="L1340" i="1"/>
  <c r="K1340" i="1"/>
  <c r="J1340" i="1"/>
  <c r="I1340" i="1"/>
  <c r="H1340" i="1"/>
  <c r="G1340" i="1"/>
  <c r="F1340" i="1"/>
  <c r="E1340" i="1"/>
  <c r="D1340" i="1"/>
  <c r="C1340" i="1"/>
  <c r="B1340" i="1"/>
  <c r="A1340" i="1"/>
  <c r="M1339" i="1"/>
  <c r="L1339" i="1"/>
  <c r="K1339" i="1"/>
  <c r="J1339" i="1"/>
  <c r="I1339" i="1"/>
  <c r="H1339" i="1"/>
  <c r="G1339" i="1"/>
  <c r="F1339" i="1"/>
  <c r="E1339" i="1"/>
  <c r="D1339" i="1"/>
  <c r="C1339" i="1"/>
  <c r="B1339" i="1"/>
  <c r="A1339" i="1"/>
  <c r="M1338" i="1"/>
  <c r="L1338" i="1"/>
  <c r="K1338" i="1"/>
  <c r="J1338" i="1"/>
  <c r="I1338" i="1"/>
  <c r="H1338" i="1"/>
  <c r="G1338" i="1"/>
  <c r="F1338" i="1"/>
  <c r="E1338" i="1"/>
  <c r="D1338" i="1"/>
  <c r="C1338" i="1"/>
  <c r="B1338" i="1"/>
  <c r="A1338" i="1"/>
  <c r="M1337" i="1"/>
  <c r="L1337" i="1"/>
  <c r="K1337" i="1"/>
  <c r="J1337" i="1"/>
  <c r="I1337" i="1"/>
  <c r="H1337" i="1"/>
  <c r="G1337" i="1"/>
  <c r="F1337" i="1"/>
  <c r="E1337" i="1"/>
  <c r="D1337" i="1"/>
  <c r="C1337" i="1"/>
  <c r="B1337" i="1"/>
  <c r="A1337" i="1"/>
  <c r="M1336" i="1"/>
  <c r="L1336" i="1"/>
  <c r="K1336" i="1"/>
  <c r="J1336" i="1"/>
  <c r="I1336" i="1"/>
  <c r="H1336" i="1"/>
  <c r="G1336" i="1"/>
  <c r="F1336" i="1"/>
  <c r="E1336" i="1"/>
  <c r="D1336" i="1"/>
  <c r="C1336" i="1"/>
  <c r="B1336" i="1"/>
  <c r="A1336" i="1"/>
  <c r="M1335" i="1"/>
  <c r="L1335" i="1"/>
  <c r="K1335" i="1"/>
  <c r="J1335" i="1"/>
  <c r="I1335" i="1"/>
  <c r="H1335" i="1"/>
  <c r="G1335" i="1"/>
  <c r="F1335" i="1"/>
  <c r="E1335" i="1"/>
  <c r="D1335" i="1"/>
  <c r="C1335" i="1"/>
  <c r="B1335" i="1"/>
  <c r="A1335" i="1"/>
  <c r="M1334" i="1"/>
  <c r="L1334" i="1"/>
  <c r="K1334" i="1"/>
  <c r="J1334" i="1"/>
  <c r="I1334" i="1"/>
  <c r="H1334" i="1"/>
  <c r="G1334" i="1"/>
  <c r="F1334" i="1"/>
  <c r="E1334" i="1"/>
  <c r="D1334" i="1"/>
  <c r="C1334" i="1"/>
  <c r="B1334" i="1"/>
  <c r="A1334" i="1"/>
  <c r="M1333" i="1"/>
  <c r="L1333" i="1"/>
  <c r="K1333" i="1"/>
  <c r="J1333" i="1"/>
  <c r="I1333" i="1"/>
  <c r="H1333" i="1"/>
  <c r="G1333" i="1"/>
  <c r="F1333" i="1"/>
  <c r="E1333" i="1"/>
  <c r="D1333" i="1"/>
  <c r="C1333" i="1"/>
  <c r="B1333" i="1"/>
  <c r="A1333" i="1"/>
  <c r="M1332" i="1"/>
  <c r="L1332" i="1"/>
  <c r="K1332" i="1"/>
  <c r="J1332" i="1"/>
  <c r="I1332" i="1"/>
  <c r="H1332" i="1"/>
  <c r="G1332" i="1"/>
  <c r="F1332" i="1"/>
  <c r="E1332" i="1"/>
  <c r="D1332" i="1"/>
  <c r="C1332" i="1"/>
  <c r="B1332" i="1"/>
  <c r="A1332" i="1"/>
  <c r="M1331" i="1"/>
  <c r="L1331" i="1"/>
  <c r="K1331" i="1"/>
  <c r="J1331" i="1"/>
  <c r="I1331" i="1"/>
  <c r="H1331" i="1"/>
  <c r="G1331" i="1"/>
  <c r="F1331" i="1"/>
  <c r="E1331" i="1"/>
  <c r="D1331" i="1"/>
  <c r="C1331" i="1"/>
  <c r="B1331" i="1"/>
  <c r="A1331" i="1"/>
  <c r="M1330" i="1"/>
  <c r="L1330" i="1"/>
  <c r="K1330" i="1"/>
  <c r="J1330" i="1"/>
  <c r="I1330" i="1"/>
  <c r="H1330" i="1"/>
  <c r="G1330" i="1"/>
  <c r="F1330" i="1"/>
  <c r="E1330" i="1"/>
  <c r="D1330" i="1"/>
  <c r="C1330" i="1"/>
  <c r="B1330" i="1"/>
  <c r="A1330" i="1"/>
  <c r="M1329" i="1"/>
  <c r="L1329" i="1"/>
  <c r="K1329" i="1"/>
  <c r="J1329" i="1"/>
  <c r="I1329" i="1"/>
  <c r="H1329" i="1"/>
  <c r="G1329" i="1"/>
  <c r="F1329" i="1"/>
  <c r="E1329" i="1"/>
  <c r="D1329" i="1"/>
  <c r="C1329" i="1"/>
  <c r="B1329" i="1"/>
  <c r="A1329" i="1"/>
  <c r="M1328" i="1"/>
  <c r="L1328" i="1"/>
  <c r="K1328" i="1"/>
  <c r="J1328" i="1"/>
  <c r="I1328" i="1"/>
  <c r="H1328" i="1"/>
  <c r="G1328" i="1"/>
  <c r="F1328" i="1"/>
  <c r="E1328" i="1"/>
  <c r="D1328" i="1"/>
  <c r="C1328" i="1"/>
  <c r="B1328" i="1"/>
  <c r="A1328" i="1"/>
  <c r="M1327" i="1"/>
  <c r="L1327" i="1"/>
  <c r="K1327" i="1"/>
  <c r="J1327" i="1"/>
  <c r="I1327" i="1"/>
  <c r="H1327" i="1"/>
  <c r="G1327" i="1"/>
  <c r="F1327" i="1"/>
  <c r="E1327" i="1"/>
  <c r="D1327" i="1"/>
  <c r="C1327" i="1"/>
  <c r="B1327" i="1"/>
  <c r="A1327" i="1"/>
  <c r="M1326" i="1"/>
  <c r="L1326" i="1"/>
  <c r="K1326" i="1"/>
  <c r="J1326" i="1"/>
  <c r="I1326" i="1"/>
  <c r="H1326" i="1"/>
  <c r="G1326" i="1"/>
  <c r="F1326" i="1"/>
  <c r="E1326" i="1"/>
  <c r="D1326" i="1"/>
  <c r="C1326" i="1"/>
  <c r="B1326" i="1"/>
  <c r="A1326" i="1"/>
  <c r="M1325" i="1"/>
  <c r="L1325" i="1"/>
  <c r="K1325" i="1"/>
  <c r="J1325" i="1"/>
  <c r="I1325" i="1"/>
  <c r="H1325" i="1"/>
  <c r="G1325" i="1"/>
  <c r="F1325" i="1"/>
  <c r="E1325" i="1"/>
  <c r="D1325" i="1"/>
  <c r="C1325" i="1"/>
  <c r="B1325" i="1"/>
  <c r="A1325" i="1"/>
  <c r="M1324" i="1"/>
  <c r="L1324" i="1"/>
  <c r="K1324" i="1"/>
  <c r="J1324" i="1"/>
  <c r="I1324" i="1"/>
  <c r="H1324" i="1"/>
  <c r="G1324" i="1"/>
  <c r="F1324" i="1"/>
  <c r="E1324" i="1"/>
  <c r="D1324" i="1"/>
  <c r="C1324" i="1"/>
  <c r="B1324" i="1"/>
  <c r="A1324" i="1"/>
  <c r="M1323" i="1"/>
  <c r="L1323" i="1"/>
  <c r="K1323" i="1"/>
  <c r="J1323" i="1"/>
  <c r="I1323" i="1"/>
  <c r="H1323" i="1"/>
  <c r="G1323" i="1"/>
  <c r="F1323" i="1"/>
  <c r="E1323" i="1"/>
  <c r="D1323" i="1"/>
  <c r="C1323" i="1"/>
  <c r="B1323" i="1"/>
  <c r="A1323" i="1"/>
  <c r="M1322" i="1"/>
  <c r="L1322" i="1"/>
  <c r="K1322" i="1"/>
  <c r="J1322" i="1"/>
  <c r="I1322" i="1"/>
  <c r="H1322" i="1"/>
  <c r="G1322" i="1"/>
  <c r="F1322" i="1"/>
  <c r="E1322" i="1"/>
  <c r="D1322" i="1"/>
  <c r="C1322" i="1"/>
  <c r="B1322" i="1"/>
  <c r="A1322" i="1"/>
  <c r="M1321" i="1"/>
  <c r="L1321" i="1"/>
  <c r="K1321" i="1"/>
  <c r="J1321" i="1"/>
  <c r="I1321" i="1"/>
  <c r="H1321" i="1"/>
  <c r="G1321" i="1"/>
  <c r="F1321" i="1"/>
  <c r="E1321" i="1"/>
  <c r="D1321" i="1"/>
  <c r="C1321" i="1"/>
  <c r="B1321" i="1"/>
  <c r="A1321" i="1"/>
  <c r="M1320" i="1"/>
  <c r="L1320" i="1"/>
  <c r="K1320" i="1"/>
  <c r="J1320" i="1"/>
  <c r="I1320" i="1"/>
  <c r="H1320" i="1"/>
  <c r="G1320" i="1"/>
  <c r="F1320" i="1"/>
  <c r="E1320" i="1"/>
  <c r="D1320" i="1"/>
  <c r="C1320" i="1"/>
  <c r="B1320" i="1"/>
  <c r="A1320" i="1"/>
  <c r="M1319" i="1"/>
  <c r="L1319" i="1"/>
  <c r="K1319" i="1"/>
  <c r="J1319" i="1"/>
  <c r="I1319" i="1"/>
  <c r="H1319" i="1"/>
  <c r="G1319" i="1"/>
  <c r="F1319" i="1"/>
  <c r="E1319" i="1"/>
  <c r="D1319" i="1"/>
  <c r="C1319" i="1"/>
  <c r="B1319" i="1"/>
  <c r="A1319" i="1"/>
  <c r="M1318" i="1"/>
  <c r="L1318" i="1"/>
  <c r="K1318" i="1"/>
  <c r="J1318" i="1"/>
  <c r="I1318" i="1"/>
  <c r="H1318" i="1"/>
  <c r="G1318" i="1"/>
  <c r="F1318" i="1"/>
  <c r="E1318" i="1"/>
  <c r="D1318" i="1"/>
  <c r="C1318" i="1"/>
  <c r="B1318" i="1"/>
  <c r="A1318" i="1"/>
  <c r="M1317" i="1"/>
  <c r="L1317" i="1"/>
  <c r="K1317" i="1"/>
  <c r="J1317" i="1"/>
  <c r="I1317" i="1"/>
  <c r="H1317" i="1"/>
  <c r="G1317" i="1"/>
  <c r="F1317" i="1"/>
  <c r="E1317" i="1"/>
  <c r="D1317" i="1"/>
  <c r="C1317" i="1"/>
  <c r="B1317" i="1"/>
  <c r="A1317" i="1"/>
  <c r="M1316" i="1"/>
  <c r="L1316" i="1"/>
  <c r="K1316" i="1"/>
  <c r="J1316" i="1"/>
  <c r="I1316" i="1"/>
  <c r="H1316" i="1"/>
  <c r="G1316" i="1"/>
  <c r="F1316" i="1"/>
  <c r="E1316" i="1"/>
  <c r="D1316" i="1"/>
  <c r="C1316" i="1"/>
  <c r="B1316" i="1"/>
  <c r="A1316" i="1"/>
  <c r="M1315" i="1"/>
  <c r="L1315" i="1"/>
  <c r="K1315" i="1"/>
  <c r="J1315" i="1"/>
  <c r="I1315" i="1"/>
  <c r="H1315" i="1"/>
  <c r="G1315" i="1"/>
  <c r="F1315" i="1"/>
  <c r="E1315" i="1"/>
  <c r="D1315" i="1"/>
  <c r="C1315" i="1"/>
  <c r="B1315" i="1"/>
  <c r="A1315" i="1"/>
  <c r="M1314" i="1"/>
  <c r="L1314" i="1"/>
  <c r="K1314" i="1"/>
  <c r="J1314" i="1"/>
  <c r="I1314" i="1"/>
  <c r="H1314" i="1"/>
  <c r="G1314" i="1"/>
  <c r="F1314" i="1"/>
  <c r="E1314" i="1"/>
  <c r="D1314" i="1"/>
  <c r="C1314" i="1"/>
  <c r="B1314" i="1"/>
  <c r="A1314" i="1"/>
  <c r="M1313" i="1"/>
  <c r="L1313" i="1"/>
  <c r="K1313" i="1"/>
  <c r="J1313" i="1"/>
  <c r="I1313" i="1"/>
  <c r="H1313" i="1"/>
  <c r="G1313" i="1"/>
  <c r="F1313" i="1"/>
  <c r="E1313" i="1"/>
  <c r="D1313" i="1"/>
  <c r="C1313" i="1"/>
  <c r="B1313" i="1"/>
  <c r="A1313" i="1"/>
  <c r="M1312" i="1"/>
  <c r="L1312" i="1"/>
  <c r="K1312" i="1"/>
  <c r="J1312" i="1"/>
  <c r="I1312" i="1"/>
  <c r="H1312" i="1"/>
  <c r="G1312" i="1"/>
  <c r="F1312" i="1"/>
  <c r="E1312" i="1"/>
  <c r="D1312" i="1"/>
  <c r="C1312" i="1"/>
  <c r="B1312" i="1"/>
  <c r="A1312" i="1"/>
  <c r="M1311" i="1"/>
  <c r="L1311" i="1"/>
  <c r="K1311" i="1"/>
  <c r="J1311" i="1"/>
  <c r="I1311" i="1"/>
  <c r="H1311" i="1"/>
  <c r="G1311" i="1"/>
  <c r="F1311" i="1"/>
  <c r="E1311" i="1"/>
  <c r="D1311" i="1"/>
  <c r="C1311" i="1"/>
  <c r="B1311" i="1"/>
  <c r="A1311" i="1"/>
  <c r="M1310" i="1"/>
  <c r="L1310" i="1"/>
  <c r="K1310" i="1"/>
  <c r="J1310" i="1"/>
  <c r="I1310" i="1"/>
  <c r="H1310" i="1"/>
  <c r="G1310" i="1"/>
  <c r="F1310" i="1"/>
  <c r="E1310" i="1"/>
  <c r="D1310" i="1"/>
  <c r="C1310" i="1"/>
  <c r="B1310" i="1"/>
  <c r="A1310" i="1"/>
  <c r="M1309" i="1"/>
  <c r="L1309" i="1"/>
  <c r="K1309" i="1"/>
  <c r="J1309" i="1"/>
  <c r="I1309" i="1"/>
  <c r="H1309" i="1"/>
  <c r="G1309" i="1"/>
  <c r="F1309" i="1"/>
  <c r="E1309" i="1"/>
  <c r="D1309" i="1"/>
  <c r="C1309" i="1"/>
  <c r="B1309" i="1"/>
  <c r="A1309" i="1"/>
  <c r="M1308" i="1"/>
  <c r="L1308" i="1"/>
  <c r="K1308" i="1"/>
  <c r="J1308" i="1"/>
  <c r="I1308" i="1"/>
  <c r="H1308" i="1"/>
  <c r="G1308" i="1"/>
  <c r="F1308" i="1"/>
  <c r="E1308" i="1"/>
  <c r="D1308" i="1"/>
  <c r="C1308" i="1"/>
  <c r="B1308" i="1"/>
  <c r="A1308" i="1"/>
  <c r="M1307" i="1"/>
  <c r="L1307" i="1"/>
  <c r="K1307" i="1"/>
  <c r="J1307" i="1"/>
  <c r="I1307" i="1"/>
  <c r="H1307" i="1"/>
  <c r="G1307" i="1"/>
  <c r="F1307" i="1"/>
  <c r="E1307" i="1"/>
  <c r="D1307" i="1"/>
  <c r="C1307" i="1"/>
  <c r="B1307" i="1"/>
  <c r="A1307" i="1"/>
  <c r="M1306" i="1"/>
  <c r="L1306" i="1"/>
  <c r="K1306" i="1"/>
  <c r="J1306" i="1"/>
  <c r="I1306" i="1"/>
  <c r="H1306" i="1"/>
  <c r="G1306" i="1"/>
  <c r="F1306" i="1"/>
  <c r="E1306" i="1"/>
  <c r="D1306" i="1"/>
  <c r="C1306" i="1"/>
  <c r="B1306" i="1"/>
  <c r="A1306" i="1"/>
  <c r="M1305" i="1"/>
  <c r="L1305" i="1"/>
  <c r="K1305" i="1"/>
  <c r="J1305" i="1"/>
  <c r="I1305" i="1"/>
  <c r="H1305" i="1"/>
  <c r="G1305" i="1"/>
  <c r="F1305" i="1"/>
  <c r="E1305" i="1"/>
  <c r="D1305" i="1"/>
  <c r="C1305" i="1"/>
  <c r="B1305" i="1"/>
  <c r="A1305" i="1"/>
  <c r="M1304" i="1"/>
  <c r="L1304" i="1"/>
  <c r="K1304" i="1"/>
  <c r="J1304" i="1"/>
  <c r="I1304" i="1"/>
  <c r="H1304" i="1"/>
  <c r="G1304" i="1"/>
  <c r="F1304" i="1"/>
  <c r="E1304" i="1"/>
  <c r="D1304" i="1"/>
  <c r="C1304" i="1"/>
  <c r="B1304" i="1"/>
  <c r="A1304" i="1"/>
  <c r="M1303" i="1"/>
  <c r="L1303" i="1"/>
  <c r="K1303" i="1"/>
  <c r="J1303" i="1"/>
  <c r="I1303" i="1"/>
  <c r="H1303" i="1"/>
  <c r="G1303" i="1"/>
  <c r="F1303" i="1"/>
  <c r="E1303" i="1"/>
  <c r="D1303" i="1"/>
  <c r="C1303" i="1"/>
  <c r="B1303" i="1"/>
  <c r="A1303" i="1"/>
  <c r="M1302" i="1"/>
  <c r="L1302" i="1"/>
  <c r="K1302" i="1"/>
  <c r="J1302" i="1"/>
  <c r="I1302" i="1"/>
  <c r="H1302" i="1"/>
  <c r="G1302" i="1"/>
  <c r="F1302" i="1"/>
  <c r="E1302" i="1"/>
  <c r="D1302" i="1"/>
  <c r="C1302" i="1"/>
  <c r="B1302" i="1"/>
  <c r="A1302" i="1"/>
  <c r="M1301" i="1"/>
  <c r="L1301" i="1"/>
  <c r="K1301" i="1"/>
  <c r="J1301" i="1"/>
  <c r="I1301" i="1"/>
  <c r="H1301" i="1"/>
  <c r="G1301" i="1"/>
  <c r="F1301" i="1"/>
  <c r="E1301" i="1"/>
  <c r="D1301" i="1"/>
  <c r="C1301" i="1"/>
  <c r="B1301" i="1"/>
  <c r="A1301" i="1"/>
  <c r="M1300" i="1"/>
  <c r="L1300" i="1"/>
  <c r="K1300" i="1"/>
  <c r="J1300" i="1"/>
  <c r="I1300" i="1"/>
  <c r="H1300" i="1"/>
  <c r="G1300" i="1"/>
  <c r="F1300" i="1"/>
  <c r="E1300" i="1"/>
  <c r="D1300" i="1"/>
  <c r="C1300" i="1"/>
  <c r="B1300" i="1"/>
  <c r="A1300" i="1"/>
  <c r="M1299" i="1"/>
  <c r="L1299" i="1"/>
  <c r="K1299" i="1"/>
  <c r="J1299" i="1"/>
  <c r="I1299" i="1"/>
  <c r="H1299" i="1"/>
  <c r="G1299" i="1"/>
  <c r="F1299" i="1"/>
  <c r="E1299" i="1"/>
  <c r="D1299" i="1"/>
  <c r="C1299" i="1"/>
  <c r="B1299" i="1"/>
  <c r="A1299" i="1"/>
  <c r="M1298" i="1"/>
  <c r="L1298" i="1"/>
  <c r="K1298" i="1"/>
  <c r="J1298" i="1"/>
  <c r="I1298" i="1"/>
  <c r="H1298" i="1"/>
  <c r="G1298" i="1"/>
  <c r="F1298" i="1"/>
  <c r="E1298" i="1"/>
  <c r="D1298" i="1"/>
  <c r="C1298" i="1"/>
  <c r="B1298" i="1"/>
  <c r="A1298" i="1"/>
  <c r="M1297" i="1"/>
  <c r="L1297" i="1"/>
  <c r="K1297" i="1"/>
  <c r="J1297" i="1"/>
  <c r="I1297" i="1"/>
  <c r="H1297" i="1"/>
  <c r="G1297" i="1"/>
  <c r="F1297" i="1"/>
  <c r="E1297" i="1"/>
  <c r="D1297" i="1"/>
  <c r="C1297" i="1"/>
  <c r="B1297" i="1"/>
  <c r="A1297" i="1"/>
  <c r="M1296" i="1"/>
  <c r="L1296" i="1"/>
  <c r="K1296" i="1"/>
  <c r="J1296" i="1"/>
  <c r="I1296" i="1"/>
  <c r="H1296" i="1"/>
  <c r="G1296" i="1"/>
  <c r="F1296" i="1"/>
  <c r="E1296" i="1"/>
  <c r="D1296" i="1"/>
  <c r="C1296" i="1"/>
  <c r="B1296" i="1"/>
  <c r="A1296" i="1"/>
  <c r="M1295" i="1"/>
  <c r="L1295" i="1"/>
  <c r="K1295" i="1"/>
  <c r="J1295" i="1"/>
  <c r="I1295" i="1"/>
  <c r="H1295" i="1"/>
  <c r="G1295" i="1"/>
  <c r="F1295" i="1"/>
  <c r="E1295" i="1"/>
  <c r="D1295" i="1"/>
  <c r="C1295" i="1"/>
  <c r="B1295" i="1"/>
  <c r="A1295" i="1"/>
  <c r="M1294" i="1"/>
  <c r="L1294" i="1"/>
  <c r="K1294" i="1"/>
  <c r="J1294" i="1"/>
  <c r="I1294" i="1"/>
  <c r="H1294" i="1"/>
  <c r="G1294" i="1"/>
  <c r="F1294" i="1"/>
  <c r="E1294" i="1"/>
  <c r="D1294" i="1"/>
  <c r="C1294" i="1"/>
  <c r="B1294" i="1"/>
  <c r="A1294" i="1"/>
  <c r="M1293" i="1"/>
  <c r="L1293" i="1"/>
  <c r="K1293" i="1"/>
  <c r="J1293" i="1"/>
  <c r="I1293" i="1"/>
  <c r="H1293" i="1"/>
  <c r="G1293" i="1"/>
  <c r="F1293" i="1"/>
  <c r="E1293" i="1"/>
  <c r="D1293" i="1"/>
  <c r="C1293" i="1"/>
  <c r="B1293" i="1"/>
  <c r="A1293" i="1"/>
  <c r="M1292" i="1"/>
  <c r="L1292" i="1"/>
  <c r="K1292" i="1"/>
  <c r="J1292" i="1"/>
  <c r="I1292" i="1"/>
  <c r="H1292" i="1"/>
  <c r="G1292" i="1"/>
  <c r="F1292" i="1"/>
  <c r="E1292" i="1"/>
  <c r="D1292" i="1"/>
  <c r="C1292" i="1"/>
  <c r="B1292" i="1"/>
  <c r="A1292" i="1"/>
  <c r="M1291" i="1"/>
  <c r="L1291" i="1"/>
  <c r="K1291" i="1"/>
  <c r="J1291" i="1"/>
  <c r="I1291" i="1"/>
  <c r="H1291" i="1"/>
  <c r="G1291" i="1"/>
  <c r="F1291" i="1"/>
  <c r="E1291" i="1"/>
  <c r="D1291" i="1"/>
  <c r="C1291" i="1"/>
  <c r="B1291" i="1"/>
  <c r="A1291" i="1"/>
  <c r="M1290" i="1"/>
  <c r="L1290" i="1"/>
  <c r="K1290" i="1"/>
  <c r="J1290" i="1"/>
  <c r="I1290" i="1"/>
  <c r="H1290" i="1"/>
  <c r="G1290" i="1"/>
  <c r="F1290" i="1"/>
  <c r="E1290" i="1"/>
  <c r="D1290" i="1"/>
  <c r="C1290" i="1"/>
  <c r="B1290" i="1"/>
  <c r="A1290" i="1"/>
  <c r="M1289" i="1"/>
  <c r="L1289" i="1"/>
  <c r="K1289" i="1"/>
  <c r="J1289" i="1"/>
  <c r="I1289" i="1"/>
  <c r="H1289" i="1"/>
  <c r="G1289" i="1"/>
  <c r="F1289" i="1"/>
  <c r="E1289" i="1"/>
  <c r="D1289" i="1"/>
  <c r="C1289" i="1"/>
  <c r="B1289" i="1"/>
  <c r="A1289" i="1"/>
  <c r="M1288" i="1"/>
  <c r="L1288" i="1"/>
  <c r="K1288" i="1"/>
  <c r="J1288" i="1"/>
  <c r="I1288" i="1"/>
  <c r="H1288" i="1"/>
  <c r="G1288" i="1"/>
  <c r="F1288" i="1"/>
  <c r="E1288" i="1"/>
  <c r="D1288" i="1"/>
  <c r="C1288" i="1"/>
  <c r="B1288" i="1"/>
  <c r="A1288" i="1"/>
  <c r="M1287" i="1"/>
  <c r="L1287" i="1"/>
  <c r="K1287" i="1"/>
  <c r="J1287" i="1"/>
  <c r="I1287" i="1"/>
  <c r="H1287" i="1"/>
  <c r="G1287" i="1"/>
  <c r="F1287" i="1"/>
  <c r="E1287" i="1"/>
  <c r="D1287" i="1"/>
  <c r="C1287" i="1"/>
  <c r="B1287" i="1"/>
  <c r="A1287" i="1"/>
  <c r="M1286" i="1"/>
  <c r="L1286" i="1"/>
  <c r="K1286" i="1"/>
  <c r="J1286" i="1"/>
  <c r="I1286" i="1"/>
  <c r="H1286" i="1"/>
  <c r="G1286" i="1"/>
  <c r="F1286" i="1"/>
  <c r="E1286" i="1"/>
  <c r="D1286" i="1"/>
  <c r="C1286" i="1"/>
  <c r="B1286" i="1"/>
  <c r="A1286" i="1"/>
  <c r="M1285" i="1"/>
  <c r="L1285" i="1"/>
  <c r="K1285" i="1"/>
  <c r="J1285" i="1"/>
  <c r="I1285" i="1"/>
  <c r="H1285" i="1"/>
  <c r="G1285" i="1"/>
  <c r="F1285" i="1"/>
  <c r="E1285" i="1"/>
  <c r="D1285" i="1"/>
  <c r="C1285" i="1"/>
  <c r="B1285" i="1"/>
  <c r="A1285" i="1"/>
  <c r="M1284" i="1"/>
  <c r="L1284" i="1"/>
  <c r="K1284" i="1"/>
  <c r="J1284" i="1"/>
  <c r="I1284" i="1"/>
  <c r="H1284" i="1"/>
  <c r="G1284" i="1"/>
  <c r="F1284" i="1"/>
  <c r="E1284" i="1"/>
  <c r="D1284" i="1"/>
  <c r="C1284" i="1"/>
  <c r="B1284" i="1"/>
  <c r="A1284" i="1"/>
  <c r="M1283" i="1"/>
  <c r="L1283" i="1"/>
  <c r="K1283" i="1"/>
  <c r="J1283" i="1"/>
  <c r="I1283" i="1"/>
  <c r="H1283" i="1"/>
  <c r="G1283" i="1"/>
  <c r="F1283" i="1"/>
  <c r="E1283" i="1"/>
  <c r="D1283" i="1"/>
  <c r="C1283" i="1"/>
  <c r="B1283" i="1"/>
  <c r="A1283" i="1"/>
  <c r="M1282" i="1"/>
  <c r="L1282" i="1"/>
  <c r="K1282" i="1"/>
  <c r="J1282" i="1"/>
  <c r="I1282" i="1"/>
  <c r="H1282" i="1"/>
  <c r="G1282" i="1"/>
  <c r="F1282" i="1"/>
  <c r="E1282" i="1"/>
  <c r="D1282" i="1"/>
  <c r="C1282" i="1"/>
  <c r="B1282" i="1"/>
  <c r="A1282" i="1"/>
  <c r="M1281" i="1"/>
  <c r="L1281" i="1"/>
  <c r="K1281" i="1"/>
  <c r="J1281" i="1"/>
  <c r="I1281" i="1"/>
  <c r="H1281" i="1"/>
  <c r="G1281" i="1"/>
  <c r="F1281" i="1"/>
  <c r="E1281" i="1"/>
  <c r="D1281" i="1"/>
  <c r="C1281" i="1"/>
  <c r="B1281" i="1"/>
  <c r="A1281" i="1"/>
  <c r="M1280" i="1"/>
  <c r="L1280" i="1"/>
  <c r="K1280" i="1"/>
  <c r="J1280" i="1"/>
  <c r="I1280" i="1"/>
  <c r="H1280" i="1"/>
  <c r="G1280" i="1"/>
  <c r="F1280" i="1"/>
  <c r="E1280" i="1"/>
  <c r="D1280" i="1"/>
  <c r="C1280" i="1"/>
  <c r="B1280" i="1"/>
  <c r="A1280" i="1"/>
  <c r="M1279" i="1"/>
  <c r="L1279" i="1"/>
  <c r="K1279" i="1"/>
  <c r="J1279" i="1"/>
  <c r="I1279" i="1"/>
  <c r="H1279" i="1"/>
  <c r="G1279" i="1"/>
  <c r="F1279" i="1"/>
  <c r="E1279" i="1"/>
  <c r="D1279" i="1"/>
  <c r="C1279" i="1"/>
  <c r="B1279" i="1"/>
  <c r="A1279" i="1"/>
  <c r="M1278" i="1"/>
  <c r="L1278" i="1"/>
  <c r="K1278" i="1"/>
  <c r="J1278" i="1"/>
  <c r="I1278" i="1"/>
  <c r="H1278" i="1"/>
  <c r="G1278" i="1"/>
  <c r="F1278" i="1"/>
  <c r="E1278" i="1"/>
  <c r="D1278" i="1"/>
  <c r="C1278" i="1"/>
  <c r="B1278" i="1"/>
  <c r="A1278" i="1"/>
  <c r="M1277" i="1"/>
  <c r="L1277" i="1"/>
  <c r="K1277" i="1"/>
  <c r="J1277" i="1"/>
  <c r="I1277" i="1"/>
  <c r="H1277" i="1"/>
  <c r="G1277" i="1"/>
  <c r="F1277" i="1"/>
  <c r="E1277" i="1"/>
  <c r="D1277" i="1"/>
  <c r="C1277" i="1"/>
  <c r="B1277" i="1"/>
  <c r="A1277" i="1"/>
  <c r="M1276" i="1"/>
  <c r="L1276" i="1"/>
  <c r="K1276" i="1"/>
  <c r="J1276" i="1"/>
  <c r="I1276" i="1"/>
  <c r="H1276" i="1"/>
  <c r="G1276" i="1"/>
  <c r="F1276" i="1"/>
  <c r="E1276" i="1"/>
  <c r="D1276" i="1"/>
  <c r="C1276" i="1"/>
  <c r="B1276" i="1"/>
  <c r="A1276" i="1"/>
  <c r="M1275" i="1"/>
  <c r="L1275" i="1"/>
  <c r="K1275" i="1"/>
  <c r="J1275" i="1"/>
  <c r="I1275" i="1"/>
  <c r="H1275" i="1"/>
  <c r="G1275" i="1"/>
  <c r="F1275" i="1"/>
  <c r="E1275" i="1"/>
  <c r="D1275" i="1"/>
  <c r="C1275" i="1"/>
  <c r="B1275" i="1"/>
  <c r="A1275" i="1"/>
  <c r="M1274" i="1"/>
  <c r="L1274" i="1"/>
  <c r="K1274" i="1"/>
  <c r="J1274" i="1"/>
  <c r="I1274" i="1"/>
  <c r="H1274" i="1"/>
  <c r="G1274" i="1"/>
  <c r="F1274" i="1"/>
  <c r="E1274" i="1"/>
  <c r="D1274" i="1"/>
  <c r="C1274" i="1"/>
  <c r="B1274" i="1"/>
  <c r="A1274" i="1"/>
  <c r="M1273" i="1"/>
  <c r="L1273" i="1"/>
  <c r="K1273" i="1"/>
  <c r="J1273" i="1"/>
  <c r="I1273" i="1"/>
  <c r="H1273" i="1"/>
  <c r="G1273" i="1"/>
  <c r="F1273" i="1"/>
  <c r="E1273" i="1"/>
  <c r="D1273" i="1"/>
  <c r="C1273" i="1"/>
  <c r="B1273" i="1"/>
  <c r="A1273" i="1"/>
  <c r="M1272" i="1"/>
  <c r="L1272" i="1"/>
  <c r="K1272" i="1"/>
  <c r="J1272" i="1"/>
  <c r="I1272" i="1"/>
  <c r="H1272" i="1"/>
  <c r="G1272" i="1"/>
  <c r="F1272" i="1"/>
  <c r="E1272" i="1"/>
  <c r="D1272" i="1"/>
  <c r="C1272" i="1"/>
  <c r="B1272" i="1"/>
  <c r="A1272" i="1"/>
  <c r="M1271" i="1"/>
  <c r="L1271" i="1"/>
  <c r="K1271" i="1"/>
  <c r="J1271" i="1"/>
  <c r="I1271" i="1"/>
  <c r="H1271" i="1"/>
  <c r="G1271" i="1"/>
  <c r="F1271" i="1"/>
  <c r="E1271" i="1"/>
  <c r="D1271" i="1"/>
  <c r="C1271" i="1"/>
  <c r="B1271" i="1"/>
  <c r="A1271" i="1"/>
  <c r="M1270" i="1"/>
  <c r="L1270" i="1"/>
  <c r="K1270" i="1"/>
  <c r="J1270" i="1"/>
  <c r="I1270" i="1"/>
  <c r="H1270" i="1"/>
  <c r="G1270" i="1"/>
  <c r="F1270" i="1"/>
  <c r="E1270" i="1"/>
  <c r="D1270" i="1"/>
  <c r="C1270" i="1"/>
  <c r="B1270" i="1"/>
  <c r="A1270" i="1"/>
  <c r="M1269" i="1"/>
  <c r="L1269" i="1"/>
  <c r="K1269" i="1"/>
  <c r="J1269" i="1"/>
  <c r="I1269" i="1"/>
  <c r="H1269" i="1"/>
  <c r="G1269" i="1"/>
  <c r="F1269" i="1"/>
  <c r="E1269" i="1"/>
  <c r="D1269" i="1"/>
  <c r="C1269" i="1"/>
  <c r="B1269" i="1"/>
  <c r="A1269" i="1"/>
  <c r="M1268" i="1"/>
  <c r="L1268" i="1"/>
  <c r="K1268" i="1"/>
  <c r="J1268" i="1"/>
  <c r="I1268" i="1"/>
  <c r="H1268" i="1"/>
  <c r="G1268" i="1"/>
  <c r="F1268" i="1"/>
  <c r="E1268" i="1"/>
  <c r="D1268" i="1"/>
  <c r="C1268" i="1"/>
  <c r="B1268" i="1"/>
  <c r="A1268" i="1"/>
  <c r="M1267" i="1"/>
  <c r="L1267" i="1"/>
  <c r="K1267" i="1"/>
  <c r="J1267" i="1"/>
  <c r="I1267" i="1"/>
  <c r="H1267" i="1"/>
  <c r="G1267" i="1"/>
  <c r="F1267" i="1"/>
  <c r="E1267" i="1"/>
  <c r="D1267" i="1"/>
  <c r="C1267" i="1"/>
  <c r="B1267" i="1"/>
  <c r="A1267" i="1"/>
  <c r="M1266" i="1"/>
  <c r="L1266" i="1"/>
  <c r="K1266" i="1"/>
  <c r="J1266" i="1"/>
  <c r="I1266" i="1"/>
  <c r="H1266" i="1"/>
  <c r="G1266" i="1"/>
  <c r="F1266" i="1"/>
  <c r="E1266" i="1"/>
  <c r="D1266" i="1"/>
  <c r="C1266" i="1"/>
  <c r="B1266" i="1"/>
  <c r="A1266" i="1"/>
  <c r="M1265" i="1"/>
  <c r="L1265" i="1"/>
  <c r="K1265" i="1"/>
  <c r="J1265" i="1"/>
  <c r="I1265" i="1"/>
  <c r="H1265" i="1"/>
  <c r="G1265" i="1"/>
  <c r="F1265" i="1"/>
  <c r="E1265" i="1"/>
  <c r="D1265" i="1"/>
  <c r="C1265" i="1"/>
  <c r="B1265" i="1"/>
  <c r="A1265" i="1"/>
  <c r="M1264" i="1"/>
  <c r="L1264" i="1"/>
  <c r="K1264" i="1"/>
  <c r="J1264" i="1"/>
  <c r="I1264" i="1"/>
  <c r="H1264" i="1"/>
  <c r="G1264" i="1"/>
  <c r="F1264" i="1"/>
  <c r="E1264" i="1"/>
  <c r="D1264" i="1"/>
  <c r="C1264" i="1"/>
  <c r="B1264" i="1"/>
  <c r="A1264" i="1"/>
  <c r="M1263" i="1"/>
  <c r="L1263" i="1"/>
  <c r="K1263" i="1"/>
  <c r="J1263" i="1"/>
  <c r="I1263" i="1"/>
  <c r="H1263" i="1"/>
  <c r="G1263" i="1"/>
  <c r="F1263" i="1"/>
  <c r="E1263" i="1"/>
  <c r="D1263" i="1"/>
  <c r="C1263" i="1"/>
  <c r="B1263" i="1"/>
  <c r="A1263" i="1"/>
  <c r="M1262" i="1"/>
  <c r="L1262" i="1"/>
  <c r="K1262" i="1"/>
  <c r="J1262" i="1"/>
  <c r="I1262" i="1"/>
  <c r="H1262" i="1"/>
  <c r="G1262" i="1"/>
  <c r="F1262" i="1"/>
  <c r="E1262" i="1"/>
  <c r="D1262" i="1"/>
  <c r="C1262" i="1"/>
  <c r="B1262" i="1"/>
  <c r="A1262" i="1"/>
  <c r="M1261" i="1"/>
  <c r="L1261" i="1"/>
  <c r="K1261" i="1"/>
  <c r="J1261" i="1"/>
  <c r="I1261" i="1"/>
  <c r="H1261" i="1"/>
  <c r="G1261" i="1"/>
  <c r="F1261" i="1"/>
  <c r="E1261" i="1"/>
  <c r="D1261" i="1"/>
  <c r="C1261" i="1"/>
  <c r="B1261" i="1"/>
  <c r="A1261" i="1"/>
  <c r="M1260" i="1"/>
  <c r="L1260" i="1"/>
  <c r="K1260" i="1"/>
  <c r="J1260" i="1"/>
  <c r="I1260" i="1"/>
  <c r="H1260" i="1"/>
  <c r="G1260" i="1"/>
  <c r="F1260" i="1"/>
  <c r="E1260" i="1"/>
  <c r="D1260" i="1"/>
  <c r="C1260" i="1"/>
  <c r="B1260" i="1"/>
  <c r="A1260" i="1"/>
  <c r="M1259" i="1"/>
  <c r="L1259" i="1"/>
  <c r="K1259" i="1"/>
  <c r="J1259" i="1"/>
  <c r="I1259" i="1"/>
  <c r="H1259" i="1"/>
  <c r="G1259" i="1"/>
  <c r="F1259" i="1"/>
  <c r="E1259" i="1"/>
  <c r="D1259" i="1"/>
  <c r="C1259" i="1"/>
  <c r="B1259" i="1"/>
  <c r="A1259" i="1"/>
  <c r="M1258" i="1"/>
  <c r="L1258" i="1"/>
  <c r="K1258" i="1"/>
  <c r="J1258" i="1"/>
  <c r="I1258" i="1"/>
  <c r="H1258" i="1"/>
  <c r="G1258" i="1"/>
  <c r="F1258" i="1"/>
  <c r="E1258" i="1"/>
  <c r="D1258" i="1"/>
  <c r="C1258" i="1"/>
  <c r="B1258" i="1"/>
  <c r="A1258" i="1"/>
  <c r="M1257" i="1"/>
  <c r="L1257" i="1"/>
  <c r="K1257" i="1"/>
  <c r="J1257" i="1"/>
  <c r="I1257" i="1"/>
  <c r="H1257" i="1"/>
  <c r="G1257" i="1"/>
  <c r="F1257" i="1"/>
  <c r="E1257" i="1"/>
  <c r="D1257" i="1"/>
  <c r="C1257" i="1"/>
  <c r="B1257" i="1"/>
  <c r="A1257" i="1"/>
  <c r="M1256" i="1"/>
  <c r="L1256" i="1"/>
  <c r="K1256" i="1"/>
  <c r="J1256" i="1"/>
  <c r="I1256" i="1"/>
  <c r="H1256" i="1"/>
  <c r="G1256" i="1"/>
  <c r="F1256" i="1"/>
  <c r="E1256" i="1"/>
  <c r="D1256" i="1"/>
  <c r="C1256" i="1"/>
  <c r="B1256" i="1"/>
  <c r="A1256" i="1"/>
  <c r="M1255" i="1"/>
  <c r="L1255" i="1"/>
  <c r="K1255" i="1"/>
  <c r="J1255" i="1"/>
  <c r="I1255" i="1"/>
  <c r="H1255" i="1"/>
  <c r="G1255" i="1"/>
  <c r="F1255" i="1"/>
  <c r="E1255" i="1"/>
  <c r="D1255" i="1"/>
  <c r="C1255" i="1"/>
  <c r="B1255" i="1"/>
  <c r="A1255" i="1"/>
  <c r="M1254" i="1"/>
  <c r="L1254" i="1"/>
  <c r="K1254" i="1"/>
  <c r="J1254" i="1"/>
  <c r="I1254" i="1"/>
  <c r="H1254" i="1"/>
  <c r="G1254" i="1"/>
  <c r="F1254" i="1"/>
  <c r="E1254" i="1"/>
  <c r="D1254" i="1"/>
  <c r="C1254" i="1"/>
  <c r="B1254" i="1"/>
  <c r="A1254" i="1"/>
  <c r="M1253" i="1"/>
  <c r="L1253" i="1"/>
  <c r="K1253" i="1"/>
  <c r="J1253" i="1"/>
  <c r="I1253" i="1"/>
  <c r="H1253" i="1"/>
  <c r="G1253" i="1"/>
  <c r="F1253" i="1"/>
  <c r="E1253" i="1"/>
  <c r="D1253" i="1"/>
  <c r="C1253" i="1"/>
  <c r="B1253" i="1"/>
  <c r="A1253" i="1"/>
  <c r="M1252" i="1"/>
  <c r="L1252" i="1"/>
  <c r="K1252" i="1"/>
  <c r="J1252" i="1"/>
  <c r="I1252" i="1"/>
  <c r="H1252" i="1"/>
  <c r="G1252" i="1"/>
  <c r="F1252" i="1"/>
  <c r="E1252" i="1"/>
  <c r="D1252" i="1"/>
  <c r="C1252" i="1"/>
  <c r="B1252" i="1"/>
  <c r="A1252" i="1"/>
  <c r="M1251" i="1"/>
  <c r="L1251" i="1"/>
  <c r="K1251" i="1"/>
  <c r="J1251" i="1"/>
  <c r="I1251" i="1"/>
  <c r="H1251" i="1"/>
  <c r="G1251" i="1"/>
  <c r="F1251" i="1"/>
  <c r="E1251" i="1"/>
  <c r="D1251" i="1"/>
  <c r="C1251" i="1"/>
  <c r="B1251" i="1"/>
  <c r="A1251" i="1"/>
  <c r="M1250" i="1"/>
  <c r="L1250" i="1"/>
  <c r="K1250" i="1"/>
  <c r="J1250" i="1"/>
  <c r="I1250" i="1"/>
  <c r="H1250" i="1"/>
  <c r="G1250" i="1"/>
  <c r="F1250" i="1"/>
  <c r="E1250" i="1"/>
  <c r="D1250" i="1"/>
  <c r="C1250" i="1"/>
  <c r="B1250" i="1"/>
  <c r="A1250" i="1"/>
  <c r="M1249" i="1"/>
  <c r="L1249" i="1"/>
  <c r="K1249" i="1"/>
  <c r="J1249" i="1"/>
  <c r="I1249" i="1"/>
  <c r="H1249" i="1"/>
  <c r="G1249" i="1"/>
  <c r="F1249" i="1"/>
  <c r="E1249" i="1"/>
  <c r="D1249" i="1"/>
  <c r="C1249" i="1"/>
  <c r="B1249" i="1"/>
  <c r="A1249" i="1"/>
  <c r="M1248" i="1"/>
  <c r="L1248" i="1"/>
  <c r="K1248" i="1"/>
  <c r="J1248" i="1"/>
  <c r="I1248" i="1"/>
  <c r="H1248" i="1"/>
  <c r="G1248" i="1"/>
  <c r="F1248" i="1"/>
  <c r="E1248" i="1"/>
  <c r="D1248" i="1"/>
  <c r="C1248" i="1"/>
  <c r="B1248" i="1"/>
  <c r="A1248" i="1"/>
  <c r="M1247" i="1"/>
  <c r="L1247" i="1"/>
  <c r="K1247" i="1"/>
  <c r="J1247" i="1"/>
  <c r="I1247" i="1"/>
  <c r="H1247" i="1"/>
  <c r="G1247" i="1"/>
  <c r="F1247" i="1"/>
  <c r="E1247" i="1"/>
  <c r="D1247" i="1"/>
  <c r="C1247" i="1"/>
  <c r="B1247" i="1"/>
  <c r="A1247" i="1"/>
  <c r="M1246" i="1"/>
  <c r="L1246" i="1"/>
  <c r="K1246" i="1"/>
  <c r="J1246" i="1"/>
  <c r="I1246" i="1"/>
  <c r="H1246" i="1"/>
  <c r="G1246" i="1"/>
  <c r="F1246" i="1"/>
  <c r="E1246" i="1"/>
  <c r="D1246" i="1"/>
  <c r="C1246" i="1"/>
  <c r="B1246" i="1"/>
  <c r="A1246" i="1"/>
  <c r="M1245" i="1"/>
  <c r="L1245" i="1"/>
  <c r="K1245" i="1"/>
  <c r="J1245" i="1"/>
  <c r="I1245" i="1"/>
  <c r="H1245" i="1"/>
  <c r="G1245" i="1"/>
  <c r="F1245" i="1"/>
  <c r="E1245" i="1"/>
  <c r="D1245" i="1"/>
  <c r="C1245" i="1"/>
  <c r="B1245" i="1"/>
  <c r="A1245" i="1"/>
  <c r="M1244" i="1"/>
  <c r="L1244" i="1"/>
  <c r="K1244" i="1"/>
  <c r="J1244" i="1"/>
  <c r="I1244" i="1"/>
  <c r="H1244" i="1"/>
  <c r="G1244" i="1"/>
  <c r="F1244" i="1"/>
  <c r="E1244" i="1"/>
  <c r="D1244" i="1"/>
  <c r="C1244" i="1"/>
  <c r="B1244" i="1"/>
  <c r="A1244" i="1"/>
  <c r="M1243" i="1"/>
  <c r="L1243" i="1"/>
  <c r="K1243" i="1"/>
  <c r="J1243" i="1"/>
  <c r="I1243" i="1"/>
  <c r="H1243" i="1"/>
  <c r="G1243" i="1"/>
  <c r="F1243" i="1"/>
  <c r="E1243" i="1"/>
  <c r="D1243" i="1"/>
  <c r="C1243" i="1"/>
  <c r="B1243" i="1"/>
  <c r="A1243" i="1"/>
  <c r="M1242" i="1"/>
  <c r="L1242" i="1"/>
  <c r="K1242" i="1"/>
  <c r="J1242" i="1"/>
  <c r="I1242" i="1"/>
  <c r="H1242" i="1"/>
  <c r="G1242" i="1"/>
  <c r="F1242" i="1"/>
  <c r="E1242" i="1"/>
  <c r="D1242" i="1"/>
  <c r="C1242" i="1"/>
  <c r="B1242" i="1"/>
  <c r="A1242" i="1"/>
  <c r="M1241" i="1"/>
  <c r="L1241" i="1"/>
  <c r="K1241" i="1"/>
  <c r="J1241" i="1"/>
  <c r="I1241" i="1"/>
  <c r="H1241" i="1"/>
  <c r="G1241" i="1"/>
  <c r="F1241" i="1"/>
  <c r="E1241" i="1"/>
  <c r="D1241" i="1"/>
  <c r="C1241" i="1"/>
  <c r="B1241" i="1"/>
  <c r="A1241" i="1"/>
  <c r="M1240" i="1"/>
  <c r="L1240" i="1"/>
  <c r="K1240" i="1"/>
  <c r="J1240" i="1"/>
  <c r="I1240" i="1"/>
  <c r="H1240" i="1"/>
  <c r="G1240" i="1"/>
  <c r="F1240" i="1"/>
  <c r="E1240" i="1"/>
  <c r="D1240" i="1"/>
  <c r="C1240" i="1"/>
  <c r="B1240" i="1"/>
  <c r="A1240" i="1"/>
  <c r="M1239" i="1"/>
  <c r="L1239" i="1"/>
  <c r="K1239" i="1"/>
  <c r="J1239" i="1"/>
  <c r="I1239" i="1"/>
  <c r="H1239" i="1"/>
  <c r="G1239" i="1"/>
  <c r="F1239" i="1"/>
  <c r="E1239" i="1"/>
  <c r="D1239" i="1"/>
  <c r="C1239" i="1"/>
  <c r="B1239" i="1"/>
  <c r="A1239" i="1"/>
  <c r="M1238" i="1"/>
  <c r="L1238" i="1"/>
  <c r="K1238" i="1"/>
  <c r="J1238" i="1"/>
  <c r="I1238" i="1"/>
  <c r="H1238" i="1"/>
  <c r="G1238" i="1"/>
  <c r="F1238" i="1"/>
  <c r="E1238" i="1"/>
  <c r="D1238" i="1"/>
  <c r="C1238" i="1"/>
  <c r="B1238" i="1"/>
  <c r="A1238" i="1"/>
  <c r="M1237" i="1"/>
  <c r="L1237" i="1"/>
  <c r="K1237" i="1"/>
  <c r="J1237" i="1"/>
  <c r="I1237" i="1"/>
  <c r="H1237" i="1"/>
  <c r="G1237" i="1"/>
  <c r="F1237" i="1"/>
  <c r="E1237" i="1"/>
  <c r="D1237" i="1"/>
  <c r="C1237" i="1"/>
  <c r="B1237" i="1"/>
  <c r="A1237" i="1"/>
  <c r="M1236" i="1"/>
  <c r="L1236" i="1"/>
  <c r="K1236" i="1"/>
  <c r="J1236" i="1"/>
  <c r="I1236" i="1"/>
  <c r="H1236" i="1"/>
  <c r="G1236" i="1"/>
  <c r="F1236" i="1"/>
  <c r="E1236" i="1"/>
  <c r="D1236" i="1"/>
  <c r="C1236" i="1"/>
  <c r="B1236" i="1"/>
  <c r="A1236" i="1"/>
  <c r="M1235" i="1"/>
  <c r="L1235" i="1"/>
  <c r="K1235" i="1"/>
  <c r="J1235" i="1"/>
  <c r="I1235" i="1"/>
  <c r="H1235" i="1"/>
  <c r="G1235" i="1"/>
  <c r="F1235" i="1"/>
  <c r="E1235" i="1"/>
  <c r="D1235" i="1"/>
  <c r="C1235" i="1"/>
  <c r="B1235" i="1"/>
  <c r="A1235" i="1"/>
  <c r="M1234" i="1"/>
  <c r="L1234" i="1"/>
  <c r="K1234" i="1"/>
  <c r="J1234" i="1"/>
  <c r="I1234" i="1"/>
  <c r="H1234" i="1"/>
  <c r="G1234" i="1"/>
  <c r="F1234" i="1"/>
  <c r="E1234" i="1"/>
  <c r="D1234" i="1"/>
  <c r="C1234" i="1"/>
  <c r="B1234" i="1"/>
  <c r="A1234" i="1"/>
  <c r="M1233" i="1"/>
  <c r="L1233" i="1"/>
  <c r="K1233" i="1"/>
  <c r="J1233" i="1"/>
  <c r="I1233" i="1"/>
  <c r="H1233" i="1"/>
  <c r="G1233" i="1"/>
  <c r="F1233" i="1"/>
  <c r="E1233" i="1"/>
  <c r="D1233" i="1"/>
  <c r="C1233" i="1"/>
  <c r="B1233" i="1"/>
  <c r="A1233" i="1"/>
  <c r="M1232" i="1"/>
  <c r="L1232" i="1"/>
  <c r="K1232" i="1"/>
  <c r="J1232" i="1"/>
  <c r="I1232" i="1"/>
  <c r="H1232" i="1"/>
  <c r="G1232" i="1"/>
  <c r="F1232" i="1"/>
  <c r="E1232" i="1"/>
  <c r="D1232" i="1"/>
  <c r="C1232" i="1"/>
  <c r="B1232" i="1"/>
  <c r="A1232" i="1"/>
  <c r="M1231" i="1"/>
  <c r="L1231" i="1"/>
  <c r="K1231" i="1"/>
  <c r="J1231" i="1"/>
  <c r="I1231" i="1"/>
  <c r="H1231" i="1"/>
  <c r="G1231" i="1"/>
  <c r="F1231" i="1"/>
  <c r="E1231" i="1"/>
  <c r="D1231" i="1"/>
  <c r="C1231" i="1"/>
  <c r="B1231" i="1"/>
  <c r="A1231" i="1"/>
  <c r="M1230" i="1"/>
  <c r="L1230" i="1"/>
  <c r="K1230" i="1"/>
  <c r="J1230" i="1"/>
  <c r="I1230" i="1"/>
  <c r="H1230" i="1"/>
  <c r="G1230" i="1"/>
  <c r="F1230" i="1"/>
  <c r="E1230" i="1"/>
  <c r="D1230" i="1"/>
  <c r="C1230" i="1"/>
  <c r="B1230" i="1"/>
  <c r="A1230" i="1"/>
  <c r="M1229" i="1"/>
  <c r="L1229" i="1"/>
  <c r="K1229" i="1"/>
  <c r="J1229" i="1"/>
  <c r="I1229" i="1"/>
  <c r="H1229" i="1"/>
  <c r="G1229" i="1"/>
  <c r="F1229" i="1"/>
  <c r="E1229" i="1"/>
  <c r="D1229" i="1"/>
  <c r="C1229" i="1"/>
  <c r="B1229" i="1"/>
  <c r="A1229" i="1"/>
  <c r="M1228" i="1"/>
  <c r="L1228" i="1"/>
  <c r="K1228" i="1"/>
  <c r="J1228" i="1"/>
  <c r="I1228" i="1"/>
  <c r="H1228" i="1"/>
  <c r="G1228" i="1"/>
  <c r="F1228" i="1"/>
  <c r="E1228" i="1"/>
  <c r="D1228" i="1"/>
  <c r="C1228" i="1"/>
  <c r="B1228" i="1"/>
  <c r="A1228" i="1"/>
  <c r="M1227" i="1"/>
  <c r="L1227" i="1"/>
  <c r="K1227" i="1"/>
  <c r="J1227" i="1"/>
  <c r="I1227" i="1"/>
  <c r="H1227" i="1"/>
  <c r="G1227" i="1"/>
  <c r="F1227" i="1"/>
  <c r="E1227" i="1"/>
  <c r="D1227" i="1"/>
  <c r="C1227" i="1"/>
  <c r="B1227" i="1"/>
  <c r="A1227" i="1"/>
  <c r="M1226" i="1"/>
  <c r="L1226" i="1"/>
  <c r="K1226" i="1"/>
  <c r="J1226" i="1"/>
  <c r="I1226" i="1"/>
  <c r="H1226" i="1"/>
  <c r="G1226" i="1"/>
  <c r="F1226" i="1"/>
  <c r="E1226" i="1"/>
  <c r="D1226" i="1"/>
  <c r="C1226" i="1"/>
  <c r="B1226" i="1"/>
  <c r="A1226" i="1"/>
  <c r="M1225" i="1"/>
  <c r="L1225" i="1"/>
  <c r="K1225" i="1"/>
  <c r="J1225" i="1"/>
  <c r="I1225" i="1"/>
  <c r="H1225" i="1"/>
  <c r="G1225" i="1"/>
  <c r="F1225" i="1"/>
  <c r="E1225" i="1"/>
  <c r="D1225" i="1"/>
  <c r="C1225" i="1"/>
  <c r="B1225" i="1"/>
  <c r="A1225" i="1"/>
  <c r="M1224" i="1"/>
  <c r="L1224" i="1"/>
  <c r="K1224" i="1"/>
  <c r="J1224" i="1"/>
  <c r="I1224" i="1"/>
  <c r="H1224" i="1"/>
  <c r="G1224" i="1"/>
  <c r="F1224" i="1"/>
  <c r="E1224" i="1"/>
  <c r="D1224" i="1"/>
  <c r="C1224" i="1"/>
  <c r="B1224" i="1"/>
  <c r="A1224" i="1"/>
  <c r="M1223" i="1"/>
  <c r="L1223" i="1"/>
  <c r="K1223" i="1"/>
  <c r="J1223" i="1"/>
  <c r="I1223" i="1"/>
  <c r="H1223" i="1"/>
  <c r="G1223" i="1"/>
  <c r="F1223" i="1"/>
  <c r="E1223" i="1"/>
  <c r="D1223" i="1"/>
  <c r="C1223" i="1"/>
  <c r="B1223" i="1"/>
  <c r="A1223" i="1"/>
  <c r="M1222" i="1"/>
  <c r="L1222" i="1"/>
  <c r="K1222" i="1"/>
  <c r="J1222" i="1"/>
  <c r="I1222" i="1"/>
  <c r="H1222" i="1"/>
  <c r="G1222" i="1"/>
  <c r="F1222" i="1"/>
  <c r="E1222" i="1"/>
  <c r="D1222" i="1"/>
  <c r="C1222" i="1"/>
  <c r="B1222" i="1"/>
  <c r="A1222" i="1"/>
  <c r="M1221" i="1"/>
  <c r="L1221" i="1"/>
  <c r="K1221" i="1"/>
  <c r="J1221" i="1"/>
  <c r="I1221" i="1"/>
  <c r="H1221" i="1"/>
  <c r="G1221" i="1"/>
  <c r="F1221" i="1"/>
  <c r="E1221" i="1"/>
  <c r="D1221" i="1"/>
  <c r="C1221" i="1"/>
  <c r="B1221" i="1"/>
  <c r="A1221" i="1"/>
  <c r="M1220" i="1"/>
  <c r="L1220" i="1"/>
  <c r="K1220" i="1"/>
  <c r="J1220" i="1"/>
  <c r="I1220" i="1"/>
  <c r="H1220" i="1"/>
  <c r="G1220" i="1"/>
  <c r="F1220" i="1"/>
  <c r="E1220" i="1"/>
  <c r="D1220" i="1"/>
  <c r="C1220" i="1"/>
  <c r="B1220" i="1"/>
  <c r="A1220" i="1"/>
  <c r="M1219" i="1"/>
  <c r="L1219" i="1"/>
  <c r="K1219" i="1"/>
  <c r="J1219" i="1"/>
  <c r="I1219" i="1"/>
  <c r="H1219" i="1"/>
  <c r="G1219" i="1"/>
  <c r="F1219" i="1"/>
  <c r="E1219" i="1"/>
  <c r="D1219" i="1"/>
  <c r="C1219" i="1"/>
  <c r="B1219" i="1"/>
  <c r="A1219" i="1"/>
  <c r="M1218" i="1"/>
  <c r="L1218" i="1"/>
  <c r="K1218" i="1"/>
  <c r="J1218" i="1"/>
  <c r="I1218" i="1"/>
  <c r="H1218" i="1"/>
  <c r="G1218" i="1"/>
  <c r="F1218" i="1"/>
  <c r="E1218" i="1"/>
  <c r="D1218" i="1"/>
  <c r="C1218" i="1"/>
  <c r="B1218" i="1"/>
  <c r="A1218" i="1"/>
  <c r="M1217" i="1"/>
  <c r="L1217" i="1"/>
  <c r="K1217" i="1"/>
  <c r="J1217" i="1"/>
  <c r="I1217" i="1"/>
  <c r="H1217" i="1"/>
  <c r="G1217" i="1"/>
  <c r="F1217" i="1"/>
  <c r="E1217" i="1"/>
  <c r="D1217" i="1"/>
  <c r="C1217" i="1"/>
  <c r="B1217" i="1"/>
  <c r="A1217" i="1"/>
  <c r="M1216" i="1"/>
  <c r="L1216" i="1"/>
  <c r="K1216" i="1"/>
  <c r="J1216" i="1"/>
  <c r="I1216" i="1"/>
  <c r="H1216" i="1"/>
  <c r="G1216" i="1"/>
  <c r="F1216" i="1"/>
  <c r="E1216" i="1"/>
  <c r="D1216" i="1"/>
  <c r="C1216" i="1"/>
  <c r="B1216" i="1"/>
  <c r="A1216" i="1"/>
  <c r="M1215" i="1"/>
  <c r="L1215" i="1"/>
  <c r="K1215" i="1"/>
  <c r="J1215" i="1"/>
  <c r="I1215" i="1"/>
  <c r="H1215" i="1"/>
  <c r="G1215" i="1"/>
  <c r="F1215" i="1"/>
  <c r="E1215" i="1"/>
  <c r="D1215" i="1"/>
  <c r="C1215" i="1"/>
  <c r="B1215" i="1"/>
  <c r="A1215" i="1"/>
  <c r="M1214" i="1"/>
  <c r="L1214" i="1"/>
  <c r="K1214" i="1"/>
  <c r="J1214" i="1"/>
  <c r="I1214" i="1"/>
  <c r="H1214" i="1"/>
  <c r="G1214" i="1"/>
  <c r="F1214" i="1"/>
  <c r="E1214" i="1"/>
  <c r="D1214" i="1"/>
  <c r="C1214" i="1"/>
  <c r="B1214" i="1"/>
  <c r="A1214" i="1"/>
  <c r="M1213" i="1"/>
  <c r="L1213" i="1"/>
  <c r="K1213" i="1"/>
  <c r="J1213" i="1"/>
  <c r="I1213" i="1"/>
  <c r="H1213" i="1"/>
  <c r="G1213" i="1"/>
  <c r="F1213" i="1"/>
  <c r="E1213" i="1"/>
  <c r="D1213" i="1"/>
  <c r="C1213" i="1"/>
  <c r="B1213" i="1"/>
  <c r="A1213" i="1"/>
  <c r="M1212" i="1"/>
  <c r="L1212" i="1"/>
  <c r="K1212" i="1"/>
  <c r="J1212" i="1"/>
  <c r="I1212" i="1"/>
  <c r="H1212" i="1"/>
  <c r="G1212" i="1"/>
  <c r="F1212" i="1"/>
  <c r="E1212" i="1"/>
  <c r="D1212" i="1"/>
  <c r="C1212" i="1"/>
  <c r="B1212" i="1"/>
  <c r="A1212" i="1"/>
  <c r="M1211" i="1"/>
  <c r="L1211" i="1"/>
  <c r="K1211" i="1"/>
  <c r="J1211" i="1"/>
  <c r="I1211" i="1"/>
  <c r="H1211" i="1"/>
  <c r="G1211" i="1"/>
  <c r="F1211" i="1"/>
  <c r="E1211" i="1"/>
  <c r="D1211" i="1"/>
  <c r="C1211" i="1"/>
  <c r="B1211" i="1"/>
  <c r="A1211" i="1"/>
  <c r="M1210" i="1"/>
  <c r="L1210" i="1"/>
  <c r="K1210" i="1"/>
  <c r="J1210" i="1"/>
  <c r="I1210" i="1"/>
  <c r="H1210" i="1"/>
  <c r="G1210" i="1"/>
  <c r="F1210" i="1"/>
  <c r="E1210" i="1"/>
  <c r="D1210" i="1"/>
  <c r="C1210" i="1"/>
  <c r="B1210" i="1"/>
  <c r="A1210" i="1"/>
  <c r="M1209" i="1"/>
  <c r="L1209" i="1"/>
  <c r="K1209" i="1"/>
  <c r="J1209" i="1"/>
  <c r="I1209" i="1"/>
  <c r="H1209" i="1"/>
  <c r="G1209" i="1"/>
  <c r="F1209" i="1"/>
  <c r="E1209" i="1"/>
  <c r="D1209" i="1"/>
  <c r="C1209" i="1"/>
  <c r="B1209" i="1"/>
  <c r="A1209" i="1"/>
  <c r="M1208" i="1"/>
  <c r="L1208" i="1"/>
  <c r="K1208" i="1"/>
  <c r="J1208" i="1"/>
  <c r="I1208" i="1"/>
  <c r="H1208" i="1"/>
  <c r="G1208" i="1"/>
  <c r="F1208" i="1"/>
  <c r="E1208" i="1"/>
  <c r="D1208" i="1"/>
  <c r="C1208" i="1"/>
  <c r="B1208" i="1"/>
  <c r="A1208" i="1"/>
  <c r="M1207" i="1"/>
  <c r="L1207" i="1"/>
  <c r="K1207" i="1"/>
  <c r="J1207" i="1"/>
  <c r="I1207" i="1"/>
  <c r="H1207" i="1"/>
  <c r="G1207" i="1"/>
  <c r="F1207" i="1"/>
  <c r="E1207" i="1"/>
  <c r="D1207" i="1"/>
  <c r="C1207" i="1"/>
  <c r="B1207" i="1"/>
  <c r="A1207" i="1"/>
  <c r="M1206" i="1"/>
  <c r="L1206" i="1"/>
  <c r="K1206" i="1"/>
  <c r="J1206" i="1"/>
  <c r="I1206" i="1"/>
  <c r="H1206" i="1"/>
  <c r="G1206" i="1"/>
  <c r="F1206" i="1"/>
  <c r="E1206" i="1"/>
  <c r="D1206" i="1"/>
  <c r="C1206" i="1"/>
  <c r="B1206" i="1"/>
  <c r="A1206" i="1"/>
  <c r="M1205" i="1"/>
  <c r="L1205" i="1"/>
  <c r="K1205" i="1"/>
  <c r="J1205" i="1"/>
  <c r="I1205" i="1"/>
  <c r="H1205" i="1"/>
  <c r="G1205" i="1"/>
  <c r="F1205" i="1"/>
  <c r="E1205" i="1"/>
  <c r="D1205" i="1"/>
  <c r="C1205" i="1"/>
  <c r="B1205" i="1"/>
  <c r="A1205" i="1"/>
  <c r="M1204" i="1"/>
  <c r="L1204" i="1"/>
  <c r="K1204" i="1"/>
  <c r="J1204" i="1"/>
  <c r="I1204" i="1"/>
  <c r="H1204" i="1"/>
  <c r="G1204" i="1"/>
  <c r="F1204" i="1"/>
  <c r="E1204" i="1"/>
  <c r="D1204" i="1"/>
  <c r="C1204" i="1"/>
  <c r="B1204" i="1"/>
  <c r="A1204" i="1"/>
  <c r="M1203" i="1"/>
  <c r="L1203" i="1"/>
  <c r="K1203" i="1"/>
  <c r="J1203" i="1"/>
  <c r="I1203" i="1"/>
  <c r="H1203" i="1"/>
  <c r="G1203" i="1"/>
  <c r="F1203" i="1"/>
  <c r="E1203" i="1"/>
  <c r="D1203" i="1"/>
  <c r="C1203" i="1"/>
  <c r="B1203" i="1"/>
  <c r="A1203" i="1"/>
  <c r="M1202" i="1"/>
  <c r="L1202" i="1"/>
  <c r="K1202" i="1"/>
  <c r="J1202" i="1"/>
  <c r="I1202" i="1"/>
  <c r="H1202" i="1"/>
  <c r="G1202" i="1"/>
  <c r="F1202" i="1"/>
  <c r="E1202" i="1"/>
  <c r="D1202" i="1"/>
  <c r="C1202" i="1"/>
  <c r="B1202" i="1"/>
  <c r="A1202" i="1"/>
  <c r="M1201" i="1"/>
  <c r="L1201" i="1"/>
  <c r="K1201" i="1"/>
  <c r="J1201" i="1"/>
  <c r="I1201" i="1"/>
  <c r="H1201" i="1"/>
  <c r="G1201" i="1"/>
  <c r="F1201" i="1"/>
  <c r="E1201" i="1"/>
  <c r="D1201" i="1"/>
  <c r="C1201" i="1"/>
  <c r="B1201" i="1"/>
  <c r="A1201" i="1"/>
  <c r="M1200" i="1"/>
  <c r="L1200" i="1"/>
  <c r="K1200" i="1"/>
  <c r="J1200" i="1"/>
  <c r="I1200" i="1"/>
  <c r="H1200" i="1"/>
  <c r="G1200" i="1"/>
  <c r="F1200" i="1"/>
  <c r="E1200" i="1"/>
  <c r="D1200" i="1"/>
  <c r="C1200" i="1"/>
  <c r="B1200" i="1"/>
  <c r="A1200" i="1"/>
  <c r="M1199" i="1"/>
  <c r="L1199" i="1"/>
  <c r="K1199" i="1"/>
  <c r="J1199" i="1"/>
  <c r="I1199" i="1"/>
  <c r="H1199" i="1"/>
  <c r="G1199" i="1"/>
  <c r="F1199" i="1"/>
  <c r="E1199" i="1"/>
  <c r="D1199" i="1"/>
  <c r="C1199" i="1"/>
  <c r="B1199" i="1"/>
  <c r="A1199" i="1"/>
  <c r="M1198" i="1"/>
  <c r="L1198" i="1"/>
  <c r="K1198" i="1"/>
  <c r="J1198" i="1"/>
  <c r="I1198" i="1"/>
  <c r="H1198" i="1"/>
  <c r="G1198" i="1"/>
  <c r="F1198" i="1"/>
  <c r="E1198" i="1"/>
  <c r="D1198" i="1"/>
  <c r="C1198" i="1"/>
  <c r="B1198" i="1"/>
  <c r="A1198" i="1"/>
  <c r="M1197" i="1"/>
  <c r="L1197" i="1"/>
  <c r="K1197" i="1"/>
  <c r="J1197" i="1"/>
  <c r="I1197" i="1"/>
  <c r="H1197" i="1"/>
  <c r="G1197" i="1"/>
  <c r="F1197" i="1"/>
  <c r="E1197" i="1"/>
  <c r="D1197" i="1"/>
  <c r="C1197" i="1"/>
  <c r="B1197" i="1"/>
  <c r="A1197" i="1"/>
  <c r="M1196" i="1"/>
  <c r="L1196" i="1"/>
  <c r="K1196" i="1"/>
  <c r="J1196" i="1"/>
  <c r="I1196" i="1"/>
  <c r="H1196" i="1"/>
  <c r="G1196" i="1"/>
  <c r="F1196" i="1"/>
  <c r="E1196" i="1"/>
  <c r="D1196" i="1"/>
  <c r="C1196" i="1"/>
  <c r="B1196" i="1"/>
  <c r="A1196" i="1"/>
  <c r="M1195" i="1"/>
  <c r="L1195" i="1"/>
  <c r="K1195" i="1"/>
  <c r="J1195" i="1"/>
  <c r="I1195" i="1"/>
  <c r="H1195" i="1"/>
  <c r="G1195" i="1"/>
  <c r="F1195" i="1"/>
  <c r="E1195" i="1"/>
  <c r="D1195" i="1"/>
  <c r="C1195" i="1"/>
  <c r="B1195" i="1"/>
  <c r="A1195" i="1"/>
  <c r="M1194" i="1"/>
  <c r="L1194" i="1"/>
  <c r="K1194" i="1"/>
  <c r="J1194" i="1"/>
  <c r="I1194" i="1"/>
  <c r="H1194" i="1"/>
  <c r="G1194" i="1"/>
  <c r="F1194" i="1"/>
  <c r="E1194" i="1"/>
  <c r="D1194" i="1"/>
  <c r="C1194" i="1"/>
  <c r="B1194" i="1"/>
  <c r="A1194" i="1"/>
  <c r="M1193" i="1"/>
  <c r="L1193" i="1"/>
  <c r="K1193" i="1"/>
  <c r="J1193" i="1"/>
  <c r="I1193" i="1"/>
  <c r="H1193" i="1"/>
  <c r="G1193" i="1"/>
  <c r="F1193" i="1"/>
  <c r="E1193" i="1"/>
  <c r="D1193" i="1"/>
  <c r="C1193" i="1"/>
  <c r="B1193" i="1"/>
  <c r="A1193" i="1"/>
  <c r="M1192" i="1"/>
  <c r="L1192" i="1"/>
  <c r="K1192" i="1"/>
  <c r="J1192" i="1"/>
  <c r="I1192" i="1"/>
  <c r="H1192" i="1"/>
  <c r="G1192" i="1"/>
  <c r="F1192" i="1"/>
  <c r="E1192" i="1"/>
  <c r="D1192" i="1"/>
  <c r="C1192" i="1"/>
  <c r="B1192" i="1"/>
  <c r="A1192" i="1"/>
  <c r="M1191" i="1"/>
  <c r="L1191" i="1"/>
  <c r="K1191" i="1"/>
  <c r="J1191" i="1"/>
  <c r="I1191" i="1"/>
  <c r="H1191" i="1"/>
  <c r="G1191" i="1"/>
  <c r="F1191" i="1"/>
  <c r="E1191" i="1"/>
  <c r="D1191" i="1"/>
  <c r="C1191" i="1"/>
  <c r="B1191" i="1"/>
  <c r="A1191" i="1"/>
  <c r="M1190" i="1"/>
  <c r="L1190" i="1"/>
  <c r="K1190" i="1"/>
  <c r="J1190" i="1"/>
  <c r="I1190" i="1"/>
  <c r="H1190" i="1"/>
  <c r="G1190" i="1"/>
  <c r="F1190" i="1"/>
  <c r="E1190" i="1"/>
  <c r="D1190" i="1"/>
  <c r="C1190" i="1"/>
  <c r="B1190" i="1"/>
  <c r="A1190" i="1"/>
  <c r="M1189" i="1"/>
  <c r="L1189" i="1"/>
  <c r="K1189" i="1"/>
  <c r="J1189" i="1"/>
  <c r="I1189" i="1"/>
  <c r="H1189" i="1"/>
  <c r="G1189" i="1"/>
  <c r="F1189" i="1"/>
  <c r="E1189" i="1"/>
  <c r="D1189" i="1"/>
  <c r="C1189" i="1"/>
  <c r="B1189" i="1"/>
  <c r="A1189" i="1"/>
  <c r="M1188" i="1"/>
  <c r="L1188" i="1"/>
  <c r="K1188" i="1"/>
  <c r="J1188" i="1"/>
  <c r="I1188" i="1"/>
  <c r="H1188" i="1"/>
  <c r="G1188" i="1"/>
  <c r="F1188" i="1"/>
  <c r="E1188" i="1"/>
  <c r="D1188" i="1"/>
  <c r="C1188" i="1"/>
  <c r="B1188" i="1"/>
  <c r="A1188" i="1"/>
  <c r="M1187" i="1"/>
  <c r="L1187" i="1"/>
  <c r="K1187" i="1"/>
  <c r="J1187" i="1"/>
  <c r="I1187" i="1"/>
  <c r="H1187" i="1"/>
  <c r="G1187" i="1"/>
  <c r="F1187" i="1"/>
  <c r="E1187" i="1"/>
  <c r="D1187" i="1"/>
  <c r="C1187" i="1"/>
  <c r="B1187" i="1"/>
  <c r="A1187" i="1"/>
  <c r="M1186" i="1"/>
  <c r="L1186" i="1"/>
  <c r="K1186" i="1"/>
  <c r="J1186" i="1"/>
  <c r="I1186" i="1"/>
  <c r="H1186" i="1"/>
  <c r="G1186" i="1"/>
  <c r="F1186" i="1"/>
  <c r="E1186" i="1"/>
  <c r="D1186" i="1"/>
  <c r="C1186" i="1"/>
  <c r="B1186" i="1"/>
  <c r="A1186" i="1"/>
  <c r="M1185" i="1"/>
  <c r="L1185" i="1"/>
  <c r="K1185" i="1"/>
  <c r="J1185" i="1"/>
  <c r="I1185" i="1"/>
  <c r="H1185" i="1"/>
  <c r="G1185" i="1"/>
  <c r="F1185" i="1"/>
  <c r="E1185" i="1"/>
  <c r="D1185" i="1"/>
  <c r="C1185" i="1"/>
  <c r="B1185" i="1"/>
  <c r="A1185" i="1"/>
  <c r="M1184" i="1"/>
  <c r="L1184" i="1"/>
  <c r="K1184" i="1"/>
  <c r="J1184" i="1"/>
  <c r="I1184" i="1"/>
  <c r="H1184" i="1"/>
  <c r="G1184" i="1"/>
  <c r="F1184" i="1"/>
  <c r="E1184" i="1"/>
  <c r="D1184" i="1"/>
  <c r="C1184" i="1"/>
  <c r="B1184" i="1"/>
  <c r="A1184" i="1"/>
  <c r="M1183" i="1"/>
  <c r="L1183" i="1"/>
  <c r="K1183" i="1"/>
  <c r="J1183" i="1"/>
  <c r="I1183" i="1"/>
  <c r="H1183" i="1"/>
  <c r="G1183" i="1"/>
  <c r="F1183" i="1"/>
  <c r="E1183" i="1"/>
  <c r="D1183" i="1"/>
  <c r="C1183" i="1"/>
  <c r="B1183" i="1"/>
  <c r="A1183" i="1"/>
  <c r="M1182" i="1"/>
  <c r="L1182" i="1"/>
  <c r="K1182" i="1"/>
  <c r="J1182" i="1"/>
  <c r="I1182" i="1"/>
  <c r="H1182" i="1"/>
  <c r="G1182" i="1"/>
  <c r="F1182" i="1"/>
  <c r="E1182" i="1"/>
  <c r="D1182" i="1"/>
  <c r="C1182" i="1"/>
  <c r="B1182" i="1"/>
  <c r="A1182" i="1"/>
  <c r="M1181" i="1"/>
  <c r="L1181" i="1"/>
  <c r="K1181" i="1"/>
  <c r="J1181" i="1"/>
  <c r="I1181" i="1"/>
  <c r="H1181" i="1"/>
  <c r="G1181" i="1"/>
  <c r="F1181" i="1"/>
  <c r="E1181" i="1"/>
  <c r="D1181" i="1"/>
  <c r="C1181" i="1"/>
  <c r="B1181" i="1"/>
  <c r="A1181" i="1"/>
  <c r="M1180" i="1"/>
  <c r="L1180" i="1"/>
  <c r="K1180" i="1"/>
  <c r="J1180" i="1"/>
  <c r="I1180" i="1"/>
  <c r="H1180" i="1"/>
  <c r="G1180" i="1"/>
  <c r="F1180" i="1"/>
  <c r="E1180" i="1"/>
  <c r="D1180" i="1"/>
  <c r="C1180" i="1"/>
  <c r="B1180" i="1"/>
  <c r="A1180" i="1"/>
  <c r="M1179" i="1"/>
  <c r="L1179" i="1"/>
  <c r="K1179" i="1"/>
  <c r="J1179" i="1"/>
  <c r="I1179" i="1"/>
  <c r="H1179" i="1"/>
  <c r="G1179" i="1"/>
  <c r="F1179" i="1"/>
  <c r="E1179" i="1"/>
  <c r="D1179" i="1"/>
  <c r="C1179" i="1"/>
  <c r="B1179" i="1"/>
  <c r="A1179" i="1"/>
  <c r="M1178" i="1"/>
  <c r="L1178" i="1"/>
  <c r="K1178" i="1"/>
  <c r="J1178" i="1"/>
  <c r="I1178" i="1"/>
  <c r="H1178" i="1"/>
  <c r="G1178" i="1"/>
  <c r="F1178" i="1"/>
  <c r="E1178" i="1"/>
  <c r="D1178" i="1"/>
  <c r="C1178" i="1"/>
  <c r="B1178" i="1"/>
  <c r="A1178" i="1"/>
  <c r="M1177" i="1"/>
  <c r="L1177" i="1"/>
  <c r="K1177" i="1"/>
  <c r="J1177" i="1"/>
  <c r="I1177" i="1"/>
  <c r="H1177" i="1"/>
  <c r="G1177" i="1"/>
  <c r="F1177" i="1"/>
  <c r="E1177" i="1"/>
  <c r="D1177" i="1"/>
  <c r="C1177" i="1"/>
  <c r="B1177" i="1"/>
  <c r="A1177" i="1"/>
  <c r="M1176" i="1"/>
  <c r="L1176" i="1"/>
  <c r="K1176" i="1"/>
  <c r="J1176" i="1"/>
  <c r="I1176" i="1"/>
  <c r="H1176" i="1"/>
  <c r="G1176" i="1"/>
  <c r="F1176" i="1"/>
  <c r="E1176" i="1"/>
  <c r="D1176" i="1"/>
  <c r="C1176" i="1"/>
  <c r="B1176" i="1"/>
  <c r="A1176" i="1"/>
  <c r="M1175" i="1"/>
  <c r="L1175" i="1"/>
  <c r="K1175" i="1"/>
  <c r="J1175" i="1"/>
  <c r="I1175" i="1"/>
  <c r="H1175" i="1"/>
  <c r="G1175" i="1"/>
  <c r="F1175" i="1"/>
  <c r="E1175" i="1"/>
  <c r="D1175" i="1"/>
  <c r="C1175" i="1"/>
  <c r="B1175" i="1"/>
  <c r="A1175" i="1"/>
  <c r="M1174" i="1"/>
  <c r="L1174" i="1"/>
  <c r="K1174" i="1"/>
  <c r="J1174" i="1"/>
  <c r="I1174" i="1"/>
  <c r="H1174" i="1"/>
  <c r="G1174" i="1"/>
  <c r="F1174" i="1"/>
  <c r="E1174" i="1"/>
  <c r="D1174" i="1"/>
  <c r="C1174" i="1"/>
  <c r="B1174" i="1"/>
  <c r="A1174" i="1"/>
  <c r="M1173" i="1"/>
  <c r="L1173" i="1"/>
  <c r="K1173" i="1"/>
  <c r="J1173" i="1"/>
  <c r="I1173" i="1"/>
  <c r="H1173" i="1"/>
  <c r="G1173" i="1"/>
  <c r="F1173" i="1"/>
  <c r="E1173" i="1"/>
  <c r="D1173" i="1"/>
  <c r="C1173" i="1"/>
  <c r="B1173" i="1"/>
  <c r="A1173" i="1"/>
  <c r="M1172" i="1"/>
  <c r="L1172" i="1"/>
  <c r="K1172" i="1"/>
  <c r="J1172" i="1"/>
  <c r="I1172" i="1"/>
  <c r="H1172" i="1"/>
  <c r="G1172" i="1"/>
  <c r="F1172" i="1"/>
  <c r="E1172" i="1"/>
  <c r="D1172" i="1"/>
  <c r="C1172" i="1"/>
  <c r="B1172" i="1"/>
  <c r="A1172" i="1"/>
  <c r="M1171" i="1"/>
  <c r="L1171" i="1"/>
  <c r="K1171" i="1"/>
  <c r="J1171" i="1"/>
  <c r="I1171" i="1"/>
  <c r="H1171" i="1"/>
  <c r="G1171" i="1"/>
  <c r="F1171" i="1"/>
  <c r="E1171" i="1"/>
  <c r="D1171" i="1"/>
  <c r="C1171" i="1"/>
  <c r="B1171" i="1"/>
  <c r="A1171" i="1"/>
  <c r="M1170" i="1"/>
  <c r="L1170" i="1"/>
  <c r="K1170" i="1"/>
  <c r="J1170" i="1"/>
  <c r="I1170" i="1"/>
  <c r="H1170" i="1"/>
  <c r="G1170" i="1"/>
  <c r="F1170" i="1"/>
  <c r="E1170" i="1"/>
  <c r="D1170" i="1"/>
  <c r="C1170" i="1"/>
  <c r="B1170" i="1"/>
  <c r="A1170" i="1"/>
  <c r="M1169" i="1"/>
  <c r="L1169" i="1"/>
  <c r="K1169" i="1"/>
  <c r="J1169" i="1"/>
  <c r="I1169" i="1"/>
  <c r="H1169" i="1"/>
  <c r="G1169" i="1"/>
  <c r="F1169" i="1"/>
  <c r="E1169" i="1"/>
  <c r="D1169" i="1"/>
  <c r="C1169" i="1"/>
  <c r="B1169" i="1"/>
  <c r="A1169" i="1"/>
  <c r="M1168" i="1"/>
  <c r="L1168" i="1"/>
  <c r="K1168" i="1"/>
  <c r="J1168" i="1"/>
  <c r="I1168" i="1"/>
  <c r="H1168" i="1"/>
  <c r="G1168" i="1"/>
  <c r="F1168" i="1"/>
  <c r="E1168" i="1"/>
  <c r="D1168" i="1"/>
  <c r="C1168" i="1"/>
  <c r="B1168" i="1"/>
  <c r="A1168" i="1"/>
  <c r="M1167" i="1"/>
  <c r="L1167" i="1"/>
  <c r="K1167" i="1"/>
  <c r="J1167" i="1"/>
  <c r="I1167" i="1"/>
  <c r="H1167" i="1"/>
  <c r="G1167" i="1"/>
  <c r="F1167" i="1"/>
  <c r="E1167" i="1"/>
  <c r="D1167" i="1"/>
  <c r="C1167" i="1"/>
  <c r="B1167" i="1"/>
  <c r="A1167" i="1"/>
  <c r="M1166" i="1"/>
  <c r="L1166" i="1"/>
  <c r="K1166" i="1"/>
  <c r="J1166" i="1"/>
  <c r="I1166" i="1"/>
  <c r="H1166" i="1"/>
  <c r="G1166" i="1"/>
  <c r="F1166" i="1"/>
  <c r="E1166" i="1"/>
  <c r="D1166" i="1"/>
  <c r="C1166" i="1"/>
  <c r="B1166" i="1"/>
  <c r="A1166" i="1"/>
  <c r="M1165" i="1"/>
  <c r="L1165" i="1"/>
  <c r="K1165" i="1"/>
  <c r="J1165" i="1"/>
  <c r="I1165" i="1"/>
  <c r="H1165" i="1"/>
  <c r="G1165" i="1"/>
  <c r="F1165" i="1"/>
  <c r="E1165" i="1"/>
  <c r="D1165" i="1"/>
  <c r="C1165" i="1"/>
  <c r="B1165" i="1"/>
  <c r="A1165" i="1"/>
  <c r="M1164" i="1"/>
  <c r="L1164" i="1"/>
  <c r="K1164" i="1"/>
  <c r="J1164" i="1"/>
  <c r="I1164" i="1"/>
  <c r="H1164" i="1"/>
  <c r="G1164" i="1"/>
  <c r="F1164" i="1"/>
  <c r="E1164" i="1"/>
  <c r="D1164" i="1"/>
  <c r="C1164" i="1"/>
  <c r="B1164" i="1"/>
  <c r="A1164" i="1"/>
  <c r="M1163" i="1"/>
  <c r="L1163" i="1"/>
  <c r="K1163" i="1"/>
  <c r="J1163" i="1"/>
  <c r="I1163" i="1"/>
  <c r="H1163" i="1"/>
  <c r="G1163" i="1"/>
  <c r="F1163" i="1"/>
  <c r="E1163" i="1"/>
  <c r="D1163" i="1"/>
  <c r="C1163" i="1"/>
  <c r="B1163" i="1"/>
  <c r="A1163" i="1"/>
  <c r="M1162" i="1"/>
  <c r="L1162" i="1"/>
  <c r="K1162" i="1"/>
  <c r="J1162" i="1"/>
  <c r="I1162" i="1"/>
  <c r="H1162" i="1"/>
  <c r="G1162" i="1"/>
  <c r="F1162" i="1"/>
  <c r="E1162" i="1"/>
  <c r="D1162" i="1"/>
  <c r="C1162" i="1"/>
  <c r="B1162" i="1"/>
  <c r="A1162" i="1"/>
  <c r="M1161" i="1"/>
  <c r="L1161" i="1"/>
  <c r="K1161" i="1"/>
  <c r="J1161" i="1"/>
  <c r="I1161" i="1"/>
  <c r="H1161" i="1"/>
  <c r="G1161" i="1"/>
  <c r="F1161" i="1"/>
  <c r="E1161" i="1"/>
  <c r="D1161" i="1"/>
  <c r="C1161" i="1"/>
  <c r="B1161" i="1"/>
  <c r="A1161" i="1"/>
  <c r="M1160" i="1"/>
  <c r="L1160" i="1"/>
  <c r="K1160" i="1"/>
  <c r="J1160" i="1"/>
  <c r="I1160" i="1"/>
  <c r="H1160" i="1"/>
  <c r="G1160" i="1"/>
  <c r="F1160" i="1"/>
  <c r="E1160" i="1"/>
  <c r="D1160" i="1"/>
  <c r="C1160" i="1"/>
  <c r="B1160" i="1"/>
  <c r="A1160" i="1"/>
  <c r="M1159" i="1"/>
  <c r="L1159" i="1"/>
  <c r="K1159" i="1"/>
  <c r="J1159" i="1"/>
  <c r="I1159" i="1"/>
  <c r="H1159" i="1"/>
  <c r="G1159" i="1"/>
  <c r="F1159" i="1"/>
  <c r="E1159" i="1"/>
  <c r="D1159" i="1"/>
  <c r="C1159" i="1"/>
  <c r="B1159" i="1"/>
  <c r="A1159" i="1"/>
  <c r="M1158" i="1"/>
  <c r="L1158" i="1"/>
  <c r="K1158" i="1"/>
  <c r="J1158" i="1"/>
  <c r="I1158" i="1"/>
  <c r="H1158" i="1"/>
  <c r="G1158" i="1"/>
  <c r="F1158" i="1"/>
  <c r="E1158" i="1"/>
  <c r="D1158" i="1"/>
  <c r="C1158" i="1"/>
  <c r="B1158" i="1"/>
  <c r="A1158" i="1"/>
  <c r="M1157" i="1"/>
  <c r="L1157" i="1"/>
  <c r="K1157" i="1"/>
  <c r="J1157" i="1"/>
  <c r="I1157" i="1"/>
  <c r="H1157" i="1"/>
  <c r="G1157" i="1"/>
  <c r="F1157" i="1"/>
  <c r="E1157" i="1"/>
  <c r="D1157" i="1"/>
  <c r="C1157" i="1"/>
  <c r="B1157" i="1"/>
  <c r="A1157" i="1"/>
  <c r="M1156" i="1"/>
  <c r="L1156" i="1"/>
  <c r="K1156" i="1"/>
  <c r="J1156" i="1"/>
  <c r="I1156" i="1"/>
  <c r="H1156" i="1"/>
  <c r="G1156" i="1"/>
  <c r="F1156" i="1"/>
  <c r="E1156" i="1"/>
  <c r="D1156" i="1"/>
  <c r="C1156" i="1"/>
  <c r="B1156" i="1"/>
  <c r="A1156" i="1"/>
  <c r="M1155" i="1"/>
  <c r="L1155" i="1"/>
  <c r="K1155" i="1"/>
  <c r="J1155" i="1"/>
  <c r="I1155" i="1"/>
  <c r="H1155" i="1"/>
  <c r="G1155" i="1"/>
  <c r="F1155" i="1"/>
  <c r="E1155" i="1"/>
  <c r="D1155" i="1"/>
  <c r="C1155" i="1"/>
  <c r="B1155" i="1"/>
  <c r="A1155" i="1"/>
  <c r="M1154" i="1"/>
  <c r="L1154" i="1"/>
  <c r="K1154" i="1"/>
  <c r="J1154" i="1"/>
  <c r="I1154" i="1"/>
  <c r="H1154" i="1"/>
  <c r="G1154" i="1"/>
  <c r="F1154" i="1"/>
  <c r="E1154" i="1"/>
  <c r="D1154" i="1"/>
  <c r="C1154" i="1"/>
  <c r="B1154" i="1"/>
  <c r="A1154" i="1"/>
  <c r="M1153" i="1"/>
  <c r="L1153" i="1"/>
  <c r="K1153" i="1"/>
  <c r="J1153" i="1"/>
  <c r="I1153" i="1"/>
  <c r="H1153" i="1"/>
  <c r="G1153" i="1"/>
  <c r="F1153" i="1"/>
  <c r="E1153" i="1"/>
  <c r="D1153" i="1"/>
  <c r="C1153" i="1"/>
  <c r="B1153" i="1"/>
  <c r="A1153" i="1"/>
  <c r="M1152" i="1"/>
  <c r="L1152" i="1"/>
  <c r="K1152" i="1"/>
  <c r="J1152" i="1"/>
  <c r="I1152" i="1"/>
  <c r="H1152" i="1"/>
  <c r="G1152" i="1"/>
  <c r="F1152" i="1"/>
  <c r="E1152" i="1"/>
  <c r="D1152" i="1"/>
  <c r="C1152" i="1"/>
  <c r="B1152" i="1"/>
  <c r="A1152" i="1"/>
  <c r="M1151" i="1"/>
  <c r="L1151" i="1"/>
  <c r="K1151" i="1"/>
  <c r="J1151" i="1"/>
  <c r="I1151" i="1"/>
  <c r="H1151" i="1"/>
  <c r="G1151" i="1"/>
  <c r="F1151" i="1"/>
  <c r="E1151" i="1"/>
  <c r="D1151" i="1"/>
  <c r="C1151" i="1"/>
  <c r="B1151" i="1"/>
  <c r="A1151" i="1"/>
  <c r="M1150" i="1"/>
  <c r="L1150" i="1"/>
  <c r="K1150" i="1"/>
  <c r="J1150" i="1"/>
  <c r="I1150" i="1"/>
  <c r="H1150" i="1"/>
  <c r="G1150" i="1"/>
  <c r="F1150" i="1"/>
  <c r="E1150" i="1"/>
  <c r="D1150" i="1"/>
  <c r="C1150" i="1"/>
  <c r="B1150" i="1"/>
  <c r="A1150" i="1"/>
  <c r="M1149" i="1"/>
  <c r="L1149" i="1"/>
  <c r="K1149" i="1"/>
  <c r="J1149" i="1"/>
  <c r="I1149" i="1"/>
  <c r="H1149" i="1"/>
  <c r="G1149" i="1"/>
  <c r="F1149" i="1"/>
  <c r="E1149" i="1"/>
  <c r="D1149" i="1"/>
  <c r="C1149" i="1"/>
  <c r="B1149" i="1"/>
  <c r="A1149" i="1"/>
  <c r="M1148" i="1"/>
  <c r="L1148" i="1"/>
  <c r="K1148" i="1"/>
  <c r="J1148" i="1"/>
  <c r="I1148" i="1"/>
  <c r="H1148" i="1"/>
  <c r="G1148" i="1"/>
  <c r="F1148" i="1"/>
  <c r="E1148" i="1"/>
  <c r="D1148" i="1"/>
  <c r="C1148" i="1"/>
  <c r="B1148" i="1"/>
  <c r="A1148" i="1"/>
  <c r="M1147" i="1"/>
  <c r="L1147" i="1"/>
  <c r="K1147" i="1"/>
  <c r="J1147" i="1"/>
  <c r="I1147" i="1"/>
  <c r="H1147" i="1"/>
  <c r="G1147" i="1"/>
  <c r="F1147" i="1"/>
  <c r="E1147" i="1"/>
  <c r="D1147" i="1"/>
  <c r="C1147" i="1"/>
  <c r="B1147" i="1"/>
  <c r="A1147" i="1"/>
  <c r="M1146" i="1"/>
  <c r="L1146" i="1"/>
  <c r="K1146" i="1"/>
  <c r="J1146" i="1"/>
  <c r="I1146" i="1"/>
  <c r="H1146" i="1"/>
  <c r="G1146" i="1"/>
  <c r="F1146" i="1"/>
  <c r="E1146" i="1"/>
  <c r="D1146" i="1"/>
  <c r="C1146" i="1"/>
  <c r="B1146" i="1"/>
  <c r="A1146" i="1"/>
  <c r="M1145" i="1"/>
  <c r="L1145" i="1"/>
  <c r="K1145" i="1"/>
  <c r="J1145" i="1"/>
  <c r="I1145" i="1"/>
  <c r="H1145" i="1"/>
  <c r="G1145" i="1"/>
  <c r="F1145" i="1"/>
  <c r="E1145" i="1"/>
  <c r="D1145" i="1"/>
  <c r="C1145" i="1"/>
  <c r="B1145" i="1"/>
  <c r="A1145" i="1"/>
  <c r="M1144" i="1"/>
  <c r="L1144" i="1"/>
  <c r="K1144" i="1"/>
  <c r="J1144" i="1"/>
  <c r="I1144" i="1"/>
  <c r="H1144" i="1"/>
  <c r="G1144" i="1"/>
  <c r="F1144" i="1"/>
  <c r="E1144" i="1"/>
  <c r="D1144" i="1"/>
  <c r="C1144" i="1"/>
  <c r="B1144" i="1"/>
  <c r="A1144" i="1"/>
  <c r="M1143" i="1"/>
  <c r="L1143" i="1"/>
  <c r="K1143" i="1"/>
  <c r="J1143" i="1"/>
  <c r="I1143" i="1"/>
  <c r="H1143" i="1"/>
  <c r="G1143" i="1"/>
  <c r="F1143" i="1"/>
  <c r="E1143" i="1"/>
  <c r="D1143" i="1"/>
  <c r="C1143" i="1"/>
  <c r="B1143" i="1"/>
  <c r="A1143" i="1"/>
  <c r="M1142" i="1"/>
  <c r="L1142" i="1"/>
  <c r="K1142" i="1"/>
  <c r="J1142" i="1"/>
  <c r="I1142" i="1"/>
  <c r="H1142" i="1"/>
  <c r="G1142" i="1"/>
  <c r="F1142" i="1"/>
  <c r="E1142" i="1"/>
  <c r="D1142" i="1"/>
  <c r="C1142" i="1"/>
  <c r="B1142" i="1"/>
  <c r="A1142" i="1"/>
  <c r="M1141" i="1"/>
  <c r="L1141" i="1"/>
  <c r="K1141" i="1"/>
  <c r="J1141" i="1"/>
  <c r="I1141" i="1"/>
  <c r="H1141" i="1"/>
  <c r="G1141" i="1"/>
  <c r="F1141" i="1"/>
  <c r="E1141" i="1"/>
  <c r="D1141" i="1"/>
  <c r="C1141" i="1"/>
  <c r="B1141" i="1"/>
  <c r="A1141" i="1"/>
  <c r="M1140" i="1"/>
  <c r="L1140" i="1"/>
  <c r="K1140" i="1"/>
  <c r="J1140" i="1"/>
  <c r="I1140" i="1"/>
  <c r="H1140" i="1"/>
  <c r="G1140" i="1"/>
  <c r="F1140" i="1"/>
  <c r="E1140" i="1"/>
  <c r="D1140" i="1"/>
  <c r="C1140" i="1"/>
  <c r="B1140" i="1"/>
  <c r="A1140" i="1"/>
  <c r="M1139" i="1"/>
  <c r="L1139" i="1"/>
  <c r="K1139" i="1"/>
  <c r="J1139" i="1"/>
  <c r="I1139" i="1"/>
  <c r="H1139" i="1"/>
  <c r="G1139" i="1"/>
  <c r="F1139" i="1"/>
  <c r="E1139" i="1"/>
  <c r="D1139" i="1"/>
  <c r="C1139" i="1"/>
  <c r="B1139" i="1"/>
  <c r="A1139" i="1"/>
  <c r="M1138" i="1"/>
  <c r="L1138" i="1"/>
  <c r="K1138" i="1"/>
  <c r="J1138" i="1"/>
  <c r="I1138" i="1"/>
  <c r="H1138" i="1"/>
  <c r="G1138" i="1"/>
  <c r="F1138" i="1"/>
  <c r="E1138" i="1"/>
  <c r="D1138" i="1"/>
  <c r="C1138" i="1"/>
  <c r="B1138" i="1"/>
  <c r="A1138" i="1"/>
  <c r="M1137" i="1"/>
  <c r="L1137" i="1"/>
  <c r="K1137" i="1"/>
  <c r="J1137" i="1"/>
  <c r="I1137" i="1"/>
  <c r="H1137" i="1"/>
  <c r="G1137" i="1"/>
  <c r="F1137" i="1"/>
  <c r="E1137" i="1"/>
  <c r="D1137" i="1"/>
  <c r="C1137" i="1"/>
  <c r="B1137" i="1"/>
  <c r="A1137" i="1"/>
  <c r="M1136" i="1"/>
  <c r="L1136" i="1"/>
  <c r="K1136" i="1"/>
  <c r="J1136" i="1"/>
  <c r="I1136" i="1"/>
  <c r="H1136" i="1"/>
  <c r="G1136" i="1"/>
  <c r="F1136" i="1"/>
  <c r="E1136" i="1"/>
  <c r="D1136" i="1"/>
  <c r="C1136" i="1"/>
  <c r="B1136" i="1"/>
  <c r="A1136" i="1"/>
  <c r="M1135" i="1"/>
  <c r="L1135" i="1"/>
  <c r="K1135" i="1"/>
  <c r="J1135" i="1"/>
  <c r="I1135" i="1"/>
  <c r="H1135" i="1"/>
  <c r="G1135" i="1"/>
  <c r="F1135" i="1"/>
  <c r="E1135" i="1"/>
  <c r="D1135" i="1"/>
  <c r="C1135" i="1"/>
  <c r="B1135" i="1"/>
  <c r="A1135" i="1"/>
  <c r="M1134" i="1"/>
  <c r="L1134" i="1"/>
  <c r="K1134" i="1"/>
  <c r="J1134" i="1"/>
  <c r="I1134" i="1"/>
  <c r="H1134" i="1"/>
  <c r="G1134" i="1"/>
  <c r="F1134" i="1"/>
  <c r="E1134" i="1"/>
  <c r="D1134" i="1"/>
  <c r="C1134" i="1"/>
  <c r="B1134" i="1"/>
  <c r="A1134" i="1"/>
  <c r="M1133" i="1"/>
  <c r="L1133" i="1"/>
  <c r="K1133" i="1"/>
  <c r="J1133" i="1"/>
  <c r="I1133" i="1"/>
  <c r="H1133" i="1"/>
  <c r="G1133" i="1"/>
  <c r="F1133" i="1"/>
  <c r="E1133" i="1"/>
  <c r="D1133" i="1"/>
  <c r="C1133" i="1"/>
  <c r="B1133" i="1"/>
  <c r="A1133" i="1"/>
  <c r="M1132" i="1"/>
  <c r="L1132" i="1"/>
  <c r="K1132" i="1"/>
  <c r="J1132" i="1"/>
  <c r="I1132" i="1"/>
  <c r="H1132" i="1"/>
  <c r="G1132" i="1"/>
  <c r="F1132" i="1"/>
  <c r="E1132" i="1"/>
  <c r="D1132" i="1"/>
  <c r="C1132" i="1"/>
  <c r="B1132" i="1"/>
  <c r="A1132" i="1"/>
  <c r="M1131" i="1"/>
  <c r="L1131" i="1"/>
  <c r="K1131" i="1"/>
  <c r="J1131" i="1"/>
  <c r="I1131" i="1"/>
  <c r="H1131" i="1"/>
  <c r="G1131" i="1"/>
  <c r="F1131" i="1"/>
  <c r="E1131" i="1"/>
  <c r="D1131" i="1"/>
  <c r="C1131" i="1"/>
  <c r="B1131" i="1"/>
  <c r="A1131" i="1"/>
  <c r="M1130" i="1"/>
  <c r="L1130" i="1"/>
  <c r="K1130" i="1"/>
  <c r="J1130" i="1"/>
  <c r="I1130" i="1"/>
  <c r="H1130" i="1"/>
  <c r="G1130" i="1"/>
  <c r="F1130" i="1"/>
  <c r="E1130" i="1"/>
  <c r="D1130" i="1"/>
  <c r="C1130" i="1"/>
  <c r="B1130" i="1"/>
  <c r="A1130" i="1"/>
  <c r="M1129" i="1"/>
  <c r="L1129" i="1"/>
  <c r="K1129" i="1"/>
  <c r="J1129" i="1"/>
  <c r="I1129" i="1"/>
  <c r="H1129" i="1"/>
  <c r="G1129" i="1"/>
  <c r="F1129" i="1"/>
  <c r="E1129" i="1"/>
  <c r="D1129" i="1"/>
  <c r="C1129" i="1"/>
  <c r="B1129" i="1"/>
  <c r="A1129" i="1"/>
  <c r="M1128" i="1"/>
  <c r="L1128" i="1"/>
  <c r="K1128" i="1"/>
  <c r="J1128" i="1"/>
  <c r="I1128" i="1"/>
  <c r="H1128" i="1"/>
  <c r="G1128" i="1"/>
  <c r="F1128" i="1"/>
  <c r="E1128" i="1"/>
  <c r="D1128" i="1"/>
  <c r="C1128" i="1"/>
  <c r="B1128" i="1"/>
  <c r="A1128" i="1"/>
  <c r="M1127" i="1"/>
  <c r="L1127" i="1"/>
  <c r="K1127" i="1"/>
  <c r="J1127" i="1"/>
  <c r="I1127" i="1"/>
  <c r="H1127" i="1"/>
  <c r="G1127" i="1"/>
  <c r="F1127" i="1"/>
  <c r="E1127" i="1"/>
  <c r="D1127" i="1"/>
  <c r="C1127" i="1"/>
  <c r="B1127" i="1"/>
  <c r="A1127" i="1"/>
  <c r="M1126" i="1"/>
  <c r="L1126" i="1"/>
  <c r="K1126" i="1"/>
  <c r="J1126" i="1"/>
  <c r="I1126" i="1"/>
  <c r="H1126" i="1"/>
  <c r="G1126" i="1"/>
  <c r="F1126" i="1"/>
  <c r="E1126" i="1"/>
  <c r="D1126" i="1"/>
  <c r="C1126" i="1"/>
  <c r="B1126" i="1"/>
  <c r="A1126" i="1"/>
  <c r="M1125" i="1"/>
  <c r="L1125" i="1"/>
  <c r="K1125" i="1"/>
  <c r="J1125" i="1"/>
  <c r="I1125" i="1"/>
  <c r="H1125" i="1"/>
  <c r="G1125" i="1"/>
  <c r="F1125" i="1"/>
  <c r="E1125" i="1"/>
  <c r="D1125" i="1"/>
  <c r="C1125" i="1"/>
  <c r="B1125" i="1"/>
  <c r="A1125" i="1"/>
  <c r="M1124" i="1"/>
  <c r="L1124" i="1"/>
  <c r="K1124" i="1"/>
  <c r="J1124" i="1"/>
  <c r="I1124" i="1"/>
  <c r="H1124" i="1"/>
  <c r="G1124" i="1"/>
  <c r="F1124" i="1"/>
  <c r="E1124" i="1"/>
  <c r="D1124" i="1"/>
  <c r="C1124" i="1"/>
  <c r="B1124" i="1"/>
  <c r="A1124" i="1"/>
  <c r="M1123" i="1"/>
  <c r="L1123" i="1"/>
  <c r="K1123" i="1"/>
  <c r="J1123" i="1"/>
  <c r="I1123" i="1"/>
  <c r="H1123" i="1"/>
  <c r="G1123" i="1"/>
  <c r="F1123" i="1"/>
  <c r="E1123" i="1"/>
  <c r="D1123" i="1"/>
  <c r="C1123" i="1"/>
  <c r="B1123" i="1"/>
  <c r="A1123" i="1"/>
  <c r="M1122" i="1"/>
  <c r="L1122" i="1"/>
  <c r="K1122" i="1"/>
  <c r="J1122" i="1"/>
  <c r="I1122" i="1"/>
  <c r="H1122" i="1"/>
  <c r="G1122" i="1"/>
  <c r="F1122" i="1"/>
  <c r="E1122" i="1"/>
  <c r="D1122" i="1"/>
  <c r="C1122" i="1"/>
  <c r="B1122" i="1"/>
  <c r="A1122" i="1"/>
  <c r="M1121" i="1"/>
  <c r="L1121" i="1"/>
  <c r="K1121" i="1"/>
  <c r="J1121" i="1"/>
  <c r="I1121" i="1"/>
  <c r="H1121" i="1"/>
  <c r="G1121" i="1"/>
  <c r="F1121" i="1"/>
  <c r="E1121" i="1"/>
  <c r="D1121" i="1"/>
  <c r="C1121" i="1"/>
  <c r="B1121" i="1"/>
  <c r="A1121" i="1"/>
  <c r="M1120" i="1"/>
  <c r="L1120" i="1"/>
  <c r="K1120" i="1"/>
  <c r="J1120" i="1"/>
  <c r="I1120" i="1"/>
  <c r="H1120" i="1"/>
  <c r="G1120" i="1"/>
  <c r="F1120" i="1"/>
  <c r="E1120" i="1"/>
  <c r="D1120" i="1"/>
  <c r="C1120" i="1"/>
  <c r="B1120" i="1"/>
  <c r="A1120" i="1"/>
  <c r="M1119" i="1"/>
  <c r="L1119" i="1"/>
  <c r="K1119" i="1"/>
  <c r="J1119" i="1"/>
  <c r="I1119" i="1"/>
  <c r="H1119" i="1"/>
  <c r="G1119" i="1"/>
  <c r="F1119" i="1"/>
  <c r="E1119" i="1"/>
  <c r="D1119" i="1"/>
  <c r="C1119" i="1"/>
  <c r="B1119" i="1"/>
  <c r="A1119" i="1"/>
  <c r="M1118" i="1"/>
  <c r="L1118" i="1"/>
  <c r="K1118" i="1"/>
  <c r="J1118" i="1"/>
  <c r="I1118" i="1"/>
  <c r="H1118" i="1"/>
  <c r="G1118" i="1"/>
  <c r="F1118" i="1"/>
  <c r="E1118" i="1"/>
  <c r="D1118" i="1"/>
  <c r="C1118" i="1"/>
  <c r="B1118" i="1"/>
  <c r="A1118" i="1"/>
  <c r="M1117" i="1"/>
  <c r="L1117" i="1"/>
  <c r="K1117" i="1"/>
  <c r="J1117" i="1"/>
  <c r="I1117" i="1"/>
  <c r="H1117" i="1"/>
  <c r="G1117" i="1"/>
  <c r="F1117" i="1"/>
  <c r="E1117" i="1"/>
  <c r="D1117" i="1"/>
  <c r="C1117" i="1"/>
  <c r="B1117" i="1"/>
  <c r="A1117" i="1"/>
  <c r="M1116" i="1"/>
  <c r="L1116" i="1"/>
  <c r="K1116" i="1"/>
  <c r="J1116" i="1"/>
  <c r="I1116" i="1"/>
  <c r="H1116" i="1"/>
  <c r="G1116" i="1"/>
  <c r="F1116" i="1"/>
  <c r="E1116" i="1"/>
  <c r="D1116" i="1"/>
  <c r="C1116" i="1"/>
  <c r="B1116" i="1"/>
  <c r="A1116" i="1"/>
  <c r="M1115" i="1"/>
  <c r="L1115" i="1"/>
  <c r="K1115" i="1"/>
  <c r="J1115" i="1"/>
  <c r="I1115" i="1"/>
  <c r="H1115" i="1"/>
  <c r="G1115" i="1"/>
  <c r="F1115" i="1"/>
  <c r="E1115" i="1"/>
  <c r="D1115" i="1"/>
  <c r="C1115" i="1"/>
  <c r="B1115" i="1"/>
  <c r="A1115" i="1"/>
  <c r="M1114" i="1"/>
  <c r="L1114" i="1"/>
  <c r="K1114" i="1"/>
  <c r="J1114" i="1"/>
  <c r="I1114" i="1"/>
  <c r="H1114" i="1"/>
  <c r="G1114" i="1"/>
  <c r="F1114" i="1"/>
  <c r="E1114" i="1"/>
  <c r="D1114" i="1"/>
  <c r="C1114" i="1"/>
  <c r="B1114" i="1"/>
  <c r="A1114" i="1"/>
  <c r="M1113" i="1"/>
  <c r="L1113" i="1"/>
  <c r="K1113" i="1"/>
  <c r="J1113" i="1"/>
  <c r="I1113" i="1"/>
  <c r="H1113" i="1"/>
  <c r="G1113" i="1"/>
  <c r="F1113" i="1"/>
  <c r="E1113" i="1"/>
  <c r="D1113" i="1"/>
  <c r="C1113" i="1"/>
  <c r="B1113" i="1"/>
  <c r="A1113" i="1"/>
  <c r="M1112" i="1"/>
  <c r="L1112" i="1"/>
  <c r="K1112" i="1"/>
  <c r="J1112" i="1"/>
  <c r="I1112" i="1"/>
  <c r="H1112" i="1"/>
  <c r="G1112" i="1"/>
  <c r="F1112" i="1"/>
  <c r="E1112" i="1"/>
  <c r="D1112" i="1"/>
  <c r="C1112" i="1"/>
  <c r="B1112" i="1"/>
  <c r="A1112" i="1"/>
  <c r="M1111" i="1"/>
  <c r="L1111" i="1"/>
  <c r="K1111" i="1"/>
  <c r="J1111" i="1"/>
  <c r="I1111" i="1"/>
  <c r="H1111" i="1"/>
  <c r="G1111" i="1"/>
  <c r="F1111" i="1"/>
  <c r="E1111" i="1"/>
  <c r="D1111" i="1"/>
  <c r="C1111" i="1"/>
  <c r="B1111" i="1"/>
  <c r="A1111" i="1"/>
  <c r="M1110" i="1"/>
  <c r="L1110" i="1"/>
  <c r="K1110" i="1"/>
  <c r="J1110" i="1"/>
  <c r="I1110" i="1"/>
  <c r="H1110" i="1"/>
  <c r="G1110" i="1"/>
  <c r="F1110" i="1"/>
  <c r="E1110" i="1"/>
  <c r="D1110" i="1"/>
  <c r="C1110" i="1"/>
  <c r="B1110" i="1"/>
  <c r="A1110" i="1"/>
  <c r="M1109" i="1"/>
  <c r="L1109" i="1"/>
  <c r="K1109" i="1"/>
  <c r="J1109" i="1"/>
  <c r="I1109" i="1"/>
  <c r="H1109" i="1"/>
  <c r="G1109" i="1"/>
  <c r="F1109" i="1"/>
  <c r="E1109" i="1"/>
  <c r="D1109" i="1"/>
  <c r="C1109" i="1"/>
  <c r="B1109" i="1"/>
  <c r="A1109" i="1"/>
  <c r="M1108" i="1"/>
  <c r="L1108" i="1"/>
  <c r="K1108" i="1"/>
  <c r="J1108" i="1"/>
  <c r="I1108" i="1"/>
  <c r="H1108" i="1"/>
  <c r="G1108" i="1"/>
  <c r="F1108" i="1"/>
  <c r="E1108" i="1"/>
  <c r="D1108" i="1"/>
  <c r="C1108" i="1"/>
  <c r="B1108" i="1"/>
  <c r="A1108" i="1"/>
  <c r="M1107" i="1"/>
  <c r="L1107" i="1"/>
  <c r="K1107" i="1"/>
  <c r="J1107" i="1"/>
  <c r="I1107" i="1"/>
  <c r="H1107" i="1"/>
  <c r="G1107" i="1"/>
  <c r="F1107" i="1"/>
  <c r="E1107" i="1"/>
  <c r="D1107" i="1"/>
  <c r="C1107" i="1"/>
  <c r="B1107" i="1"/>
  <c r="A1107" i="1"/>
  <c r="M1106" i="1"/>
  <c r="L1106" i="1"/>
  <c r="K1106" i="1"/>
  <c r="J1106" i="1"/>
  <c r="I1106" i="1"/>
  <c r="H1106" i="1"/>
  <c r="G1106" i="1"/>
  <c r="F1106" i="1"/>
  <c r="E1106" i="1"/>
  <c r="D1106" i="1"/>
  <c r="C1106" i="1"/>
  <c r="B1106" i="1"/>
  <c r="A1106" i="1"/>
  <c r="M1105" i="1"/>
  <c r="L1105" i="1"/>
  <c r="K1105" i="1"/>
  <c r="J1105" i="1"/>
  <c r="I1105" i="1"/>
  <c r="H1105" i="1"/>
  <c r="G1105" i="1"/>
  <c r="F1105" i="1"/>
  <c r="E1105" i="1"/>
  <c r="D1105" i="1"/>
  <c r="C1105" i="1"/>
  <c r="B1105" i="1"/>
  <c r="A1105" i="1"/>
  <c r="M1104" i="1"/>
  <c r="L1104" i="1"/>
  <c r="K1104" i="1"/>
  <c r="J1104" i="1"/>
  <c r="I1104" i="1"/>
  <c r="H1104" i="1"/>
  <c r="G1104" i="1"/>
  <c r="F1104" i="1"/>
  <c r="E1104" i="1"/>
  <c r="D1104" i="1"/>
  <c r="C1104" i="1"/>
  <c r="B1104" i="1"/>
  <c r="A1104" i="1"/>
  <c r="M1103" i="1"/>
  <c r="L1103" i="1"/>
  <c r="K1103" i="1"/>
  <c r="J1103" i="1"/>
  <c r="I1103" i="1"/>
  <c r="H1103" i="1"/>
  <c r="G1103" i="1"/>
  <c r="F1103" i="1"/>
  <c r="E1103" i="1"/>
  <c r="D1103" i="1"/>
  <c r="C1103" i="1"/>
  <c r="B1103" i="1"/>
  <c r="A1103" i="1"/>
  <c r="M1102" i="1"/>
  <c r="L1102" i="1"/>
  <c r="K1102" i="1"/>
  <c r="J1102" i="1"/>
  <c r="I1102" i="1"/>
  <c r="H1102" i="1"/>
  <c r="G1102" i="1"/>
  <c r="F1102" i="1"/>
  <c r="E1102" i="1"/>
  <c r="D1102" i="1"/>
  <c r="C1102" i="1"/>
  <c r="B1102" i="1"/>
  <c r="A1102" i="1"/>
  <c r="M1101" i="1"/>
  <c r="L1101" i="1"/>
  <c r="K1101" i="1"/>
  <c r="J1101" i="1"/>
  <c r="I1101" i="1"/>
  <c r="H1101" i="1"/>
  <c r="G1101" i="1"/>
  <c r="F1101" i="1"/>
  <c r="E1101" i="1"/>
  <c r="D1101" i="1"/>
  <c r="C1101" i="1"/>
  <c r="B1101" i="1"/>
  <c r="A1101" i="1"/>
  <c r="M1100" i="1"/>
  <c r="L1100" i="1"/>
  <c r="K1100" i="1"/>
  <c r="J1100" i="1"/>
  <c r="I1100" i="1"/>
  <c r="H1100" i="1"/>
  <c r="G1100" i="1"/>
  <c r="F1100" i="1"/>
  <c r="E1100" i="1"/>
  <c r="D1100" i="1"/>
  <c r="C1100" i="1"/>
  <c r="B1100" i="1"/>
  <c r="A1100" i="1"/>
  <c r="M1099" i="1"/>
  <c r="L1099" i="1"/>
  <c r="K1099" i="1"/>
  <c r="J1099" i="1"/>
  <c r="I1099" i="1"/>
  <c r="H1099" i="1"/>
  <c r="G1099" i="1"/>
  <c r="F1099" i="1"/>
  <c r="E1099" i="1"/>
  <c r="D1099" i="1"/>
  <c r="C1099" i="1"/>
  <c r="B1099" i="1"/>
  <c r="A1099" i="1"/>
  <c r="M1098" i="1"/>
  <c r="L1098" i="1"/>
  <c r="K1098" i="1"/>
  <c r="J1098" i="1"/>
  <c r="I1098" i="1"/>
  <c r="H1098" i="1"/>
  <c r="G1098" i="1"/>
  <c r="F1098" i="1"/>
  <c r="E1098" i="1"/>
  <c r="D1098" i="1"/>
  <c r="C1098" i="1"/>
  <c r="B1098" i="1"/>
  <c r="A1098" i="1"/>
  <c r="M1097" i="1"/>
  <c r="L1097" i="1"/>
  <c r="K1097" i="1"/>
  <c r="J1097" i="1"/>
  <c r="I1097" i="1"/>
  <c r="H1097" i="1"/>
  <c r="G1097" i="1"/>
  <c r="F1097" i="1"/>
  <c r="E1097" i="1"/>
  <c r="D1097" i="1"/>
  <c r="C1097" i="1"/>
  <c r="B1097" i="1"/>
  <c r="A1097" i="1"/>
  <c r="M1096" i="1"/>
  <c r="L1096" i="1"/>
  <c r="K1096" i="1"/>
  <c r="J1096" i="1"/>
  <c r="I1096" i="1"/>
  <c r="H1096" i="1"/>
  <c r="G1096" i="1"/>
  <c r="F1096" i="1"/>
  <c r="E1096" i="1"/>
  <c r="D1096" i="1"/>
  <c r="C1096" i="1"/>
  <c r="B1096" i="1"/>
  <c r="A1096" i="1"/>
  <c r="M1095" i="1"/>
  <c r="L1095" i="1"/>
  <c r="K1095" i="1"/>
  <c r="J1095" i="1"/>
  <c r="I1095" i="1"/>
  <c r="H1095" i="1"/>
  <c r="G1095" i="1"/>
  <c r="F1095" i="1"/>
  <c r="E1095" i="1"/>
  <c r="D1095" i="1"/>
  <c r="C1095" i="1"/>
  <c r="B1095" i="1"/>
  <c r="A1095" i="1"/>
  <c r="M1094" i="1"/>
  <c r="L1094" i="1"/>
  <c r="K1094" i="1"/>
  <c r="J1094" i="1"/>
  <c r="I1094" i="1"/>
  <c r="H1094" i="1"/>
  <c r="G1094" i="1"/>
  <c r="F1094" i="1"/>
  <c r="E1094" i="1"/>
  <c r="D1094" i="1"/>
  <c r="C1094" i="1"/>
  <c r="B1094" i="1"/>
  <c r="A1094" i="1"/>
  <c r="M1093" i="1"/>
  <c r="L1093" i="1"/>
  <c r="K1093" i="1"/>
  <c r="J1093" i="1"/>
  <c r="I1093" i="1"/>
  <c r="H1093" i="1"/>
  <c r="G1093" i="1"/>
  <c r="F1093" i="1"/>
  <c r="E1093" i="1"/>
  <c r="D1093" i="1"/>
  <c r="C1093" i="1"/>
  <c r="B1093" i="1"/>
  <c r="A1093" i="1"/>
  <c r="M1092" i="1"/>
  <c r="L1092" i="1"/>
  <c r="K1092" i="1"/>
  <c r="J1092" i="1"/>
  <c r="I1092" i="1"/>
  <c r="H1092" i="1"/>
  <c r="G1092" i="1"/>
  <c r="F1092" i="1"/>
  <c r="E1092" i="1"/>
  <c r="D1092" i="1"/>
  <c r="C1092" i="1"/>
  <c r="B1092" i="1"/>
  <c r="A1092" i="1"/>
  <c r="M1091" i="1"/>
  <c r="L1091" i="1"/>
  <c r="K1091" i="1"/>
  <c r="J1091" i="1"/>
  <c r="I1091" i="1"/>
  <c r="H1091" i="1"/>
  <c r="G1091" i="1"/>
  <c r="F1091" i="1"/>
  <c r="E1091" i="1"/>
  <c r="D1091" i="1"/>
  <c r="C1091" i="1"/>
  <c r="B1091" i="1"/>
  <c r="A1091" i="1"/>
  <c r="M1090" i="1"/>
  <c r="L1090" i="1"/>
  <c r="K1090" i="1"/>
  <c r="J1090" i="1"/>
  <c r="I1090" i="1"/>
  <c r="H1090" i="1"/>
  <c r="G1090" i="1"/>
  <c r="F1090" i="1"/>
  <c r="E1090" i="1"/>
  <c r="D1090" i="1"/>
  <c r="C1090" i="1"/>
  <c r="B1090" i="1"/>
  <c r="A1090" i="1"/>
  <c r="M1089" i="1"/>
  <c r="L1089" i="1"/>
  <c r="K1089" i="1"/>
  <c r="J1089" i="1"/>
  <c r="I1089" i="1"/>
  <c r="H1089" i="1"/>
  <c r="G1089" i="1"/>
  <c r="F1089" i="1"/>
  <c r="E1089" i="1"/>
  <c r="D1089" i="1"/>
  <c r="C1089" i="1"/>
  <c r="B1089" i="1"/>
  <c r="A1089" i="1"/>
  <c r="M1088" i="1"/>
  <c r="L1088" i="1"/>
  <c r="K1088" i="1"/>
  <c r="J1088" i="1"/>
  <c r="I1088" i="1"/>
  <c r="H1088" i="1"/>
  <c r="G1088" i="1"/>
  <c r="F1088" i="1"/>
  <c r="E1088" i="1"/>
  <c r="D1088" i="1"/>
  <c r="C1088" i="1"/>
  <c r="B1088" i="1"/>
  <c r="A1088" i="1"/>
  <c r="M1087" i="1"/>
  <c r="L1087" i="1"/>
  <c r="K1087" i="1"/>
  <c r="J1087" i="1"/>
  <c r="I1087" i="1"/>
  <c r="H1087" i="1"/>
  <c r="G1087" i="1"/>
  <c r="F1087" i="1"/>
  <c r="E1087" i="1"/>
  <c r="D1087" i="1"/>
  <c r="C1087" i="1"/>
  <c r="B1087" i="1"/>
  <c r="A1087" i="1"/>
  <c r="M1086" i="1"/>
  <c r="L1086" i="1"/>
  <c r="K1086" i="1"/>
  <c r="J1086" i="1"/>
  <c r="I1086" i="1"/>
  <c r="H1086" i="1"/>
  <c r="G1086" i="1"/>
  <c r="F1086" i="1"/>
  <c r="E1086" i="1"/>
  <c r="D1086" i="1"/>
  <c r="C1086" i="1"/>
  <c r="B1086" i="1"/>
  <c r="A1086" i="1"/>
  <c r="M1085" i="1"/>
  <c r="L1085" i="1"/>
  <c r="K1085" i="1"/>
  <c r="J1085" i="1"/>
  <c r="I1085" i="1"/>
  <c r="H1085" i="1"/>
  <c r="G1085" i="1"/>
  <c r="F1085" i="1"/>
  <c r="E1085" i="1"/>
  <c r="D1085" i="1"/>
  <c r="C1085" i="1"/>
  <c r="B1085" i="1"/>
  <c r="A1085" i="1"/>
  <c r="M1084" i="1"/>
  <c r="L1084" i="1"/>
  <c r="K1084" i="1"/>
  <c r="J1084" i="1"/>
  <c r="I1084" i="1"/>
  <c r="H1084" i="1"/>
  <c r="G1084" i="1"/>
  <c r="F1084" i="1"/>
  <c r="E1084" i="1"/>
  <c r="D1084" i="1"/>
  <c r="C1084" i="1"/>
  <c r="B1084" i="1"/>
  <c r="A1084" i="1"/>
  <c r="M1083" i="1"/>
  <c r="L1083" i="1"/>
  <c r="K1083" i="1"/>
  <c r="J1083" i="1"/>
  <c r="I1083" i="1"/>
  <c r="H1083" i="1"/>
  <c r="G1083" i="1"/>
  <c r="F1083" i="1"/>
  <c r="E1083" i="1"/>
  <c r="D1083" i="1"/>
  <c r="C1083" i="1"/>
  <c r="B1083" i="1"/>
  <c r="A1083" i="1"/>
  <c r="M1082" i="1"/>
  <c r="L1082" i="1"/>
  <c r="K1082" i="1"/>
  <c r="J1082" i="1"/>
  <c r="I1082" i="1"/>
  <c r="H1082" i="1"/>
  <c r="G1082" i="1"/>
  <c r="F1082" i="1"/>
  <c r="E1082" i="1"/>
  <c r="D1082" i="1"/>
  <c r="C1082" i="1"/>
  <c r="B1082" i="1"/>
  <c r="A1082" i="1"/>
  <c r="M1081" i="1"/>
  <c r="L1081" i="1"/>
  <c r="K1081" i="1"/>
  <c r="J1081" i="1"/>
  <c r="I1081" i="1"/>
  <c r="H1081" i="1"/>
  <c r="G1081" i="1"/>
  <c r="F1081" i="1"/>
  <c r="E1081" i="1"/>
  <c r="D1081" i="1"/>
  <c r="C1081" i="1"/>
  <c r="B1081" i="1"/>
  <c r="A1081" i="1"/>
  <c r="M1080" i="1"/>
  <c r="L1080" i="1"/>
  <c r="K1080" i="1"/>
  <c r="J1080" i="1"/>
  <c r="I1080" i="1"/>
  <c r="H1080" i="1"/>
  <c r="G1080" i="1"/>
  <c r="F1080" i="1"/>
  <c r="E1080" i="1"/>
  <c r="D1080" i="1"/>
  <c r="C1080" i="1"/>
  <c r="B1080" i="1"/>
  <c r="A1080" i="1"/>
  <c r="M1079" i="1"/>
  <c r="L1079" i="1"/>
  <c r="K1079" i="1"/>
  <c r="J1079" i="1"/>
  <c r="I1079" i="1"/>
  <c r="H1079" i="1"/>
  <c r="G1079" i="1"/>
  <c r="F1079" i="1"/>
  <c r="E1079" i="1"/>
  <c r="D1079" i="1"/>
  <c r="C1079" i="1"/>
  <c r="B1079" i="1"/>
  <c r="A1079" i="1"/>
  <c r="M1078" i="1"/>
  <c r="L1078" i="1"/>
  <c r="K1078" i="1"/>
  <c r="J1078" i="1"/>
  <c r="I1078" i="1"/>
  <c r="H1078" i="1"/>
  <c r="G1078" i="1"/>
  <c r="F1078" i="1"/>
  <c r="E1078" i="1"/>
  <c r="D1078" i="1"/>
  <c r="C1078" i="1"/>
  <c r="B1078" i="1"/>
  <c r="A1078" i="1"/>
  <c r="M1077" i="1"/>
  <c r="L1077" i="1"/>
  <c r="K1077" i="1"/>
  <c r="J1077" i="1"/>
  <c r="I1077" i="1"/>
  <c r="H1077" i="1"/>
  <c r="G1077" i="1"/>
  <c r="F1077" i="1"/>
  <c r="E1077" i="1"/>
  <c r="D1077" i="1"/>
  <c r="C1077" i="1"/>
  <c r="B1077" i="1"/>
  <c r="A1077" i="1"/>
  <c r="M1076" i="1"/>
  <c r="L1076" i="1"/>
  <c r="K1076" i="1"/>
  <c r="J1076" i="1"/>
  <c r="I1076" i="1"/>
  <c r="H1076" i="1"/>
  <c r="G1076" i="1"/>
  <c r="F1076" i="1"/>
  <c r="E1076" i="1"/>
  <c r="D1076" i="1"/>
  <c r="C1076" i="1"/>
  <c r="B1076" i="1"/>
  <c r="A1076" i="1"/>
  <c r="M1075" i="1"/>
  <c r="L1075" i="1"/>
  <c r="K1075" i="1"/>
  <c r="J1075" i="1"/>
  <c r="I1075" i="1"/>
  <c r="H1075" i="1"/>
  <c r="G1075" i="1"/>
  <c r="F1075" i="1"/>
  <c r="E1075" i="1"/>
  <c r="D1075" i="1"/>
  <c r="C1075" i="1"/>
  <c r="B1075" i="1"/>
  <c r="A1075" i="1"/>
  <c r="M1074" i="1"/>
  <c r="L1074" i="1"/>
  <c r="K1074" i="1"/>
  <c r="J1074" i="1"/>
  <c r="I1074" i="1"/>
  <c r="H1074" i="1"/>
  <c r="G1074" i="1"/>
  <c r="F1074" i="1"/>
  <c r="E1074" i="1"/>
  <c r="D1074" i="1"/>
  <c r="C1074" i="1"/>
  <c r="B1074" i="1"/>
  <c r="A1074" i="1"/>
  <c r="M1073" i="1"/>
  <c r="L1073" i="1"/>
  <c r="K1073" i="1"/>
  <c r="J1073" i="1"/>
  <c r="I1073" i="1"/>
  <c r="H1073" i="1"/>
  <c r="G1073" i="1"/>
  <c r="F1073" i="1"/>
  <c r="E1073" i="1"/>
  <c r="D1073" i="1"/>
  <c r="C1073" i="1"/>
  <c r="B1073" i="1"/>
  <c r="A1073" i="1"/>
  <c r="M1072" i="1"/>
  <c r="L1072" i="1"/>
  <c r="K1072" i="1"/>
  <c r="J1072" i="1"/>
  <c r="I1072" i="1"/>
  <c r="H1072" i="1"/>
  <c r="G1072" i="1"/>
  <c r="F1072" i="1"/>
  <c r="E1072" i="1"/>
  <c r="D1072" i="1"/>
  <c r="C1072" i="1"/>
  <c r="B1072" i="1"/>
  <c r="A1072" i="1"/>
  <c r="M1071" i="1"/>
  <c r="L1071" i="1"/>
  <c r="K1071" i="1"/>
  <c r="J1071" i="1"/>
  <c r="I1071" i="1"/>
  <c r="H1071" i="1"/>
  <c r="G1071" i="1"/>
  <c r="F1071" i="1"/>
  <c r="E1071" i="1"/>
  <c r="D1071" i="1"/>
  <c r="C1071" i="1"/>
  <c r="B1071" i="1"/>
  <c r="A1071" i="1"/>
  <c r="M1070" i="1"/>
  <c r="L1070" i="1"/>
  <c r="K1070" i="1"/>
  <c r="J1070" i="1"/>
  <c r="I1070" i="1"/>
  <c r="H1070" i="1"/>
  <c r="G1070" i="1"/>
  <c r="F1070" i="1"/>
  <c r="E1070" i="1"/>
  <c r="D1070" i="1"/>
  <c r="C1070" i="1"/>
  <c r="B1070" i="1"/>
  <c r="A1070" i="1"/>
  <c r="M1069" i="1"/>
  <c r="L1069" i="1"/>
  <c r="K1069" i="1"/>
  <c r="J1069" i="1"/>
  <c r="I1069" i="1"/>
  <c r="H1069" i="1"/>
  <c r="G1069" i="1"/>
  <c r="F1069" i="1"/>
  <c r="E1069" i="1"/>
  <c r="D1069" i="1"/>
  <c r="C1069" i="1"/>
  <c r="B1069" i="1"/>
  <c r="A1069" i="1"/>
  <c r="M1068" i="1"/>
  <c r="L1068" i="1"/>
  <c r="K1068" i="1"/>
  <c r="J1068" i="1"/>
  <c r="I1068" i="1"/>
  <c r="H1068" i="1"/>
  <c r="G1068" i="1"/>
  <c r="F1068" i="1"/>
  <c r="E1068" i="1"/>
  <c r="D1068" i="1"/>
  <c r="C1068" i="1"/>
  <c r="B1068" i="1"/>
  <c r="A1068" i="1"/>
  <c r="M1067" i="1"/>
  <c r="L1067" i="1"/>
  <c r="K1067" i="1"/>
  <c r="J1067" i="1"/>
  <c r="I1067" i="1"/>
  <c r="H1067" i="1"/>
  <c r="G1067" i="1"/>
  <c r="F1067" i="1"/>
  <c r="E1067" i="1"/>
  <c r="D1067" i="1"/>
  <c r="C1067" i="1"/>
  <c r="B1067" i="1"/>
  <c r="A1067" i="1"/>
  <c r="M1066" i="1"/>
  <c r="L1066" i="1"/>
  <c r="K1066" i="1"/>
  <c r="J1066" i="1"/>
  <c r="I1066" i="1"/>
  <c r="H1066" i="1"/>
  <c r="G1066" i="1"/>
  <c r="F1066" i="1"/>
  <c r="E1066" i="1"/>
  <c r="D1066" i="1"/>
  <c r="C1066" i="1"/>
  <c r="B1066" i="1"/>
  <c r="A1066" i="1"/>
  <c r="M1065" i="1"/>
  <c r="L1065" i="1"/>
  <c r="K1065" i="1"/>
  <c r="J1065" i="1"/>
  <c r="I1065" i="1"/>
  <c r="H1065" i="1"/>
  <c r="G1065" i="1"/>
  <c r="F1065" i="1"/>
  <c r="E1065" i="1"/>
  <c r="D1065" i="1"/>
  <c r="C1065" i="1"/>
  <c r="B1065" i="1"/>
  <c r="A1065" i="1"/>
  <c r="M1064" i="1"/>
  <c r="L1064" i="1"/>
  <c r="K1064" i="1"/>
  <c r="J1064" i="1"/>
  <c r="I1064" i="1"/>
  <c r="H1064" i="1"/>
  <c r="G1064" i="1"/>
  <c r="F1064" i="1"/>
  <c r="E1064" i="1"/>
  <c r="D1064" i="1"/>
  <c r="C1064" i="1"/>
  <c r="B1064" i="1"/>
  <c r="A1064" i="1"/>
  <c r="M1063" i="1"/>
  <c r="L1063" i="1"/>
  <c r="K1063" i="1"/>
  <c r="J1063" i="1"/>
  <c r="I1063" i="1"/>
  <c r="H1063" i="1"/>
  <c r="G1063" i="1"/>
  <c r="F1063" i="1"/>
  <c r="E1063" i="1"/>
  <c r="D1063" i="1"/>
  <c r="C1063" i="1"/>
  <c r="B1063" i="1"/>
  <c r="A1063" i="1"/>
  <c r="M1062" i="1"/>
  <c r="L1062" i="1"/>
  <c r="K1062" i="1"/>
  <c r="J1062" i="1"/>
  <c r="I1062" i="1"/>
  <c r="H1062" i="1"/>
  <c r="G1062" i="1"/>
  <c r="F1062" i="1"/>
  <c r="E1062" i="1"/>
  <c r="D1062" i="1"/>
  <c r="C1062" i="1"/>
  <c r="B1062" i="1"/>
  <c r="A1062" i="1"/>
  <c r="M1061" i="1"/>
  <c r="L1061" i="1"/>
  <c r="K1061" i="1"/>
  <c r="J1061" i="1"/>
  <c r="I1061" i="1"/>
  <c r="H1061" i="1"/>
  <c r="G1061" i="1"/>
  <c r="F1061" i="1"/>
  <c r="E1061" i="1"/>
  <c r="D1061" i="1"/>
  <c r="C1061" i="1"/>
  <c r="B1061" i="1"/>
  <c r="A1061" i="1"/>
  <c r="M1060" i="1"/>
  <c r="L1060" i="1"/>
  <c r="K1060" i="1"/>
  <c r="J1060" i="1"/>
  <c r="I1060" i="1"/>
  <c r="H1060" i="1"/>
  <c r="G1060" i="1"/>
  <c r="F1060" i="1"/>
  <c r="E1060" i="1"/>
  <c r="D1060" i="1"/>
  <c r="C1060" i="1"/>
  <c r="B1060" i="1"/>
  <c r="A1060" i="1"/>
  <c r="M1059" i="1"/>
  <c r="L1059" i="1"/>
  <c r="K1059" i="1"/>
  <c r="J1059" i="1"/>
  <c r="I1059" i="1"/>
  <c r="H1059" i="1"/>
  <c r="G1059" i="1"/>
  <c r="F1059" i="1"/>
  <c r="E1059" i="1"/>
  <c r="D1059" i="1"/>
  <c r="C1059" i="1"/>
  <c r="B1059" i="1"/>
  <c r="A1059" i="1"/>
  <c r="M1058" i="1"/>
  <c r="L1058" i="1"/>
  <c r="K1058" i="1"/>
  <c r="J1058" i="1"/>
  <c r="I1058" i="1"/>
  <c r="H1058" i="1"/>
  <c r="G1058" i="1"/>
  <c r="F1058" i="1"/>
  <c r="E1058" i="1"/>
  <c r="D1058" i="1"/>
  <c r="C1058" i="1"/>
  <c r="B1058" i="1"/>
  <c r="A1058" i="1"/>
  <c r="M1057" i="1"/>
  <c r="L1057" i="1"/>
  <c r="K1057" i="1"/>
  <c r="J1057" i="1"/>
  <c r="I1057" i="1"/>
  <c r="H1057" i="1"/>
  <c r="G1057" i="1"/>
  <c r="F1057" i="1"/>
  <c r="E1057" i="1"/>
  <c r="D1057" i="1"/>
  <c r="C1057" i="1"/>
  <c r="B1057" i="1"/>
  <c r="A1057" i="1"/>
  <c r="M1056" i="1"/>
  <c r="L1056" i="1"/>
  <c r="K1056" i="1"/>
  <c r="J1056" i="1"/>
  <c r="I1056" i="1"/>
  <c r="H1056" i="1"/>
  <c r="G1056" i="1"/>
  <c r="F1056" i="1"/>
  <c r="E1056" i="1"/>
  <c r="D1056" i="1"/>
  <c r="C1056" i="1"/>
  <c r="B1056" i="1"/>
  <c r="A1056" i="1"/>
  <c r="M1055" i="1"/>
  <c r="L1055" i="1"/>
  <c r="K1055" i="1"/>
  <c r="J1055" i="1"/>
  <c r="I1055" i="1"/>
  <c r="H1055" i="1"/>
  <c r="G1055" i="1"/>
  <c r="F1055" i="1"/>
  <c r="E1055" i="1"/>
  <c r="D1055" i="1"/>
  <c r="C1055" i="1"/>
  <c r="B1055" i="1"/>
  <c r="A1055" i="1"/>
  <c r="M1054" i="1"/>
  <c r="L1054" i="1"/>
  <c r="K1054" i="1"/>
  <c r="J1054" i="1"/>
  <c r="I1054" i="1"/>
  <c r="H1054" i="1"/>
  <c r="G1054" i="1"/>
  <c r="F1054" i="1"/>
  <c r="E1054" i="1"/>
  <c r="D1054" i="1"/>
  <c r="C1054" i="1"/>
  <c r="B1054" i="1"/>
  <c r="A1054" i="1"/>
  <c r="M1053" i="1"/>
  <c r="L1053" i="1"/>
  <c r="K1053" i="1"/>
  <c r="J1053" i="1"/>
  <c r="I1053" i="1"/>
  <c r="H1053" i="1"/>
  <c r="G1053" i="1"/>
  <c r="F1053" i="1"/>
  <c r="E1053" i="1"/>
  <c r="D1053" i="1"/>
  <c r="C1053" i="1"/>
  <c r="B1053" i="1"/>
  <c r="A1053" i="1"/>
  <c r="M1052" i="1"/>
  <c r="L1052" i="1"/>
  <c r="K1052" i="1"/>
  <c r="J1052" i="1"/>
  <c r="I1052" i="1"/>
  <c r="H1052" i="1"/>
  <c r="G1052" i="1"/>
  <c r="F1052" i="1"/>
  <c r="E1052" i="1"/>
  <c r="D1052" i="1"/>
  <c r="C1052" i="1"/>
  <c r="B1052" i="1"/>
  <c r="A1052" i="1"/>
  <c r="M1051" i="1"/>
  <c r="L1051" i="1"/>
  <c r="K1051" i="1"/>
  <c r="J1051" i="1"/>
  <c r="I1051" i="1"/>
  <c r="H1051" i="1"/>
  <c r="G1051" i="1"/>
  <c r="F1051" i="1"/>
  <c r="E1051" i="1"/>
  <c r="D1051" i="1"/>
  <c r="C1051" i="1"/>
  <c r="B1051" i="1"/>
  <c r="A1051" i="1"/>
  <c r="M1050" i="1"/>
  <c r="L1050" i="1"/>
  <c r="K1050" i="1"/>
  <c r="J1050" i="1"/>
  <c r="I1050" i="1"/>
  <c r="H1050" i="1"/>
  <c r="G1050" i="1"/>
  <c r="F1050" i="1"/>
  <c r="E1050" i="1"/>
  <c r="D1050" i="1"/>
  <c r="C1050" i="1"/>
  <c r="B1050" i="1"/>
  <c r="A1050" i="1"/>
  <c r="M1049" i="1"/>
  <c r="L1049" i="1"/>
  <c r="K1049" i="1"/>
  <c r="J1049" i="1"/>
  <c r="I1049" i="1"/>
  <c r="H1049" i="1"/>
  <c r="G1049" i="1"/>
  <c r="F1049" i="1"/>
  <c r="E1049" i="1"/>
  <c r="D1049" i="1"/>
  <c r="C1049" i="1"/>
  <c r="B1049" i="1"/>
  <c r="A1049" i="1"/>
  <c r="M1048" i="1"/>
  <c r="L1048" i="1"/>
  <c r="K1048" i="1"/>
  <c r="J1048" i="1"/>
  <c r="I1048" i="1"/>
  <c r="H1048" i="1"/>
  <c r="G1048" i="1"/>
  <c r="F1048" i="1"/>
  <c r="E1048" i="1"/>
  <c r="D1048" i="1"/>
  <c r="C1048" i="1"/>
  <c r="B1048" i="1"/>
  <c r="A1048" i="1"/>
  <c r="M1047" i="1"/>
  <c r="L1047" i="1"/>
  <c r="K1047" i="1"/>
  <c r="J1047" i="1"/>
  <c r="I1047" i="1"/>
  <c r="H1047" i="1"/>
  <c r="G1047" i="1"/>
  <c r="F1047" i="1"/>
  <c r="E1047" i="1"/>
  <c r="D1047" i="1"/>
  <c r="C1047" i="1"/>
  <c r="B1047" i="1"/>
  <c r="A1047" i="1"/>
  <c r="M1046" i="1"/>
  <c r="L1046" i="1"/>
  <c r="K1046" i="1"/>
  <c r="J1046" i="1"/>
  <c r="I1046" i="1"/>
  <c r="H1046" i="1"/>
  <c r="G1046" i="1"/>
  <c r="F1046" i="1"/>
  <c r="E1046" i="1"/>
  <c r="D1046" i="1"/>
  <c r="C1046" i="1"/>
  <c r="B1046" i="1"/>
  <c r="A1046" i="1"/>
  <c r="M1045" i="1"/>
  <c r="L1045" i="1"/>
  <c r="K1045" i="1"/>
  <c r="J1045" i="1"/>
  <c r="I1045" i="1"/>
  <c r="H1045" i="1"/>
  <c r="G1045" i="1"/>
  <c r="F1045" i="1"/>
  <c r="E1045" i="1"/>
  <c r="D1045" i="1"/>
  <c r="C1045" i="1"/>
  <c r="B1045" i="1"/>
  <c r="A1045" i="1"/>
  <c r="M1044" i="1"/>
  <c r="L1044" i="1"/>
  <c r="K1044" i="1"/>
  <c r="J1044" i="1"/>
  <c r="I1044" i="1"/>
  <c r="H1044" i="1"/>
  <c r="G1044" i="1"/>
  <c r="F1044" i="1"/>
  <c r="E1044" i="1"/>
  <c r="D1044" i="1"/>
  <c r="C1044" i="1"/>
  <c r="B1044" i="1"/>
  <c r="A1044" i="1"/>
  <c r="M1043" i="1"/>
  <c r="L1043" i="1"/>
  <c r="K1043" i="1"/>
  <c r="J1043" i="1"/>
  <c r="I1043" i="1"/>
  <c r="H1043" i="1"/>
  <c r="G1043" i="1"/>
  <c r="F1043" i="1"/>
  <c r="E1043" i="1"/>
  <c r="D1043" i="1"/>
  <c r="C1043" i="1"/>
  <c r="B1043" i="1"/>
  <c r="A1043" i="1"/>
  <c r="M1042" i="1"/>
  <c r="L1042" i="1"/>
  <c r="K1042" i="1"/>
  <c r="J1042" i="1"/>
  <c r="I1042" i="1"/>
  <c r="H1042" i="1"/>
  <c r="G1042" i="1"/>
  <c r="F1042" i="1"/>
  <c r="E1042" i="1"/>
  <c r="D1042" i="1"/>
  <c r="C1042" i="1"/>
  <c r="B1042" i="1"/>
  <c r="A1042" i="1"/>
  <c r="M1041" i="1"/>
  <c r="L1041" i="1"/>
  <c r="K1041" i="1"/>
  <c r="J1041" i="1"/>
  <c r="I1041" i="1"/>
  <c r="H1041" i="1"/>
  <c r="G1041" i="1"/>
  <c r="F1041" i="1"/>
  <c r="E1041" i="1"/>
  <c r="D1041" i="1"/>
  <c r="C1041" i="1"/>
  <c r="B1041" i="1"/>
  <c r="A1041" i="1"/>
  <c r="M1040" i="1"/>
  <c r="L1040" i="1"/>
  <c r="K1040" i="1"/>
  <c r="J1040" i="1"/>
  <c r="I1040" i="1"/>
  <c r="H1040" i="1"/>
  <c r="G1040" i="1"/>
  <c r="F1040" i="1"/>
  <c r="E1040" i="1"/>
  <c r="D1040" i="1"/>
  <c r="C1040" i="1"/>
  <c r="B1040" i="1"/>
  <c r="A1040" i="1"/>
  <c r="M1039" i="1"/>
  <c r="L1039" i="1"/>
  <c r="K1039" i="1"/>
  <c r="J1039" i="1"/>
  <c r="I1039" i="1"/>
  <c r="H1039" i="1"/>
  <c r="G1039" i="1"/>
  <c r="F1039" i="1"/>
  <c r="E1039" i="1"/>
  <c r="D1039" i="1"/>
  <c r="C1039" i="1"/>
  <c r="B1039" i="1"/>
  <c r="A1039" i="1"/>
  <c r="M1038" i="1"/>
  <c r="L1038" i="1"/>
  <c r="K1038" i="1"/>
  <c r="J1038" i="1"/>
  <c r="I1038" i="1"/>
  <c r="H1038" i="1"/>
  <c r="G1038" i="1"/>
  <c r="F1038" i="1"/>
  <c r="E1038" i="1"/>
  <c r="D1038" i="1"/>
  <c r="C1038" i="1"/>
  <c r="B1038" i="1"/>
  <c r="A1038" i="1"/>
  <c r="M1037" i="1"/>
  <c r="L1037" i="1"/>
  <c r="K1037" i="1"/>
  <c r="J1037" i="1"/>
  <c r="I1037" i="1"/>
  <c r="H1037" i="1"/>
  <c r="G1037" i="1"/>
  <c r="F1037" i="1"/>
  <c r="E1037" i="1"/>
  <c r="D1037" i="1"/>
  <c r="C1037" i="1"/>
  <c r="B1037" i="1"/>
  <c r="A1037" i="1"/>
  <c r="M1036" i="1"/>
  <c r="L1036" i="1"/>
  <c r="K1036" i="1"/>
  <c r="J1036" i="1"/>
  <c r="I1036" i="1"/>
  <c r="H1036" i="1"/>
  <c r="G1036" i="1"/>
  <c r="F1036" i="1"/>
  <c r="E1036" i="1"/>
  <c r="D1036" i="1"/>
  <c r="C1036" i="1"/>
  <c r="B1036" i="1"/>
  <c r="A1036" i="1"/>
  <c r="M1035" i="1"/>
  <c r="L1035" i="1"/>
  <c r="K1035" i="1"/>
  <c r="J1035" i="1"/>
  <c r="I1035" i="1"/>
  <c r="H1035" i="1"/>
  <c r="G1035" i="1"/>
  <c r="F1035" i="1"/>
  <c r="E1035" i="1"/>
  <c r="D1035" i="1"/>
  <c r="C1035" i="1"/>
  <c r="B1035" i="1"/>
  <c r="A1035" i="1"/>
  <c r="M1034" i="1"/>
  <c r="L1034" i="1"/>
  <c r="K1034" i="1"/>
  <c r="J1034" i="1"/>
  <c r="I1034" i="1"/>
  <c r="H1034" i="1"/>
  <c r="G1034" i="1"/>
  <c r="F1034" i="1"/>
  <c r="E1034" i="1"/>
  <c r="D1034" i="1"/>
  <c r="C1034" i="1"/>
  <c r="B1034" i="1"/>
  <c r="A1034" i="1"/>
  <c r="M1033" i="1"/>
  <c r="L1033" i="1"/>
  <c r="K1033" i="1"/>
  <c r="J1033" i="1"/>
  <c r="I1033" i="1"/>
  <c r="H1033" i="1"/>
  <c r="G1033" i="1"/>
  <c r="F1033" i="1"/>
  <c r="E1033" i="1"/>
  <c r="D1033" i="1"/>
  <c r="C1033" i="1"/>
  <c r="B1033" i="1"/>
  <c r="A1033" i="1"/>
  <c r="M1032" i="1"/>
  <c r="L1032" i="1"/>
  <c r="K1032" i="1"/>
  <c r="J1032" i="1"/>
  <c r="I1032" i="1"/>
  <c r="H1032" i="1"/>
  <c r="G1032" i="1"/>
  <c r="F1032" i="1"/>
  <c r="E1032" i="1"/>
  <c r="D1032" i="1"/>
  <c r="C1032" i="1"/>
  <c r="B1032" i="1"/>
  <c r="A1032" i="1"/>
  <c r="M1031" i="1"/>
  <c r="L1031" i="1"/>
  <c r="K1031" i="1"/>
  <c r="J1031" i="1"/>
  <c r="I1031" i="1"/>
  <c r="H1031" i="1"/>
  <c r="G1031" i="1"/>
  <c r="F1031" i="1"/>
  <c r="E1031" i="1"/>
  <c r="D1031" i="1"/>
  <c r="C1031" i="1"/>
  <c r="B1031" i="1"/>
  <c r="A1031" i="1"/>
  <c r="M1030" i="1"/>
  <c r="L1030" i="1"/>
  <c r="K1030" i="1"/>
  <c r="J1030" i="1"/>
  <c r="I1030" i="1"/>
  <c r="H1030" i="1"/>
  <c r="G1030" i="1"/>
  <c r="F1030" i="1"/>
  <c r="E1030" i="1"/>
  <c r="D1030" i="1"/>
  <c r="C1030" i="1"/>
  <c r="B1030" i="1"/>
  <c r="A1030" i="1"/>
  <c r="M1029" i="1"/>
  <c r="L1029" i="1"/>
  <c r="K1029" i="1"/>
  <c r="J1029" i="1"/>
  <c r="I1029" i="1"/>
  <c r="H1029" i="1"/>
  <c r="G1029" i="1"/>
  <c r="F1029" i="1"/>
  <c r="E1029" i="1"/>
  <c r="D1029" i="1"/>
  <c r="C1029" i="1"/>
  <c r="B1029" i="1"/>
  <c r="A1029" i="1"/>
  <c r="M1028" i="1"/>
  <c r="L1028" i="1"/>
  <c r="K1028" i="1"/>
  <c r="J1028" i="1"/>
  <c r="I1028" i="1"/>
  <c r="H1028" i="1"/>
  <c r="G1028" i="1"/>
  <c r="F1028" i="1"/>
  <c r="E1028" i="1"/>
  <c r="D1028" i="1"/>
  <c r="C1028" i="1"/>
  <c r="B1028" i="1"/>
  <c r="A1028" i="1"/>
  <c r="M1027" i="1"/>
  <c r="L1027" i="1"/>
  <c r="K1027" i="1"/>
  <c r="J1027" i="1"/>
  <c r="I1027" i="1"/>
  <c r="H1027" i="1"/>
  <c r="G1027" i="1"/>
  <c r="F1027" i="1"/>
  <c r="E1027" i="1"/>
  <c r="D1027" i="1"/>
  <c r="C1027" i="1"/>
  <c r="B1027" i="1"/>
  <c r="A1027" i="1"/>
  <c r="M1026" i="1"/>
  <c r="L1026" i="1"/>
  <c r="K1026" i="1"/>
  <c r="J1026" i="1"/>
  <c r="I1026" i="1"/>
  <c r="H1026" i="1"/>
  <c r="G1026" i="1"/>
  <c r="F1026" i="1"/>
  <c r="E1026" i="1"/>
  <c r="D1026" i="1"/>
  <c r="C1026" i="1"/>
  <c r="B1026" i="1"/>
  <c r="A1026" i="1"/>
  <c r="M1025" i="1"/>
  <c r="L1025" i="1"/>
  <c r="K1025" i="1"/>
  <c r="J1025" i="1"/>
  <c r="I1025" i="1"/>
  <c r="H1025" i="1"/>
  <c r="G1025" i="1"/>
  <c r="F1025" i="1"/>
  <c r="E1025" i="1"/>
  <c r="D1025" i="1"/>
  <c r="C1025" i="1"/>
  <c r="B1025" i="1"/>
  <c r="A1025" i="1"/>
  <c r="M1024" i="1"/>
  <c r="L1024" i="1"/>
  <c r="K1024" i="1"/>
  <c r="J1024" i="1"/>
  <c r="I1024" i="1"/>
  <c r="H1024" i="1"/>
  <c r="G1024" i="1"/>
  <c r="F1024" i="1"/>
  <c r="E1024" i="1"/>
  <c r="D1024" i="1"/>
  <c r="C1024" i="1"/>
  <c r="B1024" i="1"/>
  <c r="A1024" i="1"/>
  <c r="M1023" i="1"/>
  <c r="L1023" i="1"/>
  <c r="K1023" i="1"/>
  <c r="J1023" i="1"/>
  <c r="I1023" i="1"/>
  <c r="H1023" i="1"/>
  <c r="G1023" i="1"/>
  <c r="F1023" i="1"/>
  <c r="E1023" i="1"/>
  <c r="D1023" i="1"/>
  <c r="C1023" i="1"/>
  <c r="B1023" i="1"/>
  <c r="A1023" i="1"/>
  <c r="M1022" i="1"/>
  <c r="L1022" i="1"/>
  <c r="K1022" i="1"/>
  <c r="J1022" i="1"/>
  <c r="I1022" i="1"/>
  <c r="H1022" i="1"/>
  <c r="G1022" i="1"/>
  <c r="F1022" i="1"/>
  <c r="E1022" i="1"/>
  <c r="D1022" i="1"/>
  <c r="C1022" i="1"/>
  <c r="B1022" i="1"/>
  <c r="A1022" i="1"/>
  <c r="M1021" i="1"/>
  <c r="L1021" i="1"/>
  <c r="K1021" i="1"/>
  <c r="J1021" i="1"/>
  <c r="I1021" i="1"/>
  <c r="H1021" i="1"/>
  <c r="G1021" i="1"/>
  <c r="F1021" i="1"/>
  <c r="E1021" i="1"/>
  <c r="D1021" i="1"/>
  <c r="C1021" i="1"/>
  <c r="B1021" i="1"/>
  <c r="A1021" i="1"/>
  <c r="M1020" i="1"/>
  <c r="L1020" i="1"/>
  <c r="K1020" i="1"/>
  <c r="J1020" i="1"/>
  <c r="I1020" i="1"/>
  <c r="H1020" i="1"/>
  <c r="G1020" i="1"/>
  <c r="F1020" i="1"/>
  <c r="E1020" i="1"/>
  <c r="D1020" i="1"/>
  <c r="C1020" i="1"/>
  <c r="B1020" i="1"/>
  <c r="A1020" i="1"/>
  <c r="M1019" i="1"/>
  <c r="L1019" i="1"/>
  <c r="K1019" i="1"/>
  <c r="J1019" i="1"/>
  <c r="I1019" i="1"/>
  <c r="H1019" i="1"/>
  <c r="G1019" i="1"/>
  <c r="F1019" i="1"/>
  <c r="E1019" i="1"/>
  <c r="D1019" i="1"/>
  <c r="C1019" i="1"/>
  <c r="B1019" i="1"/>
  <c r="A1019" i="1"/>
  <c r="M1018" i="1"/>
  <c r="L1018" i="1"/>
  <c r="K1018" i="1"/>
  <c r="J1018" i="1"/>
  <c r="I1018" i="1"/>
  <c r="H1018" i="1"/>
  <c r="G1018" i="1"/>
  <c r="F1018" i="1"/>
  <c r="E1018" i="1"/>
  <c r="D1018" i="1"/>
  <c r="C1018" i="1"/>
  <c r="B1018" i="1"/>
  <c r="A1018" i="1"/>
  <c r="M1017" i="1"/>
  <c r="L1017" i="1"/>
  <c r="K1017" i="1"/>
  <c r="J1017" i="1"/>
  <c r="I1017" i="1"/>
  <c r="H1017" i="1"/>
  <c r="G1017" i="1"/>
  <c r="F1017" i="1"/>
  <c r="E1017" i="1"/>
  <c r="D1017" i="1"/>
  <c r="C1017" i="1"/>
  <c r="B1017" i="1"/>
  <c r="A1017" i="1"/>
  <c r="M1016" i="1"/>
  <c r="L1016" i="1"/>
  <c r="K1016" i="1"/>
  <c r="J1016" i="1"/>
  <c r="I1016" i="1"/>
  <c r="H1016" i="1"/>
  <c r="G1016" i="1"/>
  <c r="F1016" i="1"/>
  <c r="E1016" i="1"/>
  <c r="D1016" i="1"/>
  <c r="C1016" i="1"/>
  <c r="B1016" i="1"/>
  <c r="A1016" i="1"/>
  <c r="M1015" i="1"/>
  <c r="L1015" i="1"/>
  <c r="K1015" i="1"/>
  <c r="J1015" i="1"/>
  <c r="I1015" i="1"/>
  <c r="H1015" i="1"/>
  <c r="G1015" i="1"/>
  <c r="F1015" i="1"/>
  <c r="E1015" i="1"/>
  <c r="D1015" i="1"/>
  <c r="C1015" i="1"/>
  <c r="B1015" i="1"/>
  <c r="A1015" i="1"/>
  <c r="M1014" i="1"/>
  <c r="L1014" i="1"/>
  <c r="K1014" i="1"/>
  <c r="J1014" i="1"/>
  <c r="I1014" i="1"/>
  <c r="H1014" i="1"/>
  <c r="G1014" i="1"/>
  <c r="F1014" i="1"/>
  <c r="E1014" i="1"/>
  <c r="D1014" i="1"/>
  <c r="C1014" i="1"/>
  <c r="B1014" i="1"/>
  <c r="A1014" i="1"/>
  <c r="M1013" i="1"/>
  <c r="L1013" i="1"/>
  <c r="K1013" i="1"/>
  <c r="J1013" i="1"/>
  <c r="I1013" i="1"/>
  <c r="H1013" i="1"/>
  <c r="G1013" i="1"/>
  <c r="F1013" i="1"/>
  <c r="E1013" i="1"/>
  <c r="D1013" i="1"/>
  <c r="C1013" i="1"/>
  <c r="B1013" i="1"/>
  <c r="A1013" i="1"/>
  <c r="M1012" i="1"/>
  <c r="L1012" i="1"/>
  <c r="K1012" i="1"/>
  <c r="J1012" i="1"/>
  <c r="I1012" i="1"/>
  <c r="H1012" i="1"/>
  <c r="G1012" i="1"/>
  <c r="F1012" i="1"/>
  <c r="E1012" i="1"/>
  <c r="D1012" i="1"/>
  <c r="C1012" i="1"/>
  <c r="B1012" i="1"/>
  <c r="A1012" i="1"/>
  <c r="M1011" i="1"/>
  <c r="L1011" i="1"/>
  <c r="K1011" i="1"/>
  <c r="J1011" i="1"/>
  <c r="I1011" i="1"/>
  <c r="H1011" i="1"/>
  <c r="G1011" i="1"/>
  <c r="F1011" i="1"/>
  <c r="E1011" i="1"/>
  <c r="D1011" i="1"/>
  <c r="C1011" i="1"/>
  <c r="B1011" i="1"/>
  <c r="A1011" i="1"/>
  <c r="M1010" i="1"/>
  <c r="L1010" i="1"/>
  <c r="K1010" i="1"/>
  <c r="J1010" i="1"/>
  <c r="I1010" i="1"/>
  <c r="H1010" i="1"/>
  <c r="G1010" i="1"/>
  <c r="F1010" i="1"/>
  <c r="E1010" i="1"/>
  <c r="D1010" i="1"/>
  <c r="C1010" i="1"/>
  <c r="B1010" i="1"/>
  <c r="A1010" i="1"/>
  <c r="M1009" i="1"/>
  <c r="L1009" i="1"/>
  <c r="K1009" i="1"/>
  <c r="J1009" i="1"/>
  <c r="I1009" i="1"/>
  <c r="H1009" i="1"/>
  <c r="G1009" i="1"/>
  <c r="F1009" i="1"/>
  <c r="E1009" i="1"/>
  <c r="D1009" i="1"/>
  <c r="C1009" i="1"/>
  <c r="B1009" i="1"/>
  <c r="A1009" i="1"/>
  <c r="M1008" i="1"/>
  <c r="L1008" i="1"/>
  <c r="K1008" i="1"/>
  <c r="J1008" i="1"/>
  <c r="I1008" i="1"/>
  <c r="H1008" i="1"/>
  <c r="G1008" i="1"/>
  <c r="F1008" i="1"/>
  <c r="E1008" i="1"/>
  <c r="D1008" i="1"/>
  <c r="C1008" i="1"/>
  <c r="B1008" i="1"/>
  <c r="A1008" i="1"/>
  <c r="M1007" i="1"/>
  <c r="L1007" i="1"/>
  <c r="K1007" i="1"/>
  <c r="J1007" i="1"/>
  <c r="I1007" i="1"/>
  <c r="H1007" i="1"/>
  <c r="G1007" i="1"/>
  <c r="F1007" i="1"/>
  <c r="E1007" i="1"/>
  <c r="D1007" i="1"/>
  <c r="C1007" i="1"/>
  <c r="B1007" i="1"/>
  <c r="A1007" i="1"/>
  <c r="M1006" i="1"/>
  <c r="L1006" i="1"/>
  <c r="K1006" i="1"/>
  <c r="J1006" i="1"/>
  <c r="I1006" i="1"/>
  <c r="H1006" i="1"/>
  <c r="G1006" i="1"/>
  <c r="F1006" i="1"/>
  <c r="E1006" i="1"/>
  <c r="D1006" i="1"/>
  <c r="C1006" i="1"/>
  <c r="B1006" i="1"/>
  <c r="A1006" i="1"/>
  <c r="M1005" i="1"/>
  <c r="L1005" i="1"/>
  <c r="K1005" i="1"/>
  <c r="J1005" i="1"/>
  <c r="I1005" i="1"/>
  <c r="H1005" i="1"/>
  <c r="G1005" i="1"/>
  <c r="F1005" i="1"/>
  <c r="E1005" i="1"/>
  <c r="D1005" i="1"/>
  <c r="C1005" i="1"/>
  <c r="B1005" i="1"/>
  <c r="A1005" i="1"/>
  <c r="M1004" i="1"/>
  <c r="L1004" i="1"/>
  <c r="K1004" i="1"/>
  <c r="J1004" i="1"/>
  <c r="I1004" i="1"/>
  <c r="H1004" i="1"/>
  <c r="G1004" i="1"/>
  <c r="F1004" i="1"/>
  <c r="E1004" i="1"/>
  <c r="D1004" i="1"/>
  <c r="C1004" i="1"/>
  <c r="B1004" i="1"/>
  <c r="A1004" i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A1003" i="1"/>
  <c r="M1002" i="1"/>
  <c r="L1002" i="1"/>
  <c r="K1002" i="1"/>
  <c r="J1002" i="1"/>
  <c r="I1002" i="1"/>
  <c r="H1002" i="1"/>
  <c r="G1002" i="1"/>
  <c r="F1002" i="1"/>
  <c r="E1002" i="1"/>
  <c r="D1002" i="1"/>
  <c r="C1002" i="1"/>
  <c r="B1002" i="1"/>
  <c r="A1002" i="1"/>
  <c r="M1001" i="1"/>
  <c r="L1001" i="1"/>
  <c r="K1001" i="1"/>
  <c r="J1001" i="1"/>
  <c r="I1001" i="1"/>
  <c r="H1001" i="1"/>
  <c r="G1001" i="1"/>
  <c r="F1001" i="1"/>
  <c r="E1001" i="1"/>
  <c r="D1001" i="1"/>
  <c r="C1001" i="1"/>
  <c r="B1001" i="1"/>
  <c r="A1001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A1000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A999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A998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A997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A996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A995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A994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A993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A992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A991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A990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A989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A988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A987" i="1"/>
  <c r="M986" i="1"/>
  <c r="L986" i="1"/>
  <c r="K986" i="1"/>
  <c r="J986" i="1"/>
  <c r="I986" i="1"/>
  <c r="H986" i="1"/>
  <c r="G986" i="1"/>
  <c r="F986" i="1"/>
  <c r="E986" i="1"/>
  <c r="D986" i="1"/>
  <c r="C986" i="1"/>
  <c r="B986" i="1"/>
  <c r="A986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A985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A984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A983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A982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A981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A980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A979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A978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A977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A976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A975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A974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A973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A972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A971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A970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A969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A968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A967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A966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A965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A964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A963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A962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A961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A960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A959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A958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A957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A956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A955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A954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A953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A952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A951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A950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A949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A948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A947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A946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A945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A944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A943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A942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A941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A940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A939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A938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A937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A936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A935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A934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A933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A932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A931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A930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A929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A928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A927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A926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A925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A924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A923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A922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A921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A920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A919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A918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A917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A916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A915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A914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A913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A912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A911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A910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A909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A908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A907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A906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A905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A904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A903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A902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A901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A900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A899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A898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A897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A896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A895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A894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A893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A892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A891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A890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A889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A888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A887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A886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A885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A884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A883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A882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A881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A880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A879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A878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A877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A876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A875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A874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A873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A872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A871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A870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A869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A868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A867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A866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A865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A864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A863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A862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A861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A860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A859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A858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A857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A856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A855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A854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A853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A852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A851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A850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A849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A848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A847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A846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A845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A844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A843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A842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A841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A840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A839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A838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A837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A836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A835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A834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A833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A832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A831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A830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A829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A828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A827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A826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A825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A824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A823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A822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A821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A820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A819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A818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A817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A816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A815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A814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A813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A812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A811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A810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A809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A808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A807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A806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A805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A804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A803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A802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A801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A800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A799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A798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A797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A796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A795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A794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A793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A792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A791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A790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A789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A788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A787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A786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A785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A784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A783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A782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A781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A780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A779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A778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A777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A776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A775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A774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A773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A772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A771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A770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A769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A768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A767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A766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A765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A764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A763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A762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A761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A760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A759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A758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A757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A756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A755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A754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A753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A752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A751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A750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A749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A748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A747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A746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A745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A744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A743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A742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A741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A740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A739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A738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A737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A736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A735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A734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A733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A732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A731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A730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A729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A728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A727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A726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A725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A724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A723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A722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A721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A720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A719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A718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A717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A716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A715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A714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A713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A712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A711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A710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A709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A708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A707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A706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A705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A704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A703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A702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A701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A700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A699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A698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A697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A696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A695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A694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A693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A692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A691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A690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A689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A688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A687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A686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A685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A684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A683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A682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A681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A680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A679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A678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A677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A676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A675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A674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A673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A672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A671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A670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A669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A668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A667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A666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A665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A664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A663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A662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A661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A660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A659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A658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A657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A656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A655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A654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A653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A652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A651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A650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A649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A648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A647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A646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A645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A644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A643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A642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A641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A640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A639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A638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A637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A636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A635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A634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A633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A632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A631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A630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A629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A628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A627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A626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A625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A624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A623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A622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A621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A620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A619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A618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A617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A616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A615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A614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A613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A612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A611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A610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A609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A608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A607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A606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A605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A604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A603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A602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A601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A600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A599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A598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A597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A596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A595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A594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A593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A592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A591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A590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A589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A588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A587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A586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A585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A584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A583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A582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A581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A580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A579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A578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A577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A576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A575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A574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A573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A572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A571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A570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A569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A568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A567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A566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A565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A564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A563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A562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A561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A560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A559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A558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A557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A556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A555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A554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A553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A552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A551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A550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A549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A548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A547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A546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A545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A544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A543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A542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A541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A540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A539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A538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A537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A536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A535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A534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A533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A532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A531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A530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A529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A528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A527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A526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A525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A524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A523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A522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A521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A520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A519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A518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A517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A516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A515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A514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A513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A512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A511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A510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A509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A508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A507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A506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A505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A504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A503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A502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A501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A500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A499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A498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A497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A496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A495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A494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A493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A492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A491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A490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A489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A488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A487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A486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A485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A484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A483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A482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A481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A480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A479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A478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A477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A476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A475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A474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A473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A472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A471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A470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A469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A468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A467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A466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A465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A464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A463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A462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A461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A460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A459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A458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A457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A456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A455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A454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A453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A452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A451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A450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A449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A448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A447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A446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A445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A444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A443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A442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A441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A440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A439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A438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A437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A436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A435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A434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A433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A432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A431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A430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A429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A428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A427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A426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A425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A424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A423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A422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A421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A420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A419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A418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A417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A416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A415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A414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A413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A412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A411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A410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A409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A408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A407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A406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A405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A404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A403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A402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A401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A400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A399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A398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A397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A396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A395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A394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A393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A392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A391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A390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A389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A388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A387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A386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A385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A384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A383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A382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A381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A380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A379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A378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A377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A376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A375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A374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A373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A372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A371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A370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A369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A368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A367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A366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A365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A364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A363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A362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A361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A360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A359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A358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A357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A356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A355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A354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A353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A352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A351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A350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A349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A348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A347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A346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A345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A344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A343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A342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A341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A340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A339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A338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A337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A336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A335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A334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A333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A332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A331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A330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A329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A328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A327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A326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A325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A324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A323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A322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A321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A320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A319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A318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A317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A316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A315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A314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A313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A312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A311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A310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A309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A308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A307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A306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A305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A304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A303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A302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A301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A300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A299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A298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A297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A296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A295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A294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A293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A292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A291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A290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A289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A288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A287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A286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A285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A284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A283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A282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M9" i="1"/>
  <c r="L9" i="1"/>
  <c r="K9" i="1"/>
  <c r="J9" i="1"/>
  <c r="I9" i="1"/>
  <c r="H9" i="1"/>
  <c r="G9" i="1"/>
  <c r="F9" i="1"/>
  <c r="E9" i="1"/>
  <c r="D9" i="1"/>
  <c r="C9" i="1"/>
  <c r="B9" i="1"/>
  <c r="A9" i="1"/>
  <c r="M8" i="1"/>
  <c r="L8" i="1"/>
  <c r="K8" i="1"/>
  <c r="J8" i="1"/>
  <c r="I8" i="1"/>
  <c r="H8" i="1"/>
  <c r="G8" i="1"/>
  <c r="F8" i="1"/>
  <c r="E8" i="1"/>
  <c r="D8" i="1"/>
  <c r="C8" i="1"/>
  <c r="B8" i="1"/>
  <c r="A8" i="1"/>
  <c r="M7" i="1"/>
  <c r="L7" i="1"/>
  <c r="K7" i="1"/>
  <c r="J7" i="1"/>
  <c r="I7" i="1"/>
  <c r="H7" i="1"/>
  <c r="G7" i="1"/>
  <c r="F7" i="1"/>
  <c r="E7" i="1"/>
  <c r="D7" i="1"/>
  <c r="C7" i="1"/>
  <c r="B7" i="1"/>
  <c r="A7" i="1"/>
  <c r="M6" i="1"/>
  <c r="L6" i="1"/>
  <c r="K6" i="1"/>
  <c r="J6" i="1"/>
  <c r="I6" i="1"/>
  <c r="H6" i="1"/>
  <c r="G6" i="1"/>
  <c r="F6" i="1"/>
  <c r="E6" i="1"/>
  <c r="D6" i="1"/>
  <c r="C6" i="1"/>
  <c r="B6" i="1"/>
  <c r="A6" i="1"/>
  <c r="M5" i="1"/>
  <c r="L5" i="1"/>
  <c r="K5" i="1"/>
  <c r="J5" i="1"/>
  <c r="I5" i="1"/>
  <c r="H5" i="1"/>
  <c r="G5" i="1"/>
  <c r="F5" i="1"/>
  <c r="E5" i="1"/>
  <c r="D5" i="1"/>
  <c r="C5" i="1"/>
  <c r="B5" i="1"/>
  <c r="A5" i="1"/>
  <c r="M4" i="1"/>
  <c r="L4" i="1"/>
  <c r="K4" i="1"/>
  <c r="J4" i="1"/>
  <c r="I4" i="1"/>
  <c r="H4" i="1"/>
  <c r="G4" i="1"/>
  <c r="F4" i="1"/>
  <c r="E4" i="1"/>
  <c r="D4" i="1"/>
  <c r="C4" i="1"/>
  <c r="B4" i="1"/>
  <c r="A4" i="1"/>
  <c r="M3" i="1"/>
  <c r="L3" i="1"/>
  <c r="K3" i="1"/>
  <c r="J3" i="1"/>
  <c r="I3" i="1"/>
  <c r="H3" i="1"/>
  <c r="G3" i="1"/>
  <c r="F3" i="1"/>
  <c r="E3" i="1"/>
  <c r="D3" i="1"/>
  <c r="C3" i="1"/>
  <c r="B3" i="1"/>
  <c r="A3" i="1"/>
  <c r="M2" i="1"/>
  <c r="L2" i="1"/>
  <c r="K2" i="1"/>
  <c r="J2" i="1"/>
  <c r="I2" i="1"/>
  <c r="H2" i="1"/>
  <c r="G2" i="1"/>
  <c r="F2" i="1"/>
  <c r="E2" i="1"/>
  <c r="D2" i="1"/>
  <c r="C2" i="1"/>
  <c r="B2" i="1"/>
  <c r="A2" i="1"/>
  <c r="A1" i="1"/>
</calcChain>
</file>

<file path=xl/sharedStrings.xml><?xml version="1.0" encoding="utf-8"?>
<sst xmlns="http://schemas.openxmlformats.org/spreadsheetml/2006/main" count="11" uniqueCount="11">
  <si>
    <t>MSFT</t>
  </si>
  <si>
    <t>AMZN</t>
  </si>
  <si>
    <t>NVDA</t>
  </si>
  <si>
    <t>META</t>
  </si>
  <si>
    <t>GOOG</t>
  </si>
  <si>
    <t>TSLA</t>
  </si>
  <si>
    <t>PEP</t>
  </si>
  <si>
    <t>COST</t>
  </si>
  <si>
    <t>AVGO</t>
  </si>
  <si>
    <t>ADBE</t>
  </si>
  <si>
    <t>NFLX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</si>
</sst>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458"/>
  <sheetViews>
    <sheetView tabSelected="1" workbookViewId="0">
      <selection activeCell="O10" sqref="O10"/>
    </sheetView>
  </sheetViews>
  <sheetFormatPr defaultColWidth="12.6640625" defaultRowHeight="15.75" customHeight="1" x14ac:dyDescent="0.25"/>
  <cols>
    <col min="1" max="1" width="18" bestFit="1" customWidth="1"/>
  </cols>
  <sheetData>
    <row r="1" spans="1:13" x14ac:dyDescent="0.25">
      <c r="A1" s="1" t="str">
        <f ca="1">IFERROR(__xludf.DUMMYFUNCTION("GOOGLEFINANCE(""AAPL"", ""close"", DATE(2020,1,1), TODAY(), ""DAILY"")"),"Date")</f>
        <v>Date</v>
      </c>
      <c r="B1" s="1" t="str">
        <f ca="1">IFERROR(__xludf.DUMMYFUNCTION("""COMPUTED_VALUE"""),"AAPL")</f>
        <v>AAPL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 s="2">
        <f ca="1">IFERROR(__xludf.DUMMYFUNCTION("""COMPUTED_VALUE"""),43833.6666666666)</f>
        <v>43833.666666666599</v>
      </c>
      <c r="B2" s="1">
        <f ca="1">IFERROR(__xludf.DUMMYFUNCTION("""COMPUTED_VALUE"""),74.36)</f>
        <v>74.36</v>
      </c>
      <c r="C2" s="1">
        <f ca="1">IFERROR(__xludf.DUMMYFUNCTION("""COMPUTED_VALUE"""),160.62)</f>
        <v>160.62</v>
      </c>
      <c r="D2" s="1">
        <f ca="1">IFERROR(__xludf.DUMMYFUNCTION("""COMPUTED_VALUE"""),94.9)</f>
        <v>94.9</v>
      </c>
      <c r="E2" s="1">
        <f ca="1">IFERROR(__xludf.DUMMYFUNCTION("""COMPUTED_VALUE"""),6)</f>
        <v>6</v>
      </c>
      <c r="F2" s="1">
        <f ca="1">IFERROR(__xludf.DUMMYFUNCTION("""COMPUTED_VALUE"""),209.78)</f>
        <v>209.78</v>
      </c>
      <c r="G2" s="1">
        <f ca="1">IFERROR(__xludf.DUMMYFUNCTION("""COMPUTED_VALUE"""),68.37)</f>
        <v>68.37</v>
      </c>
      <c r="H2" s="1">
        <f ca="1">IFERROR(__xludf.DUMMYFUNCTION("""COMPUTED_VALUE"""),28.68)</f>
        <v>28.68</v>
      </c>
      <c r="I2" s="1">
        <f ca="1">IFERROR(__xludf.DUMMYFUNCTION("""COMPUTED_VALUE"""),135.82)</f>
        <v>135.82</v>
      </c>
      <c r="J2" s="1">
        <f ca="1">IFERROR(__xludf.DUMMYFUNCTION("""COMPUTED_VALUE"""),291.49)</f>
        <v>291.49</v>
      </c>
      <c r="K2" s="1">
        <f ca="1">IFERROR(__xludf.DUMMYFUNCTION("""COMPUTED_VALUE"""),32.24)</f>
        <v>32.24</v>
      </c>
      <c r="L2" s="1">
        <f ca="1">IFERROR(__xludf.DUMMYFUNCTION("""COMPUTED_VALUE"""),334.43)</f>
        <v>334.43</v>
      </c>
      <c r="M2" s="1">
        <f ca="1">IFERROR(__xludf.DUMMYFUNCTION("""COMPUTED_VALUE"""),329.81)</f>
        <v>329.81</v>
      </c>
    </row>
    <row r="3" spans="1:13" x14ac:dyDescent="0.25">
      <c r="A3" s="2">
        <f ca="1">IFERROR(__xludf.DUMMYFUNCTION("""COMPUTED_VALUE"""),43836.6666666666)</f>
        <v>43836.666666666599</v>
      </c>
      <c r="B3" s="1">
        <f ca="1">IFERROR(__xludf.DUMMYFUNCTION("""COMPUTED_VALUE"""),74.95)</f>
        <v>74.95</v>
      </c>
      <c r="C3" s="1">
        <f ca="1">IFERROR(__xludf.DUMMYFUNCTION("""COMPUTED_VALUE"""),158.62)</f>
        <v>158.62</v>
      </c>
      <c r="D3" s="1">
        <f ca="1">IFERROR(__xludf.DUMMYFUNCTION("""COMPUTED_VALUE"""),93.75)</f>
        <v>93.75</v>
      </c>
      <c r="E3" s="1">
        <f ca="1">IFERROR(__xludf.DUMMYFUNCTION("""COMPUTED_VALUE"""),5.9)</f>
        <v>5.9</v>
      </c>
      <c r="F3" s="1">
        <f ca="1">IFERROR(__xludf.DUMMYFUNCTION("""COMPUTED_VALUE"""),208.67)</f>
        <v>208.67</v>
      </c>
      <c r="G3" s="1">
        <f ca="1">IFERROR(__xludf.DUMMYFUNCTION("""COMPUTED_VALUE"""),68.03)</f>
        <v>68.03</v>
      </c>
      <c r="H3" s="1">
        <f ca="1">IFERROR(__xludf.DUMMYFUNCTION("""COMPUTED_VALUE"""),29.53)</f>
        <v>29.53</v>
      </c>
      <c r="I3" s="1">
        <f ca="1">IFERROR(__xludf.DUMMYFUNCTION("""COMPUTED_VALUE"""),135.63)</f>
        <v>135.63</v>
      </c>
      <c r="J3" s="1">
        <f ca="1">IFERROR(__xludf.DUMMYFUNCTION("""COMPUTED_VALUE"""),291.73)</f>
        <v>291.73</v>
      </c>
      <c r="K3" s="1">
        <f ca="1">IFERROR(__xludf.DUMMYFUNCTION("""COMPUTED_VALUE"""),31.42)</f>
        <v>31.42</v>
      </c>
      <c r="L3" s="1">
        <f ca="1">IFERROR(__xludf.DUMMYFUNCTION("""COMPUTED_VALUE"""),331.81)</f>
        <v>331.81</v>
      </c>
      <c r="M3" s="1">
        <f ca="1">IFERROR(__xludf.DUMMYFUNCTION("""COMPUTED_VALUE"""),325.9)</f>
        <v>325.89999999999998</v>
      </c>
    </row>
    <row r="4" spans="1:13" x14ac:dyDescent="0.25">
      <c r="A4" s="2">
        <f ca="1">IFERROR(__xludf.DUMMYFUNCTION("""COMPUTED_VALUE"""),43837.6666666666)</f>
        <v>43837.666666666599</v>
      </c>
      <c r="B4" s="1">
        <f ca="1">IFERROR(__xludf.DUMMYFUNCTION("""COMPUTED_VALUE"""),74.6)</f>
        <v>74.599999999999994</v>
      </c>
      <c r="C4" s="1">
        <f ca="1">IFERROR(__xludf.DUMMYFUNCTION("""COMPUTED_VALUE"""),159.03)</f>
        <v>159.03</v>
      </c>
      <c r="D4" s="1">
        <f ca="1">IFERROR(__xludf.DUMMYFUNCTION("""COMPUTED_VALUE"""),95.14)</f>
        <v>95.14</v>
      </c>
      <c r="E4" s="1">
        <f ca="1">IFERROR(__xludf.DUMMYFUNCTION("""COMPUTED_VALUE"""),5.93)</f>
        <v>5.93</v>
      </c>
      <c r="F4" s="1">
        <f ca="1">IFERROR(__xludf.DUMMYFUNCTION("""COMPUTED_VALUE"""),212.6)</f>
        <v>212.6</v>
      </c>
      <c r="G4" s="1">
        <f ca="1">IFERROR(__xludf.DUMMYFUNCTION("""COMPUTED_VALUE"""),69.71)</f>
        <v>69.709999999999994</v>
      </c>
      <c r="H4" s="1">
        <f ca="1">IFERROR(__xludf.DUMMYFUNCTION("""COMPUTED_VALUE"""),30.1)</f>
        <v>30.1</v>
      </c>
      <c r="I4" s="1">
        <f ca="1">IFERROR(__xludf.DUMMYFUNCTION("""COMPUTED_VALUE"""),136.15)</f>
        <v>136.15</v>
      </c>
      <c r="J4" s="1">
        <f ca="1">IFERROR(__xludf.DUMMYFUNCTION("""COMPUTED_VALUE"""),291.81)</f>
        <v>291.81</v>
      </c>
      <c r="K4" s="1">
        <f ca="1">IFERROR(__xludf.DUMMYFUNCTION("""COMPUTED_VALUE"""),31.37)</f>
        <v>31.37</v>
      </c>
      <c r="L4" s="1">
        <f ca="1">IFERROR(__xludf.DUMMYFUNCTION("""COMPUTED_VALUE"""),333.71)</f>
        <v>333.71</v>
      </c>
      <c r="M4" s="1">
        <f ca="1">IFERROR(__xludf.DUMMYFUNCTION("""COMPUTED_VALUE"""),335.83)</f>
        <v>335.83</v>
      </c>
    </row>
    <row r="5" spans="1:13" x14ac:dyDescent="0.25">
      <c r="A5" s="2">
        <f ca="1">IFERROR(__xludf.DUMMYFUNCTION("""COMPUTED_VALUE"""),43838.6666666666)</f>
        <v>43838.666666666599</v>
      </c>
      <c r="B5" s="1">
        <f ca="1">IFERROR(__xludf.DUMMYFUNCTION("""COMPUTED_VALUE"""),75.8)</f>
        <v>75.8</v>
      </c>
      <c r="C5" s="1">
        <f ca="1">IFERROR(__xludf.DUMMYFUNCTION("""COMPUTED_VALUE"""),157.58)</f>
        <v>157.58000000000001</v>
      </c>
      <c r="D5" s="1">
        <f ca="1">IFERROR(__xludf.DUMMYFUNCTION("""COMPUTED_VALUE"""),95.34)</f>
        <v>95.34</v>
      </c>
      <c r="E5" s="1">
        <f ca="1">IFERROR(__xludf.DUMMYFUNCTION("""COMPUTED_VALUE"""),6)</f>
        <v>6</v>
      </c>
      <c r="F5" s="1">
        <f ca="1">IFERROR(__xludf.DUMMYFUNCTION("""COMPUTED_VALUE"""),213.06)</f>
        <v>213.06</v>
      </c>
      <c r="G5" s="1">
        <f ca="1">IFERROR(__xludf.DUMMYFUNCTION("""COMPUTED_VALUE"""),69.67)</f>
        <v>69.67</v>
      </c>
      <c r="H5" s="1">
        <f ca="1">IFERROR(__xludf.DUMMYFUNCTION("""COMPUTED_VALUE"""),31.27)</f>
        <v>31.27</v>
      </c>
      <c r="I5" s="1">
        <f ca="1">IFERROR(__xludf.DUMMYFUNCTION("""COMPUTED_VALUE"""),134.01)</f>
        <v>134.01</v>
      </c>
      <c r="J5" s="1">
        <f ca="1">IFERROR(__xludf.DUMMYFUNCTION("""COMPUTED_VALUE"""),291.35)</f>
        <v>291.35000000000002</v>
      </c>
      <c r="K5" s="1">
        <f ca="1">IFERROR(__xludf.DUMMYFUNCTION("""COMPUTED_VALUE"""),31.26)</f>
        <v>31.26</v>
      </c>
      <c r="L5" s="1">
        <f ca="1">IFERROR(__xludf.DUMMYFUNCTION("""COMPUTED_VALUE"""),333.39)</f>
        <v>333.39</v>
      </c>
      <c r="M5" s="1">
        <f ca="1">IFERROR(__xludf.DUMMYFUNCTION("""COMPUTED_VALUE"""),330.75)</f>
        <v>330.75</v>
      </c>
    </row>
    <row r="6" spans="1:13" x14ac:dyDescent="0.25">
      <c r="A6" s="2">
        <f ca="1">IFERROR(__xludf.DUMMYFUNCTION("""COMPUTED_VALUE"""),43839.6666666666)</f>
        <v>43839.666666666599</v>
      </c>
      <c r="B6" s="1">
        <f ca="1">IFERROR(__xludf.DUMMYFUNCTION("""COMPUTED_VALUE"""),77.41)</f>
        <v>77.41</v>
      </c>
      <c r="C6" s="1">
        <f ca="1">IFERROR(__xludf.DUMMYFUNCTION("""COMPUTED_VALUE"""),160.09)</f>
        <v>160.09</v>
      </c>
      <c r="D6" s="1">
        <f ca="1">IFERROR(__xludf.DUMMYFUNCTION("""COMPUTED_VALUE"""),94.6)</f>
        <v>94.6</v>
      </c>
      <c r="E6" s="1">
        <f ca="1">IFERROR(__xludf.DUMMYFUNCTION("""COMPUTED_VALUE"""),6.01)</f>
        <v>6.01</v>
      </c>
      <c r="F6" s="1">
        <f ca="1">IFERROR(__xludf.DUMMYFUNCTION("""COMPUTED_VALUE"""),215.22)</f>
        <v>215.22</v>
      </c>
      <c r="G6" s="1">
        <f ca="1">IFERROR(__xludf.DUMMYFUNCTION("""COMPUTED_VALUE"""),70.22)</f>
        <v>70.22</v>
      </c>
      <c r="H6" s="1">
        <f ca="1">IFERROR(__xludf.DUMMYFUNCTION("""COMPUTED_VALUE"""),32.81)</f>
        <v>32.81</v>
      </c>
      <c r="I6" s="1">
        <f ca="1">IFERROR(__xludf.DUMMYFUNCTION("""COMPUTED_VALUE"""),134.7)</f>
        <v>134.69999999999999</v>
      </c>
      <c r="J6" s="1">
        <f ca="1">IFERROR(__xludf.DUMMYFUNCTION("""COMPUTED_VALUE"""),294.69)</f>
        <v>294.69</v>
      </c>
      <c r="K6" s="1">
        <f ca="1">IFERROR(__xludf.DUMMYFUNCTION("""COMPUTED_VALUE"""),30.87)</f>
        <v>30.87</v>
      </c>
      <c r="L6" s="1">
        <f ca="1">IFERROR(__xludf.DUMMYFUNCTION("""COMPUTED_VALUE"""),337.87)</f>
        <v>337.87</v>
      </c>
      <c r="M6" s="1">
        <f ca="1">IFERROR(__xludf.DUMMYFUNCTION("""COMPUTED_VALUE"""),339.26)</f>
        <v>339.26</v>
      </c>
    </row>
    <row r="7" spans="1:13" x14ac:dyDescent="0.25">
      <c r="A7" s="2">
        <f ca="1">IFERROR(__xludf.DUMMYFUNCTION("""COMPUTED_VALUE"""),43840.6666666666)</f>
        <v>43840.666666666599</v>
      </c>
      <c r="B7" s="1">
        <f ca="1">IFERROR(__xludf.DUMMYFUNCTION("""COMPUTED_VALUE"""),77.58)</f>
        <v>77.58</v>
      </c>
      <c r="C7" s="1">
        <f ca="1">IFERROR(__xludf.DUMMYFUNCTION("""COMPUTED_VALUE"""),162.09)</f>
        <v>162.09</v>
      </c>
      <c r="D7" s="1">
        <f ca="1">IFERROR(__xludf.DUMMYFUNCTION("""COMPUTED_VALUE"""),95.05)</f>
        <v>95.05</v>
      </c>
      <c r="E7" s="1">
        <f ca="1">IFERROR(__xludf.DUMMYFUNCTION("""COMPUTED_VALUE"""),6.08)</f>
        <v>6.08</v>
      </c>
      <c r="F7" s="1">
        <f ca="1">IFERROR(__xludf.DUMMYFUNCTION("""COMPUTED_VALUE"""),218.3)</f>
        <v>218.3</v>
      </c>
      <c r="G7" s="1">
        <f ca="1">IFERROR(__xludf.DUMMYFUNCTION("""COMPUTED_VALUE"""),70.99)</f>
        <v>70.989999999999995</v>
      </c>
      <c r="H7" s="1">
        <f ca="1">IFERROR(__xludf.DUMMYFUNCTION("""COMPUTED_VALUE"""),32.09)</f>
        <v>32.090000000000003</v>
      </c>
      <c r="I7" s="1">
        <f ca="1">IFERROR(__xludf.DUMMYFUNCTION("""COMPUTED_VALUE"""),134.79)</f>
        <v>134.79</v>
      </c>
      <c r="J7" s="1">
        <f ca="1">IFERROR(__xludf.DUMMYFUNCTION("""COMPUTED_VALUE"""),299.42)</f>
        <v>299.42</v>
      </c>
      <c r="K7" s="1">
        <f ca="1">IFERROR(__xludf.DUMMYFUNCTION("""COMPUTED_VALUE"""),30.63)</f>
        <v>30.63</v>
      </c>
      <c r="L7" s="1">
        <f ca="1">IFERROR(__xludf.DUMMYFUNCTION("""COMPUTED_VALUE"""),340.45)</f>
        <v>340.45</v>
      </c>
      <c r="M7" s="1">
        <f ca="1">IFERROR(__xludf.DUMMYFUNCTION("""COMPUTED_VALUE"""),335.66)</f>
        <v>335.66</v>
      </c>
    </row>
    <row r="8" spans="1:13" x14ac:dyDescent="0.25">
      <c r="A8" s="2">
        <f ca="1">IFERROR(__xludf.DUMMYFUNCTION("""COMPUTED_VALUE"""),43843.6666666666)</f>
        <v>43843.666666666599</v>
      </c>
      <c r="B8" s="1">
        <f ca="1">IFERROR(__xludf.DUMMYFUNCTION("""COMPUTED_VALUE"""),79.24)</f>
        <v>79.239999999999995</v>
      </c>
      <c r="C8" s="1">
        <f ca="1">IFERROR(__xludf.DUMMYFUNCTION("""COMPUTED_VALUE"""),161.34)</f>
        <v>161.34</v>
      </c>
      <c r="D8" s="1">
        <f ca="1">IFERROR(__xludf.DUMMYFUNCTION("""COMPUTED_VALUE"""),94.16)</f>
        <v>94.16</v>
      </c>
      <c r="E8" s="1">
        <f ca="1">IFERROR(__xludf.DUMMYFUNCTION("""COMPUTED_VALUE"""),6.11)</f>
        <v>6.11</v>
      </c>
      <c r="F8" s="1">
        <f ca="1">IFERROR(__xludf.DUMMYFUNCTION("""COMPUTED_VALUE"""),218.06)</f>
        <v>218.06</v>
      </c>
      <c r="G8" s="1">
        <f ca="1">IFERROR(__xludf.DUMMYFUNCTION("""COMPUTED_VALUE"""),71.49)</f>
        <v>71.489999999999995</v>
      </c>
      <c r="H8" s="1">
        <f ca="1">IFERROR(__xludf.DUMMYFUNCTION("""COMPUTED_VALUE"""),31.88)</f>
        <v>31.88</v>
      </c>
      <c r="I8" s="1">
        <f ca="1">IFERROR(__xludf.DUMMYFUNCTION("""COMPUTED_VALUE"""),134.53)</f>
        <v>134.53</v>
      </c>
      <c r="J8" s="1">
        <f ca="1">IFERROR(__xludf.DUMMYFUNCTION("""COMPUTED_VALUE"""),297.24)</f>
        <v>297.24</v>
      </c>
      <c r="K8" s="1">
        <f ca="1">IFERROR(__xludf.DUMMYFUNCTION("""COMPUTED_VALUE"""),29.92)</f>
        <v>29.92</v>
      </c>
      <c r="L8" s="1">
        <f ca="1">IFERROR(__xludf.DUMMYFUNCTION("""COMPUTED_VALUE"""),339.81)</f>
        <v>339.81</v>
      </c>
      <c r="M8" s="1">
        <f ca="1">IFERROR(__xludf.DUMMYFUNCTION("""COMPUTED_VALUE"""),329.05)</f>
        <v>329.05</v>
      </c>
    </row>
    <row r="9" spans="1:13" x14ac:dyDescent="0.25">
      <c r="A9" s="2">
        <f ca="1">IFERROR(__xludf.DUMMYFUNCTION("""COMPUTED_VALUE"""),43844.6666666666)</f>
        <v>43844.666666666599</v>
      </c>
      <c r="B9" s="1">
        <f ca="1">IFERROR(__xludf.DUMMYFUNCTION("""COMPUTED_VALUE"""),78.17)</f>
        <v>78.17</v>
      </c>
      <c r="C9" s="1">
        <f ca="1">IFERROR(__xludf.DUMMYFUNCTION("""COMPUTED_VALUE"""),163.28)</f>
        <v>163.28</v>
      </c>
      <c r="D9" s="1">
        <f ca="1">IFERROR(__xludf.DUMMYFUNCTION("""COMPUTED_VALUE"""),94.57)</f>
        <v>94.57</v>
      </c>
      <c r="E9" s="1">
        <f ca="1">IFERROR(__xludf.DUMMYFUNCTION("""COMPUTED_VALUE"""),6.3)</f>
        <v>6.3</v>
      </c>
      <c r="F9" s="1">
        <f ca="1">IFERROR(__xludf.DUMMYFUNCTION("""COMPUTED_VALUE"""),221.91)</f>
        <v>221.91</v>
      </c>
      <c r="G9" s="1">
        <f ca="1">IFERROR(__xludf.DUMMYFUNCTION("""COMPUTED_VALUE"""),71.96)</f>
        <v>71.959999999999994</v>
      </c>
      <c r="H9" s="1">
        <f ca="1">IFERROR(__xludf.DUMMYFUNCTION("""COMPUTED_VALUE"""),34.99)</f>
        <v>34.99</v>
      </c>
      <c r="I9" s="1">
        <f ca="1">IFERROR(__xludf.DUMMYFUNCTION("""COMPUTED_VALUE"""),136.53)</f>
        <v>136.53</v>
      </c>
      <c r="J9" s="1">
        <f ca="1">IFERROR(__xludf.DUMMYFUNCTION("""COMPUTED_VALUE"""),299.87)</f>
        <v>299.87</v>
      </c>
      <c r="K9" s="1">
        <f ca="1">IFERROR(__xludf.DUMMYFUNCTION("""COMPUTED_VALUE"""),30.12)</f>
        <v>30.12</v>
      </c>
      <c r="L9" s="1">
        <f ca="1">IFERROR(__xludf.DUMMYFUNCTION("""COMPUTED_VALUE"""),345.63)</f>
        <v>345.63</v>
      </c>
      <c r="M9" s="1">
        <f ca="1">IFERROR(__xludf.DUMMYFUNCTION("""COMPUTED_VALUE"""),338.92)</f>
        <v>338.92</v>
      </c>
    </row>
    <row r="10" spans="1:13" x14ac:dyDescent="0.25">
      <c r="A10" s="2">
        <f ca="1">IFERROR(__xludf.DUMMYFUNCTION("""COMPUTED_VALUE"""),43845.6666666666)</f>
        <v>43845.666666666599</v>
      </c>
      <c r="B10" s="1">
        <f ca="1">IFERROR(__xludf.DUMMYFUNCTION("""COMPUTED_VALUE"""),77.83)</f>
        <v>77.83</v>
      </c>
      <c r="C10" s="1">
        <f ca="1">IFERROR(__xludf.DUMMYFUNCTION("""COMPUTED_VALUE"""),162.13)</f>
        <v>162.13</v>
      </c>
      <c r="D10" s="1">
        <f ca="1">IFERROR(__xludf.DUMMYFUNCTION("""COMPUTED_VALUE"""),93.47)</f>
        <v>93.47</v>
      </c>
      <c r="E10" s="1">
        <f ca="1">IFERROR(__xludf.DUMMYFUNCTION("""COMPUTED_VALUE"""),6.18)</f>
        <v>6.18</v>
      </c>
      <c r="F10" s="1">
        <f ca="1">IFERROR(__xludf.DUMMYFUNCTION("""COMPUTED_VALUE"""),219.06)</f>
        <v>219.06</v>
      </c>
      <c r="G10" s="1">
        <f ca="1">IFERROR(__xludf.DUMMYFUNCTION("""COMPUTED_VALUE"""),71.54)</f>
        <v>71.540000000000006</v>
      </c>
      <c r="H10" s="1">
        <f ca="1">IFERROR(__xludf.DUMMYFUNCTION("""COMPUTED_VALUE"""),35.86)</f>
        <v>35.86</v>
      </c>
      <c r="I10" s="1">
        <f ca="1">IFERROR(__xludf.DUMMYFUNCTION("""COMPUTED_VALUE"""),136.85)</f>
        <v>136.85</v>
      </c>
      <c r="J10" s="1">
        <f ca="1">IFERROR(__xludf.DUMMYFUNCTION("""COMPUTED_VALUE"""),299.75)</f>
        <v>299.75</v>
      </c>
      <c r="K10" s="1">
        <f ca="1">IFERROR(__xludf.DUMMYFUNCTION("""COMPUTED_VALUE"""),30.82)</f>
        <v>30.82</v>
      </c>
      <c r="L10" s="1">
        <f ca="1">IFERROR(__xludf.DUMMYFUNCTION("""COMPUTED_VALUE"""),344.63)</f>
        <v>344.63</v>
      </c>
      <c r="M10" s="1">
        <f ca="1">IFERROR(__xludf.DUMMYFUNCTION("""COMPUTED_VALUE"""),338.69)</f>
        <v>338.69</v>
      </c>
    </row>
    <row r="11" spans="1:13" x14ac:dyDescent="0.25">
      <c r="A11" s="2">
        <f ca="1">IFERROR(__xludf.DUMMYFUNCTION("""COMPUTED_VALUE"""),43846.6666666666)</f>
        <v>43846.666666666599</v>
      </c>
      <c r="B11" s="1">
        <f ca="1">IFERROR(__xludf.DUMMYFUNCTION("""COMPUTED_VALUE"""),78.81)</f>
        <v>78.81</v>
      </c>
      <c r="C11" s="1">
        <f ca="1">IFERROR(__xludf.DUMMYFUNCTION("""COMPUTED_VALUE"""),163.18)</f>
        <v>163.18</v>
      </c>
      <c r="D11" s="1">
        <f ca="1">IFERROR(__xludf.DUMMYFUNCTION("""COMPUTED_VALUE"""),93.1)</f>
        <v>93.1</v>
      </c>
      <c r="E11" s="1">
        <f ca="1">IFERROR(__xludf.DUMMYFUNCTION("""COMPUTED_VALUE"""),6.14)</f>
        <v>6.14</v>
      </c>
      <c r="F11" s="1">
        <f ca="1">IFERROR(__xludf.DUMMYFUNCTION("""COMPUTED_VALUE"""),221.15)</f>
        <v>221.15</v>
      </c>
      <c r="G11" s="1">
        <f ca="1">IFERROR(__xludf.DUMMYFUNCTION("""COMPUTED_VALUE"""),71.96)</f>
        <v>71.959999999999994</v>
      </c>
      <c r="H11" s="1">
        <f ca="1">IFERROR(__xludf.DUMMYFUNCTION("""COMPUTED_VALUE"""),34.57)</f>
        <v>34.57</v>
      </c>
      <c r="I11" s="1">
        <f ca="1">IFERROR(__xludf.DUMMYFUNCTION("""COMPUTED_VALUE"""),139.2)</f>
        <v>139.19999999999999</v>
      </c>
      <c r="J11" s="1">
        <f ca="1">IFERROR(__xludf.DUMMYFUNCTION("""COMPUTED_VALUE"""),300.82)</f>
        <v>300.82</v>
      </c>
      <c r="K11" s="1">
        <f ca="1">IFERROR(__xludf.DUMMYFUNCTION("""COMPUTED_VALUE"""),30.31)</f>
        <v>30.31</v>
      </c>
      <c r="L11" s="1">
        <f ca="1">IFERROR(__xludf.DUMMYFUNCTION("""COMPUTED_VALUE"""),342.94)</f>
        <v>342.94</v>
      </c>
      <c r="M11" s="1">
        <f ca="1">IFERROR(__xludf.DUMMYFUNCTION("""COMPUTED_VALUE"""),339.07)</f>
        <v>339.07</v>
      </c>
    </row>
    <row r="12" spans="1:13" x14ac:dyDescent="0.25">
      <c r="A12" s="2">
        <f ca="1">IFERROR(__xludf.DUMMYFUNCTION("""COMPUTED_VALUE"""),43847.6666666666)</f>
        <v>43847.666666666599</v>
      </c>
      <c r="B12" s="1">
        <f ca="1">IFERROR(__xludf.DUMMYFUNCTION("""COMPUTED_VALUE"""),79.68)</f>
        <v>79.680000000000007</v>
      </c>
      <c r="C12" s="1">
        <f ca="1">IFERROR(__xludf.DUMMYFUNCTION("""COMPUTED_VALUE"""),166.17)</f>
        <v>166.17</v>
      </c>
      <c r="D12" s="1">
        <f ca="1">IFERROR(__xludf.DUMMYFUNCTION("""COMPUTED_VALUE"""),93.9)</f>
        <v>93.9</v>
      </c>
      <c r="E12" s="1">
        <f ca="1">IFERROR(__xludf.DUMMYFUNCTION("""COMPUTED_VALUE"""),6.22)</f>
        <v>6.22</v>
      </c>
      <c r="F12" s="1">
        <f ca="1">IFERROR(__xludf.DUMMYFUNCTION("""COMPUTED_VALUE"""),221.77)</f>
        <v>221.77</v>
      </c>
      <c r="G12" s="1">
        <f ca="1">IFERROR(__xludf.DUMMYFUNCTION("""COMPUTED_VALUE"""),72.58)</f>
        <v>72.58</v>
      </c>
      <c r="H12" s="1">
        <f ca="1">IFERROR(__xludf.DUMMYFUNCTION("""COMPUTED_VALUE"""),34.23)</f>
        <v>34.229999999999997</v>
      </c>
      <c r="I12" s="1">
        <f ca="1">IFERROR(__xludf.DUMMYFUNCTION("""COMPUTED_VALUE"""),139.61)</f>
        <v>139.61000000000001</v>
      </c>
      <c r="J12" s="1">
        <f ca="1">IFERROR(__xludf.DUMMYFUNCTION("""COMPUTED_VALUE"""),303.03)</f>
        <v>303.02999999999997</v>
      </c>
      <c r="K12" s="1">
        <f ca="1">IFERROR(__xludf.DUMMYFUNCTION("""COMPUTED_VALUE"""),30.71)</f>
        <v>30.71</v>
      </c>
      <c r="L12" s="1">
        <f ca="1">IFERROR(__xludf.DUMMYFUNCTION("""COMPUTED_VALUE"""),345.38)</f>
        <v>345.38</v>
      </c>
      <c r="M12" s="1">
        <f ca="1">IFERROR(__xludf.DUMMYFUNCTION("""COMPUTED_VALUE"""),338.62)</f>
        <v>338.62</v>
      </c>
    </row>
    <row r="13" spans="1:13" x14ac:dyDescent="0.25">
      <c r="A13" s="2">
        <f ca="1">IFERROR(__xludf.DUMMYFUNCTION("""COMPUTED_VALUE"""),43851.6666666666)</f>
        <v>43851.666666666599</v>
      </c>
      <c r="B13" s="1">
        <f ca="1">IFERROR(__xludf.DUMMYFUNCTION("""COMPUTED_VALUE"""),79.14)</f>
        <v>79.14</v>
      </c>
      <c r="C13" s="1">
        <f ca="1">IFERROR(__xludf.DUMMYFUNCTION("""COMPUTED_VALUE"""),167.1)</f>
        <v>167.1</v>
      </c>
      <c r="D13" s="1">
        <f ca="1">IFERROR(__xludf.DUMMYFUNCTION("""COMPUTED_VALUE"""),93.24)</f>
        <v>93.24</v>
      </c>
      <c r="E13" s="1">
        <f ca="1">IFERROR(__xludf.DUMMYFUNCTION("""COMPUTED_VALUE"""),6.23)</f>
        <v>6.23</v>
      </c>
      <c r="F13" s="1">
        <f ca="1">IFERROR(__xludf.DUMMYFUNCTION("""COMPUTED_VALUE"""),222.14)</f>
        <v>222.14</v>
      </c>
      <c r="G13" s="1">
        <f ca="1">IFERROR(__xludf.DUMMYFUNCTION("""COMPUTED_VALUE"""),74.02)</f>
        <v>74.02</v>
      </c>
      <c r="H13" s="1">
        <f ca="1">IFERROR(__xludf.DUMMYFUNCTION("""COMPUTED_VALUE"""),34.03)</f>
        <v>34.03</v>
      </c>
      <c r="I13" s="1">
        <f ca="1">IFERROR(__xludf.DUMMYFUNCTION("""COMPUTED_VALUE"""),141.26)</f>
        <v>141.26</v>
      </c>
      <c r="J13" s="1">
        <f ca="1">IFERROR(__xludf.DUMMYFUNCTION("""COMPUTED_VALUE"""),304.68)</f>
        <v>304.68</v>
      </c>
      <c r="K13" s="1">
        <f ca="1">IFERROR(__xludf.DUMMYFUNCTION("""COMPUTED_VALUE"""),30.88)</f>
        <v>30.88</v>
      </c>
      <c r="L13" s="1">
        <f ca="1">IFERROR(__xludf.DUMMYFUNCTION("""COMPUTED_VALUE"""),349.74)</f>
        <v>349.74</v>
      </c>
      <c r="M13" s="1">
        <f ca="1">IFERROR(__xludf.DUMMYFUNCTION("""COMPUTED_VALUE"""),339.67)</f>
        <v>339.67</v>
      </c>
    </row>
    <row r="14" spans="1:13" x14ac:dyDescent="0.25">
      <c r="A14" s="2">
        <f ca="1">IFERROR(__xludf.DUMMYFUNCTION("""COMPUTED_VALUE"""),43852.6666666666)</f>
        <v>43852.666666666599</v>
      </c>
      <c r="B14" s="1">
        <f ca="1">IFERROR(__xludf.DUMMYFUNCTION("""COMPUTED_VALUE"""),79.43)</f>
        <v>79.430000000000007</v>
      </c>
      <c r="C14" s="1">
        <f ca="1">IFERROR(__xludf.DUMMYFUNCTION("""COMPUTED_VALUE"""),166.5)</f>
        <v>166.5</v>
      </c>
      <c r="D14" s="1">
        <f ca="1">IFERROR(__xludf.DUMMYFUNCTION("""COMPUTED_VALUE"""),94.6)</f>
        <v>94.6</v>
      </c>
      <c r="E14" s="1">
        <f ca="1">IFERROR(__xludf.DUMMYFUNCTION("""COMPUTED_VALUE"""),6.2)</f>
        <v>6.2</v>
      </c>
      <c r="F14" s="1">
        <f ca="1">IFERROR(__xludf.DUMMYFUNCTION("""COMPUTED_VALUE"""),221.44)</f>
        <v>221.44</v>
      </c>
      <c r="G14" s="1">
        <f ca="1">IFERROR(__xludf.DUMMYFUNCTION("""COMPUTED_VALUE"""),74.22)</f>
        <v>74.22</v>
      </c>
      <c r="H14" s="1">
        <f ca="1">IFERROR(__xludf.DUMMYFUNCTION("""COMPUTED_VALUE"""),36.48)</f>
        <v>36.479999999999997</v>
      </c>
      <c r="I14" s="1">
        <f ca="1">IFERROR(__xludf.DUMMYFUNCTION("""COMPUTED_VALUE"""),141.86)</f>
        <v>141.86000000000001</v>
      </c>
      <c r="J14" s="1">
        <f ca="1">IFERROR(__xludf.DUMMYFUNCTION("""COMPUTED_VALUE"""),313.26)</f>
        <v>313.26</v>
      </c>
      <c r="K14" s="1">
        <f ca="1">IFERROR(__xludf.DUMMYFUNCTION("""COMPUTED_VALUE"""),30.81)</f>
        <v>30.81</v>
      </c>
      <c r="L14" s="1">
        <f ca="1">IFERROR(__xludf.DUMMYFUNCTION("""COMPUTED_VALUE"""),350)</f>
        <v>350</v>
      </c>
      <c r="M14" s="1">
        <f ca="1">IFERROR(__xludf.DUMMYFUNCTION("""COMPUTED_VALUE"""),338.11)</f>
        <v>338.11</v>
      </c>
    </row>
    <row r="15" spans="1:13" x14ac:dyDescent="0.25">
      <c r="A15" s="2">
        <f ca="1">IFERROR(__xludf.DUMMYFUNCTION("""COMPUTED_VALUE"""),43853.6666666666)</f>
        <v>43853.666666666599</v>
      </c>
      <c r="B15" s="1">
        <f ca="1">IFERROR(__xludf.DUMMYFUNCTION("""COMPUTED_VALUE"""),79.81)</f>
        <v>79.81</v>
      </c>
      <c r="C15" s="1">
        <f ca="1">IFERROR(__xludf.DUMMYFUNCTION("""COMPUTED_VALUE"""),165.7)</f>
        <v>165.7</v>
      </c>
      <c r="D15" s="1">
        <f ca="1">IFERROR(__xludf.DUMMYFUNCTION("""COMPUTED_VALUE"""),94.37)</f>
        <v>94.37</v>
      </c>
      <c r="E15" s="1">
        <f ca="1">IFERROR(__xludf.DUMMYFUNCTION("""COMPUTED_VALUE"""),6.25)</f>
        <v>6.25</v>
      </c>
      <c r="F15" s="1">
        <f ca="1">IFERROR(__xludf.DUMMYFUNCTION("""COMPUTED_VALUE"""),221.32)</f>
        <v>221.32</v>
      </c>
      <c r="G15" s="1">
        <f ca="1">IFERROR(__xludf.DUMMYFUNCTION("""COMPUTED_VALUE"""),74.3)</f>
        <v>74.3</v>
      </c>
      <c r="H15" s="1">
        <f ca="1">IFERROR(__xludf.DUMMYFUNCTION("""COMPUTED_VALUE"""),37.97)</f>
        <v>37.97</v>
      </c>
      <c r="I15" s="1">
        <f ca="1">IFERROR(__xludf.DUMMYFUNCTION("""COMPUTED_VALUE"""),143.38)</f>
        <v>143.38</v>
      </c>
      <c r="J15" s="1">
        <f ca="1">IFERROR(__xludf.DUMMYFUNCTION("""COMPUTED_VALUE"""),311.89)</f>
        <v>311.89</v>
      </c>
      <c r="K15" s="1">
        <f ca="1">IFERROR(__xludf.DUMMYFUNCTION("""COMPUTED_VALUE"""),31.29)</f>
        <v>31.29</v>
      </c>
      <c r="L15" s="1">
        <f ca="1">IFERROR(__xludf.DUMMYFUNCTION("""COMPUTED_VALUE"""),350.06)</f>
        <v>350.06</v>
      </c>
      <c r="M15" s="1">
        <f ca="1">IFERROR(__xludf.DUMMYFUNCTION("""COMPUTED_VALUE"""),326)</f>
        <v>326</v>
      </c>
    </row>
    <row r="16" spans="1:13" x14ac:dyDescent="0.25">
      <c r="A16" s="2">
        <f ca="1">IFERROR(__xludf.DUMMYFUNCTION("""COMPUTED_VALUE"""),43854.6666666666)</f>
        <v>43854.666666666599</v>
      </c>
      <c r="B16" s="1">
        <f ca="1">IFERROR(__xludf.DUMMYFUNCTION("""COMPUTED_VALUE"""),79.58)</f>
        <v>79.58</v>
      </c>
      <c r="C16" s="1">
        <f ca="1">IFERROR(__xludf.DUMMYFUNCTION("""COMPUTED_VALUE"""),166.72)</f>
        <v>166.72</v>
      </c>
      <c r="D16" s="1">
        <f ca="1">IFERROR(__xludf.DUMMYFUNCTION("""COMPUTED_VALUE"""),94.23)</f>
        <v>94.23</v>
      </c>
      <c r="E16" s="1">
        <f ca="1">IFERROR(__xludf.DUMMYFUNCTION("""COMPUTED_VALUE"""),6.32)</f>
        <v>6.32</v>
      </c>
      <c r="F16" s="1">
        <f ca="1">IFERROR(__xludf.DUMMYFUNCTION("""COMPUTED_VALUE"""),219.76)</f>
        <v>219.76</v>
      </c>
      <c r="G16" s="1">
        <f ca="1">IFERROR(__xludf.DUMMYFUNCTION("""COMPUTED_VALUE"""),74.33)</f>
        <v>74.33</v>
      </c>
      <c r="H16" s="1">
        <f ca="1">IFERROR(__xludf.DUMMYFUNCTION("""COMPUTED_VALUE"""),38.15)</f>
        <v>38.15</v>
      </c>
      <c r="I16" s="1">
        <f ca="1">IFERROR(__xludf.DUMMYFUNCTION("""COMPUTED_VALUE"""),143.65)</f>
        <v>143.65</v>
      </c>
      <c r="J16" s="1">
        <f ca="1">IFERROR(__xludf.DUMMYFUNCTION("""COMPUTED_VALUE"""),312.88)</f>
        <v>312.88</v>
      </c>
      <c r="K16" s="1">
        <f ca="1">IFERROR(__xludf.DUMMYFUNCTION("""COMPUTED_VALUE"""),31.97)</f>
        <v>31.97</v>
      </c>
      <c r="L16" s="1">
        <f ca="1">IFERROR(__xludf.DUMMYFUNCTION("""COMPUTED_VALUE"""),351.76)</f>
        <v>351.76</v>
      </c>
      <c r="M16" s="1">
        <f ca="1">IFERROR(__xludf.DUMMYFUNCTION("""COMPUTED_VALUE"""),349.6)</f>
        <v>349.6</v>
      </c>
    </row>
    <row r="17" spans="1:13" x14ac:dyDescent="0.25">
      <c r="A17" s="2">
        <f ca="1">IFERROR(__xludf.DUMMYFUNCTION("""COMPUTED_VALUE"""),43857.6666666666)</f>
        <v>43857.666666666599</v>
      </c>
      <c r="B17" s="1">
        <f ca="1">IFERROR(__xludf.DUMMYFUNCTION("""COMPUTED_VALUE"""),77.24)</f>
        <v>77.239999999999995</v>
      </c>
      <c r="C17" s="1">
        <f ca="1">IFERROR(__xludf.DUMMYFUNCTION("""COMPUTED_VALUE"""),165.04)</f>
        <v>165.04</v>
      </c>
      <c r="D17" s="1">
        <f ca="1">IFERROR(__xludf.DUMMYFUNCTION("""COMPUTED_VALUE"""),93.08)</f>
        <v>93.08</v>
      </c>
      <c r="E17" s="1">
        <f ca="1">IFERROR(__xludf.DUMMYFUNCTION("""COMPUTED_VALUE"""),6.26)</f>
        <v>6.26</v>
      </c>
      <c r="F17" s="1">
        <f ca="1">IFERROR(__xludf.DUMMYFUNCTION("""COMPUTED_VALUE"""),217.94)</f>
        <v>217.94</v>
      </c>
      <c r="G17" s="1">
        <f ca="1">IFERROR(__xludf.DUMMYFUNCTION("""COMPUTED_VALUE"""),73.34)</f>
        <v>73.34</v>
      </c>
      <c r="H17" s="1">
        <f ca="1">IFERROR(__xludf.DUMMYFUNCTION("""COMPUTED_VALUE"""),37.65)</f>
        <v>37.65</v>
      </c>
      <c r="I17" s="1">
        <f ca="1">IFERROR(__xludf.DUMMYFUNCTION("""COMPUTED_VALUE"""),142.92)</f>
        <v>142.91999999999999</v>
      </c>
      <c r="J17" s="1">
        <f ca="1">IFERROR(__xludf.DUMMYFUNCTION("""COMPUTED_VALUE"""),310.51)</f>
        <v>310.51</v>
      </c>
      <c r="K17" s="1">
        <f ca="1">IFERROR(__xludf.DUMMYFUNCTION("""COMPUTED_VALUE"""),32.4)</f>
        <v>32.4</v>
      </c>
      <c r="L17" s="1">
        <f ca="1">IFERROR(__xludf.DUMMYFUNCTION("""COMPUTED_VALUE"""),351.37)</f>
        <v>351.37</v>
      </c>
      <c r="M17" s="1">
        <f ca="1">IFERROR(__xludf.DUMMYFUNCTION("""COMPUTED_VALUE"""),353.16)</f>
        <v>353.16</v>
      </c>
    </row>
    <row r="18" spans="1:13" x14ac:dyDescent="0.25">
      <c r="A18" s="2">
        <f ca="1">IFERROR(__xludf.DUMMYFUNCTION("""COMPUTED_VALUE"""),43858.6666666666)</f>
        <v>43858.666666666599</v>
      </c>
      <c r="B18" s="1">
        <f ca="1">IFERROR(__xludf.DUMMYFUNCTION("""COMPUTED_VALUE"""),79.42)</f>
        <v>79.42</v>
      </c>
      <c r="C18" s="1">
        <f ca="1">IFERROR(__xludf.DUMMYFUNCTION("""COMPUTED_VALUE"""),162.28)</f>
        <v>162.28</v>
      </c>
      <c r="D18" s="1">
        <f ca="1">IFERROR(__xludf.DUMMYFUNCTION("""COMPUTED_VALUE"""),91.42)</f>
        <v>91.42</v>
      </c>
      <c r="E18" s="1">
        <f ca="1">IFERROR(__xludf.DUMMYFUNCTION("""COMPUTED_VALUE"""),6.01)</f>
        <v>6.01</v>
      </c>
      <c r="F18" s="1">
        <f ca="1">IFERROR(__xludf.DUMMYFUNCTION("""COMPUTED_VALUE"""),214.87)</f>
        <v>214.87</v>
      </c>
      <c r="G18" s="1">
        <f ca="1">IFERROR(__xludf.DUMMYFUNCTION("""COMPUTED_VALUE"""),71.69)</f>
        <v>71.69</v>
      </c>
      <c r="H18" s="1">
        <f ca="1">IFERROR(__xludf.DUMMYFUNCTION("""COMPUTED_VALUE"""),37.2)</f>
        <v>37.200000000000003</v>
      </c>
      <c r="I18" s="1">
        <f ca="1">IFERROR(__xludf.DUMMYFUNCTION("""COMPUTED_VALUE"""),142.14)</f>
        <v>142.13999999999999</v>
      </c>
      <c r="J18" s="1">
        <f ca="1">IFERROR(__xludf.DUMMYFUNCTION("""COMPUTED_VALUE"""),309.45)</f>
        <v>309.45</v>
      </c>
      <c r="K18" s="1">
        <f ca="1">IFERROR(__xludf.DUMMYFUNCTION("""COMPUTED_VALUE"""),30.9)</f>
        <v>30.9</v>
      </c>
      <c r="L18" s="1">
        <f ca="1">IFERROR(__xludf.DUMMYFUNCTION("""COMPUTED_VALUE"""),346.9)</f>
        <v>346.9</v>
      </c>
      <c r="M18" s="1">
        <f ca="1">IFERROR(__xludf.DUMMYFUNCTION("""COMPUTED_VALUE"""),342.88)</f>
        <v>342.88</v>
      </c>
    </row>
    <row r="19" spans="1:13" x14ac:dyDescent="0.25">
      <c r="A19" s="2">
        <f ca="1">IFERROR(__xludf.DUMMYFUNCTION("""COMPUTED_VALUE"""),43859.6666666666)</f>
        <v>43859.666666666599</v>
      </c>
      <c r="B19" s="1">
        <f ca="1">IFERROR(__xludf.DUMMYFUNCTION("""COMPUTED_VALUE"""),81.08)</f>
        <v>81.08</v>
      </c>
      <c r="C19" s="1">
        <f ca="1">IFERROR(__xludf.DUMMYFUNCTION("""COMPUTED_VALUE"""),165.46)</f>
        <v>165.46</v>
      </c>
      <c r="D19" s="1">
        <f ca="1">IFERROR(__xludf.DUMMYFUNCTION("""COMPUTED_VALUE"""),92.66)</f>
        <v>92.66</v>
      </c>
      <c r="E19" s="1">
        <f ca="1">IFERROR(__xludf.DUMMYFUNCTION("""COMPUTED_VALUE"""),6.2)</f>
        <v>6.2</v>
      </c>
      <c r="F19" s="1">
        <f ca="1">IFERROR(__xludf.DUMMYFUNCTION("""COMPUTED_VALUE"""),217.79)</f>
        <v>217.79</v>
      </c>
      <c r="G19" s="1">
        <f ca="1">IFERROR(__xludf.DUMMYFUNCTION("""COMPUTED_VALUE"""),72.63)</f>
        <v>72.63</v>
      </c>
      <c r="H19" s="1">
        <f ca="1">IFERROR(__xludf.DUMMYFUNCTION("""COMPUTED_VALUE"""),37.79)</f>
        <v>37.79</v>
      </c>
      <c r="I19" s="1">
        <f ca="1">IFERROR(__xludf.DUMMYFUNCTION("""COMPUTED_VALUE"""),142.44)</f>
        <v>142.44</v>
      </c>
      <c r="J19" s="1">
        <f ca="1">IFERROR(__xludf.DUMMYFUNCTION("""COMPUTED_VALUE"""),310.85)</f>
        <v>310.85000000000002</v>
      </c>
      <c r="K19" s="1">
        <f ca="1">IFERROR(__xludf.DUMMYFUNCTION("""COMPUTED_VALUE"""),31.83)</f>
        <v>31.83</v>
      </c>
      <c r="L19" s="1">
        <f ca="1">IFERROR(__xludf.DUMMYFUNCTION("""COMPUTED_VALUE"""),354.63)</f>
        <v>354.63</v>
      </c>
      <c r="M19" s="1">
        <f ca="1">IFERROR(__xludf.DUMMYFUNCTION("""COMPUTED_VALUE"""),348.52)</f>
        <v>348.52</v>
      </c>
    </row>
    <row r="20" spans="1:13" x14ac:dyDescent="0.25">
      <c r="A20" s="2">
        <f ca="1">IFERROR(__xludf.DUMMYFUNCTION("""COMPUTED_VALUE"""),43860.6666666666)</f>
        <v>43860.666666666599</v>
      </c>
      <c r="B20" s="1">
        <f ca="1">IFERROR(__xludf.DUMMYFUNCTION("""COMPUTED_VALUE"""),80.97)</f>
        <v>80.97</v>
      </c>
      <c r="C20" s="1">
        <f ca="1">IFERROR(__xludf.DUMMYFUNCTION("""COMPUTED_VALUE"""),168.04)</f>
        <v>168.04</v>
      </c>
      <c r="D20" s="1">
        <f ca="1">IFERROR(__xludf.DUMMYFUNCTION("""COMPUTED_VALUE"""),92.9)</f>
        <v>92.9</v>
      </c>
      <c r="E20" s="1">
        <f ca="1">IFERROR(__xludf.DUMMYFUNCTION("""COMPUTED_VALUE"""),6.14)</f>
        <v>6.14</v>
      </c>
      <c r="F20" s="1">
        <f ca="1">IFERROR(__xludf.DUMMYFUNCTION("""COMPUTED_VALUE"""),223.23)</f>
        <v>223.23</v>
      </c>
      <c r="G20" s="1">
        <f ca="1">IFERROR(__xludf.DUMMYFUNCTION("""COMPUTED_VALUE"""),72.93)</f>
        <v>72.930000000000007</v>
      </c>
      <c r="H20" s="1">
        <f ca="1">IFERROR(__xludf.DUMMYFUNCTION("""COMPUTED_VALUE"""),38.73)</f>
        <v>38.729999999999997</v>
      </c>
      <c r="I20" s="1">
        <f ca="1">IFERROR(__xludf.DUMMYFUNCTION("""COMPUTED_VALUE"""),141.73)</f>
        <v>141.72999999999999</v>
      </c>
      <c r="J20" s="1">
        <f ca="1">IFERROR(__xludf.DUMMYFUNCTION("""COMPUTED_VALUE"""),309.58)</f>
        <v>309.58</v>
      </c>
      <c r="K20" s="1">
        <f ca="1">IFERROR(__xludf.DUMMYFUNCTION("""COMPUTED_VALUE"""),31.75)</f>
        <v>31.75</v>
      </c>
      <c r="L20" s="1">
        <f ca="1">IFERROR(__xludf.DUMMYFUNCTION("""COMPUTED_VALUE"""),351.66)</f>
        <v>351.66</v>
      </c>
      <c r="M20" s="1">
        <f ca="1">IFERROR(__xludf.DUMMYFUNCTION("""COMPUTED_VALUE"""),343.16)</f>
        <v>343.16</v>
      </c>
    </row>
    <row r="21" spans="1:13" x14ac:dyDescent="0.25">
      <c r="A21" s="2">
        <f ca="1">IFERROR(__xludf.DUMMYFUNCTION("""COMPUTED_VALUE"""),43861.6666666666)</f>
        <v>43861.666666666599</v>
      </c>
      <c r="B21" s="1">
        <f ca="1">IFERROR(__xludf.DUMMYFUNCTION("""COMPUTED_VALUE"""),77.38)</f>
        <v>77.38</v>
      </c>
      <c r="C21" s="1">
        <f ca="1">IFERROR(__xludf.DUMMYFUNCTION("""COMPUTED_VALUE"""),172.78)</f>
        <v>172.78</v>
      </c>
      <c r="D21" s="1">
        <f ca="1">IFERROR(__xludf.DUMMYFUNCTION("""COMPUTED_VALUE"""),93.53)</f>
        <v>93.53</v>
      </c>
      <c r="E21" s="1">
        <f ca="1">IFERROR(__xludf.DUMMYFUNCTION("""COMPUTED_VALUE"""),6.15)</f>
        <v>6.15</v>
      </c>
      <c r="F21" s="1">
        <f ca="1">IFERROR(__xludf.DUMMYFUNCTION("""COMPUTED_VALUE"""),209.53)</f>
        <v>209.53</v>
      </c>
      <c r="G21" s="1">
        <f ca="1">IFERROR(__xludf.DUMMYFUNCTION("""COMPUTED_VALUE"""),72.79)</f>
        <v>72.790000000000006</v>
      </c>
      <c r="H21" s="1">
        <f ca="1">IFERROR(__xludf.DUMMYFUNCTION("""COMPUTED_VALUE"""),42.72)</f>
        <v>42.72</v>
      </c>
      <c r="I21" s="1">
        <f ca="1">IFERROR(__xludf.DUMMYFUNCTION("""COMPUTED_VALUE"""),143.83)</f>
        <v>143.83000000000001</v>
      </c>
      <c r="J21" s="1">
        <f ca="1">IFERROR(__xludf.DUMMYFUNCTION("""COMPUTED_VALUE"""),309.47)</f>
        <v>309.47000000000003</v>
      </c>
      <c r="K21" s="1">
        <f ca="1">IFERROR(__xludf.DUMMYFUNCTION("""COMPUTED_VALUE"""),31.52)</f>
        <v>31.52</v>
      </c>
      <c r="L21" s="1">
        <f ca="1">IFERROR(__xludf.DUMMYFUNCTION("""COMPUTED_VALUE"""),356.74)</f>
        <v>356.74</v>
      </c>
      <c r="M21" s="1">
        <f ca="1">IFERROR(__xludf.DUMMYFUNCTION("""COMPUTED_VALUE"""),347.74)</f>
        <v>347.74</v>
      </c>
    </row>
    <row r="22" spans="1:13" x14ac:dyDescent="0.25">
      <c r="A22" s="2">
        <f ca="1">IFERROR(__xludf.DUMMYFUNCTION("""COMPUTED_VALUE"""),43864.6666666666)</f>
        <v>43864.666666666599</v>
      </c>
      <c r="B22" s="1">
        <f ca="1">IFERROR(__xludf.DUMMYFUNCTION("""COMPUTED_VALUE"""),77.17)</f>
        <v>77.17</v>
      </c>
      <c r="C22" s="1">
        <f ca="1">IFERROR(__xludf.DUMMYFUNCTION("""COMPUTED_VALUE"""),170.23)</f>
        <v>170.23</v>
      </c>
      <c r="D22" s="1">
        <f ca="1">IFERROR(__xludf.DUMMYFUNCTION("""COMPUTED_VALUE"""),100.44)</f>
        <v>100.44</v>
      </c>
      <c r="E22" s="1">
        <f ca="1">IFERROR(__xludf.DUMMYFUNCTION("""COMPUTED_VALUE"""),5.91)</f>
        <v>5.91</v>
      </c>
      <c r="F22" s="1">
        <f ca="1">IFERROR(__xludf.DUMMYFUNCTION("""COMPUTED_VALUE"""),201.91)</f>
        <v>201.91</v>
      </c>
      <c r="G22" s="1">
        <f ca="1">IFERROR(__xludf.DUMMYFUNCTION("""COMPUTED_VALUE"""),71.71)</f>
        <v>71.709999999999994</v>
      </c>
      <c r="H22" s="1">
        <f ca="1">IFERROR(__xludf.DUMMYFUNCTION("""COMPUTED_VALUE"""),43.37)</f>
        <v>43.37</v>
      </c>
      <c r="I22" s="1">
        <f ca="1">IFERROR(__xludf.DUMMYFUNCTION("""COMPUTED_VALUE"""),142.02)</f>
        <v>142.02000000000001</v>
      </c>
      <c r="J22" s="1">
        <f ca="1">IFERROR(__xludf.DUMMYFUNCTION("""COMPUTED_VALUE"""),305.52)</f>
        <v>305.52</v>
      </c>
      <c r="K22" s="1">
        <f ca="1">IFERROR(__xludf.DUMMYFUNCTION("""COMPUTED_VALUE"""),30.52)</f>
        <v>30.52</v>
      </c>
      <c r="L22" s="1">
        <f ca="1">IFERROR(__xludf.DUMMYFUNCTION("""COMPUTED_VALUE"""),351.14)</f>
        <v>351.14</v>
      </c>
      <c r="M22" s="1">
        <f ca="1">IFERROR(__xludf.DUMMYFUNCTION("""COMPUTED_VALUE"""),345.09)</f>
        <v>345.09</v>
      </c>
    </row>
    <row r="23" spans="1:13" x14ac:dyDescent="0.25">
      <c r="A23" s="2">
        <f ca="1">IFERROR(__xludf.DUMMYFUNCTION("""COMPUTED_VALUE"""),43865.6666666666)</f>
        <v>43865.666666666599</v>
      </c>
      <c r="B23" s="1">
        <f ca="1">IFERROR(__xludf.DUMMYFUNCTION("""COMPUTED_VALUE"""),79.71)</f>
        <v>79.709999999999994</v>
      </c>
      <c r="C23" s="1">
        <f ca="1">IFERROR(__xludf.DUMMYFUNCTION("""COMPUTED_VALUE"""),174.38)</f>
        <v>174.38</v>
      </c>
      <c r="D23" s="1">
        <f ca="1">IFERROR(__xludf.DUMMYFUNCTION("""COMPUTED_VALUE"""),100.21)</f>
        <v>100.21</v>
      </c>
      <c r="E23" s="1">
        <f ca="1">IFERROR(__xludf.DUMMYFUNCTION("""COMPUTED_VALUE"""),6.01)</f>
        <v>6.01</v>
      </c>
      <c r="F23" s="1">
        <f ca="1">IFERROR(__xludf.DUMMYFUNCTION("""COMPUTED_VALUE"""),204.19)</f>
        <v>204.19</v>
      </c>
      <c r="G23" s="1">
        <f ca="1">IFERROR(__xludf.DUMMYFUNCTION("""COMPUTED_VALUE"""),74.3)</f>
        <v>74.3</v>
      </c>
      <c r="H23" s="1">
        <f ca="1">IFERROR(__xludf.DUMMYFUNCTION("""COMPUTED_VALUE"""),52)</f>
        <v>52</v>
      </c>
      <c r="I23" s="1">
        <f ca="1">IFERROR(__xludf.DUMMYFUNCTION("""COMPUTED_VALUE"""),142.51)</f>
        <v>142.51</v>
      </c>
      <c r="J23" s="1">
        <f ca="1">IFERROR(__xludf.DUMMYFUNCTION("""COMPUTED_VALUE"""),302)</f>
        <v>302</v>
      </c>
      <c r="K23" s="1">
        <f ca="1">IFERROR(__xludf.DUMMYFUNCTION("""COMPUTED_VALUE"""),30.52)</f>
        <v>30.52</v>
      </c>
      <c r="L23" s="1">
        <f ca="1">IFERROR(__xludf.DUMMYFUNCTION("""COMPUTED_VALUE"""),358)</f>
        <v>358</v>
      </c>
      <c r="M23" s="1">
        <f ca="1">IFERROR(__xludf.DUMMYFUNCTION("""COMPUTED_VALUE"""),358)</f>
        <v>358</v>
      </c>
    </row>
    <row r="24" spans="1:13" x14ac:dyDescent="0.25">
      <c r="A24" s="2">
        <f ca="1">IFERROR(__xludf.DUMMYFUNCTION("""COMPUTED_VALUE"""),43866.6666666666)</f>
        <v>43866.666666666599</v>
      </c>
      <c r="B24" s="1">
        <f ca="1">IFERROR(__xludf.DUMMYFUNCTION("""COMPUTED_VALUE"""),80.36)</f>
        <v>80.36</v>
      </c>
      <c r="C24" s="1">
        <f ca="1">IFERROR(__xludf.DUMMYFUNCTION("""COMPUTED_VALUE"""),180.12)</f>
        <v>180.12</v>
      </c>
      <c r="D24" s="1">
        <f ca="1">IFERROR(__xludf.DUMMYFUNCTION("""COMPUTED_VALUE"""),102.48)</f>
        <v>102.48</v>
      </c>
      <c r="E24" s="1">
        <f ca="1">IFERROR(__xludf.DUMMYFUNCTION("""COMPUTED_VALUE"""),6.18)</f>
        <v>6.18</v>
      </c>
      <c r="F24" s="1">
        <f ca="1">IFERROR(__xludf.DUMMYFUNCTION("""COMPUTED_VALUE"""),209.83)</f>
        <v>209.83</v>
      </c>
      <c r="G24" s="1">
        <f ca="1">IFERROR(__xludf.DUMMYFUNCTION("""COMPUTED_VALUE"""),72.35)</f>
        <v>72.349999999999994</v>
      </c>
      <c r="H24" s="1">
        <f ca="1">IFERROR(__xludf.DUMMYFUNCTION("""COMPUTED_VALUE"""),59.14)</f>
        <v>59.14</v>
      </c>
      <c r="I24" s="1">
        <f ca="1">IFERROR(__xludf.DUMMYFUNCTION("""COMPUTED_VALUE"""),143.22)</f>
        <v>143.22</v>
      </c>
      <c r="J24" s="1">
        <f ca="1">IFERROR(__xludf.DUMMYFUNCTION("""COMPUTED_VALUE"""),304.9)</f>
        <v>304.89999999999998</v>
      </c>
      <c r="K24" s="1">
        <f ca="1">IFERROR(__xludf.DUMMYFUNCTION("""COMPUTED_VALUE"""),31.16)</f>
        <v>31.16</v>
      </c>
      <c r="L24" s="1">
        <f ca="1">IFERROR(__xludf.DUMMYFUNCTION("""COMPUTED_VALUE"""),366.74)</f>
        <v>366.74</v>
      </c>
      <c r="M24" s="1">
        <f ca="1">IFERROR(__xludf.DUMMYFUNCTION("""COMPUTED_VALUE"""),369.01)</f>
        <v>369.01</v>
      </c>
    </row>
    <row r="25" spans="1:13" x14ac:dyDescent="0.25">
      <c r="A25" s="2">
        <f ca="1">IFERROR(__xludf.DUMMYFUNCTION("""COMPUTED_VALUE"""),43867.6666666666)</f>
        <v>43867.666666666599</v>
      </c>
      <c r="B25" s="1">
        <f ca="1">IFERROR(__xludf.DUMMYFUNCTION("""COMPUTED_VALUE"""),81.3)</f>
        <v>81.3</v>
      </c>
      <c r="C25" s="1">
        <f ca="1">IFERROR(__xludf.DUMMYFUNCTION("""COMPUTED_VALUE"""),179.9)</f>
        <v>179.9</v>
      </c>
      <c r="D25" s="1">
        <f ca="1">IFERROR(__xludf.DUMMYFUNCTION("""COMPUTED_VALUE"""),101.99)</f>
        <v>101.99</v>
      </c>
      <c r="E25" s="1">
        <f ca="1">IFERROR(__xludf.DUMMYFUNCTION("""COMPUTED_VALUE"""),6.27)</f>
        <v>6.27</v>
      </c>
      <c r="F25" s="1">
        <f ca="1">IFERROR(__xludf.DUMMYFUNCTION("""COMPUTED_VALUE"""),210.11)</f>
        <v>210.11</v>
      </c>
      <c r="G25" s="1">
        <f ca="1">IFERROR(__xludf.DUMMYFUNCTION("""COMPUTED_VALUE"""),72.41)</f>
        <v>72.41</v>
      </c>
      <c r="H25" s="1">
        <f ca="1">IFERROR(__xludf.DUMMYFUNCTION("""COMPUTED_VALUE"""),48.98)</f>
        <v>48.98</v>
      </c>
      <c r="I25" s="1">
        <f ca="1">IFERROR(__xludf.DUMMYFUNCTION("""COMPUTED_VALUE"""),144.3)</f>
        <v>144.30000000000001</v>
      </c>
      <c r="J25" s="1">
        <f ca="1">IFERROR(__xludf.DUMMYFUNCTION("""COMPUTED_VALUE"""),308.95)</f>
        <v>308.95</v>
      </c>
      <c r="K25" s="1">
        <f ca="1">IFERROR(__xludf.DUMMYFUNCTION("""COMPUTED_VALUE"""),31.74)</f>
        <v>31.74</v>
      </c>
      <c r="L25" s="1">
        <f ca="1">IFERROR(__xludf.DUMMYFUNCTION("""COMPUTED_VALUE"""),365.55)</f>
        <v>365.55</v>
      </c>
      <c r="M25" s="1">
        <f ca="1">IFERROR(__xludf.DUMMYFUNCTION("""COMPUTED_VALUE"""),369.67)</f>
        <v>369.67</v>
      </c>
    </row>
    <row r="26" spans="1:13" x14ac:dyDescent="0.25">
      <c r="A26" s="2">
        <f ca="1">IFERROR(__xludf.DUMMYFUNCTION("""COMPUTED_VALUE"""),43868.6666666666)</f>
        <v>43868.666666666599</v>
      </c>
      <c r="B26" s="1">
        <f ca="1">IFERROR(__xludf.DUMMYFUNCTION("""COMPUTED_VALUE"""),80.01)</f>
        <v>80.010000000000005</v>
      </c>
      <c r="C26" s="1">
        <f ca="1">IFERROR(__xludf.DUMMYFUNCTION("""COMPUTED_VALUE"""),183.63)</f>
        <v>183.63</v>
      </c>
      <c r="D26" s="1">
        <f ca="1">IFERROR(__xludf.DUMMYFUNCTION("""COMPUTED_VALUE"""),102.51)</f>
        <v>102.51</v>
      </c>
      <c r="E26" s="1">
        <f ca="1">IFERROR(__xludf.DUMMYFUNCTION("""COMPUTED_VALUE"""),6.36)</f>
        <v>6.36</v>
      </c>
      <c r="F26" s="1">
        <f ca="1">IFERROR(__xludf.DUMMYFUNCTION("""COMPUTED_VALUE"""),210.85)</f>
        <v>210.85</v>
      </c>
      <c r="G26" s="1">
        <f ca="1">IFERROR(__xludf.DUMMYFUNCTION("""COMPUTED_VALUE"""),73.81)</f>
        <v>73.81</v>
      </c>
      <c r="H26" s="1">
        <f ca="1">IFERROR(__xludf.DUMMYFUNCTION("""COMPUTED_VALUE"""),49.93)</f>
        <v>49.93</v>
      </c>
      <c r="I26" s="1">
        <f ca="1">IFERROR(__xludf.DUMMYFUNCTION("""COMPUTED_VALUE"""),144.33)</f>
        <v>144.33000000000001</v>
      </c>
      <c r="J26" s="1">
        <f ca="1">IFERROR(__xludf.DUMMYFUNCTION("""COMPUTED_VALUE"""),310.61)</f>
        <v>310.61</v>
      </c>
      <c r="K26" s="1">
        <f ca="1">IFERROR(__xludf.DUMMYFUNCTION("""COMPUTED_VALUE"""),31.97)</f>
        <v>31.97</v>
      </c>
      <c r="L26" s="1">
        <f ca="1">IFERROR(__xludf.DUMMYFUNCTION("""COMPUTED_VALUE"""),367.46)</f>
        <v>367.46</v>
      </c>
      <c r="M26" s="1">
        <f ca="1">IFERROR(__xludf.DUMMYFUNCTION("""COMPUTED_VALUE"""),366.95)</f>
        <v>366.95</v>
      </c>
    </row>
    <row r="27" spans="1:13" x14ac:dyDescent="0.25">
      <c r="A27" s="2">
        <f ca="1">IFERROR(__xludf.DUMMYFUNCTION("""COMPUTED_VALUE"""),43871.6666666666)</f>
        <v>43871.666666666599</v>
      </c>
      <c r="B27" s="1">
        <f ca="1">IFERROR(__xludf.DUMMYFUNCTION("""COMPUTED_VALUE"""),80.39)</f>
        <v>80.39</v>
      </c>
      <c r="C27" s="1">
        <f ca="1">IFERROR(__xludf.DUMMYFUNCTION("""COMPUTED_VALUE"""),183.89)</f>
        <v>183.89</v>
      </c>
      <c r="D27" s="1">
        <f ca="1">IFERROR(__xludf.DUMMYFUNCTION("""COMPUTED_VALUE"""),103.96)</f>
        <v>103.96</v>
      </c>
      <c r="E27" s="1">
        <f ca="1">IFERROR(__xludf.DUMMYFUNCTION("""COMPUTED_VALUE"""),6.29)</f>
        <v>6.29</v>
      </c>
      <c r="F27" s="1">
        <f ca="1">IFERROR(__xludf.DUMMYFUNCTION("""COMPUTED_VALUE"""),212.33)</f>
        <v>212.33</v>
      </c>
      <c r="G27" s="1">
        <f ca="1">IFERROR(__xludf.DUMMYFUNCTION("""COMPUTED_VALUE"""),73.96)</f>
        <v>73.959999999999994</v>
      </c>
      <c r="H27" s="1">
        <f ca="1">IFERROR(__xludf.DUMMYFUNCTION("""COMPUTED_VALUE"""),49.87)</f>
        <v>49.87</v>
      </c>
      <c r="I27" s="1">
        <f ca="1">IFERROR(__xludf.DUMMYFUNCTION("""COMPUTED_VALUE"""),145.37)</f>
        <v>145.37</v>
      </c>
      <c r="J27" s="1">
        <f ca="1">IFERROR(__xludf.DUMMYFUNCTION("""COMPUTED_VALUE"""),313.63)</f>
        <v>313.63</v>
      </c>
      <c r="K27" s="1">
        <f ca="1">IFERROR(__xludf.DUMMYFUNCTION("""COMPUTED_VALUE"""),31.52)</f>
        <v>31.52</v>
      </c>
      <c r="L27" s="1">
        <f ca="1">IFERROR(__xludf.DUMMYFUNCTION("""COMPUTED_VALUE"""),366.09)</f>
        <v>366.09</v>
      </c>
      <c r="M27" s="1">
        <f ca="1">IFERROR(__xludf.DUMMYFUNCTION("""COMPUTED_VALUE"""),366.77)</f>
        <v>366.77</v>
      </c>
    </row>
    <row r="28" spans="1:13" x14ac:dyDescent="0.25">
      <c r="A28" s="2">
        <f ca="1">IFERROR(__xludf.DUMMYFUNCTION("""COMPUTED_VALUE"""),43872.6666666666)</f>
        <v>43872.666666666599</v>
      </c>
      <c r="B28" s="1">
        <f ca="1">IFERROR(__xludf.DUMMYFUNCTION("""COMPUTED_VALUE"""),79.9)</f>
        <v>79.900000000000006</v>
      </c>
      <c r="C28" s="1">
        <f ca="1">IFERROR(__xludf.DUMMYFUNCTION("""COMPUTED_VALUE"""),188.7)</f>
        <v>188.7</v>
      </c>
      <c r="D28" s="1">
        <f ca="1">IFERROR(__xludf.DUMMYFUNCTION("""COMPUTED_VALUE"""),106.7)</f>
        <v>106.7</v>
      </c>
      <c r="E28" s="1">
        <f ca="1">IFERROR(__xludf.DUMMYFUNCTION("""COMPUTED_VALUE"""),6.57)</f>
        <v>6.57</v>
      </c>
      <c r="F28" s="1">
        <f ca="1">IFERROR(__xludf.DUMMYFUNCTION("""COMPUTED_VALUE"""),213.06)</f>
        <v>213.06</v>
      </c>
      <c r="G28" s="1">
        <f ca="1">IFERROR(__xludf.DUMMYFUNCTION("""COMPUTED_VALUE"""),75.43)</f>
        <v>75.430000000000007</v>
      </c>
      <c r="H28" s="1">
        <f ca="1">IFERROR(__xludf.DUMMYFUNCTION("""COMPUTED_VALUE"""),51.42)</f>
        <v>51.42</v>
      </c>
      <c r="I28" s="1">
        <f ca="1">IFERROR(__xludf.DUMMYFUNCTION("""COMPUTED_VALUE"""),145.66)</f>
        <v>145.66</v>
      </c>
      <c r="J28" s="1">
        <f ca="1">IFERROR(__xludf.DUMMYFUNCTION("""COMPUTED_VALUE"""),313.79)</f>
        <v>313.79000000000002</v>
      </c>
      <c r="K28" s="1">
        <f ca="1">IFERROR(__xludf.DUMMYFUNCTION("""COMPUTED_VALUE"""),31.42)</f>
        <v>31.42</v>
      </c>
      <c r="L28" s="1">
        <f ca="1">IFERROR(__xludf.DUMMYFUNCTION("""COMPUTED_VALUE"""),370)</f>
        <v>370</v>
      </c>
      <c r="M28" s="1">
        <f ca="1">IFERROR(__xludf.DUMMYFUNCTION("""COMPUTED_VALUE"""),371.07)</f>
        <v>371.07</v>
      </c>
    </row>
    <row r="29" spans="1:13" x14ac:dyDescent="0.25">
      <c r="A29" s="2">
        <f ca="1">IFERROR(__xludf.DUMMYFUNCTION("""COMPUTED_VALUE"""),43873.6666666666)</f>
        <v>43873.666666666599</v>
      </c>
      <c r="B29" s="1">
        <f ca="1">IFERROR(__xludf.DUMMYFUNCTION("""COMPUTED_VALUE"""),81.8)</f>
        <v>81.8</v>
      </c>
      <c r="C29" s="1">
        <f ca="1">IFERROR(__xludf.DUMMYFUNCTION("""COMPUTED_VALUE"""),184.44)</f>
        <v>184.44</v>
      </c>
      <c r="D29" s="1">
        <f ca="1">IFERROR(__xludf.DUMMYFUNCTION("""COMPUTED_VALUE"""),107.54)</f>
        <v>107.54</v>
      </c>
      <c r="E29" s="1">
        <f ca="1">IFERROR(__xludf.DUMMYFUNCTION("""COMPUTED_VALUE"""),6.7)</f>
        <v>6.7</v>
      </c>
      <c r="F29" s="1">
        <f ca="1">IFERROR(__xludf.DUMMYFUNCTION("""COMPUTED_VALUE"""),207.19)</f>
        <v>207.19</v>
      </c>
      <c r="G29" s="1">
        <f ca="1">IFERROR(__xludf.DUMMYFUNCTION("""COMPUTED_VALUE"""),75.44)</f>
        <v>75.44</v>
      </c>
      <c r="H29" s="1">
        <f ca="1">IFERROR(__xludf.DUMMYFUNCTION("""COMPUTED_VALUE"""),51.63)</f>
        <v>51.63</v>
      </c>
      <c r="I29" s="1">
        <f ca="1">IFERROR(__xludf.DUMMYFUNCTION("""COMPUTED_VALUE"""),146.08)</f>
        <v>146.08000000000001</v>
      </c>
      <c r="J29" s="1">
        <f ca="1">IFERROR(__xludf.DUMMYFUNCTION("""COMPUTED_VALUE"""),310.68)</f>
        <v>310.68</v>
      </c>
      <c r="K29" s="1">
        <f ca="1">IFERROR(__xludf.DUMMYFUNCTION("""COMPUTED_VALUE"""),32.02)</f>
        <v>32.020000000000003</v>
      </c>
      <c r="L29" s="1">
        <f ca="1">IFERROR(__xludf.DUMMYFUNCTION("""COMPUTED_VALUE"""),369.28)</f>
        <v>369.28</v>
      </c>
      <c r="M29" s="1">
        <f ca="1">IFERROR(__xludf.DUMMYFUNCTION("""COMPUTED_VALUE"""),373.69)</f>
        <v>373.69</v>
      </c>
    </row>
    <row r="30" spans="1:13" x14ac:dyDescent="0.25">
      <c r="A30" s="2">
        <f ca="1">IFERROR(__xludf.DUMMYFUNCTION("""COMPUTED_VALUE"""),43874.6666666666)</f>
        <v>43874.666666666599</v>
      </c>
      <c r="B30" s="1">
        <f ca="1">IFERROR(__xludf.DUMMYFUNCTION("""COMPUTED_VALUE"""),81.22)</f>
        <v>81.22</v>
      </c>
      <c r="C30" s="1">
        <f ca="1">IFERROR(__xludf.DUMMYFUNCTION("""COMPUTED_VALUE"""),184.71)</f>
        <v>184.71</v>
      </c>
      <c r="D30" s="1">
        <f ca="1">IFERROR(__xludf.DUMMYFUNCTION("""COMPUTED_VALUE"""),108)</f>
        <v>108</v>
      </c>
      <c r="E30" s="1">
        <f ca="1">IFERROR(__xludf.DUMMYFUNCTION("""COMPUTED_VALUE"""),6.81)</f>
        <v>6.81</v>
      </c>
      <c r="F30" s="1">
        <f ca="1">IFERROR(__xludf.DUMMYFUNCTION("""COMPUTED_VALUE"""),210.76)</f>
        <v>210.76</v>
      </c>
      <c r="G30" s="1">
        <f ca="1">IFERROR(__xludf.DUMMYFUNCTION("""COMPUTED_VALUE"""),75.91)</f>
        <v>75.91</v>
      </c>
      <c r="H30" s="1">
        <f ca="1">IFERROR(__xludf.DUMMYFUNCTION("""COMPUTED_VALUE"""),51.15)</f>
        <v>51.15</v>
      </c>
      <c r="I30" s="1">
        <f ca="1">IFERROR(__xludf.DUMMYFUNCTION("""COMPUTED_VALUE"""),146.08)</f>
        <v>146.08000000000001</v>
      </c>
      <c r="J30" s="1">
        <f ca="1">IFERROR(__xludf.DUMMYFUNCTION("""COMPUTED_VALUE"""),315.12)</f>
        <v>315.12</v>
      </c>
      <c r="K30" s="1">
        <f ca="1">IFERROR(__xludf.DUMMYFUNCTION("""COMPUTED_VALUE"""),32.47)</f>
        <v>32.47</v>
      </c>
      <c r="L30" s="1">
        <f ca="1">IFERROR(__xludf.DUMMYFUNCTION("""COMPUTED_VALUE"""),374.29)</f>
        <v>374.29</v>
      </c>
      <c r="M30" s="1">
        <f ca="1">IFERROR(__xludf.DUMMYFUNCTION("""COMPUTED_VALUE"""),380.01)</f>
        <v>380.01</v>
      </c>
    </row>
    <row r="31" spans="1:13" x14ac:dyDescent="0.25">
      <c r="A31" s="2">
        <f ca="1">IFERROR(__xludf.DUMMYFUNCTION("""COMPUTED_VALUE"""),43875.6666666666)</f>
        <v>43875.666666666599</v>
      </c>
      <c r="B31" s="1">
        <f ca="1">IFERROR(__xludf.DUMMYFUNCTION("""COMPUTED_VALUE"""),81.24)</f>
        <v>81.239999999999995</v>
      </c>
      <c r="C31" s="1">
        <f ca="1">IFERROR(__xludf.DUMMYFUNCTION("""COMPUTED_VALUE"""),183.71)</f>
        <v>183.71</v>
      </c>
      <c r="D31" s="1">
        <f ca="1">IFERROR(__xludf.DUMMYFUNCTION("""COMPUTED_VALUE"""),107.49)</f>
        <v>107.49</v>
      </c>
      <c r="E31" s="1">
        <f ca="1">IFERROR(__xludf.DUMMYFUNCTION("""COMPUTED_VALUE"""),6.77)</f>
        <v>6.77</v>
      </c>
      <c r="F31" s="1">
        <f ca="1">IFERROR(__xludf.DUMMYFUNCTION("""COMPUTED_VALUE"""),213.14)</f>
        <v>213.14</v>
      </c>
      <c r="G31" s="1">
        <f ca="1">IFERROR(__xludf.DUMMYFUNCTION("""COMPUTED_VALUE"""),75.73)</f>
        <v>75.73</v>
      </c>
      <c r="H31" s="1">
        <f ca="1">IFERROR(__xludf.DUMMYFUNCTION("""COMPUTED_VALUE"""),53.6)</f>
        <v>53.6</v>
      </c>
      <c r="I31" s="1">
        <f ca="1">IFERROR(__xludf.DUMMYFUNCTION("""COMPUTED_VALUE"""),146.47)</f>
        <v>146.47</v>
      </c>
      <c r="J31" s="1">
        <f ca="1">IFERROR(__xludf.DUMMYFUNCTION("""COMPUTED_VALUE"""),318.2)</f>
        <v>318.2</v>
      </c>
      <c r="K31" s="1">
        <f ca="1">IFERROR(__xludf.DUMMYFUNCTION("""COMPUTED_VALUE"""),32.4)</f>
        <v>32.4</v>
      </c>
      <c r="L31" s="1">
        <f ca="1">IFERROR(__xludf.DUMMYFUNCTION("""COMPUTED_VALUE"""),374.84)</f>
        <v>374.84</v>
      </c>
      <c r="M31" s="1">
        <f ca="1">IFERROR(__xludf.DUMMYFUNCTION("""COMPUTED_VALUE"""),381.4)</f>
        <v>381.4</v>
      </c>
    </row>
    <row r="32" spans="1:13" x14ac:dyDescent="0.25">
      <c r="A32" s="2">
        <f ca="1">IFERROR(__xludf.DUMMYFUNCTION("""COMPUTED_VALUE"""),43879.6666666666)</f>
        <v>43879.666666666599</v>
      </c>
      <c r="B32" s="1">
        <f ca="1">IFERROR(__xludf.DUMMYFUNCTION("""COMPUTED_VALUE"""),79.75)</f>
        <v>79.75</v>
      </c>
      <c r="C32" s="1">
        <f ca="1">IFERROR(__xludf.DUMMYFUNCTION("""COMPUTED_VALUE"""),185.35)</f>
        <v>185.35</v>
      </c>
      <c r="D32" s="1">
        <f ca="1">IFERROR(__xludf.DUMMYFUNCTION("""COMPUTED_VALUE"""),106.74)</f>
        <v>106.74</v>
      </c>
      <c r="E32" s="1">
        <f ca="1">IFERROR(__xludf.DUMMYFUNCTION("""COMPUTED_VALUE"""),7.24)</f>
        <v>7.24</v>
      </c>
      <c r="F32" s="1">
        <f ca="1">IFERROR(__xludf.DUMMYFUNCTION("""COMPUTED_VALUE"""),214.18)</f>
        <v>214.18</v>
      </c>
      <c r="G32" s="1">
        <f ca="1">IFERROR(__xludf.DUMMYFUNCTION("""COMPUTED_VALUE"""),76.04)</f>
        <v>76.040000000000006</v>
      </c>
      <c r="H32" s="1">
        <f ca="1">IFERROR(__xludf.DUMMYFUNCTION("""COMPUTED_VALUE"""),53.34)</f>
        <v>53.34</v>
      </c>
      <c r="I32" s="1">
        <f ca="1">IFERROR(__xludf.DUMMYFUNCTION("""COMPUTED_VALUE"""),146.99)</f>
        <v>146.99</v>
      </c>
      <c r="J32" s="1">
        <f ca="1">IFERROR(__xludf.DUMMYFUNCTION("""COMPUTED_VALUE"""),318.31)</f>
        <v>318.31</v>
      </c>
      <c r="K32" s="1">
        <f ca="1">IFERROR(__xludf.DUMMYFUNCTION("""COMPUTED_VALUE"""),31.78)</f>
        <v>31.78</v>
      </c>
      <c r="L32" s="1">
        <f ca="1">IFERROR(__xludf.DUMMYFUNCTION("""COMPUTED_VALUE"""),379.67)</f>
        <v>379.67</v>
      </c>
      <c r="M32" s="1">
        <f ca="1">IFERROR(__xludf.DUMMYFUNCTION("""COMPUTED_VALUE"""),380.4)</f>
        <v>380.4</v>
      </c>
    </row>
    <row r="33" spans="1:13" x14ac:dyDescent="0.25">
      <c r="A33" s="2">
        <f ca="1">IFERROR(__xludf.DUMMYFUNCTION("""COMPUTED_VALUE"""),43880.6666666666)</f>
        <v>43880.666666666599</v>
      </c>
      <c r="B33" s="1">
        <f ca="1">IFERROR(__xludf.DUMMYFUNCTION("""COMPUTED_VALUE"""),80.91)</f>
        <v>80.91</v>
      </c>
      <c r="C33" s="1">
        <f ca="1">IFERROR(__xludf.DUMMYFUNCTION("""COMPUTED_VALUE"""),187.23)</f>
        <v>187.23</v>
      </c>
      <c r="D33" s="1">
        <f ca="1">IFERROR(__xludf.DUMMYFUNCTION("""COMPUTED_VALUE"""),107.78)</f>
        <v>107.78</v>
      </c>
      <c r="E33" s="1">
        <f ca="1">IFERROR(__xludf.DUMMYFUNCTION("""COMPUTED_VALUE"""),7.41)</f>
        <v>7.41</v>
      </c>
      <c r="F33" s="1">
        <f ca="1">IFERROR(__xludf.DUMMYFUNCTION("""COMPUTED_VALUE"""),217.8)</f>
        <v>217.8</v>
      </c>
      <c r="G33" s="1">
        <f ca="1">IFERROR(__xludf.DUMMYFUNCTION("""COMPUTED_VALUE"""),75.98)</f>
        <v>75.98</v>
      </c>
      <c r="H33" s="1">
        <f ca="1">IFERROR(__xludf.DUMMYFUNCTION("""COMPUTED_VALUE"""),57.23)</f>
        <v>57.23</v>
      </c>
      <c r="I33" s="1">
        <f ca="1">IFERROR(__xludf.DUMMYFUNCTION("""COMPUTED_VALUE"""),145.6)</f>
        <v>145.6</v>
      </c>
      <c r="J33" s="1">
        <f ca="1">IFERROR(__xludf.DUMMYFUNCTION("""COMPUTED_VALUE"""),322.05)</f>
        <v>322.05</v>
      </c>
      <c r="K33" s="1">
        <f ca="1">IFERROR(__xludf.DUMMYFUNCTION("""COMPUTED_VALUE"""),31.08)</f>
        <v>31.08</v>
      </c>
      <c r="L33" s="1">
        <f ca="1">IFERROR(__xludf.DUMMYFUNCTION("""COMPUTED_VALUE"""),378.85)</f>
        <v>378.85</v>
      </c>
      <c r="M33" s="1">
        <f ca="1">IFERROR(__xludf.DUMMYFUNCTION("""COMPUTED_VALUE"""),387.78)</f>
        <v>387.78</v>
      </c>
    </row>
    <row r="34" spans="1:13" x14ac:dyDescent="0.25">
      <c r="A34" s="2">
        <f ca="1">IFERROR(__xludf.DUMMYFUNCTION("""COMPUTED_VALUE"""),43881.6666666666)</f>
        <v>43881.666666666599</v>
      </c>
      <c r="B34" s="1">
        <f ca="1">IFERROR(__xludf.DUMMYFUNCTION("""COMPUTED_VALUE"""),80.08)</f>
        <v>80.08</v>
      </c>
      <c r="C34" s="1">
        <f ca="1">IFERROR(__xludf.DUMMYFUNCTION("""COMPUTED_VALUE"""),187.28)</f>
        <v>187.28</v>
      </c>
      <c r="D34" s="1">
        <f ca="1">IFERROR(__xludf.DUMMYFUNCTION("""COMPUTED_VALUE"""),108.51)</f>
        <v>108.51</v>
      </c>
      <c r="E34" s="1">
        <f ca="1">IFERROR(__xludf.DUMMYFUNCTION("""COMPUTED_VALUE"""),7.87)</f>
        <v>7.87</v>
      </c>
      <c r="F34" s="1">
        <f ca="1">IFERROR(__xludf.DUMMYFUNCTION("""COMPUTED_VALUE"""),217.49)</f>
        <v>217.49</v>
      </c>
      <c r="G34" s="1">
        <f ca="1">IFERROR(__xludf.DUMMYFUNCTION("""COMPUTED_VALUE"""),76.33)</f>
        <v>76.33</v>
      </c>
      <c r="H34" s="1">
        <f ca="1">IFERROR(__xludf.DUMMYFUNCTION("""COMPUTED_VALUE"""),61.16)</f>
        <v>61.16</v>
      </c>
      <c r="I34" s="1">
        <f ca="1">IFERROR(__xludf.DUMMYFUNCTION("""COMPUTED_VALUE"""),145.53)</f>
        <v>145.53</v>
      </c>
      <c r="J34" s="1">
        <f ca="1">IFERROR(__xludf.DUMMYFUNCTION("""COMPUTED_VALUE"""),323.02)</f>
        <v>323.02</v>
      </c>
      <c r="K34" s="1">
        <f ca="1">IFERROR(__xludf.DUMMYFUNCTION("""COMPUTED_VALUE"""),31.57)</f>
        <v>31.57</v>
      </c>
      <c r="L34" s="1">
        <f ca="1">IFERROR(__xludf.DUMMYFUNCTION("""COMPUTED_VALUE"""),383.28)</f>
        <v>383.28</v>
      </c>
      <c r="M34" s="1">
        <f ca="1">IFERROR(__xludf.DUMMYFUNCTION("""COMPUTED_VALUE"""),386.19)</f>
        <v>386.19</v>
      </c>
    </row>
    <row r="35" spans="1:13" x14ac:dyDescent="0.25">
      <c r="A35" s="2">
        <f ca="1">IFERROR(__xludf.DUMMYFUNCTION("""COMPUTED_VALUE"""),43882.6666666666)</f>
        <v>43882.666666666599</v>
      </c>
      <c r="B35" s="1">
        <f ca="1">IFERROR(__xludf.DUMMYFUNCTION("""COMPUTED_VALUE"""),78.26)</f>
        <v>78.260000000000005</v>
      </c>
      <c r="C35" s="1">
        <f ca="1">IFERROR(__xludf.DUMMYFUNCTION("""COMPUTED_VALUE"""),184.42)</f>
        <v>184.42</v>
      </c>
      <c r="D35" s="1">
        <f ca="1">IFERROR(__xludf.DUMMYFUNCTION("""COMPUTED_VALUE"""),107.66)</f>
        <v>107.66</v>
      </c>
      <c r="E35" s="1">
        <f ca="1">IFERROR(__xludf.DUMMYFUNCTION("""COMPUTED_VALUE"""),7.72)</f>
        <v>7.72</v>
      </c>
      <c r="F35" s="1">
        <f ca="1">IFERROR(__xludf.DUMMYFUNCTION("""COMPUTED_VALUE"""),214.58)</f>
        <v>214.58</v>
      </c>
      <c r="G35" s="1">
        <f ca="1">IFERROR(__xludf.DUMMYFUNCTION("""COMPUTED_VALUE"""),75.91)</f>
        <v>75.91</v>
      </c>
      <c r="H35" s="1">
        <f ca="1">IFERROR(__xludf.DUMMYFUNCTION("""COMPUTED_VALUE"""),59.96)</f>
        <v>59.96</v>
      </c>
      <c r="I35" s="1">
        <f ca="1">IFERROR(__xludf.DUMMYFUNCTION("""COMPUTED_VALUE"""),145.16)</f>
        <v>145.16</v>
      </c>
      <c r="J35" s="1">
        <f ca="1">IFERROR(__xludf.DUMMYFUNCTION("""COMPUTED_VALUE"""),324.08)</f>
        <v>324.08</v>
      </c>
      <c r="K35" s="1">
        <f ca="1">IFERROR(__xludf.DUMMYFUNCTION("""COMPUTED_VALUE"""),30.92)</f>
        <v>30.92</v>
      </c>
      <c r="L35" s="1">
        <f ca="1">IFERROR(__xludf.DUMMYFUNCTION("""COMPUTED_VALUE"""),378.96)</f>
        <v>378.96</v>
      </c>
      <c r="M35" s="1">
        <f ca="1">IFERROR(__xludf.DUMMYFUNCTION("""COMPUTED_VALUE"""),386)</f>
        <v>386</v>
      </c>
    </row>
    <row r="36" spans="1:13" x14ac:dyDescent="0.25">
      <c r="A36" s="2">
        <f ca="1">IFERROR(__xludf.DUMMYFUNCTION("""COMPUTED_VALUE"""),43885.6666666666)</f>
        <v>43885.666666666599</v>
      </c>
      <c r="B36" s="1">
        <f ca="1">IFERROR(__xludf.DUMMYFUNCTION("""COMPUTED_VALUE"""),74.55)</f>
        <v>74.55</v>
      </c>
      <c r="C36" s="1">
        <f ca="1">IFERROR(__xludf.DUMMYFUNCTION("""COMPUTED_VALUE"""),178.59)</f>
        <v>178.59</v>
      </c>
      <c r="D36" s="1">
        <f ca="1">IFERROR(__xludf.DUMMYFUNCTION("""COMPUTED_VALUE"""),104.8)</f>
        <v>104.8</v>
      </c>
      <c r="E36" s="1">
        <f ca="1">IFERROR(__xludf.DUMMYFUNCTION("""COMPUTED_VALUE"""),7.35)</f>
        <v>7.35</v>
      </c>
      <c r="F36" s="1">
        <f ca="1">IFERROR(__xludf.DUMMYFUNCTION("""COMPUTED_VALUE"""),210.18)</f>
        <v>210.18</v>
      </c>
      <c r="G36" s="1">
        <f ca="1">IFERROR(__xludf.DUMMYFUNCTION("""COMPUTED_VALUE"""),74.26)</f>
        <v>74.260000000000005</v>
      </c>
      <c r="H36" s="1">
        <f ca="1">IFERROR(__xludf.DUMMYFUNCTION("""COMPUTED_VALUE"""),60.07)</f>
        <v>60.07</v>
      </c>
      <c r="I36" s="1">
        <f ca="1">IFERROR(__xludf.DUMMYFUNCTION("""COMPUTED_VALUE"""),145.85)</f>
        <v>145.85</v>
      </c>
      <c r="J36" s="1">
        <f ca="1">IFERROR(__xludf.DUMMYFUNCTION("""COMPUTED_VALUE"""),321.95)</f>
        <v>321.95</v>
      </c>
      <c r="K36" s="1">
        <f ca="1">IFERROR(__xludf.DUMMYFUNCTION("""COMPUTED_VALUE"""),30.45)</f>
        <v>30.45</v>
      </c>
      <c r="L36" s="1">
        <f ca="1">IFERROR(__xludf.DUMMYFUNCTION("""COMPUTED_VALUE"""),372.95)</f>
        <v>372.95</v>
      </c>
      <c r="M36" s="1">
        <f ca="1">IFERROR(__xludf.DUMMYFUNCTION("""COMPUTED_VALUE"""),380.07)</f>
        <v>380.07</v>
      </c>
    </row>
    <row r="37" spans="1:13" x14ac:dyDescent="0.25">
      <c r="A37" s="2">
        <f ca="1">IFERROR(__xludf.DUMMYFUNCTION("""COMPUTED_VALUE"""),43886.6666666666)</f>
        <v>43886.666666666599</v>
      </c>
      <c r="B37" s="1">
        <f ca="1">IFERROR(__xludf.DUMMYFUNCTION("""COMPUTED_VALUE"""),72.02)</f>
        <v>72.02</v>
      </c>
      <c r="C37" s="1">
        <f ca="1">IFERROR(__xludf.DUMMYFUNCTION("""COMPUTED_VALUE"""),170.89)</f>
        <v>170.89</v>
      </c>
      <c r="D37" s="1">
        <f ca="1">IFERROR(__xludf.DUMMYFUNCTION("""COMPUTED_VALUE"""),100.46)</f>
        <v>100.46</v>
      </c>
      <c r="E37" s="1">
        <f ca="1">IFERROR(__xludf.DUMMYFUNCTION("""COMPUTED_VALUE"""),6.83)</f>
        <v>6.83</v>
      </c>
      <c r="F37" s="1">
        <f ca="1">IFERROR(__xludf.DUMMYFUNCTION("""COMPUTED_VALUE"""),200.72)</f>
        <v>200.72</v>
      </c>
      <c r="G37" s="1">
        <f ca="1">IFERROR(__xludf.DUMMYFUNCTION("""COMPUTED_VALUE"""),71.08)</f>
        <v>71.08</v>
      </c>
      <c r="H37" s="1">
        <f ca="1">IFERROR(__xludf.DUMMYFUNCTION("""COMPUTED_VALUE"""),55.59)</f>
        <v>55.59</v>
      </c>
      <c r="I37" s="1">
        <f ca="1">IFERROR(__xludf.DUMMYFUNCTION("""COMPUTED_VALUE"""),142.64)</f>
        <v>142.63999999999999</v>
      </c>
      <c r="J37" s="1">
        <f ca="1">IFERROR(__xludf.DUMMYFUNCTION("""COMPUTED_VALUE"""),313.62)</f>
        <v>313.62</v>
      </c>
      <c r="K37" s="1">
        <f ca="1">IFERROR(__xludf.DUMMYFUNCTION("""COMPUTED_VALUE"""),29.16)</f>
        <v>29.16</v>
      </c>
      <c r="L37" s="1">
        <f ca="1">IFERROR(__xludf.DUMMYFUNCTION("""COMPUTED_VALUE"""),357.41)</f>
        <v>357.41</v>
      </c>
      <c r="M37" s="1">
        <f ca="1">IFERROR(__xludf.DUMMYFUNCTION("""COMPUTED_VALUE"""),368.7)</f>
        <v>368.7</v>
      </c>
    </row>
    <row r="38" spans="1:13" x14ac:dyDescent="0.25">
      <c r="A38" s="2">
        <f ca="1">IFERROR(__xludf.DUMMYFUNCTION("""COMPUTED_VALUE"""),43887.6666666666)</f>
        <v>43887.666666666599</v>
      </c>
      <c r="B38" s="1">
        <f ca="1">IFERROR(__xludf.DUMMYFUNCTION("""COMPUTED_VALUE"""),73.16)</f>
        <v>73.16</v>
      </c>
      <c r="C38" s="1">
        <f ca="1">IFERROR(__xludf.DUMMYFUNCTION("""COMPUTED_VALUE"""),168.07)</f>
        <v>168.07</v>
      </c>
      <c r="D38" s="1">
        <f ca="1">IFERROR(__xludf.DUMMYFUNCTION("""COMPUTED_VALUE"""),98.64)</f>
        <v>98.64</v>
      </c>
      <c r="E38" s="1">
        <f ca="1">IFERROR(__xludf.DUMMYFUNCTION("""COMPUTED_VALUE"""),6.55)</f>
        <v>6.55</v>
      </c>
      <c r="F38" s="1">
        <f ca="1">IFERROR(__xludf.DUMMYFUNCTION("""COMPUTED_VALUE"""),196.77)</f>
        <v>196.77</v>
      </c>
      <c r="G38" s="1">
        <f ca="1">IFERROR(__xludf.DUMMYFUNCTION("""COMPUTED_VALUE"""),69.42)</f>
        <v>69.42</v>
      </c>
      <c r="H38" s="1">
        <f ca="1">IFERROR(__xludf.DUMMYFUNCTION("""COMPUTED_VALUE"""),53.33)</f>
        <v>53.33</v>
      </c>
      <c r="I38" s="1">
        <f ca="1">IFERROR(__xludf.DUMMYFUNCTION("""COMPUTED_VALUE"""),141.1)</f>
        <v>141.1</v>
      </c>
      <c r="J38" s="1">
        <f ca="1">IFERROR(__xludf.DUMMYFUNCTION("""COMPUTED_VALUE"""),304.87)</f>
        <v>304.87</v>
      </c>
      <c r="K38" s="1">
        <f ca="1">IFERROR(__xludf.DUMMYFUNCTION("""COMPUTED_VALUE"""),28.27)</f>
        <v>28.27</v>
      </c>
      <c r="L38" s="1">
        <f ca="1">IFERROR(__xludf.DUMMYFUNCTION("""COMPUTED_VALUE"""),347.8)</f>
        <v>347.8</v>
      </c>
      <c r="M38" s="1">
        <f ca="1">IFERROR(__xludf.DUMMYFUNCTION("""COMPUTED_VALUE"""),360.09)</f>
        <v>360.09</v>
      </c>
    </row>
    <row r="39" spans="1:13" x14ac:dyDescent="0.25">
      <c r="A39" s="2">
        <f ca="1">IFERROR(__xludf.DUMMYFUNCTION("""COMPUTED_VALUE"""),43888.6666666666)</f>
        <v>43888.666666666599</v>
      </c>
      <c r="B39" s="1">
        <f ca="1">IFERROR(__xludf.DUMMYFUNCTION("""COMPUTED_VALUE"""),68.38)</f>
        <v>68.38</v>
      </c>
      <c r="C39" s="1">
        <f ca="1">IFERROR(__xludf.DUMMYFUNCTION("""COMPUTED_VALUE"""),170.17)</f>
        <v>170.17</v>
      </c>
      <c r="D39" s="1">
        <f ca="1">IFERROR(__xludf.DUMMYFUNCTION("""COMPUTED_VALUE"""),98.98)</f>
        <v>98.98</v>
      </c>
      <c r="E39" s="1">
        <f ca="1">IFERROR(__xludf.DUMMYFUNCTION("""COMPUTED_VALUE"""),6.69)</f>
        <v>6.69</v>
      </c>
      <c r="F39" s="1">
        <f ca="1">IFERROR(__xludf.DUMMYFUNCTION("""COMPUTED_VALUE"""),197.2)</f>
        <v>197.2</v>
      </c>
      <c r="G39" s="1">
        <f ca="1">IFERROR(__xludf.DUMMYFUNCTION("""COMPUTED_VALUE"""),69.66)</f>
        <v>69.66</v>
      </c>
      <c r="H39" s="1">
        <f ca="1">IFERROR(__xludf.DUMMYFUNCTION("""COMPUTED_VALUE"""),51.92)</f>
        <v>51.92</v>
      </c>
      <c r="I39" s="1">
        <f ca="1">IFERROR(__xludf.DUMMYFUNCTION("""COMPUTED_VALUE"""),141.98)</f>
        <v>141.97999999999999</v>
      </c>
      <c r="J39" s="1">
        <f ca="1">IFERROR(__xludf.DUMMYFUNCTION("""COMPUTED_VALUE"""),305.69)</f>
        <v>305.69</v>
      </c>
      <c r="K39" s="1">
        <f ca="1">IFERROR(__xludf.DUMMYFUNCTION("""COMPUTED_VALUE"""),28.59)</f>
        <v>28.59</v>
      </c>
      <c r="L39" s="1">
        <f ca="1">IFERROR(__xludf.DUMMYFUNCTION("""COMPUTED_VALUE"""),351.34)</f>
        <v>351.34</v>
      </c>
      <c r="M39" s="1">
        <f ca="1">IFERROR(__xludf.DUMMYFUNCTION("""COMPUTED_VALUE"""),379.24)</f>
        <v>379.24</v>
      </c>
    </row>
    <row r="40" spans="1:13" x14ac:dyDescent="0.25">
      <c r="A40" s="2">
        <f ca="1">IFERROR(__xludf.DUMMYFUNCTION("""COMPUTED_VALUE"""),43889.6666666666)</f>
        <v>43889.666666666599</v>
      </c>
      <c r="B40" s="1">
        <f ca="1">IFERROR(__xludf.DUMMYFUNCTION("""COMPUTED_VALUE"""),68.34)</f>
        <v>68.34</v>
      </c>
      <c r="C40" s="1">
        <f ca="1">IFERROR(__xludf.DUMMYFUNCTION("""COMPUTED_VALUE"""),158.18)</f>
        <v>158.18</v>
      </c>
      <c r="D40" s="1">
        <f ca="1">IFERROR(__xludf.DUMMYFUNCTION("""COMPUTED_VALUE"""),94.22)</f>
        <v>94.22</v>
      </c>
      <c r="E40" s="1">
        <f ca="1">IFERROR(__xludf.DUMMYFUNCTION("""COMPUTED_VALUE"""),6.32)</f>
        <v>6.32</v>
      </c>
      <c r="F40" s="1">
        <f ca="1">IFERROR(__xludf.DUMMYFUNCTION("""COMPUTED_VALUE"""),189.75)</f>
        <v>189.75</v>
      </c>
      <c r="G40" s="1">
        <f ca="1">IFERROR(__xludf.DUMMYFUNCTION("""COMPUTED_VALUE"""),65.9)</f>
        <v>65.900000000000006</v>
      </c>
      <c r="H40" s="1">
        <f ca="1">IFERROR(__xludf.DUMMYFUNCTION("""COMPUTED_VALUE"""),45.27)</f>
        <v>45.27</v>
      </c>
      <c r="I40" s="1">
        <f ca="1">IFERROR(__xludf.DUMMYFUNCTION("""COMPUTED_VALUE"""),136.37)</f>
        <v>136.37</v>
      </c>
      <c r="J40" s="1">
        <f ca="1">IFERROR(__xludf.DUMMYFUNCTION("""COMPUTED_VALUE"""),293.13)</f>
        <v>293.13</v>
      </c>
      <c r="K40" s="1">
        <f ca="1">IFERROR(__xludf.DUMMYFUNCTION("""COMPUTED_VALUE"""),27.4)</f>
        <v>27.4</v>
      </c>
      <c r="L40" s="1">
        <f ca="1">IFERROR(__xludf.DUMMYFUNCTION("""COMPUTED_VALUE"""),337.52)</f>
        <v>337.52</v>
      </c>
      <c r="M40" s="1">
        <f ca="1">IFERROR(__xludf.DUMMYFUNCTION("""COMPUTED_VALUE"""),371.71)</f>
        <v>371.71</v>
      </c>
    </row>
    <row r="41" spans="1:13" x14ac:dyDescent="0.25">
      <c r="A41" s="2">
        <f ca="1">IFERROR(__xludf.DUMMYFUNCTION("""COMPUTED_VALUE"""),43892.6666666666)</f>
        <v>43892.666666666599</v>
      </c>
      <c r="B41" s="1">
        <f ca="1">IFERROR(__xludf.DUMMYFUNCTION("""COMPUTED_VALUE"""),74.7)</f>
        <v>74.7</v>
      </c>
      <c r="C41" s="1">
        <f ca="1">IFERROR(__xludf.DUMMYFUNCTION("""COMPUTED_VALUE"""),162.01)</f>
        <v>162.01</v>
      </c>
      <c r="D41" s="1">
        <f ca="1">IFERROR(__xludf.DUMMYFUNCTION("""COMPUTED_VALUE"""),94.19)</f>
        <v>94.19</v>
      </c>
      <c r="E41" s="1">
        <f ca="1">IFERROR(__xludf.DUMMYFUNCTION("""COMPUTED_VALUE"""),6.75)</f>
        <v>6.75</v>
      </c>
      <c r="F41" s="1">
        <f ca="1">IFERROR(__xludf.DUMMYFUNCTION("""COMPUTED_VALUE"""),192.47)</f>
        <v>192.47</v>
      </c>
      <c r="G41" s="1">
        <f ca="1">IFERROR(__xludf.DUMMYFUNCTION("""COMPUTED_VALUE"""),66.97)</f>
        <v>66.97</v>
      </c>
      <c r="H41" s="1">
        <f ca="1">IFERROR(__xludf.DUMMYFUNCTION("""COMPUTED_VALUE"""),44.53)</f>
        <v>44.53</v>
      </c>
      <c r="I41" s="1">
        <f ca="1">IFERROR(__xludf.DUMMYFUNCTION("""COMPUTED_VALUE"""),132.03)</f>
        <v>132.03</v>
      </c>
      <c r="J41" s="1">
        <f ca="1">IFERROR(__xludf.DUMMYFUNCTION("""COMPUTED_VALUE"""),281.14)</f>
        <v>281.14</v>
      </c>
      <c r="K41" s="1">
        <f ca="1">IFERROR(__xludf.DUMMYFUNCTION("""COMPUTED_VALUE"""),27.26)</f>
        <v>27.26</v>
      </c>
      <c r="L41" s="1">
        <f ca="1">IFERROR(__xludf.DUMMYFUNCTION("""COMPUTED_VALUE"""),345.12)</f>
        <v>345.12</v>
      </c>
      <c r="M41" s="1">
        <f ca="1">IFERROR(__xludf.DUMMYFUNCTION("""COMPUTED_VALUE"""),369.03)</f>
        <v>369.03</v>
      </c>
    </row>
    <row r="42" spans="1:13" x14ac:dyDescent="0.25">
      <c r="A42" s="2">
        <f ca="1">IFERROR(__xludf.DUMMYFUNCTION("""COMPUTED_VALUE"""),43893.6666666666)</f>
        <v>43893.666666666599</v>
      </c>
      <c r="B42" s="1">
        <f ca="1">IFERROR(__xludf.DUMMYFUNCTION("""COMPUTED_VALUE"""),72.33)</f>
        <v>72.33</v>
      </c>
      <c r="C42" s="1">
        <f ca="1">IFERROR(__xludf.DUMMYFUNCTION("""COMPUTED_VALUE"""),172.79)</f>
        <v>172.79</v>
      </c>
      <c r="D42" s="1">
        <f ca="1">IFERROR(__xludf.DUMMYFUNCTION("""COMPUTED_VALUE"""),97.7)</f>
        <v>97.7</v>
      </c>
      <c r="E42" s="1">
        <f ca="1">IFERROR(__xludf.DUMMYFUNCTION("""COMPUTED_VALUE"""),6.91)</f>
        <v>6.91</v>
      </c>
      <c r="F42" s="1">
        <f ca="1">IFERROR(__xludf.DUMMYFUNCTION("""COMPUTED_VALUE"""),196.44)</f>
        <v>196.44</v>
      </c>
      <c r="G42" s="1">
        <f ca="1">IFERROR(__xludf.DUMMYFUNCTION("""COMPUTED_VALUE"""),69.46)</f>
        <v>69.459999999999994</v>
      </c>
      <c r="H42" s="1">
        <f ca="1">IFERROR(__xludf.DUMMYFUNCTION("""COMPUTED_VALUE"""),49.57)</f>
        <v>49.57</v>
      </c>
      <c r="I42" s="1">
        <f ca="1">IFERROR(__xludf.DUMMYFUNCTION("""COMPUTED_VALUE"""),137.58)</f>
        <v>137.58000000000001</v>
      </c>
      <c r="J42" s="1">
        <f ca="1">IFERROR(__xludf.DUMMYFUNCTION("""COMPUTED_VALUE"""),309.14)</f>
        <v>309.14</v>
      </c>
      <c r="K42" s="1">
        <f ca="1">IFERROR(__xludf.DUMMYFUNCTION("""COMPUTED_VALUE"""),28.5)</f>
        <v>28.5</v>
      </c>
      <c r="L42" s="1">
        <f ca="1">IFERROR(__xludf.DUMMYFUNCTION("""COMPUTED_VALUE"""),360.28)</f>
        <v>360.28</v>
      </c>
      <c r="M42" s="1">
        <f ca="1">IFERROR(__xludf.DUMMYFUNCTION("""COMPUTED_VALUE"""),381.05)</f>
        <v>381.05</v>
      </c>
    </row>
    <row r="43" spans="1:13" x14ac:dyDescent="0.25">
      <c r="A43" s="2">
        <f ca="1">IFERROR(__xludf.DUMMYFUNCTION("""COMPUTED_VALUE"""),43894.6666666666)</f>
        <v>43894.666666666599</v>
      </c>
      <c r="B43" s="1">
        <f ca="1">IFERROR(__xludf.DUMMYFUNCTION("""COMPUTED_VALUE"""),75.69)</f>
        <v>75.69</v>
      </c>
      <c r="C43" s="1">
        <f ca="1">IFERROR(__xludf.DUMMYFUNCTION("""COMPUTED_VALUE"""),164.51)</f>
        <v>164.51</v>
      </c>
      <c r="D43" s="1">
        <f ca="1">IFERROR(__xludf.DUMMYFUNCTION("""COMPUTED_VALUE"""),95.45)</f>
        <v>95.45</v>
      </c>
      <c r="E43" s="1">
        <f ca="1">IFERROR(__xludf.DUMMYFUNCTION("""COMPUTED_VALUE"""),6.65)</f>
        <v>6.65</v>
      </c>
      <c r="F43" s="1">
        <f ca="1">IFERROR(__xludf.DUMMYFUNCTION("""COMPUTED_VALUE"""),185.89)</f>
        <v>185.89</v>
      </c>
      <c r="G43" s="1">
        <f ca="1">IFERROR(__xludf.DUMMYFUNCTION("""COMPUTED_VALUE"""),67.07)</f>
        <v>67.069999999999993</v>
      </c>
      <c r="H43" s="1">
        <f ca="1">IFERROR(__xludf.DUMMYFUNCTION("""COMPUTED_VALUE"""),49.7)</f>
        <v>49.7</v>
      </c>
      <c r="I43" s="1">
        <f ca="1">IFERROR(__xludf.DUMMYFUNCTION("""COMPUTED_VALUE"""),135.58)</f>
        <v>135.58000000000001</v>
      </c>
      <c r="J43" s="1">
        <f ca="1">IFERROR(__xludf.DUMMYFUNCTION("""COMPUTED_VALUE"""),302.73)</f>
        <v>302.73</v>
      </c>
      <c r="K43" s="1">
        <f ca="1">IFERROR(__xludf.DUMMYFUNCTION("""COMPUTED_VALUE"""),27.43)</f>
        <v>27.43</v>
      </c>
      <c r="L43" s="1">
        <f ca="1">IFERROR(__xludf.DUMMYFUNCTION("""COMPUTED_VALUE"""),348.34)</f>
        <v>348.34</v>
      </c>
      <c r="M43" s="1">
        <f ca="1">IFERROR(__xludf.DUMMYFUNCTION("""COMPUTED_VALUE"""),368.77)</f>
        <v>368.77</v>
      </c>
    </row>
    <row r="44" spans="1:13" x14ac:dyDescent="0.25">
      <c r="A44" s="2">
        <f ca="1">IFERROR(__xludf.DUMMYFUNCTION("""COMPUTED_VALUE"""),43895.6666666666)</f>
        <v>43895.666666666599</v>
      </c>
      <c r="B44" s="1">
        <f ca="1">IFERROR(__xludf.DUMMYFUNCTION("""COMPUTED_VALUE"""),73.23)</f>
        <v>73.23</v>
      </c>
      <c r="C44" s="1">
        <f ca="1">IFERROR(__xludf.DUMMYFUNCTION("""COMPUTED_VALUE"""),170.55)</f>
        <v>170.55</v>
      </c>
      <c r="D44" s="1">
        <f ca="1">IFERROR(__xludf.DUMMYFUNCTION("""COMPUTED_VALUE"""),98.79)</f>
        <v>98.79</v>
      </c>
      <c r="E44" s="1">
        <f ca="1">IFERROR(__xludf.DUMMYFUNCTION("""COMPUTED_VALUE"""),7.11)</f>
        <v>7.11</v>
      </c>
      <c r="F44" s="1">
        <f ca="1">IFERROR(__xludf.DUMMYFUNCTION("""COMPUTED_VALUE"""),191.76)</f>
        <v>191.76</v>
      </c>
      <c r="G44" s="1">
        <f ca="1">IFERROR(__xludf.DUMMYFUNCTION("""COMPUTED_VALUE"""),69.33)</f>
        <v>69.33</v>
      </c>
      <c r="H44" s="1">
        <f ca="1">IFERROR(__xludf.DUMMYFUNCTION("""COMPUTED_VALUE"""),49.97)</f>
        <v>49.97</v>
      </c>
      <c r="I44" s="1">
        <f ca="1">IFERROR(__xludf.DUMMYFUNCTION("""COMPUTED_VALUE"""),142.39)</f>
        <v>142.38999999999999</v>
      </c>
      <c r="J44" s="1">
        <f ca="1">IFERROR(__xludf.DUMMYFUNCTION("""COMPUTED_VALUE"""),320.74)</f>
        <v>320.74</v>
      </c>
      <c r="K44" s="1">
        <f ca="1">IFERROR(__xludf.DUMMYFUNCTION("""COMPUTED_VALUE"""),28.55)</f>
        <v>28.55</v>
      </c>
      <c r="L44" s="1">
        <f ca="1">IFERROR(__xludf.DUMMYFUNCTION("""COMPUTED_VALUE"""),363.85)</f>
        <v>363.85</v>
      </c>
      <c r="M44" s="1">
        <f ca="1">IFERROR(__xludf.DUMMYFUNCTION("""COMPUTED_VALUE"""),383.79)</f>
        <v>383.79</v>
      </c>
    </row>
    <row r="45" spans="1:13" x14ac:dyDescent="0.25">
      <c r="A45" s="2">
        <f ca="1">IFERROR(__xludf.DUMMYFUNCTION("""COMPUTED_VALUE"""),43896.6666666666)</f>
        <v>43896.666666666599</v>
      </c>
      <c r="B45" s="1">
        <f ca="1">IFERROR(__xludf.DUMMYFUNCTION("""COMPUTED_VALUE"""),72.26)</f>
        <v>72.260000000000005</v>
      </c>
      <c r="C45" s="1">
        <f ca="1">IFERROR(__xludf.DUMMYFUNCTION("""COMPUTED_VALUE"""),166.27)</f>
        <v>166.27</v>
      </c>
      <c r="D45" s="1">
        <f ca="1">IFERROR(__xludf.DUMMYFUNCTION("""COMPUTED_VALUE"""),96.2)</f>
        <v>96.2</v>
      </c>
      <c r="E45" s="1">
        <f ca="1">IFERROR(__xludf.DUMMYFUNCTION("""COMPUTED_VALUE"""),6.83)</f>
        <v>6.83</v>
      </c>
      <c r="F45" s="1">
        <f ca="1">IFERROR(__xludf.DUMMYFUNCTION("""COMPUTED_VALUE"""),185.17)</f>
        <v>185.17</v>
      </c>
      <c r="G45" s="1">
        <f ca="1">IFERROR(__xludf.DUMMYFUNCTION("""COMPUTED_VALUE"""),65.95)</f>
        <v>65.95</v>
      </c>
      <c r="H45" s="1">
        <f ca="1">IFERROR(__xludf.DUMMYFUNCTION("""COMPUTED_VALUE"""),48.3)</f>
        <v>48.3</v>
      </c>
      <c r="I45" s="1">
        <f ca="1">IFERROR(__xludf.DUMMYFUNCTION("""COMPUTED_VALUE"""),138.1)</f>
        <v>138.1</v>
      </c>
      <c r="J45" s="1">
        <f ca="1">IFERROR(__xludf.DUMMYFUNCTION("""COMPUTED_VALUE"""),315.76)</f>
        <v>315.76</v>
      </c>
      <c r="K45" s="1">
        <f ca="1">IFERROR(__xludf.DUMMYFUNCTION("""COMPUTED_VALUE"""),27.4)</f>
        <v>27.4</v>
      </c>
      <c r="L45" s="1">
        <f ca="1">IFERROR(__xludf.DUMMYFUNCTION("""COMPUTED_VALUE"""),351.03)</f>
        <v>351.03</v>
      </c>
      <c r="M45" s="1">
        <f ca="1">IFERROR(__xludf.DUMMYFUNCTION("""COMPUTED_VALUE"""),372.78)</f>
        <v>372.78</v>
      </c>
    </row>
    <row r="46" spans="1:13" x14ac:dyDescent="0.25">
      <c r="A46" s="2">
        <f ca="1">IFERROR(__xludf.DUMMYFUNCTION("""COMPUTED_VALUE"""),43899.6666666666)</f>
        <v>43899.666666666599</v>
      </c>
      <c r="B46" s="1">
        <f ca="1">IFERROR(__xludf.DUMMYFUNCTION("""COMPUTED_VALUE"""),66.54)</f>
        <v>66.540000000000006</v>
      </c>
      <c r="C46" s="1">
        <f ca="1">IFERROR(__xludf.DUMMYFUNCTION("""COMPUTED_VALUE"""),161.57)</f>
        <v>161.57</v>
      </c>
      <c r="D46" s="1">
        <f ca="1">IFERROR(__xludf.DUMMYFUNCTION("""COMPUTED_VALUE"""),95.05)</f>
        <v>95.05</v>
      </c>
      <c r="E46" s="1">
        <f ca="1">IFERROR(__xludf.DUMMYFUNCTION("""COMPUTED_VALUE"""),6.65)</f>
        <v>6.65</v>
      </c>
      <c r="F46" s="1">
        <f ca="1">IFERROR(__xludf.DUMMYFUNCTION("""COMPUTED_VALUE"""),181.09)</f>
        <v>181.09</v>
      </c>
      <c r="G46" s="1">
        <f ca="1">IFERROR(__xludf.DUMMYFUNCTION("""COMPUTED_VALUE"""),64.92)</f>
        <v>64.92</v>
      </c>
      <c r="H46" s="1">
        <f ca="1">IFERROR(__xludf.DUMMYFUNCTION("""COMPUTED_VALUE"""),46.9)</f>
        <v>46.9</v>
      </c>
      <c r="I46" s="1">
        <f ca="1">IFERROR(__xludf.DUMMYFUNCTION("""COMPUTED_VALUE"""),137.26)</f>
        <v>137.26</v>
      </c>
      <c r="J46" s="1">
        <f ca="1">IFERROR(__xludf.DUMMYFUNCTION("""COMPUTED_VALUE"""),311.34)</f>
        <v>311.33999999999997</v>
      </c>
      <c r="K46" s="1">
        <f ca="1">IFERROR(__xludf.DUMMYFUNCTION("""COMPUTED_VALUE"""),26.95)</f>
        <v>26.95</v>
      </c>
      <c r="L46" s="1">
        <f ca="1">IFERROR(__xludf.DUMMYFUNCTION("""COMPUTED_VALUE"""),336.77)</f>
        <v>336.77</v>
      </c>
      <c r="M46" s="1">
        <f ca="1">IFERROR(__xludf.DUMMYFUNCTION("""COMPUTED_VALUE"""),368.97)</f>
        <v>368.97</v>
      </c>
    </row>
    <row r="47" spans="1:13" x14ac:dyDescent="0.25">
      <c r="A47" s="2">
        <f ca="1">IFERROR(__xludf.DUMMYFUNCTION("""COMPUTED_VALUE"""),43900.6666666666)</f>
        <v>43900.666666666599</v>
      </c>
      <c r="B47" s="1">
        <f ca="1">IFERROR(__xludf.DUMMYFUNCTION("""COMPUTED_VALUE"""),71.33)</f>
        <v>71.33</v>
      </c>
      <c r="C47" s="1">
        <f ca="1">IFERROR(__xludf.DUMMYFUNCTION("""COMPUTED_VALUE"""),150.62)</f>
        <v>150.62</v>
      </c>
      <c r="D47" s="1">
        <f ca="1">IFERROR(__xludf.DUMMYFUNCTION("""COMPUTED_VALUE"""),90.03)</f>
        <v>90.03</v>
      </c>
      <c r="E47" s="1">
        <f ca="1">IFERROR(__xludf.DUMMYFUNCTION("""COMPUTED_VALUE"""),6.14)</f>
        <v>6.14</v>
      </c>
      <c r="F47" s="1">
        <f ca="1">IFERROR(__xludf.DUMMYFUNCTION("""COMPUTED_VALUE"""),169.5)</f>
        <v>169.5</v>
      </c>
      <c r="G47" s="1">
        <f ca="1">IFERROR(__xludf.DUMMYFUNCTION("""COMPUTED_VALUE"""),60.78)</f>
        <v>60.78</v>
      </c>
      <c r="H47" s="1">
        <f ca="1">IFERROR(__xludf.DUMMYFUNCTION("""COMPUTED_VALUE"""),40.53)</f>
        <v>40.53</v>
      </c>
      <c r="I47" s="1">
        <f ca="1">IFERROR(__xludf.DUMMYFUNCTION("""COMPUTED_VALUE"""),130.16)</f>
        <v>130.16</v>
      </c>
      <c r="J47" s="1">
        <f ca="1">IFERROR(__xludf.DUMMYFUNCTION("""COMPUTED_VALUE"""),301.98)</f>
        <v>301.98</v>
      </c>
      <c r="K47" s="1">
        <f ca="1">IFERROR(__xludf.DUMMYFUNCTION("""COMPUTED_VALUE"""),24.77)</f>
        <v>24.77</v>
      </c>
      <c r="L47" s="1">
        <f ca="1">IFERROR(__xludf.DUMMYFUNCTION("""COMPUTED_VALUE"""),305.79)</f>
        <v>305.79000000000002</v>
      </c>
      <c r="M47" s="1">
        <f ca="1">IFERROR(__xludf.DUMMYFUNCTION("""COMPUTED_VALUE"""),346.49)</f>
        <v>346.49</v>
      </c>
    </row>
    <row r="48" spans="1:13" x14ac:dyDescent="0.25">
      <c r="A48" s="2">
        <f ca="1">IFERROR(__xludf.DUMMYFUNCTION("""COMPUTED_VALUE"""),43901.6666666666)</f>
        <v>43901.666666666599</v>
      </c>
      <c r="B48" s="1">
        <f ca="1">IFERROR(__xludf.DUMMYFUNCTION("""COMPUTED_VALUE"""),68.86)</f>
        <v>68.86</v>
      </c>
      <c r="C48" s="1">
        <f ca="1">IFERROR(__xludf.DUMMYFUNCTION("""COMPUTED_VALUE"""),160.92)</f>
        <v>160.91999999999999</v>
      </c>
      <c r="D48" s="1">
        <f ca="1">IFERROR(__xludf.DUMMYFUNCTION("""COMPUTED_VALUE"""),94.59)</f>
        <v>94.59</v>
      </c>
      <c r="E48" s="1">
        <f ca="1">IFERROR(__xludf.DUMMYFUNCTION("""COMPUTED_VALUE"""),6.53)</f>
        <v>6.53</v>
      </c>
      <c r="F48" s="1">
        <f ca="1">IFERROR(__xludf.DUMMYFUNCTION("""COMPUTED_VALUE"""),178.19)</f>
        <v>178.19</v>
      </c>
      <c r="G48" s="1">
        <f ca="1">IFERROR(__xludf.DUMMYFUNCTION("""COMPUTED_VALUE"""),64.02)</f>
        <v>64.02</v>
      </c>
      <c r="H48" s="1">
        <f ca="1">IFERROR(__xludf.DUMMYFUNCTION("""COMPUTED_VALUE"""),43.02)</f>
        <v>43.02</v>
      </c>
      <c r="I48" s="1">
        <f ca="1">IFERROR(__xludf.DUMMYFUNCTION("""COMPUTED_VALUE"""),134.14)</f>
        <v>134.13999999999999</v>
      </c>
      <c r="J48" s="1">
        <f ca="1">IFERROR(__xludf.DUMMYFUNCTION("""COMPUTED_VALUE"""),309.4)</f>
        <v>309.39999999999998</v>
      </c>
      <c r="K48" s="1">
        <f ca="1">IFERROR(__xludf.DUMMYFUNCTION("""COMPUTED_VALUE"""),26.29)</f>
        <v>26.29</v>
      </c>
      <c r="L48" s="1">
        <f ca="1">IFERROR(__xludf.DUMMYFUNCTION("""COMPUTED_VALUE"""),332.38)</f>
        <v>332.38</v>
      </c>
      <c r="M48" s="1">
        <f ca="1">IFERROR(__xludf.DUMMYFUNCTION("""COMPUTED_VALUE"""),364.13)</f>
        <v>364.13</v>
      </c>
    </row>
    <row r="49" spans="1:13" x14ac:dyDescent="0.25">
      <c r="A49" s="2">
        <f ca="1">IFERROR(__xludf.DUMMYFUNCTION("""COMPUTED_VALUE"""),43902.6666666666)</f>
        <v>43902.666666666599</v>
      </c>
      <c r="B49" s="1">
        <f ca="1">IFERROR(__xludf.DUMMYFUNCTION("""COMPUTED_VALUE"""),62.06)</f>
        <v>62.06</v>
      </c>
      <c r="C49" s="1">
        <f ca="1">IFERROR(__xludf.DUMMYFUNCTION("""COMPUTED_VALUE"""),153.63)</f>
        <v>153.63</v>
      </c>
      <c r="D49" s="1">
        <f ca="1">IFERROR(__xludf.DUMMYFUNCTION("""COMPUTED_VALUE"""),91.04)</f>
        <v>91.04</v>
      </c>
      <c r="E49" s="1">
        <f ca="1">IFERROR(__xludf.DUMMYFUNCTION("""COMPUTED_VALUE"""),6.16)</f>
        <v>6.16</v>
      </c>
      <c r="F49" s="1">
        <f ca="1">IFERROR(__xludf.DUMMYFUNCTION("""COMPUTED_VALUE"""),170.24)</f>
        <v>170.24</v>
      </c>
      <c r="G49" s="1">
        <f ca="1">IFERROR(__xludf.DUMMYFUNCTION("""COMPUTED_VALUE"""),60.77)</f>
        <v>60.77</v>
      </c>
      <c r="H49" s="1">
        <f ca="1">IFERROR(__xludf.DUMMYFUNCTION("""COMPUTED_VALUE"""),42.28)</f>
        <v>42.28</v>
      </c>
      <c r="I49" s="1">
        <f ca="1">IFERROR(__xludf.DUMMYFUNCTION("""COMPUTED_VALUE"""),129.75)</f>
        <v>129.75</v>
      </c>
      <c r="J49" s="1">
        <f ca="1">IFERROR(__xludf.DUMMYFUNCTION("""COMPUTED_VALUE"""),297.43)</f>
        <v>297.43</v>
      </c>
      <c r="K49" s="1">
        <f ca="1">IFERROR(__xludf.DUMMYFUNCTION("""COMPUTED_VALUE"""),24.6)</f>
        <v>24.6</v>
      </c>
      <c r="L49" s="1">
        <f ca="1">IFERROR(__xludf.DUMMYFUNCTION("""COMPUTED_VALUE"""),315.23)</f>
        <v>315.23</v>
      </c>
      <c r="M49" s="1">
        <f ca="1">IFERROR(__xludf.DUMMYFUNCTION("""COMPUTED_VALUE"""),349.92)</f>
        <v>349.92</v>
      </c>
    </row>
    <row r="50" spans="1:13" x14ac:dyDescent="0.25">
      <c r="A50" s="2">
        <f ca="1">IFERROR(__xludf.DUMMYFUNCTION("""COMPUTED_VALUE"""),43903.6666666666)</f>
        <v>43903.666666666599</v>
      </c>
      <c r="B50" s="1">
        <f ca="1">IFERROR(__xludf.DUMMYFUNCTION("""COMPUTED_VALUE"""),69.49)</f>
        <v>69.489999999999995</v>
      </c>
      <c r="C50" s="1">
        <f ca="1">IFERROR(__xludf.DUMMYFUNCTION("""COMPUTED_VALUE"""),139.06)</f>
        <v>139.06</v>
      </c>
      <c r="D50" s="1">
        <f ca="1">IFERROR(__xludf.DUMMYFUNCTION("""COMPUTED_VALUE"""),83.83)</f>
        <v>83.83</v>
      </c>
      <c r="E50" s="1">
        <f ca="1">IFERROR(__xludf.DUMMYFUNCTION("""COMPUTED_VALUE"""),5.41)</f>
        <v>5.41</v>
      </c>
      <c r="F50" s="1">
        <f ca="1">IFERROR(__xludf.DUMMYFUNCTION("""COMPUTED_VALUE"""),154.47)</f>
        <v>154.47</v>
      </c>
      <c r="G50" s="1">
        <f ca="1">IFERROR(__xludf.DUMMYFUNCTION("""COMPUTED_VALUE"""),55.75)</f>
        <v>55.75</v>
      </c>
      <c r="H50" s="1">
        <f ca="1">IFERROR(__xludf.DUMMYFUNCTION("""COMPUTED_VALUE"""),37.37)</f>
        <v>37.369999999999997</v>
      </c>
      <c r="I50" s="1">
        <f ca="1">IFERROR(__xludf.DUMMYFUNCTION("""COMPUTED_VALUE"""),115.34)</f>
        <v>115.34</v>
      </c>
      <c r="J50" s="1">
        <f ca="1">IFERROR(__xludf.DUMMYFUNCTION("""COMPUTED_VALUE"""),279.85)</f>
        <v>279.85000000000002</v>
      </c>
      <c r="K50" s="1">
        <f ca="1">IFERROR(__xludf.DUMMYFUNCTION("""COMPUTED_VALUE"""),21.88)</f>
        <v>21.88</v>
      </c>
      <c r="L50" s="1">
        <f ca="1">IFERROR(__xludf.DUMMYFUNCTION("""COMPUTED_VALUE"""),285)</f>
        <v>285</v>
      </c>
      <c r="M50" s="1">
        <f ca="1">IFERROR(__xludf.DUMMYFUNCTION("""COMPUTED_VALUE"""),315.25)</f>
        <v>315.25</v>
      </c>
    </row>
    <row r="51" spans="1:13" x14ac:dyDescent="0.25">
      <c r="A51" s="2">
        <f ca="1">IFERROR(__xludf.DUMMYFUNCTION("""COMPUTED_VALUE"""),43906.6666666666)</f>
        <v>43906.666666666599</v>
      </c>
      <c r="B51" s="1">
        <f ca="1">IFERROR(__xludf.DUMMYFUNCTION("""COMPUTED_VALUE"""),60.55)</f>
        <v>60.55</v>
      </c>
      <c r="C51" s="1">
        <f ca="1">IFERROR(__xludf.DUMMYFUNCTION("""COMPUTED_VALUE"""),158.83)</f>
        <v>158.83000000000001</v>
      </c>
      <c r="D51" s="1">
        <f ca="1">IFERROR(__xludf.DUMMYFUNCTION("""COMPUTED_VALUE"""),89.25)</f>
        <v>89.25</v>
      </c>
      <c r="E51" s="1">
        <f ca="1">IFERROR(__xludf.DUMMYFUNCTION("""COMPUTED_VALUE"""),6.02)</f>
        <v>6.02</v>
      </c>
      <c r="F51" s="1">
        <f ca="1">IFERROR(__xludf.DUMMYFUNCTION("""COMPUTED_VALUE"""),170.28)</f>
        <v>170.28</v>
      </c>
      <c r="G51" s="1">
        <f ca="1">IFERROR(__xludf.DUMMYFUNCTION("""COMPUTED_VALUE"""),60.99)</f>
        <v>60.99</v>
      </c>
      <c r="H51" s="1">
        <f ca="1">IFERROR(__xludf.DUMMYFUNCTION("""COMPUTED_VALUE"""),36.44)</f>
        <v>36.44</v>
      </c>
      <c r="I51" s="1">
        <f ca="1">IFERROR(__xludf.DUMMYFUNCTION("""COMPUTED_VALUE"""),127.45)</f>
        <v>127.45</v>
      </c>
      <c r="J51" s="1">
        <f ca="1">IFERROR(__xludf.DUMMYFUNCTION("""COMPUTED_VALUE"""),302.27)</f>
        <v>302.27</v>
      </c>
      <c r="K51" s="1">
        <f ca="1">IFERROR(__xludf.DUMMYFUNCTION("""COMPUTED_VALUE"""),23.42)</f>
        <v>23.42</v>
      </c>
      <c r="L51" s="1">
        <f ca="1">IFERROR(__xludf.DUMMYFUNCTION("""COMPUTED_VALUE"""),335.5)</f>
        <v>335.5</v>
      </c>
      <c r="M51" s="1">
        <f ca="1">IFERROR(__xludf.DUMMYFUNCTION("""COMPUTED_VALUE"""),336.3)</f>
        <v>336.3</v>
      </c>
    </row>
    <row r="52" spans="1:13" x14ac:dyDescent="0.25">
      <c r="A52" s="2">
        <f ca="1">IFERROR(__xludf.DUMMYFUNCTION("""COMPUTED_VALUE"""),43907.6666666666)</f>
        <v>43907.666666666599</v>
      </c>
      <c r="B52" s="1">
        <f ca="1">IFERROR(__xludf.DUMMYFUNCTION("""COMPUTED_VALUE"""),63.22)</f>
        <v>63.22</v>
      </c>
      <c r="C52" s="1">
        <f ca="1">IFERROR(__xludf.DUMMYFUNCTION("""COMPUTED_VALUE"""),135.42)</f>
        <v>135.41999999999999</v>
      </c>
      <c r="D52" s="1">
        <f ca="1">IFERROR(__xludf.DUMMYFUNCTION("""COMPUTED_VALUE"""),84.46)</f>
        <v>84.46</v>
      </c>
      <c r="E52" s="1">
        <f ca="1">IFERROR(__xludf.DUMMYFUNCTION("""COMPUTED_VALUE"""),4.91)</f>
        <v>4.91</v>
      </c>
      <c r="F52" s="1">
        <f ca="1">IFERROR(__xludf.DUMMYFUNCTION("""COMPUTED_VALUE"""),146.01)</f>
        <v>146.01</v>
      </c>
      <c r="G52" s="1">
        <f ca="1">IFERROR(__xludf.DUMMYFUNCTION("""COMPUTED_VALUE"""),54.22)</f>
        <v>54.22</v>
      </c>
      <c r="H52" s="1">
        <f ca="1">IFERROR(__xludf.DUMMYFUNCTION("""COMPUTED_VALUE"""),29.67)</f>
        <v>29.67</v>
      </c>
      <c r="I52" s="1">
        <f ca="1">IFERROR(__xludf.DUMMYFUNCTION("""COMPUTED_VALUE"""),113.09)</f>
        <v>113.09</v>
      </c>
      <c r="J52" s="1">
        <f ca="1">IFERROR(__xludf.DUMMYFUNCTION("""COMPUTED_VALUE"""),283.18)</f>
        <v>283.18</v>
      </c>
      <c r="K52" s="1">
        <f ca="1">IFERROR(__xludf.DUMMYFUNCTION("""COMPUTED_VALUE"""),18.76)</f>
        <v>18.760000000000002</v>
      </c>
      <c r="L52" s="1">
        <f ca="1">IFERROR(__xludf.DUMMYFUNCTION("""COMPUTED_VALUE"""),286.03)</f>
        <v>286.02999999999997</v>
      </c>
      <c r="M52" s="1">
        <f ca="1">IFERROR(__xludf.DUMMYFUNCTION("""COMPUTED_VALUE"""),298.84)</f>
        <v>298.83999999999997</v>
      </c>
    </row>
    <row r="53" spans="1:13" x14ac:dyDescent="0.25">
      <c r="A53" s="2">
        <f ca="1">IFERROR(__xludf.DUMMYFUNCTION("""COMPUTED_VALUE"""),43908.6666666666)</f>
        <v>43908.666666666599</v>
      </c>
      <c r="B53" s="1">
        <f ca="1">IFERROR(__xludf.DUMMYFUNCTION("""COMPUTED_VALUE"""),61.67)</f>
        <v>61.67</v>
      </c>
      <c r="C53" s="1">
        <f ca="1">IFERROR(__xludf.DUMMYFUNCTION("""COMPUTED_VALUE"""),146.57)</f>
        <v>146.57</v>
      </c>
      <c r="D53" s="1">
        <f ca="1">IFERROR(__xludf.DUMMYFUNCTION("""COMPUTED_VALUE"""),90.39)</f>
        <v>90.39</v>
      </c>
      <c r="E53" s="1">
        <f ca="1">IFERROR(__xludf.DUMMYFUNCTION("""COMPUTED_VALUE"""),5.43)</f>
        <v>5.43</v>
      </c>
      <c r="F53" s="1">
        <f ca="1">IFERROR(__xludf.DUMMYFUNCTION("""COMPUTED_VALUE"""),149.42)</f>
        <v>149.41999999999999</v>
      </c>
      <c r="G53" s="1">
        <f ca="1">IFERROR(__xludf.DUMMYFUNCTION("""COMPUTED_VALUE"""),55.99)</f>
        <v>55.99</v>
      </c>
      <c r="H53" s="1">
        <f ca="1">IFERROR(__xludf.DUMMYFUNCTION("""COMPUTED_VALUE"""),28.68)</f>
        <v>28.68</v>
      </c>
      <c r="I53" s="1">
        <f ca="1">IFERROR(__xludf.DUMMYFUNCTION("""COMPUTED_VALUE"""),127.72)</f>
        <v>127.72</v>
      </c>
      <c r="J53" s="1">
        <f ca="1">IFERROR(__xludf.DUMMYFUNCTION("""COMPUTED_VALUE"""),306.99)</f>
        <v>306.99</v>
      </c>
      <c r="K53" s="1">
        <f ca="1">IFERROR(__xludf.DUMMYFUNCTION("""COMPUTED_VALUE"""),19.95)</f>
        <v>19.95</v>
      </c>
      <c r="L53" s="1">
        <f ca="1">IFERROR(__xludf.DUMMYFUNCTION("""COMPUTED_VALUE"""),311.81)</f>
        <v>311.81</v>
      </c>
      <c r="M53" s="1">
        <f ca="1">IFERROR(__xludf.DUMMYFUNCTION("""COMPUTED_VALUE"""),319.75)</f>
        <v>319.75</v>
      </c>
    </row>
    <row r="54" spans="1:13" x14ac:dyDescent="0.25">
      <c r="A54" s="2">
        <f ca="1">IFERROR(__xludf.DUMMYFUNCTION("""COMPUTED_VALUE"""),43909.6666666666)</f>
        <v>43909.666666666599</v>
      </c>
      <c r="B54" s="1">
        <f ca="1">IFERROR(__xludf.DUMMYFUNCTION("""COMPUTED_VALUE"""),61.2)</f>
        <v>61.2</v>
      </c>
      <c r="C54" s="1">
        <f ca="1">IFERROR(__xludf.DUMMYFUNCTION("""COMPUTED_VALUE"""),140.4)</f>
        <v>140.4</v>
      </c>
      <c r="D54" s="1">
        <f ca="1">IFERROR(__xludf.DUMMYFUNCTION("""COMPUTED_VALUE"""),91.5)</f>
        <v>91.5</v>
      </c>
      <c r="E54" s="1">
        <f ca="1">IFERROR(__xludf.DUMMYFUNCTION("""COMPUTED_VALUE"""),5.07)</f>
        <v>5.07</v>
      </c>
      <c r="F54" s="1">
        <f ca="1">IFERROR(__xludf.DUMMYFUNCTION("""COMPUTED_VALUE"""),146.96)</f>
        <v>146.96</v>
      </c>
      <c r="G54" s="1">
        <f ca="1">IFERROR(__xludf.DUMMYFUNCTION("""COMPUTED_VALUE"""),54.84)</f>
        <v>54.84</v>
      </c>
      <c r="H54" s="1">
        <f ca="1">IFERROR(__xludf.DUMMYFUNCTION("""COMPUTED_VALUE"""),24.08)</f>
        <v>24.08</v>
      </c>
      <c r="I54" s="1">
        <f ca="1">IFERROR(__xludf.DUMMYFUNCTION("""COMPUTED_VALUE"""),120.92)</f>
        <v>120.92</v>
      </c>
      <c r="J54" s="1">
        <f ca="1">IFERROR(__xludf.DUMMYFUNCTION("""COMPUTED_VALUE"""),307.5)</f>
        <v>307.5</v>
      </c>
      <c r="K54" s="1">
        <f ca="1">IFERROR(__xludf.DUMMYFUNCTION("""COMPUTED_VALUE"""),16.79)</f>
        <v>16.79</v>
      </c>
      <c r="L54" s="1">
        <f ca="1">IFERROR(__xludf.DUMMYFUNCTION("""COMPUTED_VALUE"""),294.61)</f>
        <v>294.61</v>
      </c>
      <c r="M54" s="1">
        <f ca="1">IFERROR(__xludf.DUMMYFUNCTION("""COMPUTED_VALUE"""),315.47)</f>
        <v>315.47000000000003</v>
      </c>
    </row>
    <row r="55" spans="1:13" x14ac:dyDescent="0.25">
      <c r="A55" s="2">
        <f ca="1">IFERROR(__xludf.DUMMYFUNCTION("""COMPUTED_VALUE"""),43910.6666666666)</f>
        <v>43910.666666666599</v>
      </c>
      <c r="B55" s="1">
        <f ca="1">IFERROR(__xludf.DUMMYFUNCTION("""COMPUTED_VALUE"""),57.31)</f>
        <v>57.31</v>
      </c>
      <c r="C55" s="1">
        <f ca="1">IFERROR(__xludf.DUMMYFUNCTION("""COMPUTED_VALUE"""),142.71)</f>
        <v>142.71</v>
      </c>
      <c r="D55" s="1">
        <f ca="1">IFERROR(__xludf.DUMMYFUNCTION("""COMPUTED_VALUE"""),94.05)</f>
        <v>94.05</v>
      </c>
      <c r="E55" s="1">
        <f ca="1">IFERROR(__xludf.DUMMYFUNCTION("""COMPUTED_VALUE"""),5.32)</f>
        <v>5.32</v>
      </c>
      <c r="F55" s="1">
        <f ca="1">IFERROR(__xludf.DUMMYFUNCTION("""COMPUTED_VALUE"""),153.13)</f>
        <v>153.13</v>
      </c>
      <c r="G55" s="1">
        <f ca="1">IFERROR(__xludf.DUMMYFUNCTION("""COMPUTED_VALUE"""),55.76)</f>
        <v>55.76</v>
      </c>
      <c r="H55" s="1">
        <f ca="1">IFERROR(__xludf.DUMMYFUNCTION("""COMPUTED_VALUE"""),28.51)</f>
        <v>28.51</v>
      </c>
      <c r="I55" s="1">
        <f ca="1">IFERROR(__xludf.DUMMYFUNCTION("""COMPUTED_VALUE"""),117.34)</f>
        <v>117.34</v>
      </c>
      <c r="J55" s="1">
        <f ca="1">IFERROR(__xludf.DUMMYFUNCTION("""COMPUTED_VALUE"""),305.22)</f>
        <v>305.22000000000003</v>
      </c>
      <c r="K55" s="1">
        <f ca="1">IFERROR(__xludf.DUMMYFUNCTION("""COMPUTED_VALUE"""),19.45)</f>
        <v>19.45</v>
      </c>
      <c r="L55" s="1">
        <f ca="1">IFERROR(__xludf.DUMMYFUNCTION("""COMPUTED_VALUE"""),307.51)</f>
        <v>307.51</v>
      </c>
      <c r="M55" s="1">
        <f ca="1">IFERROR(__xludf.DUMMYFUNCTION("""COMPUTED_VALUE"""),332.03)</f>
        <v>332.03</v>
      </c>
    </row>
    <row r="56" spans="1:13" x14ac:dyDescent="0.25">
      <c r="A56" s="2">
        <f ca="1">IFERROR(__xludf.DUMMYFUNCTION("""COMPUTED_VALUE"""),43913.6666666666)</f>
        <v>43913.666666666599</v>
      </c>
      <c r="B56" s="1">
        <f ca="1">IFERROR(__xludf.DUMMYFUNCTION("""COMPUTED_VALUE"""),56.09)</f>
        <v>56.09</v>
      </c>
      <c r="C56" s="1">
        <f ca="1">IFERROR(__xludf.DUMMYFUNCTION("""COMPUTED_VALUE"""),137.35)</f>
        <v>137.35</v>
      </c>
      <c r="D56" s="1">
        <f ca="1">IFERROR(__xludf.DUMMYFUNCTION("""COMPUTED_VALUE"""),92.3)</f>
        <v>92.3</v>
      </c>
      <c r="E56" s="1">
        <f ca="1">IFERROR(__xludf.DUMMYFUNCTION("""COMPUTED_VALUE"""),5.14)</f>
        <v>5.14</v>
      </c>
      <c r="F56" s="1">
        <f ca="1">IFERROR(__xludf.DUMMYFUNCTION("""COMPUTED_VALUE"""),149.73)</f>
        <v>149.72999999999999</v>
      </c>
      <c r="G56" s="1">
        <f ca="1">IFERROR(__xludf.DUMMYFUNCTION("""COMPUTED_VALUE"""),53.62)</f>
        <v>53.62</v>
      </c>
      <c r="H56" s="1">
        <f ca="1">IFERROR(__xludf.DUMMYFUNCTION("""COMPUTED_VALUE"""),28.5)</f>
        <v>28.5</v>
      </c>
      <c r="I56" s="1">
        <f ca="1">IFERROR(__xludf.DUMMYFUNCTION("""COMPUTED_VALUE"""),103.93)</f>
        <v>103.93</v>
      </c>
      <c r="J56" s="1">
        <f ca="1">IFERROR(__xludf.DUMMYFUNCTION("""COMPUTED_VALUE"""),290.42)</f>
        <v>290.42</v>
      </c>
      <c r="K56" s="1">
        <f ca="1">IFERROR(__xludf.DUMMYFUNCTION("""COMPUTED_VALUE"""),19.22)</f>
        <v>19.22</v>
      </c>
      <c r="L56" s="1">
        <f ca="1">IFERROR(__xludf.DUMMYFUNCTION("""COMPUTED_VALUE"""),295.34)</f>
        <v>295.33999999999997</v>
      </c>
      <c r="M56" s="1">
        <f ca="1">IFERROR(__xludf.DUMMYFUNCTION("""COMPUTED_VALUE"""),332.83)</f>
        <v>332.83</v>
      </c>
    </row>
    <row r="57" spans="1:13" x14ac:dyDescent="0.25">
      <c r="A57" s="2">
        <f ca="1">IFERROR(__xludf.DUMMYFUNCTION("""COMPUTED_VALUE"""),43914.6666666666)</f>
        <v>43914.666666666599</v>
      </c>
      <c r="B57" s="1">
        <f ca="1">IFERROR(__xludf.DUMMYFUNCTION("""COMPUTED_VALUE"""),61.72)</f>
        <v>61.72</v>
      </c>
      <c r="C57" s="1">
        <f ca="1">IFERROR(__xludf.DUMMYFUNCTION("""COMPUTED_VALUE"""),135.98)</f>
        <v>135.97999999999999</v>
      </c>
      <c r="D57" s="1">
        <f ca="1">IFERROR(__xludf.DUMMYFUNCTION("""COMPUTED_VALUE"""),95.14)</f>
        <v>95.14</v>
      </c>
      <c r="E57" s="1">
        <f ca="1">IFERROR(__xludf.DUMMYFUNCTION("""COMPUTED_VALUE"""),5.32)</f>
        <v>5.32</v>
      </c>
      <c r="F57" s="1">
        <f ca="1">IFERROR(__xludf.DUMMYFUNCTION("""COMPUTED_VALUE"""),148.1)</f>
        <v>148.1</v>
      </c>
      <c r="G57" s="1">
        <f ca="1">IFERROR(__xludf.DUMMYFUNCTION("""COMPUTED_VALUE"""),52.83)</f>
        <v>52.83</v>
      </c>
      <c r="H57" s="1">
        <f ca="1">IFERROR(__xludf.DUMMYFUNCTION("""COMPUTED_VALUE"""),28.95)</f>
        <v>28.95</v>
      </c>
      <c r="I57" s="1">
        <f ca="1">IFERROR(__xludf.DUMMYFUNCTION("""COMPUTED_VALUE"""),105.18)</f>
        <v>105.18</v>
      </c>
      <c r="J57" s="1">
        <f ca="1">IFERROR(__xludf.DUMMYFUNCTION("""COMPUTED_VALUE"""),285.53)</f>
        <v>285.52999999999997</v>
      </c>
      <c r="K57" s="1">
        <f ca="1">IFERROR(__xludf.DUMMYFUNCTION("""COMPUTED_VALUE"""),19.35)</f>
        <v>19.350000000000001</v>
      </c>
      <c r="L57" s="1">
        <f ca="1">IFERROR(__xludf.DUMMYFUNCTION("""COMPUTED_VALUE"""),307.27)</f>
        <v>307.27</v>
      </c>
      <c r="M57" s="1">
        <f ca="1">IFERROR(__xludf.DUMMYFUNCTION("""COMPUTED_VALUE"""),360.27)</f>
        <v>360.27</v>
      </c>
    </row>
    <row r="58" spans="1:13" x14ac:dyDescent="0.25">
      <c r="A58" s="2">
        <f ca="1">IFERROR(__xludf.DUMMYFUNCTION("""COMPUTED_VALUE"""),43915.6666666666)</f>
        <v>43915.666666666599</v>
      </c>
      <c r="B58" s="1">
        <f ca="1">IFERROR(__xludf.DUMMYFUNCTION("""COMPUTED_VALUE"""),61.38)</f>
        <v>61.38</v>
      </c>
      <c r="C58" s="1">
        <f ca="1">IFERROR(__xludf.DUMMYFUNCTION("""COMPUTED_VALUE"""),148.34)</f>
        <v>148.34</v>
      </c>
      <c r="D58" s="1">
        <f ca="1">IFERROR(__xludf.DUMMYFUNCTION("""COMPUTED_VALUE"""),97.01)</f>
        <v>97.01</v>
      </c>
      <c r="E58" s="1">
        <f ca="1">IFERROR(__xludf.DUMMYFUNCTION("""COMPUTED_VALUE"""),6.23)</f>
        <v>6.23</v>
      </c>
      <c r="F58" s="1">
        <f ca="1">IFERROR(__xludf.DUMMYFUNCTION("""COMPUTED_VALUE"""),160.98)</f>
        <v>160.97999999999999</v>
      </c>
      <c r="G58" s="1">
        <f ca="1">IFERROR(__xludf.DUMMYFUNCTION("""COMPUTED_VALUE"""),56.72)</f>
        <v>56.72</v>
      </c>
      <c r="H58" s="1">
        <f ca="1">IFERROR(__xludf.DUMMYFUNCTION("""COMPUTED_VALUE"""),33.67)</f>
        <v>33.67</v>
      </c>
      <c r="I58" s="1">
        <f ca="1">IFERROR(__xludf.DUMMYFUNCTION("""COMPUTED_VALUE"""),113.84)</f>
        <v>113.84</v>
      </c>
      <c r="J58" s="1">
        <f ca="1">IFERROR(__xludf.DUMMYFUNCTION("""COMPUTED_VALUE"""),284.94)</f>
        <v>284.94</v>
      </c>
      <c r="K58" s="1">
        <f ca="1">IFERROR(__xludf.DUMMYFUNCTION("""COMPUTED_VALUE"""),21.28)</f>
        <v>21.28</v>
      </c>
      <c r="L58" s="1">
        <f ca="1">IFERROR(__xludf.DUMMYFUNCTION("""COMPUTED_VALUE"""),310)</f>
        <v>310</v>
      </c>
      <c r="M58" s="1">
        <f ca="1">IFERROR(__xludf.DUMMYFUNCTION("""COMPUTED_VALUE"""),357.32)</f>
        <v>357.32</v>
      </c>
    </row>
    <row r="59" spans="1:13" x14ac:dyDescent="0.25">
      <c r="A59" s="2">
        <f ca="1">IFERROR(__xludf.DUMMYFUNCTION("""COMPUTED_VALUE"""),43916.6666666666)</f>
        <v>43916.666666666599</v>
      </c>
      <c r="B59" s="1">
        <f ca="1">IFERROR(__xludf.DUMMYFUNCTION("""COMPUTED_VALUE"""),64.61)</f>
        <v>64.61</v>
      </c>
      <c r="C59" s="1">
        <f ca="1">IFERROR(__xludf.DUMMYFUNCTION("""COMPUTED_VALUE"""),146.92)</f>
        <v>146.91999999999999</v>
      </c>
      <c r="D59" s="1">
        <f ca="1">IFERROR(__xludf.DUMMYFUNCTION("""COMPUTED_VALUE"""),94.29)</f>
        <v>94.29</v>
      </c>
      <c r="E59" s="1">
        <f ca="1">IFERROR(__xludf.DUMMYFUNCTION("""COMPUTED_VALUE"""),6.14)</f>
        <v>6.14</v>
      </c>
      <c r="F59" s="1">
        <f ca="1">IFERROR(__xludf.DUMMYFUNCTION("""COMPUTED_VALUE"""),156.21)</f>
        <v>156.21</v>
      </c>
      <c r="G59" s="1">
        <f ca="1">IFERROR(__xludf.DUMMYFUNCTION("""COMPUTED_VALUE"""),55.12)</f>
        <v>55.12</v>
      </c>
      <c r="H59" s="1">
        <f ca="1">IFERROR(__xludf.DUMMYFUNCTION("""COMPUTED_VALUE"""),35.95)</f>
        <v>35.950000000000003</v>
      </c>
      <c r="I59" s="1">
        <f ca="1">IFERROR(__xludf.DUMMYFUNCTION("""COMPUTED_VALUE"""),112.5)</f>
        <v>112.5</v>
      </c>
      <c r="J59" s="1">
        <f ca="1">IFERROR(__xludf.DUMMYFUNCTION("""COMPUTED_VALUE"""),280.86)</f>
        <v>280.86</v>
      </c>
      <c r="K59" s="1">
        <f ca="1">IFERROR(__xludf.DUMMYFUNCTION("""COMPUTED_VALUE"""),21.76)</f>
        <v>21.76</v>
      </c>
      <c r="L59" s="1">
        <f ca="1">IFERROR(__xludf.DUMMYFUNCTION("""COMPUTED_VALUE"""),305.91)</f>
        <v>305.91000000000003</v>
      </c>
      <c r="M59" s="1">
        <f ca="1">IFERROR(__xludf.DUMMYFUNCTION("""COMPUTED_VALUE"""),342.39)</f>
        <v>342.39</v>
      </c>
    </row>
    <row r="60" spans="1:13" x14ac:dyDescent="0.25">
      <c r="A60" s="2">
        <f ca="1">IFERROR(__xludf.DUMMYFUNCTION("""COMPUTED_VALUE"""),43917.6666666666)</f>
        <v>43917.666666666599</v>
      </c>
      <c r="B60" s="1">
        <f ca="1">IFERROR(__xludf.DUMMYFUNCTION("""COMPUTED_VALUE"""),61.94)</f>
        <v>61.94</v>
      </c>
      <c r="C60" s="1">
        <f ca="1">IFERROR(__xludf.DUMMYFUNCTION("""COMPUTED_VALUE"""),156.11)</f>
        <v>156.11000000000001</v>
      </c>
      <c r="D60" s="1">
        <f ca="1">IFERROR(__xludf.DUMMYFUNCTION("""COMPUTED_VALUE"""),97.77)</f>
        <v>97.77</v>
      </c>
      <c r="E60" s="1">
        <f ca="1">IFERROR(__xludf.DUMMYFUNCTION("""COMPUTED_VALUE"""),6.43)</f>
        <v>6.43</v>
      </c>
      <c r="F60" s="1">
        <f ca="1">IFERROR(__xludf.DUMMYFUNCTION("""COMPUTED_VALUE"""),163.34)</f>
        <v>163.34</v>
      </c>
      <c r="G60" s="1">
        <f ca="1">IFERROR(__xludf.DUMMYFUNCTION("""COMPUTED_VALUE"""),58.09)</f>
        <v>58.09</v>
      </c>
      <c r="H60" s="1">
        <f ca="1">IFERROR(__xludf.DUMMYFUNCTION("""COMPUTED_VALUE"""),35.21)</f>
        <v>35.21</v>
      </c>
      <c r="I60" s="1">
        <f ca="1">IFERROR(__xludf.DUMMYFUNCTION("""COMPUTED_VALUE"""),120.26)</f>
        <v>120.26</v>
      </c>
      <c r="J60" s="1">
        <f ca="1">IFERROR(__xludf.DUMMYFUNCTION("""COMPUTED_VALUE"""),292.3)</f>
        <v>292.3</v>
      </c>
      <c r="K60" s="1">
        <f ca="1">IFERROR(__xludf.DUMMYFUNCTION("""COMPUTED_VALUE"""),24.32)</f>
        <v>24.32</v>
      </c>
      <c r="L60" s="1">
        <f ca="1">IFERROR(__xludf.DUMMYFUNCTION("""COMPUTED_VALUE"""),322.67)</f>
        <v>322.67</v>
      </c>
      <c r="M60" s="1">
        <f ca="1">IFERROR(__xludf.DUMMYFUNCTION("""COMPUTED_VALUE"""),362.99)</f>
        <v>362.99</v>
      </c>
    </row>
    <row r="61" spans="1:13" x14ac:dyDescent="0.25">
      <c r="A61" s="2">
        <f ca="1">IFERROR(__xludf.DUMMYFUNCTION("""COMPUTED_VALUE"""),43920.6666666666)</f>
        <v>43920.666666666599</v>
      </c>
      <c r="B61" s="1">
        <f ca="1">IFERROR(__xludf.DUMMYFUNCTION("""COMPUTED_VALUE"""),63.7)</f>
        <v>63.7</v>
      </c>
      <c r="C61" s="1">
        <f ca="1">IFERROR(__xludf.DUMMYFUNCTION("""COMPUTED_VALUE"""),149.7)</f>
        <v>149.69999999999999</v>
      </c>
      <c r="D61" s="1">
        <f ca="1">IFERROR(__xludf.DUMMYFUNCTION("""COMPUTED_VALUE"""),95.01)</f>
        <v>95.01</v>
      </c>
      <c r="E61" s="1">
        <f ca="1">IFERROR(__xludf.DUMMYFUNCTION("""COMPUTED_VALUE"""),6.32)</f>
        <v>6.32</v>
      </c>
      <c r="F61" s="1">
        <f ca="1">IFERROR(__xludf.DUMMYFUNCTION("""COMPUTED_VALUE"""),156.79)</f>
        <v>156.79</v>
      </c>
      <c r="G61" s="1">
        <f ca="1">IFERROR(__xludf.DUMMYFUNCTION("""COMPUTED_VALUE"""),55.54)</f>
        <v>55.54</v>
      </c>
      <c r="H61" s="1">
        <f ca="1">IFERROR(__xludf.DUMMYFUNCTION("""COMPUTED_VALUE"""),34.29)</f>
        <v>34.29</v>
      </c>
      <c r="I61" s="1">
        <f ca="1">IFERROR(__xludf.DUMMYFUNCTION("""COMPUTED_VALUE"""),120.46)</f>
        <v>120.46</v>
      </c>
      <c r="J61" s="1">
        <f ca="1">IFERROR(__xludf.DUMMYFUNCTION("""COMPUTED_VALUE"""),284.33)</f>
        <v>284.33</v>
      </c>
      <c r="K61" s="1">
        <f ca="1">IFERROR(__xludf.DUMMYFUNCTION("""COMPUTED_VALUE"""),23.07)</f>
        <v>23.07</v>
      </c>
      <c r="L61" s="1">
        <f ca="1">IFERROR(__xludf.DUMMYFUNCTION("""COMPUTED_VALUE"""),305.83)</f>
        <v>305.83</v>
      </c>
      <c r="M61" s="1">
        <f ca="1">IFERROR(__xludf.DUMMYFUNCTION("""COMPUTED_VALUE"""),357.12)</f>
        <v>357.12</v>
      </c>
    </row>
    <row r="62" spans="1:13" x14ac:dyDescent="0.25">
      <c r="A62" s="2">
        <f ca="1">IFERROR(__xludf.DUMMYFUNCTION("""COMPUTED_VALUE"""),43921.6666666666)</f>
        <v>43921.666666666599</v>
      </c>
      <c r="B62" s="1">
        <f ca="1">IFERROR(__xludf.DUMMYFUNCTION("""COMPUTED_VALUE"""),63.57)</f>
        <v>63.57</v>
      </c>
      <c r="C62" s="1">
        <f ca="1">IFERROR(__xludf.DUMMYFUNCTION("""COMPUTED_VALUE"""),160.23)</f>
        <v>160.22999999999999</v>
      </c>
      <c r="D62" s="1">
        <f ca="1">IFERROR(__xludf.DUMMYFUNCTION("""COMPUTED_VALUE"""),98.2)</f>
        <v>98.2</v>
      </c>
      <c r="E62" s="1">
        <f ca="1">IFERROR(__xludf.DUMMYFUNCTION("""COMPUTED_VALUE"""),6.64)</f>
        <v>6.64</v>
      </c>
      <c r="F62" s="1">
        <f ca="1">IFERROR(__xludf.DUMMYFUNCTION("""COMPUTED_VALUE"""),165.95)</f>
        <v>165.95</v>
      </c>
      <c r="G62" s="1">
        <f ca="1">IFERROR(__xludf.DUMMYFUNCTION("""COMPUTED_VALUE"""),57.34)</f>
        <v>57.34</v>
      </c>
      <c r="H62" s="1">
        <f ca="1">IFERROR(__xludf.DUMMYFUNCTION("""COMPUTED_VALUE"""),33.48)</f>
        <v>33.479999999999997</v>
      </c>
      <c r="I62" s="1">
        <f ca="1">IFERROR(__xludf.DUMMYFUNCTION("""COMPUTED_VALUE"""),125.48)</f>
        <v>125.48</v>
      </c>
      <c r="J62" s="1">
        <f ca="1">IFERROR(__xludf.DUMMYFUNCTION("""COMPUTED_VALUE"""),291.12)</f>
        <v>291.12</v>
      </c>
      <c r="K62" s="1">
        <f ca="1">IFERROR(__xludf.DUMMYFUNCTION("""COMPUTED_VALUE"""),24.01)</f>
        <v>24.01</v>
      </c>
      <c r="L62" s="1">
        <f ca="1">IFERROR(__xludf.DUMMYFUNCTION("""COMPUTED_VALUE"""),318.39)</f>
        <v>318.39</v>
      </c>
      <c r="M62" s="1">
        <f ca="1">IFERROR(__xludf.DUMMYFUNCTION("""COMPUTED_VALUE"""),370.96)</f>
        <v>370.96</v>
      </c>
    </row>
    <row r="63" spans="1:13" x14ac:dyDescent="0.25">
      <c r="A63" s="2">
        <f ca="1">IFERROR(__xludf.DUMMYFUNCTION("""COMPUTED_VALUE"""),43922.6666666666)</f>
        <v>43922.666666666599</v>
      </c>
      <c r="B63" s="1">
        <f ca="1">IFERROR(__xludf.DUMMYFUNCTION("""COMPUTED_VALUE"""),60.23)</f>
        <v>60.23</v>
      </c>
      <c r="C63" s="1">
        <f ca="1">IFERROR(__xludf.DUMMYFUNCTION("""COMPUTED_VALUE"""),157.71)</f>
        <v>157.71</v>
      </c>
      <c r="D63" s="1">
        <f ca="1">IFERROR(__xludf.DUMMYFUNCTION("""COMPUTED_VALUE"""),97.49)</f>
        <v>97.49</v>
      </c>
      <c r="E63" s="1">
        <f ca="1">IFERROR(__xludf.DUMMYFUNCTION("""COMPUTED_VALUE"""),6.59)</f>
        <v>6.59</v>
      </c>
      <c r="F63" s="1">
        <f ca="1">IFERROR(__xludf.DUMMYFUNCTION("""COMPUTED_VALUE"""),166.8)</f>
        <v>166.8</v>
      </c>
      <c r="G63" s="1">
        <f ca="1">IFERROR(__xludf.DUMMYFUNCTION("""COMPUTED_VALUE"""),58.14)</f>
        <v>58.14</v>
      </c>
      <c r="H63" s="1">
        <f ca="1">IFERROR(__xludf.DUMMYFUNCTION("""COMPUTED_VALUE"""),34.93)</f>
        <v>34.93</v>
      </c>
      <c r="I63" s="1">
        <f ca="1">IFERROR(__xludf.DUMMYFUNCTION("""COMPUTED_VALUE"""),120.1)</f>
        <v>120.1</v>
      </c>
      <c r="J63" s="1">
        <f ca="1">IFERROR(__xludf.DUMMYFUNCTION("""COMPUTED_VALUE"""),285.13)</f>
        <v>285.13</v>
      </c>
      <c r="K63" s="1">
        <f ca="1">IFERROR(__xludf.DUMMYFUNCTION("""COMPUTED_VALUE"""),23.71)</f>
        <v>23.71</v>
      </c>
      <c r="L63" s="1">
        <f ca="1">IFERROR(__xludf.DUMMYFUNCTION("""COMPUTED_VALUE"""),318.24)</f>
        <v>318.24</v>
      </c>
      <c r="M63" s="1">
        <f ca="1">IFERROR(__xludf.DUMMYFUNCTION("""COMPUTED_VALUE"""),375.5)</f>
        <v>375.5</v>
      </c>
    </row>
    <row r="64" spans="1:13" x14ac:dyDescent="0.25">
      <c r="A64" s="2">
        <f ca="1">IFERROR(__xludf.DUMMYFUNCTION("""COMPUTED_VALUE"""),43923.6666666666)</f>
        <v>43923.666666666599</v>
      </c>
      <c r="B64" s="1">
        <f ca="1">IFERROR(__xludf.DUMMYFUNCTION("""COMPUTED_VALUE"""),61.23)</f>
        <v>61.23</v>
      </c>
      <c r="C64" s="1">
        <f ca="1">IFERROR(__xludf.DUMMYFUNCTION("""COMPUTED_VALUE"""),152.11)</f>
        <v>152.11000000000001</v>
      </c>
      <c r="D64" s="1">
        <f ca="1">IFERROR(__xludf.DUMMYFUNCTION("""COMPUTED_VALUE"""),95.39)</f>
        <v>95.39</v>
      </c>
      <c r="E64" s="1">
        <f ca="1">IFERROR(__xludf.DUMMYFUNCTION("""COMPUTED_VALUE"""),6.08)</f>
        <v>6.08</v>
      </c>
      <c r="F64" s="1">
        <f ca="1">IFERROR(__xludf.DUMMYFUNCTION("""COMPUTED_VALUE"""),159.6)</f>
        <v>159.6</v>
      </c>
      <c r="G64" s="1">
        <f ca="1">IFERROR(__xludf.DUMMYFUNCTION("""COMPUTED_VALUE"""),55.28)</f>
        <v>55.28</v>
      </c>
      <c r="H64" s="1">
        <f ca="1">IFERROR(__xludf.DUMMYFUNCTION("""COMPUTED_VALUE"""),32.1)</f>
        <v>32.1</v>
      </c>
      <c r="I64" s="1">
        <f ca="1">IFERROR(__xludf.DUMMYFUNCTION("""COMPUTED_VALUE"""),118.12)</f>
        <v>118.12</v>
      </c>
      <c r="J64" s="1">
        <f ca="1">IFERROR(__xludf.DUMMYFUNCTION("""COMPUTED_VALUE"""),286.78)</f>
        <v>286.77999999999997</v>
      </c>
      <c r="K64" s="1">
        <f ca="1">IFERROR(__xludf.DUMMYFUNCTION("""COMPUTED_VALUE"""),22.36)</f>
        <v>22.36</v>
      </c>
      <c r="L64" s="1">
        <f ca="1">IFERROR(__xludf.DUMMYFUNCTION("""COMPUTED_VALUE"""),301.21)</f>
        <v>301.20999999999998</v>
      </c>
      <c r="M64" s="1">
        <f ca="1">IFERROR(__xludf.DUMMYFUNCTION("""COMPUTED_VALUE"""),364.08)</f>
        <v>364.08</v>
      </c>
    </row>
    <row r="65" spans="1:13" x14ac:dyDescent="0.25">
      <c r="A65" s="2">
        <f ca="1">IFERROR(__xludf.DUMMYFUNCTION("""COMPUTED_VALUE"""),43924.6666666666)</f>
        <v>43924.666666666599</v>
      </c>
      <c r="B65" s="1">
        <f ca="1">IFERROR(__xludf.DUMMYFUNCTION("""COMPUTED_VALUE"""),60.35)</f>
        <v>60.35</v>
      </c>
      <c r="C65" s="1">
        <f ca="1">IFERROR(__xludf.DUMMYFUNCTION("""COMPUTED_VALUE"""),155.26)</f>
        <v>155.26</v>
      </c>
      <c r="D65" s="1">
        <f ca="1">IFERROR(__xludf.DUMMYFUNCTION("""COMPUTED_VALUE"""),95.94)</f>
        <v>95.94</v>
      </c>
      <c r="E65" s="1">
        <f ca="1">IFERROR(__xludf.DUMMYFUNCTION("""COMPUTED_VALUE"""),6.39)</f>
        <v>6.39</v>
      </c>
      <c r="F65" s="1">
        <f ca="1">IFERROR(__xludf.DUMMYFUNCTION("""COMPUTED_VALUE"""),158.19)</f>
        <v>158.19</v>
      </c>
      <c r="G65" s="1">
        <f ca="1">IFERROR(__xludf.DUMMYFUNCTION("""COMPUTED_VALUE"""),56.04)</f>
        <v>56.04</v>
      </c>
      <c r="H65" s="1">
        <f ca="1">IFERROR(__xludf.DUMMYFUNCTION("""COMPUTED_VALUE"""),30.3)</f>
        <v>30.3</v>
      </c>
      <c r="I65" s="1">
        <f ca="1">IFERROR(__xludf.DUMMYFUNCTION("""COMPUTED_VALUE"""),123.86)</f>
        <v>123.86</v>
      </c>
      <c r="J65" s="1">
        <f ca="1">IFERROR(__xludf.DUMMYFUNCTION("""COMPUTED_VALUE"""),291.48)</f>
        <v>291.48</v>
      </c>
      <c r="K65" s="1">
        <f ca="1">IFERROR(__xludf.DUMMYFUNCTION("""COMPUTED_VALUE"""),23.71)</f>
        <v>23.71</v>
      </c>
      <c r="L65" s="1">
        <f ca="1">IFERROR(__xludf.DUMMYFUNCTION("""COMPUTED_VALUE"""),303.96)</f>
        <v>303.95999999999998</v>
      </c>
      <c r="M65" s="1">
        <f ca="1">IFERROR(__xludf.DUMMYFUNCTION("""COMPUTED_VALUE"""),370.08)</f>
        <v>370.08</v>
      </c>
    </row>
    <row r="66" spans="1:13" x14ac:dyDescent="0.25">
      <c r="A66" s="2">
        <f ca="1">IFERROR(__xludf.DUMMYFUNCTION("""COMPUTED_VALUE"""),43927.6666666666)</f>
        <v>43927.666666666599</v>
      </c>
      <c r="B66" s="1">
        <f ca="1">IFERROR(__xludf.DUMMYFUNCTION("""COMPUTED_VALUE"""),65.62)</f>
        <v>65.62</v>
      </c>
      <c r="C66" s="1">
        <f ca="1">IFERROR(__xludf.DUMMYFUNCTION("""COMPUTED_VALUE"""),153.83)</f>
        <v>153.83000000000001</v>
      </c>
      <c r="D66" s="1">
        <f ca="1">IFERROR(__xludf.DUMMYFUNCTION("""COMPUTED_VALUE"""),95.33)</f>
        <v>95.33</v>
      </c>
      <c r="E66" s="1">
        <f ca="1">IFERROR(__xludf.DUMMYFUNCTION("""COMPUTED_VALUE"""),6.1)</f>
        <v>6.1</v>
      </c>
      <c r="F66" s="1">
        <f ca="1">IFERROR(__xludf.DUMMYFUNCTION("""COMPUTED_VALUE"""),154.18)</f>
        <v>154.18</v>
      </c>
      <c r="G66" s="1">
        <f ca="1">IFERROR(__xludf.DUMMYFUNCTION("""COMPUTED_VALUE"""),54.89)</f>
        <v>54.89</v>
      </c>
      <c r="H66" s="1">
        <f ca="1">IFERROR(__xludf.DUMMYFUNCTION("""COMPUTED_VALUE"""),32)</f>
        <v>32</v>
      </c>
      <c r="I66" s="1">
        <f ca="1">IFERROR(__xludf.DUMMYFUNCTION("""COMPUTED_VALUE"""),124.59)</f>
        <v>124.59</v>
      </c>
      <c r="J66" s="1">
        <f ca="1">IFERROR(__xludf.DUMMYFUNCTION("""COMPUTED_VALUE"""),288.65)</f>
        <v>288.64999999999998</v>
      </c>
      <c r="K66" s="1">
        <f ca="1">IFERROR(__xludf.DUMMYFUNCTION("""COMPUTED_VALUE"""),23.43)</f>
        <v>23.43</v>
      </c>
      <c r="L66" s="1">
        <f ca="1">IFERROR(__xludf.DUMMYFUNCTION("""COMPUTED_VALUE"""),293.61)</f>
        <v>293.61</v>
      </c>
      <c r="M66" s="1">
        <f ca="1">IFERROR(__xludf.DUMMYFUNCTION("""COMPUTED_VALUE"""),361.76)</f>
        <v>361.76</v>
      </c>
    </row>
    <row r="67" spans="1:13" x14ac:dyDescent="0.25">
      <c r="A67" s="2">
        <f ca="1">IFERROR(__xludf.DUMMYFUNCTION("""COMPUTED_VALUE"""),43928.6666666666)</f>
        <v>43928.666666666599</v>
      </c>
      <c r="B67" s="1">
        <f ca="1">IFERROR(__xludf.DUMMYFUNCTION("""COMPUTED_VALUE"""),64.86)</f>
        <v>64.86</v>
      </c>
      <c r="C67" s="1">
        <f ca="1">IFERROR(__xludf.DUMMYFUNCTION("""COMPUTED_VALUE"""),165.27)</f>
        <v>165.27</v>
      </c>
      <c r="D67" s="1">
        <f ca="1">IFERROR(__xludf.DUMMYFUNCTION("""COMPUTED_VALUE"""),99.88)</f>
        <v>99.88</v>
      </c>
      <c r="E67" s="1">
        <f ca="1">IFERROR(__xludf.DUMMYFUNCTION("""COMPUTED_VALUE"""),6.71)</f>
        <v>6.71</v>
      </c>
      <c r="F67" s="1">
        <f ca="1">IFERROR(__xludf.DUMMYFUNCTION("""COMPUTED_VALUE"""),165.55)</f>
        <v>165.55</v>
      </c>
      <c r="G67" s="1">
        <f ca="1">IFERROR(__xludf.DUMMYFUNCTION("""COMPUTED_VALUE"""),59.35)</f>
        <v>59.35</v>
      </c>
      <c r="H67" s="1">
        <f ca="1">IFERROR(__xludf.DUMMYFUNCTION("""COMPUTED_VALUE"""),34.42)</f>
        <v>34.42</v>
      </c>
      <c r="I67" s="1">
        <f ca="1">IFERROR(__xludf.DUMMYFUNCTION("""COMPUTED_VALUE"""),131.16)</f>
        <v>131.16</v>
      </c>
      <c r="J67" s="1">
        <f ca="1">IFERROR(__xludf.DUMMYFUNCTION("""COMPUTED_VALUE"""),305.12)</f>
        <v>305.12</v>
      </c>
      <c r="K67" s="1">
        <f ca="1">IFERROR(__xludf.DUMMYFUNCTION("""COMPUTED_VALUE"""),25.24)</f>
        <v>25.24</v>
      </c>
      <c r="L67" s="1">
        <f ca="1">IFERROR(__xludf.DUMMYFUNCTION("""COMPUTED_VALUE"""),319.13)</f>
        <v>319.13</v>
      </c>
      <c r="M67" s="1">
        <f ca="1">IFERROR(__xludf.DUMMYFUNCTION("""COMPUTED_VALUE"""),379.96)</f>
        <v>379.96</v>
      </c>
    </row>
    <row r="68" spans="1:13" x14ac:dyDescent="0.25">
      <c r="A68" s="2">
        <f ca="1">IFERROR(__xludf.DUMMYFUNCTION("""COMPUTED_VALUE"""),43929.6666666666)</f>
        <v>43929.666666666599</v>
      </c>
      <c r="B68" s="1">
        <f ca="1">IFERROR(__xludf.DUMMYFUNCTION("""COMPUTED_VALUE"""),66.52)</f>
        <v>66.52</v>
      </c>
      <c r="C68" s="1">
        <f ca="1">IFERROR(__xludf.DUMMYFUNCTION("""COMPUTED_VALUE"""),163.49)</f>
        <v>163.49</v>
      </c>
      <c r="D68" s="1">
        <f ca="1">IFERROR(__xludf.DUMMYFUNCTION("""COMPUTED_VALUE"""),100.58)</f>
        <v>100.58</v>
      </c>
      <c r="E68" s="1">
        <f ca="1">IFERROR(__xludf.DUMMYFUNCTION("""COMPUTED_VALUE"""),6.48)</f>
        <v>6.48</v>
      </c>
      <c r="F68" s="1">
        <f ca="1">IFERROR(__xludf.DUMMYFUNCTION("""COMPUTED_VALUE"""),168.83)</f>
        <v>168.83</v>
      </c>
      <c r="G68" s="1">
        <f ca="1">IFERROR(__xludf.DUMMYFUNCTION("""COMPUTED_VALUE"""),59.33)</f>
        <v>59.33</v>
      </c>
      <c r="H68" s="1">
        <f ca="1">IFERROR(__xludf.DUMMYFUNCTION("""COMPUTED_VALUE"""),36.36)</f>
        <v>36.36</v>
      </c>
      <c r="I68" s="1">
        <f ca="1">IFERROR(__xludf.DUMMYFUNCTION("""COMPUTED_VALUE"""),130.48)</f>
        <v>130.47999999999999</v>
      </c>
      <c r="J68" s="1">
        <f ca="1">IFERROR(__xludf.DUMMYFUNCTION("""COMPUTED_VALUE"""),303.63)</f>
        <v>303.63</v>
      </c>
      <c r="K68" s="1">
        <f ca="1">IFERROR(__xludf.DUMMYFUNCTION("""COMPUTED_VALUE"""),25.33)</f>
        <v>25.33</v>
      </c>
      <c r="L68" s="1">
        <f ca="1">IFERROR(__xludf.DUMMYFUNCTION("""COMPUTED_VALUE"""),308.93)</f>
        <v>308.93</v>
      </c>
      <c r="M68" s="1">
        <f ca="1">IFERROR(__xludf.DUMMYFUNCTION("""COMPUTED_VALUE"""),372.28)</f>
        <v>372.28</v>
      </c>
    </row>
    <row r="69" spans="1:13" x14ac:dyDescent="0.25">
      <c r="A69" s="2">
        <f ca="1">IFERROR(__xludf.DUMMYFUNCTION("""COMPUTED_VALUE"""),43930.6666666666)</f>
        <v>43930.666666666599</v>
      </c>
      <c r="B69" s="1">
        <f ca="1">IFERROR(__xludf.DUMMYFUNCTION("""COMPUTED_VALUE"""),67)</f>
        <v>67</v>
      </c>
      <c r="C69" s="1">
        <f ca="1">IFERROR(__xludf.DUMMYFUNCTION("""COMPUTED_VALUE"""),165.13)</f>
        <v>165.13</v>
      </c>
      <c r="D69" s="1">
        <f ca="1">IFERROR(__xludf.DUMMYFUNCTION("""COMPUTED_VALUE"""),102.15)</f>
        <v>102.15</v>
      </c>
      <c r="E69" s="1">
        <f ca="1">IFERROR(__xludf.DUMMYFUNCTION("""COMPUTED_VALUE"""),6.67)</f>
        <v>6.67</v>
      </c>
      <c r="F69" s="1">
        <f ca="1">IFERROR(__xludf.DUMMYFUNCTION("""COMPUTED_VALUE"""),174.28)</f>
        <v>174.28</v>
      </c>
      <c r="G69" s="1">
        <f ca="1">IFERROR(__xludf.DUMMYFUNCTION("""COMPUTED_VALUE"""),60.51)</f>
        <v>60.51</v>
      </c>
      <c r="H69" s="1">
        <f ca="1">IFERROR(__xludf.DUMMYFUNCTION("""COMPUTED_VALUE"""),36.59)</f>
        <v>36.590000000000003</v>
      </c>
      <c r="I69" s="1">
        <f ca="1">IFERROR(__xludf.DUMMYFUNCTION("""COMPUTED_VALUE"""),132.61)</f>
        <v>132.61000000000001</v>
      </c>
      <c r="J69" s="1">
        <f ca="1">IFERROR(__xludf.DUMMYFUNCTION("""COMPUTED_VALUE"""),305.97)</f>
        <v>305.97000000000003</v>
      </c>
      <c r="K69" s="1">
        <f ca="1">IFERROR(__xludf.DUMMYFUNCTION("""COMPUTED_VALUE"""),26.11)</f>
        <v>26.11</v>
      </c>
      <c r="L69" s="1">
        <f ca="1">IFERROR(__xludf.DUMMYFUNCTION("""COMPUTED_VALUE"""),317.18)</f>
        <v>317.18</v>
      </c>
      <c r="M69" s="1">
        <f ca="1">IFERROR(__xludf.DUMMYFUNCTION("""COMPUTED_VALUE"""),371.12)</f>
        <v>371.12</v>
      </c>
    </row>
    <row r="70" spans="1:13" x14ac:dyDescent="0.25">
      <c r="A70" s="2">
        <f ca="1">IFERROR(__xludf.DUMMYFUNCTION("""COMPUTED_VALUE"""),43934.6666666666)</f>
        <v>43934.666666666599</v>
      </c>
      <c r="B70" s="1">
        <f ca="1">IFERROR(__xludf.DUMMYFUNCTION("""COMPUTED_VALUE"""),68.31)</f>
        <v>68.31</v>
      </c>
      <c r="C70" s="1">
        <f ca="1">IFERROR(__xludf.DUMMYFUNCTION("""COMPUTED_VALUE"""),165.14)</f>
        <v>165.14</v>
      </c>
      <c r="D70" s="1">
        <f ca="1">IFERROR(__xludf.DUMMYFUNCTION("""COMPUTED_VALUE"""),102.14)</f>
        <v>102.14</v>
      </c>
      <c r="E70" s="1">
        <f ca="1">IFERROR(__xludf.DUMMYFUNCTION("""COMPUTED_VALUE"""),6.57)</f>
        <v>6.57</v>
      </c>
      <c r="F70" s="1">
        <f ca="1">IFERROR(__xludf.DUMMYFUNCTION("""COMPUTED_VALUE"""),175.19)</f>
        <v>175.19</v>
      </c>
      <c r="G70" s="1">
        <f ca="1">IFERROR(__xludf.DUMMYFUNCTION("""COMPUTED_VALUE"""),60.57)</f>
        <v>60.57</v>
      </c>
      <c r="H70" s="1">
        <f ca="1">IFERROR(__xludf.DUMMYFUNCTION("""COMPUTED_VALUE"""),38.2)</f>
        <v>38.200000000000003</v>
      </c>
      <c r="I70" s="1">
        <f ca="1">IFERROR(__xludf.DUMMYFUNCTION("""COMPUTED_VALUE"""),133.63)</f>
        <v>133.63</v>
      </c>
      <c r="J70" s="1">
        <f ca="1">IFERROR(__xludf.DUMMYFUNCTION("""COMPUTED_VALUE"""),300.01)</f>
        <v>300.01</v>
      </c>
      <c r="K70" s="1">
        <f ca="1">IFERROR(__xludf.DUMMYFUNCTION("""COMPUTED_VALUE"""),25.43)</f>
        <v>25.43</v>
      </c>
      <c r="L70" s="1">
        <f ca="1">IFERROR(__xludf.DUMMYFUNCTION("""COMPUTED_VALUE"""),318.7)</f>
        <v>318.7</v>
      </c>
      <c r="M70" s="1">
        <f ca="1">IFERROR(__xludf.DUMMYFUNCTION("""COMPUTED_VALUE"""),370.72)</f>
        <v>370.72</v>
      </c>
    </row>
    <row r="71" spans="1:13" x14ac:dyDescent="0.25">
      <c r="A71" s="2">
        <f ca="1">IFERROR(__xludf.DUMMYFUNCTION("""COMPUTED_VALUE"""),43935.6666666666)</f>
        <v>43935.666666666599</v>
      </c>
      <c r="B71" s="1">
        <f ca="1">IFERROR(__xludf.DUMMYFUNCTION("""COMPUTED_VALUE"""),71.76)</f>
        <v>71.760000000000005</v>
      </c>
      <c r="C71" s="1">
        <f ca="1">IFERROR(__xludf.DUMMYFUNCTION("""COMPUTED_VALUE"""),165.51)</f>
        <v>165.51</v>
      </c>
      <c r="D71" s="1">
        <f ca="1">IFERROR(__xludf.DUMMYFUNCTION("""COMPUTED_VALUE"""),108.44)</f>
        <v>108.44</v>
      </c>
      <c r="E71" s="1">
        <f ca="1">IFERROR(__xludf.DUMMYFUNCTION("""COMPUTED_VALUE"""),6.75)</f>
        <v>6.75</v>
      </c>
      <c r="F71" s="1">
        <f ca="1">IFERROR(__xludf.DUMMYFUNCTION("""COMPUTED_VALUE"""),174.79)</f>
        <v>174.79</v>
      </c>
      <c r="G71" s="1">
        <f ca="1">IFERROR(__xludf.DUMMYFUNCTION("""COMPUTED_VALUE"""),60.88)</f>
        <v>60.88</v>
      </c>
      <c r="H71" s="1">
        <f ca="1">IFERROR(__xludf.DUMMYFUNCTION("""COMPUTED_VALUE"""),43.4)</f>
        <v>43.4</v>
      </c>
      <c r="I71" s="1">
        <f ca="1">IFERROR(__xludf.DUMMYFUNCTION("""COMPUTED_VALUE"""),130.89)</f>
        <v>130.88999999999999</v>
      </c>
      <c r="J71" s="1">
        <f ca="1">IFERROR(__xludf.DUMMYFUNCTION("""COMPUTED_VALUE"""),299.62)</f>
        <v>299.62</v>
      </c>
      <c r="K71" s="1">
        <f ca="1">IFERROR(__xludf.DUMMYFUNCTION("""COMPUTED_VALUE"""),25.99)</f>
        <v>25.99</v>
      </c>
      <c r="L71" s="1">
        <f ca="1">IFERROR(__xludf.DUMMYFUNCTION("""COMPUTED_VALUE"""),320.65)</f>
        <v>320.64999999999998</v>
      </c>
      <c r="M71" s="1">
        <f ca="1">IFERROR(__xludf.DUMMYFUNCTION("""COMPUTED_VALUE"""),396.72)</f>
        <v>396.72</v>
      </c>
    </row>
    <row r="72" spans="1:13" x14ac:dyDescent="0.25">
      <c r="A72" s="2">
        <f ca="1">IFERROR(__xludf.DUMMYFUNCTION("""COMPUTED_VALUE"""),43936.6666666666)</f>
        <v>43936.666666666599</v>
      </c>
      <c r="B72" s="1">
        <f ca="1">IFERROR(__xludf.DUMMYFUNCTION("""COMPUTED_VALUE"""),71.11)</f>
        <v>71.11</v>
      </c>
      <c r="C72" s="1">
        <f ca="1">IFERROR(__xludf.DUMMYFUNCTION("""COMPUTED_VALUE"""),173.7)</f>
        <v>173.7</v>
      </c>
      <c r="D72" s="1">
        <f ca="1">IFERROR(__xludf.DUMMYFUNCTION("""COMPUTED_VALUE"""),114.17)</f>
        <v>114.17</v>
      </c>
      <c r="E72" s="1">
        <f ca="1">IFERROR(__xludf.DUMMYFUNCTION("""COMPUTED_VALUE"""),7.1)</f>
        <v>7.1</v>
      </c>
      <c r="F72" s="1">
        <f ca="1">IFERROR(__xludf.DUMMYFUNCTION("""COMPUTED_VALUE"""),178.17)</f>
        <v>178.17</v>
      </c>
      <c r="G72" s="1">
        <f ca="1">IFERROR(__xludf.DUMMYFUNCTION("""COMPUTED_VALUE"""),63.46)</f>
        <v>63.46</v>
      </c>
      <c r="H72" s="1">
        <f ca="1">IFERROR(__xludf.DUMMYFUNCTION("""COMPUTED_VALUE"""),47.33)</f>
        <v>47.33</v>
      </c>
      <c r="I72" s="1">
        <f ca="1">IFERROR(__xludf.DUMMYFUNCTION("""COMPUTED_VALUE"""),138.4)</f>
        <v>138.4</v>
      </c>
      <c r="J72" s="1">
        <f ca="1">IFERROR(__xludf.DUMMYFUNCTION("""COMPUTED_VALUE"""),314.14)</f>
        <v>314.14</v>
      </c>
      <c r="K72" s="1">
        <f ca="1">IFERROR(__xludf.DUMMYFUNCTION("""COMPUTED_VALUE"""),26.76)</f>
        <v>26.76</v>
      </c>
      <c r="L72" s="1">
        <f ca="1">IFERROR(__xludf.DUMMYFUNCTION("""COMPUTED_VALUE"""),340.77)</f>
        <v>340.77</v>
      </c>
      <c r="M72" s="1">
        <f ca="1">IFERROR(__xludf.DUMMYFUNCTION("""COMPUTED_VALUE"""),413.55)</f>
        <v>413.55</v>
      </c>
    </row>
    <row r="73" spans="1:13" x14ac:dyDescent="0.25">
      <c r="A73" s="2">
        <f ca="1">IFERROR(__xludf.DUMMYFUNCTION("""COMPUTED_VALUE"""),43937.6666666666)</f>
        <v>43937.666666666599</v>
      </c>
      <c r="B73" s="1">
        <f ca="1">IFERROR(__xludf.DUMMYFUNCTION("""COMPUTED_VALUE"""),71.67)</f>
        <v>71.67</v>
      </c>
      <c r="C73" s="1">
        <f ca="1">IFERROR(__xludf.DUMMYFUNCTION("""COMPUTED_VALUE"""),171.88)</f>
        <v>171.88</v>
      </c>
      <c r="D73" s="1">
        <f ca="1">IFERROR(__xludf.DUMMYFUNCTION("""COMPUTED_VALUE"""),115.38)</f>
        <v>115.38</v>
      </c>
      <c r="E73" s="1">
        <f ca="1">IFERROR(__xludf.DUMMYFUNCTION("""COMPUTED_VALUE"""),7.02)</f>
        <v>7.02</v>
      </c>
      <c r="F73" s="1">
        <f ca="1">IFERROR(__xludf.DUMMYFUNCTION("""COMPUTED_VALUE"""),176.97)</f>
        <v>176.97</v>
      </c>
      <c r="G73" s="1">
        <f ca="1">IFERROR(__xludf.DUMMYFUNCTION("""COMPUTED_VALUE"""),63.12)</f>
        <v>63.12</v>
      </c>
      <c r="H73" s="1">
        <f ca="1">IFERROR(__xludf.DUMMYFUNCTION("""COMPUTED_VALUE"""),48.66)</f>
        <v>48.66</v>
      </c>
      <c r="I73" s="1">
        <f ca="1">IFERROR(__xludf.DUMMYFUNCTION("""COMPUTED_VALUE"""),135.03)</f>
        <v>135.03</v>
      </c>
      <c r="J73" s="1">
        <f ca="1">IFERROR(__xludf.DUMMYFUNCTION("""COMPUTED_VALUE"""),310.27)</f>
        <v>310.27</v>
      </c>
      <c r="K73" s="1">
        <f ca="1">IFERROR(__xludf.DUMMYFUNCTION("""COMPUTED_VALUE"""),25.74)</f>
        <v>25.74</v>
      </c>
      <c r="L73" s="1">
        <f ca="1">IFERROR(__xludf.DUMMYFUNCTION("""COMPUTED_VALUE"""),332.55)</f>
        <v>332.55</v>
      </c>
      <c r="M73" s="1">
        <f ca="1">IFERROR(__xludf.DUMMYFUNCTION("""COMPUTED_VALUE"""),426.75)</f>
        <v>426.75</v>
      </c>
    </row>
    <row r="74" spans="1:13" x14ac:dyDescent="0.25">
      <c r="A74" s="2">
        <f ca="1">IFERROR(__xludf.DUMMYFUNCTION("""COMPUTED_VALUE"""),43938.6666666666)</f>
        <v>43938.666666666599</v>
      </c>
      <c r="B74" s="1">
        <f ca="1">IFERROR(__xludf.DUMMYFUNCTION("""COMPUTED_VALUE"""),70.7)</f>
        <v>70.7</v>
      </c>
      <c r="C74" s="1">
        <f ca="1">IFERROR(__xludf.DUMMYFUNCTION("""COMPUTED_VALUE"""),177.04)</f>
        <v>177.04</v>
      </c>
      <c r="D74" s="1">
        <f ca="1">IFERROR(__xludf.DUMMYFUNCTION("""COMPUTED_VALUE"""),120.41)</f>
        <v>120.41</v>
      </c>
      <c r="E74" s="1">
        <f ca="1">IFERROR(__xludf.DUMMYFUNCTION("""COMPUTED_VALUE"""),7.37)</f>
        <v>7.37</v>
      </c>
      <c r="F74" s="1">
        <f ca="1">IFERROR(__xludf.DUMMYFUNCTION("""COMPUTED_VALUE"""),176.25)</f>
        <v>176.25</v>
      </c>
      <c r="G74" s="1">
        <f ca="1">IFERROR(__xludf.DUMMYFUNCTION("""COMPUTED_VALUE"""),63.17)</f>
        <v>63.17</v>
      </c>
      <c r="H74" s="1">
        <f ca="1">IFERROR(__xludf.DUMMYFUNCTION("""COMPUTED_VALUE"""),49.68)</f>
        <v>49.68</v>
      </c>
      <c r="I74" s="1">
        <f ca="1">IFERROR(__xludf.DUMMYFUNCTION("""COMPUTED_VALUE"""),135.64)</f>
        <v>135.63999999999999</v>
      </c>
      <c r="J74" s="1">
        <f ca="1">IFERROR(__xludf.DUMMYFUNCTION("""COMPUTED_VALUE"""),321.56)</f>
        <v>321.56</v>
      </c>
      <c r="K74" s="1">
        <f ca="1">IFERROR(__xludf.DUMMYFUNCTION("""COMPUTED_VALUE"""),25.83)</f>
        <v>25.83</v>
      </c>
      <c r="L74" s="1">
        <f ca="1">IFERROR(__xludf.DUMMYFUNCTION("""COMPUTED_VALUE"""),342.7)</f>
        <v>342.7</v>
      </c>
      <c r="M74" s="1">
        <f ca="1">IFERROR(__xludf.DUMMYFUNCTION("""COMPUTED_VALUE"""),439.17)</f>
        <v>439.17</v>
      </c>
    </row>
    <row r="75" spans="1:13" x14ac:dyDescent="0.25">
      <c r="A75" s="2">
        <f ca="1">IFERROR(__xludf.DUMMYFUNCTION("""COMPUTED_VALUE"""),43941.6666666666)</f>
        <v>43941.666666666599</v>
      </c>
      <c r="B75" s="1">
        <f ca="1">IFERROR(__xludf.DUMMYFUNCTION("""COMPUTED_VALUE"""),69.23)</f>
        <v>69.23</v>
      </c>
      <c r="C75" s="1">
        <f ca="1">IFERROR(__xludf.DUMMYFUNCTION("""COMPUTED_VALUE"""),178.6)</f>
        <v>178.6</v>
      </c>
      <c r="D75" s="1">
        <f ca="1">IFERROR(__xludf.DUMMYFUNCTION("""COMPUTED_VALUE"""),118.75)</f>
        <v>118.75</v>
      </c>
      <c r="E75" s="1">
        <f ca="1">IFERROR(__xludf.DUMMYFUNCTION("""COMPUTED_VALUE"""),7.31)</f>
        <v>7.31</v>
      </c>
      <c r="F75" s="1">
        <f ca="1">IFERROR(__xludf.DUMMYFUNCTION("""COMPUTED_VALUE"""),179.24)</f>
        <v>179.24</v>
      </c>
      <c r="G75" s="1">
        <f ca="1">IFERROR(__xludf.DUMMYFUNCTION("""COMPUTED_VALUE"""),64.16)</f>
        <v>64.16</v>
      </c>
      <c r="H75" s="1">
        <f ca="1">IFERROR(__xludf.DUMMYFUNCTION("""COMPUTED_VALUE"""),50.26)</f>
        <v>50.26</v>
      </c>
      <c r="I75" s="1">
        <f ca="1">IFERROR(__xludf.DUMMYFUNCTION("""COMPUTED_VALUE"""),137.55)</f>
        <v>137.55000000000001</v>
      </c>
      <c r="J75" s="1">
        <f ca="1">IFERROR(__xludf.DUMMYFUNCTION("""COMPUTED_VALUE"""),317.92)</f>
        <v>317.92</v>
      </c>
      <c r="K75" s="1">
        <f ca="1">IFERROR(__xludf.DUMMYFUNCTION("""COMPUTED_VALUE"""),26.59)</f>
        <v>26.59</v>
      </c>
      <c r="L75" s="1">
        <f ca="1">IFERROR(__xludf.DUMMYFUNCTION("""COMPUTED_VALUE"""),344.11)</f>
        <v>344.11</v>
      </c>
      <c r="M75" s="1">
        <f ca="1">IFERROR(__xludf.DUMMYFUNCTION("""COMPUTED_VALUE"""),422.96)</f>
        <v>422.96</v>
      </c>
    </row>
    <row r="76" spans="1:13" x14ac:dyDescent="0.25">
      <c r="A76" s="2">
        <f ca="1">IFERROR(__xludf.DUMMYFUNCTION("""COMPUTED_VALUE"""),43942.6666666666)</f>
        <v>43942.666666666599</v>
      </c>
      <c r="B76" s="1">
        <f ca="1">IFERROR(__xludf.DUMMYFUNCTION("""COMPUTED_VALUE"""),67.09)</f>
        <v>67.09</v>
      </c>
      <c r="C76" s="1">
        <f ca="1">IFERROR(__xludf.DUMMYFUNCTION("""COMPUTED_VALUE"""),175.06)</f>
        <v>175.06</v>
      </c>
      <c r="D76" s="1">
        <f ca="1">IFERROR(__xludf.DUMMYFUNCTION("""COMPUTED_VALUE"""),119.68)</f>
        <v>119.68</v>
      </c>
      <c r="E76" s="1">
        <f ca="1">IFERROR(__xludf.DUMMYFUNCTION("""COMPUTED_VALUE"""),7.18)</f>
        <v>7.18</v>
      </c>
      <c r="F76" s="1">
        <f ca="1">IFERROR(__xludf.DUMMYFUNCTION("""COMPUTED_VALUE"""),178.24)</f>
        <v>178.24</v>
      </c>
      <c r="G76" s="1">
        <f ca="1">IFERROR(__xludf.DUMMYFUNCTION("""COMPUTED_VALUE"""),63.33)</f>
        <v>63.33</v>
      </c>
      <c r="H76" s="1">
        <f ca="1">IFERROR(__xludf.DUMMYFUNCTION("""COMPUTED_VALUE"""),49.76)</f>
        <v>49.76</v>
      </c>
      <c r="I76" s="1">
        <f ca="1">IFERROR(__xludf.DUMMYFUNCTION("""COMPUTED_VALUE"""),134.55)</f>
        <v>134.55000000000001</v>
      </c>
      <c r="J76" s="1">
        <f ca="1">IFERROR(__xludf.DUMMYFUNCTION("""COMPUTED_VALUE"""),312.08)</f>
        <v>312.08</v>
      </c>
      <c r="K76" s="1">
        <f ca="1">IFERROR(__xludf.DUMMYFUNCTION("""COMPUTED_VALUE"""),25.83)</f>
        <v>25.83</v>
      </c>
      <c r="L76" s="1">
        <f ca="1">IFERROR(__xludf.DUMMYFUNCTION("""COMPUTED_VALUE"""),344.88)</f>
        <v>344.88</v>
      </c>
      <c r="M76" s="1">
        <f ca="1">IFERROR(__xludf.DUMMYFUNCTION("""COMPUTED_VALUE"""),437.49)</f>
        <v>437.49</v>
      </c>
    </row>
    <row r="77" spans="1:13" x14ac:dyDescent="0.25">
      <c r="A77" s="2">
        <f ca="1">IFERROR(__xludf.DUMMYFUNCTION("""COMPUTED_VALUE"""),43943.6666666666)</f>
        <v>43943.666666666599</v>
      </c>
      <c r="B77" s="1">
        <f ca="1">IFERROR(__xludf.DUMMYFUNCTION("""COMPUTED_VALUE"""),69.03)</f>
        <v>69.03</v>
      </c>
      <c r="C77" s="1">
        <f ca="1">IFERROR(__xludf.DUMMYFUNCTION("""COMPUTED_VALUE"""),167.82)</f>
        <v>167.82</v>
      </c>
      <c r="D77" s="1">
        <f ca="1">IFERROR(__xludf.DUMMYFUNCTION("""COMPUTED_VALUE"""),116.41)</f>
        <v>116.41</v>
      </c>
      <c r="E77" s="1">
        <f ca="1">IFERROR(__xludf.DUMMYFUNCTION("""COMPUTED_VALUE"""),6.74)</f>
        <v>6.74</v>
      </c>
      <c r="F77" s="1">
        <f ca="1">IFERROR(__xludf.DUMMYFUNCTION("""COMPUTED_VALUE"""),170.8)</f>
        <v>170.8</v>
      </c>
      <c r="G77" s="1">
        <f ca="1">IFERROR(__xludf.DUMMYFUNCTION("""COMPUTED_VALUE"""),60.82)</f>
        <v>60.82</v>
      </c>
      <c r="H77" s="1">
        <f ca="1">IFERROR(__xludf.DUMMYFUNCTION("""COMPUTED_VALUE"""),45.78)</f>
        <v>45.78</v>
      </c>
      <c r="I77" s="1">
        <f ca="1">IFERROR(__xludf.DUMMYFUNCTION("""COMPUTED_VALUE"""),130.94)</f>
        <v>130.94</v>
      </c>
      <c r="J77" s="1">
        <f ca="1">IFERROR(__xludf.DUMMYFUNCTION("""COMPUTED_VALUE"""),301.33)</f>
        <v>301.33</v>
      </c>
      <c r="K77" s="1">
        <f ca="1">IFERROR(__xludf.DUMMYFUNCTION("""COMPUTED_VALUE"""),24.77)</f>
        <v>24.77</v>
      </c>
      <c r="L77" s="1">
        <f ca="1">IFERROR(__xludf.DUMMYFUNCTION("""COMPUTED_VALUE"""),328.99)</f>
        <v>328.99</v>
      </c>
      <c r="M77" s="1">
        <f ca="1">IFERROR(__xludf.DUMMYFUNCTION("""COMPUTED_VALUE"""),433.83)</f>
        <v>433.83</v>
      </c>
    </row>
    <row r="78" spans="1:13" x14ac:dyDescent="0.25">
      <c r="A78" s="2">
        <f ca="1">IFERROR(__xludf.DUMMYFUNCTION("""COMPUTED_VALUE"""),43944.6666666666)</f>
        <v>43944.666666666599</v>
      </c>
      <c r="B78" s="1">
        <f ca="1">IFERROR(__xludf.DUMMYFUNCTION("""COMPUTED_VALUE"""),68.76)</f>
        <v>68.760000000000005</v>
      </c>
      <c r="C78" s="1">
        <f ca="1">IFERROR(__xludf.DUMMYFUNCTION("""COMPUTED_VALUE"""),173.52)</f>
        <v>173.52</v>
      </c>
      <c r="D78" s="1">
        <f ca="1">IFERROR(__xludf.DUMMYFUNCTION("""COMPUTED_VALUE"""),118.17)</f>
        <v>118.17</v>
      </c>
      <c r="E78" s="1">
        <f ca="1">IFERROR(__xludf.DUMMYFUNCTION("""COMPUTED_VALUE"""),7.15)</f>
        <v>7.15</v>
      </c>
      <c r="F78" s="1">
        <f ca="1">IFERROR(__xludf.DUMMYFUNCTION("""COMPUTED_VALUE"""),182.28)</f>
        <v>182.28</v>
      </c>
      <c r="G78" s="1">
        <f ca="1">IFERROR(__xludf.DUMMYFUNCTION("""COMPUTED_VALUE"""),63.16)</f>
        <v>63.16</v>
      </c>
      <c r="H78" s="1">
        <f ca="1">IFERROR(__xludf.DUMMYFUNCTION("""COMPUTED_VALUE"""),48.81)</f>
        <v>48.81</v>
      </c>
      <c r="I78" s="1">
        <f ca="1">IFERROR(__xludf.DUMMYFUNCTION("""COMPUTED_VALUE"""),132.62)</f>
        <v>132.62</v>
      </c>
      <c r="J78" s="1">
        <f ca="1">IFERROR(__xludf.DUMMYFUNCTION("""COMPUTED_VALUE"""),309.42)</f>
        <v>309.42</v>
      </c>
      <c r="K78" s="1">
        <f ca="1">IFERROR(__xludf.DUMMYFUNCTION("""COMPUTED_VALUE"""),26)</f>
        <v>26</v>
      </c>
      <c r="L78" s="1">
        <f ca="1">IFERROR(__xludf.DUMMYFUNCTION("""COMPUTED_VALUE"""),336.77)</f>
        <v>336.77</v>
      </c>
      <c r="M78" s="1">
        <f ca="1">IFERROR(__xludf.DUMMYFUNCTION("""COMPUTED_VALUE"""),421.42)</f>
        <v>421.42</v>
      </c>
    </row>
    <row r="79" spans="1:13" x14ac:dyDescent="0.25">
      <c r="A79" s="2">
        <f ca="1">IFERROR(__xludf.DUMMYFUNCTION("""COMPUTED_VALUE"""),43945.6666666666)</f>
        <v>43945.666666666599</v>
      </c>
      <c r="B79" s="1">
        <f ca="1">IFERROR(__xludf.DUMMYFUNCTION("""COMPUTED_VALUE"""),70.74)</f>
        <v>70.739999999999995</v>
      </c>
      <c r="C79" s="1">
        <f ca="1">IFERROR(__xludf.DUMMYFUNCTION("""COMPUTED_VALUE"""),171.42)</f>
        <v>171.42</v>
      </c>
      <c r="D79" s="1">
        <f ca="1">IFERROR(__xludf.DUMMYFUNCTION("""COMPUTED_VALUE"""),119.97)</f>
        <v>119.97</v>
      </c>
      <c r="E79" s="1">
        <f ca="1">IFERROR(__xludf.DUMMYFUNCTION("""COMPUTED_VALUE"""),7.1)</f>
        <v>7.1</v>
      </c>
      <c r="F79" s="1">
        <f ca="1">IFERROR(__xludf.DUMMYFUNCTION("""COMPUTED_VALUE"""),185.13)</f>
        <v>185.13</v>
      </c>
      <c r="G79" s="1">
        <f ca="1">IFERROR(__xludf.DUMMYFUNCTION("""COMPUTED_VALUE"""),63.82)</f>
        <v>63.82</v>
      </c>
      <c r="H79" s="1">
        <f ca="1">IFERROR(__xludf.DUMMYFUNCTION("""COMPUTED_VALUE"""),47.04)</f>
        <v>47.04</v>
      </c>
      <c r="I79" s="1">
        <f ca="1">IFERROR(__xludf.DUMMYFUNCTION("""COMPUTED_VALUE"""),130.26)</f>
        <v>130.26</v>
      </c>
      <c r="J79" s="1">
        <f ca="1">IFERROR(__xludf.DUMMYFUNCTION("""COMPUTED_VALUE"""),305.4)</f>
        <v>305.39999999999998</v>
      </c>
      <c r="K79" s="1">
        <f ca="1">IFERROR(__xludf.DUMMYFUNCTION("""COMPUTED_VALUE"""),25.89)</f>
        <v>25.89</v>
      </c>
      <c r="L79" s="1">
        <f ca="1">IFERROR(__xludf.DUMMYFUNCTION("""COMPUTED_VALUE"""),335.37)</f>
        <v>335.37</v>
      </c>
      <c r="M79" s="1">
        <f ca="1">IFERROR(__xludf.DUMMYFUNCTION("""COMPUTED_VALUE"""),426.7)</f>
        <v>426.7</v>
      </c>
    </row>
    <row r="80" spans="1:13" x14ac:dyDescent="0.25">
      <c r="A80" s="2">
        <f ca="1">IFERROR(__xludf.DUMMYFUNCTION("""COMPUTED_VALUE"""),43948.6666666666)</f>
        <v>43948.666666666599</v>
      </c>
      <c r="B80" s="1">
        <f ca="1">IFERROR(__xludf.DUMMYFUNCTION("""COMPUTED_VALUE"""),70.79)</f>
        <v>70.790000000000006</v>
      </c>
      <c r="C80" s="1">
        <f ca="1">IFERROR(__xludf.DUMMYFUNCTION("""COMPUTED_VALUE"""),174.55)</f>
        <v>174.55</v>
      </c>
      <c r="D80" s="1">
        <f ca="1">IFERROR(__xludf.DUMMYFUNCTION("""COMPUTED_VALUE"""),120.51)</f>
        <v>120.51</v>
      </c>
      <c r="E80" s="1">
        <f ca="1">IFERROR(__xludf.DUMMYFUNCTION("""COMPUTED_VALUE"""),7.24)</f>
        <v>7.24</v>
      </c>
      <c r="F80" s="1">
        <f ca="1">IFERROR(__xludf.DUMMYFUNCTION("""COMPUTED_VALUE"""),190.07)</f>
        <v>190.07</v>
      </c>
      <c r="G80" s="1">
        <f ca="1">IFERROR(__xludf.DUMMYFUNCTION("""COMPUTED_VALUE"""),63.97)</f>
        <v>63.97</v>
      </c>
      <c r="H80" s="1">
        <f ca="1">IFERROR(__xludf.DUMMYFUNCTION("""COMPUTED_VALUE"""),48.34)</f>
        <v>48.34</v>
      </c>
      <c r="I80" s="1">
        <f ca="1">IFERROR(__xludf.DUMMYFUNCTION("""COMPUTED_VALUE"""),134.36)</f>
        <v>134.36000000000001</v>
      </c>
      <c r="J80" s="1">
        <f ca="1">IFERROR(__xludf.DUMMYFUNCTION("""COMPUTED_VALUE"""),310.55)</f>
        <v>310.55</v>
      </c>
      <c r="K80" s="1">
        <f ca="1">IFERROR(__xludf.DUMMYFUNCTION("""COMPUTED_VALUE"""),26.48)</f>
        <v>26.48</v>
      </c>
      <c r="L80" s="1">
        <f ca="1">IFERROR(__xludf.DUMMYFUNCTION("""COMPUTED_VALUE"""),344.1)</f>
        <v>344.1</v>
      </c>
      <c r="M80" s="1">
        <f ca="1">IFERROR(__xludf.DUMMYFUNCTION("""COMPUTED_VALUE"""),424.99)</f>
        <v>424.99</v>
      </c>
    </row>
    <row r="81" spans="1:13" x14ac:dyDescent="0.25">
      <c r="A81" s="2">
        <f ca="1">IFERROR(__xludf.DUMMYFUNCTION("""COMPUTED_VALUE"""),43949.6666666666)</f>
        <v>43949.666666666599</v>
      </c>
      <c r="B81" s="1">
        <f ca="1">IFERROR(__xludf.DUMMYFUNCTION("""COMPUTED_VALUE"""),69.65)</f>
        <v>69.650000000000006</v>
      </c>
      <c r="C81" s="1">
        <f ca="1">IFERROR(__xludf.DUMMYFUNCTION("""COMPUTED_VALUE"""),174.05)</f>
        <v>174.05</v>
      </c>
      <c r="D81" s="1">
        <f ca="1">IFERROR(__xludf.DUMMYFUNCTION("""COMPUTED_VALUE"""),118.8)</f>
        <v>118.8</v>
      </c>
      <c r="E81" s="1">
        <f ca="1">IFERROR(__xludf.DUMMYFUNCTION("""COMPUTED_VALUE"""),7.43)</f>
        <v>7.43</v>
      </c>
      <c r="F81" s="1">
        <f ca="1">IFERROR(__xludf.DUMMYFUNCTION("""COMPUTED_VALUE"""),187.5)</f>
        <v>187.5</v>
      </c>
      <c r="G81" s="1">
        <f ca="1">IFERROR(__xludf.DUMMYFUNCTION("""COMPUTED_VALUE"""),63.79)</f>
        <v>63.79</v>
      </c>
      <c r="H81" s="1">
        <f ca="1">IFERROR(__xludf.DUMMYFUNCTION("""COMPUTED_VALUE"""),53.25)</f>
        <v>53.25</v>
      </c>
      <c r="I81" s="1">
        <f ca="1">IFERROR(__xludf.DUMMYFUNCTION("""COMPUTED_VALUE"""),134.46)</f>
        <v>134.46</v>
      </c>
      <c r="J81" s="1">
        <f ca="1">IFERROR(__xludf.DUMMYFUNCTION("""COMPUTED_VALUE"""),308.78)</f>
        <v>308.77999999999997</v>
      </c>
      <c r="K81" s="1">
        <f ca="1">IFERROR(__xludf.DUMMYFUNCTION("""COMPUTED_VALUE"""),26.85)</f>
        <v>26.85</v>
      </c>
      <c r="L81" s="1">
        <f ca="1">IFERROR(__xludf.DUMMYFUNCTION("""COMPUTED_VALUE"""),348.5)</f>
        <v>348.5</v>
      </c>
      <c r="M81" s="1">
        <f ca="1">IFERROR(__xludf.DUMMYFUNCTION("""COMPUTED_VALUE"""),421.38)</f>
        <v>421.38</v>
      </c>
    </row>
    <row r="82" spans="1:13" x14ac:dyDescent="0.25">
      <c r="A82" s="2">
        <f ca="1">IFERROR(__xludf.DUMMYFUNCTION("""COMPUTED_VALUE"""),43950.6666666666)</f>
        <v>43950.666666666599</v>
      </c>
      <c r="B82" s="1">
        <f ca="1">IFERROR(__xludf.DUMMYFUNCTION("""COMPUTED_VALUE"""),71.93)</f>
        <v>71.930000000000007</v>
      </c>
      <c r="C82" s="1">
        <f ca="1">IFERROR(__xludf.DUMMYFUNCTION("""COMPUTED_VALUE"""),169.81)</f>
        <v>169.81</v>
      </c>
      <c r="D82" s="1">
        <f ca="1">IFERROR(__xludf.DUMMYFUNCTION("""COMPUTED_VALUE"""),115.7)</f>
        <v>115.7</v>
      </c>
      <c r="E82" s="1">
        <f ca="1">IFERROR(__xludf.DUMMYFUNCTION("""COMPUTED_VALUE"""),7.28)</f>
        <v>7.28</v>
      </c>
      <c r="F82" s="1">
        <f ca="1">IFERROR(__xludf.DUMMYFUNCTION("""COMPUTED_VALUE"""),182.91)</f>
        <v>182.91</v>
      </c>
      <c r="G82" s="1">
        <f ca="1">IFERROR(__xludf.DUMMYFUNCTION("""COMPUTED_VALUE"""),61.68)</f>
        <v>61.68</v>
      </c>
      <c r="H82" s="1">
        <f ca="1">IFERROR(__xludf.DUMMYFUNCTION("""COMPUTED_VALUE"""),51.27)</f>
        <v>51.27</v>
      </c>
      <c r="I82" s="1">
        <f ca="1">IFERROR(__xludf.DUMMYFUNCTION("""COMPUTED_VALUE"""),136.32)</f>
        <v>136.32</v>
      </c>
      <c r="J82" s="1">
        <f ca="1">IFERROR(__xludf.DUMMYFUNCTION("""COMPUTED_VALUE"""),304.95)</f>
        <v>304.95</v>
      </c>
      <c r="K82" s="1">
        <f ca="1">IFERROR(__xludf.DUMMYFUNCTION("""COMPUTED_VALUE"""),26.47)</f>
        <v>26.47</v>
      </c>
      <c r="L82" s="1">
        <f ca="1">IFERROR(__xludf.DUMMYFUNCTION("""COMPUTED_VALUE"""),333.45)</f>
        <v>333.45</v>
      </c>
      <c r="M82" s="1">
        <f ca="1">IFERROR(__xludf.DUMMYFUNCTION("""COMPUTED_VALUE"""),403.83)</f>
        <v>403.83</v>
      </c>
    </row>
    <row r="83" spans="1:13" x14ac:dyDescent="0.25">
      <c r="A83" s="2">
        <f ca="1">IFERROR(__xludf.DUMMYFUNCTION("""COMPUTED_VALUE"""),43951.6666666666)</f>
        <v>43951.666666666599</v>
      </c>
      <c r="B83" s="1">
        <f ca="1">IFERROR(__xludf.DUMMYFUNCTION("""COMPUTED_VALUE"""),73.45)</f>
        <v>73.45</v>
      </c>
      <c r="C83" s="1">
        <f ca="1">IFERROR(__xludf.DUMMYFUNCTION("""COMPUTED_VALUE"""),177.43)</f>
        <v>177.43</v>
      </c>
      <c r="D83" s="1">
        <f ca="1">IFERROR(__xludf.DUMMYFUNCTION("""COMPUTED_VALUE"""),118.64)</f>
        <v>118.64</v>
      </c>
      <c r="E83" s="1">
        <f ca="1">IFERROR(__xludf.DUMMYFUNCTION("""COMPUTED_VALUE"""),7.46)</f>
        <v>7.46</v>
      </c>
      <c r="F83" s="1">
        <f ca="1">IFERROR(__xludf.DUMMYFUNCTION("""COMPUTED_VALUE"""),194.19)</f>
        <v>194.19</v>
      </c>
      <c r="G83" s="1">
        <f ca="1">IFERROR(__xludf.DUMMYFUNCTION("""COMPUTED_VALUE"""),67.07)</f>
        <v>67.069999999999993</v>
      </c>
      <c r="H83" s="1">
        <f ca="1">IFERROR(__xludf.DUMMYFUNCTION("""COMPUTED_VALUE"""),53.37)</f>
        <v>53.37</v>
      </c>
      <c r="I83" s="1">
        <f ca="1">IFERROR(__xludf.DUMMYFUNCTION("""COMPUTED_VALUE"""),133.36)</f>
        <v>133.36000000000001</v>
      </c>
      <c r="J83" s="1">
        <f ca="1">IFERROR(__xludf.DUMMYFUNCTION("""COMPUTED_VALUE"""),307.09)</f>
        <v>307.08999999999997</v>
      </c>
      <c r="K83" s="1">
        <f ca="1">IFERROR(__xludf.DUMMYFUNCTION("""COMPUTED_VALUE"""),27.6)</f>
        <v>27.6</v>
      </c>
      <c r="L83" s="1">
        <f ca="1">IFERROR(__xludf.DUMMYFUNCTION("""COMPUTED_VALUE"""),349.17)</f>
        <v>349.17</v>
      </c>
      <c r="M83" s="1">
        <f ca="1">IFERROR(__xludf.DUMMYFUNCTION("""COMPUTED_VALUE"""),411.89)</f>
        <v>411.89</v>
      </c>
    </row>
    <row r="84" spans="1:13" x14ac:dyDescent="0.25">
      <c r="A84" s="2">
        <f ca="1">IFERROR(__xludf.DUMMYFUNCTION("""COMPUTED_VALUE"""),43952.6666666666)</f>
        <v>43952.666666666599</v>
      </c>
      <c r="B84" s="1">
        <f ca="1">IFERROR(__xludf.DUMMYFUNCTION("""COMPUTED_VALUE"""),72.27)</f>
        <v>72.27</v>
      </c>
      <c r="C84" s="1">
        <f ca="1">IFERROR(__xludf.DUMMYFUNCTION("""COMPUTED_VALUE"""),179.21)</f>
        <v>179.21</v>
      </c>
      <c r="D84" s="1">
        <f ca="1">IFERROR(__xludf.DUMMYFUNCTION("""COMPUTED_VALUE"""),123.7)</f>
        <v>123.7</v>
      </c>
      <c r="E84" s="1">
        <f ca="1">IFERROR(__xludf.DUMMYFUNCTION("""COMPUTED_VALUE"""),7.31)</f>
        <v>7.31</v>
      </c>
      <c r="F84" s="1">
        <f ca="1">IFERROR(__xludf.DUMMYFUNCTION("""COMPUTED_VALUE"""),204.71)</f>
        <v>204.71</v>
      </c>
      <c r="G84" s="1">
        <f ca="1">IFERROR(__xludf.DUMMYFUNCTION("""COMPUTED_VALUE"""),67.43)</f>
        <v>67.430000000000007</v>
      </c>
      <c r="H84" s="1">
        <f ca="1">IFERROR(__xludf.DUMMYFUNCTION("""COMPUTED_VALUE"""),52.13)</f>
        <v>52.13</v>
      </c>
      <c r="I84" s="1">
        <f ca="1">IFERROR(__xludf.DUMMYFUNCTION("""COMPUTED_VALUE"""),132.29)</f>
        <v>132.29</v>
      </c>
      <c r="J84" s="1">
        <f ca="1">IFERROR(__xludf.DUMMYFUNCTION("""COMPUTED_VALUE"""),303)</f>
        <v>303</v>
      </c>
      <c r="K84" s="1">
        <f ca="1">IFERROR(__xludf.DUMMYFUNCTION("""COMPUTED_VALUE"""),27.16)</f>
        <v>27.16</v>
      </c>
      <c r="L84" s="1">
        <f ca="1">IFERROR(__xludf.DUMMYFUNCTION("""COMPUTED_VALUE"""),353.64)</f>
        <v>353.64</v>
      </c>
      <c r="M84" s="1">
        <f ca="1">IFERROR(__xludf.DUMMYFUNCTION("""COMPUTED_VALUE"""),419.85)</f>
        <v>419.85</v>
      </c>
    </row>
    <row r="85" spans="1:13" x14ac:dyDescent="0.25">
      <c r="A85" s="2">
        <f ca="1">IFERROR(__xludf.DUMMYFUNCTION("""COMPUTED_VALUE"""),43955.6666666666)</f>
        <v>43955.666666666599</v>
      </c>
      <c r="B85" s="1">
        <f ca="1">IFERROR(__xludf.DUMMYFUNCTION("""COMPUTED_VALUE"""),73.29)</f>
        <v>73.290000000000006</v>
      </c>
      <c r="C85" s="1">
        <f ca="1">IFERROR(__xludf.DUMMYFUNCTION("""COMPUTED_VALUE"""),174.57)</f>
        <v>174.57</v>
      </c>
      <c r="D85" s="1">
        <f ca="1">IFERROR(__xludf.DUMMYFUNCTION("""COMPUTED_VALUE"""),114.3)</f>
        <v>114.3</v>
      </c>
      <c r="E85" s="1">
        <f ca="1">IFERROR(__xludf.DUMMYFUNCTION("""COMPUTED_VALUE"""),7.07)</f>
        <v>7.07</v>
      </c>
      <c r="F85" s="1">
        <f ca="1">IFERROR(__xludf.DUMMYFUNCTION("""COMPUTED_VALUE"""),202.27)</f>
        <v>202.27</v>
      </c>
      <c r="G85" s="1">
        <f ca="1">IFERROR(__xludf.DUMMYFUNCTION("""COMPUTED_VALUE"""),66.03)</f>
        <v>66.03</v>
      </c>
      <c r="H85" s="1">
        <f ca="1">IFERROR(__xludf.DUMMYFUNCTION("""COMPUTED_VALUE"""),46.75)</f>
        <v>46.75</v>
      </c>
      <c r="I85" s="1">
        <f ca="1">IFERROR(__xludf.DUMMYFUNCTION("""COMPUTED_VALUE"""),130.14)</f>
        <v>130.13999999999999</v>
      </c>
      <c r="J85" s="1">
        <f ca="1">IFERROR(__xludf.DUMMYFUNCTION("""COMPUTED_VALUE"""),301.92)</f>
        <v>301.92</v>
      </c>
      <c r="K85" s="1">
        <f ca="1">IFERROR(__xludf.DUMMYFUNCTION("""COMPUTED_VALUE"""),25.97)</f>
        <v>25.97</v>
      </c>
      <c r="L85" s="1">
        <f ca="1">IFERROR(__xludf.DUMMYFUNCTION("""COMPUTED_VALUE"""),343.84)</f>
        <v>343.84</v>
      </c>
      <c r="M85" s="1">
        <f ca="1">IFERROR(__xludf.DUMMYFUNCTION("""COMPUTED_VALUE"""),415.27)</f>
        <v>415.27</v>
      </c>
    </row>
    <row r="86" spans="1:13" x14ac:dyDescent="0.25">
      <c r="A86" s="2">
        <f ca="1">IFERROR(__xludf.DUMMYFUNCTION("""COMPUTED_VALUE"""),43956.6666666666)</f>
        <v>43956.666666666599</v>
      </c>
      <c r="B86" s="1">
        <f ca="1">IFERROR(__xludf.DUMMYFUNCTION("""COMPUTED_VALUE"""),74.39)</f>
        <v>74.39</v>
      </c>
      <c r="C86" s="1">
        <f ca="1">IFERROR(__xludf.DUMMYFUNCTION("""COMPUTED_VALUE"""),178.84)</f>
        <v>178.84</v>
      </c>
      <c r="D86" s="1">
        <f ca="1">IFERROR(__xludf.DUMMYFUNCTION("""COMPUTED_VALUE"""),115.8)</f>
        <v>115.8</v>
      </c>
      <c r="E86" s="1">
        <f ca="1">IFERROR(__xludf.DUMMYFUNCTION("""COMPUTED_VALUE"""),7.28)</f>
        <v>7.28</v>
      </c>
      <c r="F86" s="1">
        <f ca="1">IFERROR(__xludf.DUMMYFUNCTION("""COMPUTED_VALUE"""),205.26)</f>
        <v>205.26</v>
      </c>
      <c r="G86" s="1">
        <f ca="1">IFERROR(__xludf.DUMMYFUNCTION("""COMPUTED_VALUE"""),66.34)</f>
        <v>66.34</v>
      </c>
      <c r="H86" s="1">
        <f ca="1">IFERROR(__xludf.DUMMYFUNCTION("""COMPUTED_VALUE"""),50.75)</f>
        <v>50.75</v>
      </c>
      <c r="I86" s="1">
        <f ca="1">IFERROR(__xludf.DUMMYFUNCTION("""COMPUTED_VALUE"""),130.92)</f>
        <v>130.91999999999999</v>
      </c>
      <c r="J86" s="1">
        <f ca="1">IFERROR(__xludf.DUMMYFUNCTION("""COMPUTED_VALUE"""),304.49)</f>
        <v>304.49</v>
      </c>
      <c r="K86" s="1">
        <f ca="1">IFERROR(__xludf.DUMMYFUNCTION("""COMPUTED_VALUE"""),26.23)</f>
        <v>26.23</v>
      </c>
      <c r="L86" s="1">
        <f ca="1">IFERROR(__xludf.DUMMYFUNCTION("""COMPUTED_VALUE"""),349.11)</f>
        <v>349.11</v>
      </c>
      <c r="M86" s="1">
        <f ca="1">IFERROR(__xludf.DUMMYFUNCTION("""COMPUTED_VALUE"""),428.15)</f>
        <v>428.15</v>
      </c>
    </row>
    <row r="87" spans="1:13" x14ac:dyDescent="0.25">
      <c r="A87" s="2">
        <f ca="1">IFERROR(__xludf.DUMMYFUNCTION("""COMPUTED_VALUE"""),43957.6666666666)</f>
        <v>43957.666666666599</v>
      </c>
      <c r="B87" s="1">
        <f ca="1">IFERROR(__xludf.DUMMYFUNCTION("""COMPUTED_VALUE"""),75.16)</f>
        <v>75.16</v>
      </c>
      <c r="C87" s="1">
        <f ca="1">IFERROR(__xludf.DUMMYFUNCTION("""COMPUTED_VALUE"""),180.76)</f>
        <v>180.76</v>
      </c>
      <c r="D87" s="1">
        <f ca="1">IFERROR(__xludf.DUMMYFUNCTION("""COMPUTED_VALUE"""),115.89)</f>
        <v>115.89</v>
      </c>
      <c r="E87" s="1">
        <f ca="1">IFERROR(__xludf.DUMMYFUNCTION("""COMPUTED_VALUE"""),7.34)</f>
        <v>7.34</v>
      </c>
      <c r="F87" s="1">
        <f ca="1">IFERROR(__xludf.DUMMYFUNCTION("""COMPUTED_VALUE"""),207.07)</f>
        <v>207.07</v>
      </c>
      <c r="G87" s="1">
        <f ca="1">IFERROR(__xludf.DUMMYFUNCTION("""COMPUTED_VALUE"""),67.56)</f>
        <v>67.56</v>
      </c>
      <c r="H87" s="1">
        <f ca="1">IFERROR(__xludf.DUMMYFUNCTION("""COMPUTED_VALUE"""),51.21)</f>
        <v>51.21</v>
      </c>
      <c r="I87" s="1">
        <f ca="1">IFERROR(__xludf.DUMMYFUNCTION("""COMPUTED_VALUE"""),131.67)</f>
        <v>131.66999999999999</v>
      </c>
      <c r="J87" s="1">
        <f ca="1">IFERROR(__xludf.DUMMYFUNCTION("""COMPUTED_VALUE"""),307.92)</f>
        <v>307.92</v>
      </c>
      <c r="K87" s="1">
        <f ca="1">IFERROR(__xludf.DUMMYFUNCTION("""COMPUTED_VALUE"""),26.49)</f>
        <v>26.49</v>
      </c>
      <c r="L87" s="1">
        <f ca="1">IFERROR(__xludf.DUMMYFUNCTION("""COMPUTED_VALUE"""),356.13)</f>
        <v>356.13</v>
      </c>
      <c r="M87" s="1">
        <f ca="1">IFERROR(__xludf.DUMMYFUNCTION("""COMPUTED_VALUE"""),424.68)</f>
        <v>424.68</v>
      </c>
    </row>
    <row r="88" spans="1:13" x14ac:dyDescent="0.25">
      <c r="A88" s="2">
        <f ca="1">IFERROR(__xludf.DUMMYFUNCTION("""COMPUTED_VALUE"""),43958.6666666666)</f>
        <v>43958.666666666599</v>
      </c>
      <c r="B88" s="1">
        <f ca="1">IFERROR(__xludf.DUMMYFUNCTION("""COMPUTED_VALUE"""),75.94)</f>
        <v>75.94</v>
      </c>
      <c r="C88" s="1">
        <f ca="1">IFERROR(__xludf.DUMMYFUNCTION("""COMPUTED_VALUE"""),182.54)</f>
        <v>182.54</v>
      </c>
      <c r="D88" s="1">
        <f ca="1">IFERROR(__xludf.DUMMYFUNCTION("""COMPUTED_VALUE"""),117.56)</f>
        <v>117.56</v>
      </c>
      <c r="E88" s="1">
        <f ca="1">IFERROR(__xludf.DUMMYFUNCTION("""COMPUTED_VALUE"""),7.44)</f>
        <v>7.44</v>
      </c>
      <c r="F88" s="1">
        <f ca="1">IFERROR(__xludf.DUMMYFUNCTION("""COMPUTED_VALUE"""),208.47)</f>
        <v>208.47</v>
      </c>
      <c r="G88" s="1">
        <f ca="1">IFERROR(__xludf.DUMMYFUNCTION("""COMPUTED_VALUE"""),67.36)</f>
        <v>67.36</v>
      </c>
      <c r="H88" s="1">
        <f ca="1">IFERROR(__xludf.DUMMYFUNCTION("""COMPUTED_VALUE"""),52.17)</f>
        <v>52.17</v>
      </c>
      <c r="I88" s="1">
        <f ca="1">IFERROR(__xludf.DUMMYFUNCTION("""COMPUTED_VALUE"""),130.78)</f>
        <v>130.78</v>
      </c>
      <c r="J88" s="1">
        <f ca="1">IFERROR(__xludf.DUMMYFUNCTION("""COMPUTED_VALUE"""),308.89)</f>
        <v>308.89</v>
      </c>
      <c r="K88" s="1">
        <f ca="1">IFERROR(__xludf.DUMMYFUNCTION("""COMPUTED_VALUE"""),26.42)</f>
        <v>26.42</v>
      </c>
      <c r="L88" s="1">
        <f ca="1">IFERROR(__xludf.DUMMYFUNCTION("""COMPUTED_VALUE"""),362.52)</f>
        <v>362.52</v>
      </c>
      <c r="M88" s="1">
        <f ca="1">IFERROR(__xludf.DUMMYFUNCTION("""COMPUTED_VALUE"""),434.26)</f>
        <v>434.26</v>
      </c>
    </row>
    <row r="89" spans="1:13" x14ac:dyDescent="0.25">
      <c r="A89" s="2">
        <f ca="1">IFERROR(__xludf.DUMMYFUNCTION("""COMPUTED_VALUE"""),43959.6666666666)</f>
        <v>43959.666666666599</v>
      </c>
      <c r="B89" s="1">
        <f ca="1">IFERROR(__xludf.DUMMYFUNCTION("""COMPUTED_VALUE"""),77.53)</f>
        <v>77.53</v>
      </c>
      <c r="C89" s="1">
        <f ca="1">IFERROR(__xludf.DUMMYFUNCTION("""COMPUTED_VALUE"""),183.6)</f>
        <v>183.6</v>
      </c>
      <c r="D89" s="1">
        <f ca="1">IFERROR(__xludf.DUMMYFUNCTION("""COMPUTED_VALUE"""),118.38)</f>
        <v>118.38</v>
      </c>
      <c r="E89" s="1">
        <f ca="1">IFERROR(__xludf.DUMMYFUNCTION("""COMPUTED_VALUE"""),7.62)</f>
        <v>7.62</v>
      </c>
      <c r="F89" s="1">
        <f ca="1">IFERROR(__xludf.DUMMYFUNCTION("""COMPUTED_VALUE"""),211.26)</f>
        <v>211.26</v>
      </c>
      <c r="G89" s="1">
        <f ca="1">IFERROR(__xludf.DUMMYFUNCTION("""COMPUTED_VALUE"""),68.63)</f>
        <v>68.63</v>
      </c>
      <c r="H89" s="1">
        <f ca="1">IFERROR(__xludf.DUMMYFUNCTION("""COMPUTED_VALUE"""),52)</f>
        <v>52</v>
      </c>
      <c r="I89" s="1">
        <f ca="1">IFERROR(__xludf.DUMMYFUNCTION("""COMPUTED_VALUE"""),131.55)</f>
        <v>131.55000000000001</v>
      </c>
      <c r="J89" s="1">
        <f ca="1">IFERROR(__xludf.DUMMYFUNCTION("""COMPUTED_VALUE"""),305)</f>
        <v>305</v>
      </c>
      <c r="K89" s="1">
        <f ca="1">IFERROR(__xludf.DUMMYFUNCTION("""COMPUTED_VALUE"""),26.78)</f>
        <v>26.78</v>
      </c>
      <c r="L89" s="1">
        <f ca="1">IFERROR(__xludf.DUMMYFUNCTION("""COMPUTED_VALUE"""),366.78)</f>
        <v>366.78</v>
      </c>
      <c r="M89" s="1">
        <f ca="1">IFERROR(__xludf.DUMMYFUNCTION("""COMPUTED_VALUE"""),436.53)</f>
        <v>436.53</v>
      </c>
    </row>
    <row r="90" spans="1:13" x14ac:dyDescent="0.25">
      <c r="A90" s="2">
        <f ca="1">IFERROR(__xludf.DUMMYFUNCTION("""COMPUTED_VALUE"""),43962.6666666666)</f>
        <v>43962.666666666599</v>
      </c>
      <c r="B90" s="1">
        <f ca="1">IFERROR(__xludf.DUMMYFUNCTION("""COMPUTED_VALUE"""),78.75)</f>
        <v>78.75</v>
      </c>
      <c r="C90" s="1">
        <f ca="1">IFERROR(__xludf.DUMMYFUNCTION("""COMPUTED_VALUE"""),184.68)</f>
        <v>184.68</v>
      </c>
      <c r="D90" s="1">
        <f ca="1">IFERROR(__xludf.DUMMYFUNCTION("""COMPUTED_VALUE"""),118.98)</f>
        <v>118.98</v>
      </c>
      <c r="E90" s="1">
        <f ca="1">IFERROR(__xludf.DUMMYFUNCTION("""COMPUTED_VALUE"""),7.81)</f>
        <v>7.81</v>
      </c>
      <c r="F90" s="1">
        <f ca="1">IFERROR(__xludf.DUMMYFUNCTION("""COMPUTED_VALUE"""),212.35)</f>
        <v>212.35</v>
      </c>
      <c r="G90" s="1">
        <f ca="1">IFERROR(__xludf.DUMMYFUNCTION("""COMPUTED_VALUE"""),69.42)</f>
        <v>69.42</v>
      </c>
      <c r="H90" s="1">
        <f ca="1">IFERROR(__xludf.DUMMYFUNCTION("""COMPUTED_VALUE"""),54.63)</f>
        <v>54.63</v>
      </c>
      <c r="I90" s="1">
        <f ca="1">IFERROR(__xludf.DUMMYFUNCTION("""COMPUTED_VALUE"""),134.23)</f>
        <v>134.22999999999999</v>
      </c>
      <c r="J90" s="1">
        <f ca="1">IFERROR(__xludf.DUMMYFUNCTION("""COMPUTED_VALUE"""),305.94)</f>
        <v>305.94</v>
      </c>
      <c r="K90" s="1">
        <f ca="1">IFERROR(__xludf.DUMMYFUNCTION("""COMPUTED_VALUE"""),27.5)</f>
        <v>27.5</v>
      </c>
      <c r="L90" s="1">
        <f ca="1">IFERROR(__xludf.DUMMYFUNCTION("""COMPUTED_VALUE"""),367.51)</f>
        <v>367.51</v>
      </c>
      <c r="M90" s="1">
        <f ca="1">IFERROR(__xludf.DUMMYFUNCTION("""COMPUTED_VALUE"""),435.55)</f>
        <v>435.55</v>
      </c>
    </row>
    <row r="91" spans="1:13" x14ac:dyDescent="0.25">
      <c r="A91" s="2">
        <f ca="1">IFERROR(__xludf.DUMMYFUNCTION("""COMPUTED_VALUE"""),43963.6666666666)</f>
        <v>43963.666666666599</v>
      </c>
      <c r="B91" s="1">
        <f ca="1">IFERROR(__xludf.DUMMYFUNCTION("""COMPUTED_VALUE"""),77.85)</f>
        <v>77.849999999999994</v>
      </c>
      <c r="C91" s="1">
        <f ca="1">IFERROR(__xludf.DUMMYFUNCTION("""COMPUTED_VALUE"""),186.74)</f>
        <v>186.74</v>
      </c>
      <c r="D91" s="1">
        <f ca="1">IFERROR(__xludf.DUMMYFUNCTION("""COMPUTED_VALUE"""),120.45)</f>
        <v>120.45</v>
      </c>
      <c r="E91" s="1">
        <f ca="1">IFERROR(__xludf.DUMMYFUNCTION("""COMPUTED_VALUE"""),8.07)</f>
        <v>8.07</v>
      </c>
      <c r="F91" s="1">
        <f ca="1">IFERROR(__xludf.DUMMYFUNCTION("""COMPUTED_VALUE"""),213.18)</f>
        <v>213.18</v>
      </c>
      <c r="G91" s="1">
        <f ca="1">IFERROR(__xludf.DUMMYFUNCTION("""COMPUTED_VALUE"""),70.16)</f>
        <v>70.16</v>
      </c>
      <c r="H91" s="1">
        <f ca="1">IFERROR(__xludf.DUMMYFUNCTION("""COMPUTED_VALUE"""),54.09)</f>
        <v>54.09</v>
      </c>
      <c r="I91" s="1">
        <f ca="1">IFERROR(__xludf.DUMMYFUNCTION("""COMPUTED_VALUE"""),134.38)</f>
        <v>134.38</v>
      </c>
      <c r="J91" s="1">
        <f ca="1">IFERROR(__xludf.DUMMYFUNCTION("""COMPUTED_VALUE"""),310.33)</f>
        <v>310.33</v>
      </c>
      <c r="K91" s="1">
        <f ca="1">IFERROR(__xludf.DUMMYFUNCTION("""COMPUTED_VALUE"""),27.54)</f>
        <v>27.54</v>
      </c>
      <c r="L91" s="1">
        <f ca="1">IFERROR(__xludf.DUMMYFUNCTION("""COMPUTED_VALUE"""),371.42)</f>
        <v>371.42</v>
      </c>
      <c r="M91" s="1">
        <f ca="1">IFERROR(__xludf.DUMMYFUNCTION("""COMPUTED_VALUE"""),440.52)</f>
        <v>440.52</v>
      </c>
    </row>
    <row r="92" spans="1:13" x14ac:dyDescent="0.25">
      <c r="A92" s="2">
        <f ca="1">IFERROR(__xludf.DUMMYFUNCTION("""COMPUTED_VALUE"""),43964.6666666666)</f>
        <v>43964.666666666599</v>
      </c>
      <c r="B92" s="1">
        <f ca="1">IFERROR(__xludf.DUMMYFUNCTION("""COMPUTED_VALUE"""),76.91)</f>
        <v>76.91</v>
      </c>
      <c r="C92" s="1">
        <f ca="1">IFERROR(__xludf.DUMMYFUNCTION("""COMPUTED_VALUE"""),182.51)</f>
        <v>182.51</v>
      </c>
      <c r="D92" s="1">
        <f ca="1">IFERROR(__xludf.DUMMYFUNCTION("""COMPUTED_VALUE"""),117.85)</f>
        <v>117.85</v>
      </c>
      <c r="E92" s="1">
        <f ca="1">IFERROR(__xludf.DUMMYFUNCTION("""COMPUTED_VALUE"""),7.8)</f>
        <v>7.8</v>
      </c>
      <c r="F92" s="1">
        <f ca="1">IFERROR(__xludf.DUMMYFUNCTION("""COMPUTED_VALUE"""),210.1)</f>
        <v>210.1</v>
      </c>
      <c r="G92" s="1">
        <f ca="1">IFERROR(__xludf.DUMMYFUNCTION("""COMPUTED_VALUE"""),68.79)</f>
        <v>68.790000000000006</v>
      </c>
      <c r="H92" s="1">
        <f ca="1">IFERROR(__xludf.DUMMYFUNCTION("""COMPUTED_VALUE"""),53.96)</f>
        <v>53.96</v>
      </c>
      <c r="I92" s="1">
        <f ca="1">IFERROR(__xludf.DUMMYFUNCTION("""COMPUTED_VALUE"""),132.94)</f>
        <v>132.94</v>
      </c>
      <c r="J92" s="1">
        <f ca="1">IFERROR(__xludf.DUMMYFUNCTION("""COMPUTED_VALUE"""),304.84)</f>
        <v>304.83999999999997</v>
      </c>
      <c r="K92" s="1">
        <f ca="1">IFERROR(__xludf.DUMMYFUNCTION("""COMPUTED_VALUE"""),26.85)</f>
        <v>26.85</v>
      </c>
      <c r="L92" s="1">
        <f ca="1">IFERROR(__xludf.DUMMYFUNCTION("""COMPUTED_VALUE"""),365.1)</f>
        <v>365.1</v>
      </c>
      <c r="M92" s="1">
        <f ca="1">IFERROR(__xludf.DUMMYFUNCTION("""COMPUTED_VALUE"""),431.82)</f>
        <v>431.82</v>
      </c>
    </row>
    <row r="93" spans="1:13" x14ac:dyDescent="0.25">
      <c r="A93" s="2">
        <f ca="1">IFERROR(__xludf.DUMMYFUNCTION("""COMPUTED_VALUE"""),43965.6666666666)</f>
        <v>43965.666666666599</v>
      </c>
      <c r="B93" s="1">
        <f ca="1">IFERROR(__xludf.DUMMYFUNCTION("""COMPUTED_VALUE"""),77.39)</f>
        <v>77.39</v>
      </c>
      <c r="C93" s="1">
        <f ca="1">IFERROR(__xludf.DUMMYFUNCTION("""COMPUTED_VALUE"""),179.75)</f>
        <v>179.75</v>
      </c>
      <c r="D93" s="1">
        <f ca="1">IFERROR(__xludf.DUMMYFUNCTION("""COMPUTED_VALUE"""),118.4)</f>
        <v>118.4</v>
      </c>
      <c r="E93" s="1">
        <f ca="1">IFERROR(__xludf.DUMMYFUNCTION("""COMPUTED_VALUE"""),7.78)</f>
        <v>7.78</v>
      </c>
      <c r="F93" s="1">
        <f ca="1">IFERROR(__xludf.DUMMYFUNCTION("""COMPUTED_VALUE"""),205.1)</f>
        <v>205.1</v>
      </c>
      <c r="G93" s="1">
        <f ca="1">IFERROR(__xludf.DUMMYFUNCTION("""COMPUTED_VALUE"""),67.47)</f>
        <v>67.47</v>
      </c>
      <c r="H93" s="1">
        <f ca="1">IFERROR(__xludf.DUMMYFUNCTION("""COMPUTED_VALUE"""),52.73)</f>
        <v>52.73</v>
      </c>
      <c r="I93" s="1">
        <f ca="1">IFERROR(__xludf.DUMMYFUNCTION("""COMPUTED_VALUE"""),132.96)</f>
        <v>132.96</v>
      </c>
      <c r="J93" s="1">
        <f ca="1">IFERROR(__xludf.DUMMYFUNCTION("""COMPUTED_VALUE"""),302.14)</f>
        <v>302.14</v>
      </c>
      <c r="K93" s="1">
        <f ca="1">IFERROR(__xludf.DUMMYFUNCTION("""COMPUTED_VALUE"""),26.32)</f>
        <v>26.32</v>
      </c>
      <c r="L93" s="1">
        <f ca="1">IFERROR(__xludf.DUMMYFUNCTION("""COMPUTED_VALUE"""),358.56)</f>
        <v>358.56</v>
      </c>
      <c r="M93" s="1">
        <f ca="1">IFERROR(__xludf.DUMMYFUNCTION("""COMPUTED_VALUE"""),438.27)</f>
        <v>438.27</v>
      </c>
    </row>
    <row r="94" spans="1:13" x14ac:dyDescent="0.25">
      <c r="A94" s="2">
        <f ca="1">IFERROR(__xludf.DUMMYFUNCTION("""COMPUTED_VALUE"""),43966.6666666666)</f>
        <v>43966.666666666599</v>
      </c>
      <c r="B94" s="1">
        <f ca="1">IFERROR(__xludf.DUMMYFUNCTION("""COMPUTED_VALUE"""),76.93)</f>
        <v>76.930000000000007</v>
      </c>
      <c r="C94" s="1">
        <f ca="1">IFERROR(__xludf.DUMMYFUNCTION("""COMPUTED_VALUE"""),180.53)</f>
        <v>180.53</v>
      </c>
      <c r="D94" s="1">
        <f ca="1">IFERROR(__xludf.DUMMYFUNCTION("""COMPUTED_VALUE"""),119.44)</f>
        <v>119.44</v>
      </c>
      <c r="E94" s="1">
        <f ca="1">IFERROR(__xludf.DUMMYFUNCTION("""COMPUTED_VALUE"""),8.03)</f>
        <v>8.0299999999999994</v>
      </c>
      <c r="F94" s="1">
        <f ca="1">IFERROR(__xludf.DUMMYFUNCTION("""COMPUTED_VALUE"""),206.81)</f>
        <v>206.81</v>
      </c>
      <c r="G94" s="1">
        <f ca="1">IFERROR(__xludf.DUMMYFUNCTION("""COMPUTED_VALUE"""),67.81)</f>
        <v>67.81</v>
      </c>
      <c r="H94" s="1">
        <f ca="1">IFERROR(__xludf.DUMMYFUNCTION("""COMPUTED_VALUE"""),53.56)</f>
        <v>53.56</v>
      </c>
      <c r="I94" s="1">
        <f ca="1">IFERROR(__xludf.DUMMYFUNCTION("""COMPUTED_VALUE"""),133.08)</f>
        <v>133.08000000000001</v>
      </c>
      <c r="J94" s="1">
        <f ca="1">IFERROR(__xludf.DUMMYFUNCTION("""COMPUTED_VALUE"""),299.74)</f>
        <v>299.74</v>
      </c>
      <c r="K94" s="1">
        <f ca="1">IFERROR(__xludf.DUMMYFUNCTION("""COMPUTED_VALUE"""),26.66)</f>
        <v>26.66</v>
      </c>
      <c r="L94" s="1">
        <f ca="1">IFERROR(__xludf.DUMMYFUNCTION("""COMPUTED_VALUE"""),355.39)</f>
        <v>355.39</v>
      </c>
      <c r="M94" s="1">
        <f ca="1">IFERROR(__xludf.DUMMYFUNCTION("""COMPUTED_VALUE"""),441.95)</f>
        <v>441.95</v>
      </c>
    </row>
    <row r="95" spans="1:13" x14ac:dyDescent="0.25">
      <c r="A95" s="2">
        <f ca="1">IFERROR(__xludf.DUMMYFUNCTION("""COMPUTED_VALUE"""),43969.6666666666)</f>
        <v>43969.666666666599</v>
      </c>
      <c r="B95" s="1">
        <f ca="1">IFERROR(__xludf.DUMMYFUNCTION("""COMPUTED_VALUE"""),78.74)</f>
        <v>78.739999999999995</v>
      </c>
      <c r="C95" s="1">
        <f ca="1">IFERROR(__xludf.DUMMYFUNCTION("""COMPUTED_VALUE"""),183.16)</f>
        <v>183.16</v>
      </c>
      <c r="D95" s="1">
        <f ca="1">IFERROR(__xludf.DUMMYFUNCTION("""COMPUTED_VALUE"""),120.49)</f>
        <v>120.49</v>
      </c>
      <c r="E95" s="1">
        <f ca="1">IFERROR(__xludf.DUMMYFUNCTION("""COMPUTED_VALUE"""),8.49)</f>
        <v>8.49</v>
      </c>
      <c r="F95" s="1">
        <f ca="1">IFERROR(__xludf.DUMMYFUNCTION("""COMPUTED_VALUE"""),210.88)</f>
        <v>210.88</v>
      </c>
      <c r="G95" s="1">
        <f ca="1">IFERROR(__xludf.DUMMYFUNCTION("""COMPUTED_VALUE"""),68.66)</f>
        <v>68.66</v>
      </c>
      <c r="H95" s="1">
        <f ca="1">IFERROR(__xludf.DUMMYFUNCTION("""COMPUTED_VALUE"""),53.28)</f>
        <v>53.28</v>
      </c>
      <c r="I95" s="1">
        <f ca="1">IFERROR(__xludf.DUMMYFUNCTION("""COMPUTED_VALUE"""),135.95)</f>
        <v>135.94999999999999</v>
      </c>
      <c r="J95" s="1">
        <f ca="1">IFERROR(__xludf.DUMMYFUNCTION("""COMPUTED_VALUE"""),299.21)</f>
        <v>299.20999999999998</v>
      </c>
      <c r="K95" s="1">
        <f ca="1">IFERROR(__xludf.DUMMYFUNCTION("""COMPUTED_VALUE"""),26.04)</f>
        <v>26.04</v>
      </c>
      <c r="L95" s="1">
        <f ca="1">IFERROR(__xludf.DUMMYFUNCTION("""COMPUTED_VALUE"""),365.3)</f>
        <v>365.3</v>
      </c>
      <c r="M95" s="1">
        <f ca="1">IFERROR(__xludf.DUMMYFUNCTION("""COMPUTED_VALUE"""),454.19)</f>
        <v>454.19</v>
      </c>
    </row>
    <row r="96" spans="1:13" x14ac:dyDescent="0.25">
      <c r="A96" s="2">
        <f ca="1">IFERROR(__xludf.DUMMYFUNCTION("""COMPUTED_VALUE"""),43970.6666666666)</f>
        <v>43970.666666666599</v>
      </c>
      <c r="B96" s="1">
        <f ca="1">IFERROR(__xludf.DUMMYFUNCTION("""COMPUTED_VALUE"""),78.29)</f>
        <v>78.290000000000006</v>
      </c>
      <c r="C96" s="1">
        <f ca="1">IFERROR(__xludf.DUMMYFUNCTION("""COMPUTED_VALUE"""),184.91)</f>
        <v>184.91</v>
      </c>
      <c r="D96" s="1">
        <f ca="1">IFERROR(__xludf.DUMMYFUNCTION("""COMPUTED_VALUE"""),121.31)</f>
        <v>121.31</v>
      </c>
      <c r="E96" s="1">
        <f ca="1">IFERROR(__xludf.DUMMYFUNCTION("""COMPUTED_VALUE"""),8.75)</f>
        <v>8.75</v>
      </c>
      <c r="F96" s="1">
        <f ca="1">IFERROR(__xludf.DUMMYFUNCTION("""COMPUTED_VALUE"""),213.19)</f>
        <v>213.19</v>
      </c>
      <c r="G96" s="1">
        <f ca="1">IFERROR(__xludf.DUMMYFUNCTION("""COMPUTED_VALUE"""),69.2)</f>
        <v>69.2</v>
      </c>
      <c r="H96" s="1">
        <f ca="1">IFERROR(__xludf.DUMMYFUNCTION("""COMPUTED_VALUE"""),54.24)</f>
        <v>54.24</v>
      </c>
      <c r="I96" s="1">
        <f ca="1">IFERROR(__xludf.DUMMYFUNCTION("""COMPUTED_VALUE"""),135.52)</f>
        <v>135.52000000000001</v>
      </c>
      <c r="J96" s="1">
        <f ca="1">IFERROR(__xludf.DUMMYFUNCTION("""COMPUTED_VALUE"""),302.76)</f>
        <v>302.76</v>
      </c>
      <c r="K96" s="1">
        <f ca="1">IFERROR(__xludf.DUMMYFUNCTION("""COMPUTED_VALUE"""),27.35)</f>
        <v>27.35</v>
      </c>
      <c r="L96" s="1">
        <f ca="1">IFERROR(__xludf.DUMMYFUNCTION("""COMPUTED_VALUE"""),367.97)</f>
        <v>367.97</v>
      </c>
      <c r="M96" s="1">
        <f ca="1">IFERROR(__xludf.DUMMYFUNCTION("""COMPUTED_VALUE"""),452.58)</f>
        <v>452.58</v>
      </c>
    </row>
    <row r="97" spans="1:13" x14ac:dyDescent="0.25">
      <c r="A97" s="2">
        <f ca="1">IFERROR(__xludf.DUMMYFUNCTION("""COMPUTED_VALUE"""),43971.6666666666)</f>
        <v>43971.666666666599</v>
      </c>
      <c r="B97" s="1">
        <f ca="1">IFERROR(__xludf.DUMMYFUNCTION("""COMPUTED_VALUE"""),79.81)</f>
        <v>79.81</v>
      </c>
      <c r="C97" s="1">
        <f ca="1">IFERROR(__xludf.DUMMYFUNCTION("""COMPUTED_VALUE"""),183.63)</f>
        <v>183.63</v>
      </c>
      <c r="D97" s="1">
        <f ca="1">IFERROR(__xludf.DUMMYFUNCTION("""COMPUTED_VALUE"""),122.47)</f>
        <v>122.47</v>
      </c>
      <c r="E97" s="1">
        <f ca="1">IFERROR(__xludf.DUMMYFUNCTION("""COMPUTED_VALUE"""),8.81)</f>
        <v>8.81</v>
      </c>
      <c r="F97" s="1">
        <f ca="1">IFERROR(__xludf.DUMMYFUNCTION("""COMPUTED_VALUE"""),216.88)</f>
        <v>216.88</v>
      </c>
      <c r="G97" s="1">
        <f ca="1">IFERROR(__xludf.DUMMYFUNCTION("""COMPUTED_VALUE"""),68.67)</f>
        <v>68.67</v>
      </c>
      <c r="H97" s="1">
        <f ca="1">IFERROR(__xludf.DUMMYFUNCTION("""COMPUTED_VALUE"""),53.87)</f>
        <v>53.87</v>
      </c>
      <c r="I97" s="1">
        <f ca="1">IFERROR(__xludf.DUMMYFUNCTION("""COMPUTED_VALUE"""),131.73)</f>
        <v>131.72999999999999</v>
      </c>
      <c r="J97" s="1">
        <f ca="1">IFERROR(__xludf.DUMMYFUNCTION("""COMPUTED_VALUE"""),304.63)</f>
        <v>304.63</v>
      </c>
      <c r="K97" s="1">
        <f ca="1">IFERROR(__xludf.DUMMYFUNCTION("""COMPUTED_VALUE"""),27.2)</f>
        <v>27.2</v>
      </c>
      <c r="L97" s="1">
        <f ca="1">IFERROR(__xludf.DUMMYFUNCTION("""COMPUTED_VALUE"""),372.2)</f>
        <v>372.2</v>
      </c>
      <c r="M97" s="1">
        <f ca="1">IFERROR(__xludf.DUMMYFUNCTION("""COMPUTED_VALUE"""),451.04)</f>
        <v>451.04</v>
      </c>
    </row>
    <row r="98" spans="1:13" x14ac:dyDescent="0.25">
      <c r="A98" s="2">
        <f ca="1">IFERROR(__xludf.DUMMYFUNCTION("""COMPUTED_VALUE"""),43972.6666666666)</f>
        <v>43972.666666666599</v>
      </c>
      <c r="B98" s="1">
        <f ca="1">IFERROR(__xludf.DUMMYFUNCTION("""COMPUTED_VALUE"""),79.21)</f>
        <v>79.209999999999994</v>
      </c>
      <c r="C98" s="1">
        <f ca="1">IFERROR(__xludf.DUMMYFUNCTION("""COMPUTED_VALUE"""),185.66)</f>
        <v>185.66</v>
      </c>
      <c r="D98" s="1">
        <f ca="1">IFERROR(__xludf.DUMMYFUNCTION("""COMPUTED_VALUE"""),124.9)</f>
        <v>124.9</v>
      </c>
      <c r="E98" s="1">
        <f ca="1">IFERROR(__xludf.DUMMYFUNCTION("""COMPUTED_VALUE"""),8.97)</f>
        <v>8.9700000000000006</v>
      </c>
      <c r="F98" s="1">
        <f ca="1">IFERROR(__xludf.DUMMYFUNCTION("""COMPUTED_VALUE"""),229.97)</f>
        <v>229.97</v>
      </c>
      <c r="G98" s="1">
        <f ca="1">IFERROR(__xludf.DUMMYFUNCTION("""COMPUTED_VALUE"""),70.34)</f>
        <v>70.34</v>
      </c>
      <c r="H98" s="1">
        <f ca="1">IFERROR(__xludf.DUMMYFUNCTION("""COMPUTED_VALUE"""),54.37)</f>
        <v>54.37</v>
      </c>
      <c r="I98" s="1">
        <f ca="1">IFERROR(__xludf.DUMMYFUNCTION("""COMPUTED_VALUE"""),131.26)</f>
        <v>131.26</v>
      </c>
      <c r="J98" s="1">
        <f ca="1">IFERROR(__xludf.DUMMYFUNCTION("""COMPUTED_VALUE"""),304.91)</f>
        <v>304.91000000000003</v>
      </c>
      <c r="K98" s="1">
        <f ca="1">IFERROR(__xludf.DUMMYFUNCTION("""COMPUTED_VALUE"""),27.87)</f>
        <v>27.87</v>
      </c>
      <c r="L98" s="1">
        <f ca="1">IFERROR(__xludf.DUMMYFUNCTION("""COMPUTED_VALUE"""),383.63)</f>
        <v>383.63</v>
      </c>
      <c r="M98" s="1">
        <f ca="1">IFERROR(__xludf.DUMMYFUNCTION("""COMPUTED_VALUE"""),447.67)</f>
        <v>447.67</v>
      </c>
    </row>
    <row r="99" spans="1:13" x14ac:dyDescent="0.25">
      <c r="A99" s="2">
        <f ca="1">IFERROR(__xludf.DUMMYFUNCTION("""COMPUTED_VALUE"""),43973.6666666666)</f>
        <v>43973.666666666599</v>
      </c>
      <c r="B99" s="1">
        <f ca="1">IFERROR(__xludf.DUMMYFUNCTION("""COMPUTED_VALUE"""),79.72)</f>
        <v>79.72</v>
      </c>
      <c r="C99" s="1">
        <f ca="1">IFERROR(__xludf.DUMMYFUNCTION("""COMPUTED_VALUE"""),183.43)</f>
        <v>183.43</v>
      </c>
      <c r="D99" s="1">
        <f ca="1">IFERROR(__xludf.DUMMYFUNCTION("""COMPUTED_VALUE"""),122.34)</f>
        <v>122.34</v>
      </c>
      <c r="E99" s="1">
        <f ca="1">IFERROR(__xludf.DUMMYFUNCTION("""COMPUTED_VALUE"""),8.78)</f>
        <v>8.7799999999999994</v>
      </c>
      <c r="F99" s="1">
        <f ca="1">IFERROR(__xludf.DUMMYFUNCTION("""COMPUTED_VALUE"""),231.39)</f>
        <v>231.39</v>
      </c>
      <c r="G99" s="1">
        <f ca="1">IFERROR(__xludf.DUMMYFUNCTION("""COMPUTED_VALUE"""),70.14)</f>
        <v>70.14</v>
      </c>
      <c r="H99" s="1">
        <f ca="1">IFERROR(__xludf.DUMMYFUNCTION("""COMPUTED_VALUE"""),55.17)</f>
        <v>55.17</v>
      </c>
      <c r="I99" s="1">
        <f ca="1">IFERROR(__xludf.DUMMYFUNCTION("""COMPUTED_VALUE"""),130.21)</f>
        <v>130.21</v>
      </c>
      <c r="J99" s="1">
        <f ca="1">IFERROR(__xludf.DUMMYFUNCTION("""COMPUTED_VALUE"""),301.97)</f>
        <v>301.97000000000003</v>
      </c>
      <c r="K99" s="1">
        <f ca="1">IFERROR(__xludf.DUMMYFUNCTION("""COMPUTED_VALUE"""),27.48)</f>
        <v>27.48</v>
      </c>
      <c r="L99" s="1">
        <f ca="1">IFERROR(__xludf.DUMMYFUNCTION("""COMPUTED_VALUE"""),382.17)</f>
        <v>382.17</v>
      </c>
      <c r="M99" s="1">
        <f ca="1">IFERROR(__xludf.DUMMYFUNCTION("""COMPUTED_VALUE"""),436.25)</f>
        <v>436.25</v>
      </c>
    </row>
    <row r="100" spans="1:13" x14ac:dyDescent="0.25">
      <c r="A100" s="2">
        <f ca="1">IFERROR(__xludf.DUMMYFUNCTION("""COMPUTED_VALUE"""),43977.6666666666)</f>
        <v>43977.666666666599</v>
      </c>
      <c r="B100" s="1">
        <f ca="1">IFERROR(__xludf.DUMMYFUNCTION("""COMPUTED_VALUE"""),79.18)</f>
        <v>79.180000000000007</v>
      </c>
      <c r="C100" s="1">
        <f ca="1">IFERROR(__xludf.DUMMYFUNCTION("""COMPUTED_VALUE"""),183.51)</f>
        <v>183.51</v>
      </c>
      <c r="D100" s="1">
        <f ca="1">IFERROR(__xludf.DUMMYFUNCTION("""COMPUTED_VALUE"""),121.84)</f>
        <v>121.84</v>
      </c>
      <c r="E100" s="1">
        <f ca="1">IFERROR(__xludf.DUMMYFUNCTION("""COMPUTED_VALUE"""),9.03)</f>
        <v>9.0299999999999994</v>
      </c>
      <c r="F100" s="1">
        <f ca="1">IFERROR(__xludf.DUMMYFUNCTION("""COMPUTED_VALUE"""),234.91)</f>
        <v>234.91</v>
      </c>
      <c r="G100" s="1">
        <f ca="1">IFERROR(__xludf.DUMMYFUNCTION("""COMPUTED_VALUE"""),70.52)</f>
        <v>70.52</v>
      </c>
      <c r="H100" s="1">
        <f ca="1">IFERROR(__xludf.DUMMYFUNCTION("""COMPUTED_VALUE"""),54.46)</f>
        <v>54.46</v>
      </c>
      <c r="I100" s="1">
        <f ca="1">IFERROR(__xludf.DUMMYFUNCTION("""COMPUTED_VALUE"""),130.48)</f>
        <v>130.47999999999999</v>
      </c>
      <c r="J100" s="1">
        <f ca="1">IFERROR(__xludf.DUMMYFUNCTION("""COMPUTED_VALUE"""),302.43)</f>
        <v>302.43</v>
      </c>
      <c r="K100" s="1">
        <f ca="1">IFERROR(__xludf.DUMMYFUNCTION("""COMPUTED_VALUE"""),27.67)</f>
        <v>27.67</v>
      </c>
      <c r="L100" s="1">
        <f ca="1">IFERROR(__xludf.DUMMYFUNCTION("""COMPUTED_VALUE"""),385.26)</f>
        <v>385.26</v>
      </c>
      <c r="M100" s="1">
        <f ca="1">IFERROR(__xludf.DUMMYFUNCTION("""COMPUTED_VALUE"""),429.32)</f>
        <v>429.32</v>
      </c>
    </row>
    <row r="101" spans="1:13" x14ac:dyDescent="0.25">
      <c r="A101" s="2">
        <f ca="1">IFERROR(__xludf.DUMMYFUNCTION("""COMPUTED_VALUE"""),43978.6666666666)</f>
        <v>43978.666666666599</v>
      </c>
      <c r="B101" s="1">
        <f ca="1">IFERROR(__xludf.DUMMYFUNCTION("""COMPUTED_VALUE"""),79.53)</f>
        <v>79.53</v>
      </c>
      <c r="C101" s="1">
        <f ca="1">IFERROR(__xludf.DUMMYFUNCTION("""COMPUTED_VALUE"""),181.57)</f>
        <v>181.57</v>
      </c>
      <c r="D101" s="1">
        <f ca="1">IFERROR(__xludf.DUMMYFUNCTION("""COMPUTED_VALUE"""),121.09)</f>
        <v>121.09</v>
      </c>
      <c r="E101" s="1">
        <f ca="1">IFERROR(__xludf.DUMMYFUNCTION("""COMPUTED_VALUE"""),8.72)</f>
        <v>8.7200000000000006</v>
      </c>
      <c r="F101" s="1">
        <f ca="1">IFERROR(__xludf.DUMMYFUNCTION("""COMPUTED_VALUE"""),232.2)</f>
        <v>232.2</v>
      </c>
      <c r="G101" s="1">
        <f ca="1">IFERROR(__xludf.DUMMYFUNCTION("""COMPUTED_VALUE"""),70.85)</f>
        <v>70.849999999999994</v>
      </c>
      <c r="H101" s="1">
        <f ca="1">IFERROR(__xludf.DUMMYFUNCTION("""COMPUTED_VALUE"""),54.59)</f>
        <v>54.59</v>
      </c>
      <c r="I101" s="1">
        <f ca="1">IFERROR(__xludf.DUMMYFUNCTION("""COMPUTED_VALUE"""),129.75)</f>
        <v>129.75</v>
      </c>
      <c r="J101" s="1">
        <f ca="1">IFERROR(__xludf.DUMMYFUNCTION("""COMPUTED_VALUE"""),304.8)</f>
        <v>304.8</v>
      </c>
      <c r="K101" s="1">
        <f ca="1">IFERROR(__xludf.DUMMYFUNCTION("""COMPUTED_VALUE"""),28.2)</f>
        <v>28.2</v>
      </c>
      <c r="L101" s="1">
        <f ca="1">IFERROR(__xludf.DUMMYFUNCTION("""COMPUTED_VALUE"""),376.63)</f>
        <v>376.63</v>
      </c>
      <c r="M101" s="1">
        <f ca="1">IFERROR(__xludf.DUMMYFUNCTION("""COMPUTED_VALUE"""),414.77)</f>
        <v>414.77</v>
      </c>
    </row>
    <row r="102" spans="1:13" x14ac:dyDescent="0.25">
      <c r="A102" s="2">
        <f ca="1">IFERROR(__xludf.DUMMYFUNCTION("""COMPUTED_VALUE"""),43979.6666666666)</f>
        <v>43979.666666666599</v>
      </c>
      <c r="B102" s="1">
        <f ca="1">IFERROR(__xludf.DUMMYFUNCTION("""COMPUTED_VALUE"""),79.56)</f>
        <v>79.56</v>
      </c>
      <c r="C102" s="1">
        <f ca="1">IFERROR(__xludf.DUMMYFUNCTION("""COMPUTED_VALUE"""),181.81)</f>
        <v>181.81</v>
      </c>
      <c r="D102" s="1">
        <f ca="1">IFERROR(__xludf.DUMMYFUNCTION("""COMPUTED_VALUE"""),120.52)</f>
        <v>120.52</v>
      </c>
      <c r="E102" s="1">
        <f ca="1">IFERROR(__xludf.DUMMYFUNCTION("""COMPUTED_VALUE"""),8.53)</f>
        <v>8.5299999999999994</v>
      </c>
      <c r="F102" s="1">
        <f ca="1">IFERROR(__xludf.DUMMYFUNCTION("""COMPUTED_VALUE"""),229.14)</f>
        <v>229.14</v>
      </c>
      <c r="G102" s="1">
        <f ca="1">IFERROR(__xludf.DUMMYFUNCTION("""COMPUTED_VALUE"""),70.89)</f>
        <v>70.89</v>
      </c>
      <c r="H102" s="1">
        <f ca="1">IFERROR(__xludf.DUMMYFUNCTION("""COMPUTED_VALUE"""),54.68)</f>
        <v>54.68</v>
      </c>
      <c r="I102" s="1">
        <f ca="1">IFERROR(__xludf.DUMMYFUNCTION("""COMPUTED_VALUE"""),130.81)</f>
        <v>130.81</v>
      </c>
      <c r="J102" s="1">
        <f ca="1">IFERROR(__xludf.DUMMYFUNCTION("""COMPUTED_VALUE"""),306.01)</f>
        <v>306.01</v>
      </c>
      <c r="K102" s="1">
        <f ca="1">IFERROR(__xludf.DUMMYFUNCTION("""COMPUTED_VALUE"""),28.76)</f>
        <v>28.76</v>
      </c>
      <c r="L102" s="1">
        <f ca="1">IFERROR(__xludf.DUMMYFUNCTION("""COMPUTED_VALUE"""),375.17)</f>
        <v>375.17</v>
      </c>
      <c r="M102" s="1">
        <f ca="1">IFERROR(__xludf.DUMMYFUNCTION("""COMPUTED_VALUE"""),419.89)</f>
        <v>419.89</v>
      </c>
    </row>
    <row r="103" spans="1:13" x14ac:dyDescent="0.25">
      <c r="A103" s="2">
        <f ca="1">IFERROR(__xludf.DUMMYFUNCTION("""COMPUTED_VALUE"""),43980.6666666666)</f>
        <v>43980.666666666599</v>
      </c>
      <c r="B103" s="1">
        <f ca="1">IFERROR(__xludf.DUMMYFUNCTION("""COMPUTED_VALUE"""),79.49)</f>
        <v>79.489999999999995</v>
      </c>
      <c r="C103" s="1">
        <f ca="1">IFERROR(__xludf.DUMMYFUNCTION("""COMPUTED_VALUE"""),181.4)</f>
        <v>181.4</v>
      </c>
      <c r="D103" s="1">
        <f ca="1">IFERROR(__xludf.DUMMYFUNCTION("""COMPUTED_VALUE"""),120.06)</f>
        <v>120.06</v>
      </c>
      <c r="E103" s="1">
        <f ca="1">IFERROR(__xludf.DUMMYFUNCTION("""COMPUTED_VALUE"""),8.49)</f>
        <v>8.49</v>
      </c>
      <c r="F103" s="1">
        <f ca="1">IFERROR(__xludf.DUMMYFUNCTION("""COMPUTED_VALUE"""),225.46)</f>
        <v>225.46</v>
      </c>
      <c r="G103" s="1">
        <f ca="1">IFERROR(__xludf.DUMMYFUNCTION("""COMPUTED_VALUE"""),70.84)</f>
        <v>70.84</v>
      </c>
      <c r="H103" s="1">
        <f ca="1">IFERROR(__xludf.DUMMYFUNCTION("""COMPUTED_VALUE"""),53.72)</f>
        <v>53.72</v>
      </c>
      <c r="I103" s="1">
        <f ca="1">IFERROR(__xludf.DUMMYFUNCTION("""COMPUTED_VALUE"""),132.29)</f>
        <v>132.29</v>
      </c>
      <c r="J103" s="1">
        <f ca="1">IFERROR(__xludf.DUMMYFUNCTION("""COMPUTED_VALUE"""),309.56)</f>
        <v>309.56</v>
      </c>
      <c r="K103" s="1">
        <f ca="1">IFERROR(__xludf.DUMMYFUNCTION("""COMPUTED_VALUE"""),28.31)</f>
        <v>28.31</v>
      </c>
      <c r="L103" s="1">
        <f ca="1">IFERROR(__xludf.DUMMYFUNCTION("""COMPUTED_VALUE"""),379.83)</f>
        <v>379.83</v>
      </c>
      <c r="M103" s="1">
        <f ca="1">IFERROR(__xludf.DUMMYFUNCTION("""COMPUTED_VALUE"""),413.44)</f>
        <v>413.44</v>
      </c>
    </row>
    <row r="104" spans="1:13" x14ac:dyDescent="0.25">
      <c r="A104" s="2">
        <f ca="1">IFERROR(__xludf.DUMMYFUNCTION("""COMPUTED_VALUE"""),43983.6666666666)</f>
        <v>43983.666666666599</v>
      </c>
      <c r="B104" s="1">
        <f ca="1">IFERROR(__xludf.DUMMYFUNCTION("""COMPUTED_VALUE"""),80.46)</f>
        <v>80.459999999999994</v>
      </c>
      <c r="C104" s="1">
        <f ca="1">IFERROR(__xludf.DUMMYFUNCTION("""COMPUTED_VALUE"""),183.25)</f>
        <v>183.25</v>
      </c>
      <c r="D104" s="1">
        <f ca="1">IFERROR(__xludf.DUMMYFUNCTION("""COMPUTED_VALUE"""),122.12)</f>
        <v>122.12</v>
      </c>
      <c r="E104" s="1">
        <f ca="1">IFERROR(__xludf.DUMMYFUNCTION("""COMPUTED_VALUE"""),8.88)</f>
        <v>8.8800000000000008</v>
      </c>
      <c r="F104" s="1">
        <f ca="1">IFERROR(__xludf.DUMMYFUNCTION("""COMPUTED_VALUE"""),225.09)</f>
        <v>225.09</v>
      </c>
      <c r="G104" s="1">
        <f ca="1">IFERROR(__xludf.DUMMYFUNCTION("""COMPUTED_VALUE"""),71.45)</f>
        <v>71.45</v>
      </c>
      <c r="H104" s="1">
        <f ca="1">IFERROR(__xludf.DUMMYFUNCTION("""COMPUTED_VALUE"""),55.67)</f>
        <v>55.67</v>
      </c>
      <c r="I104" s="1">
        <f ca="1">IFERROR(__xludf.DUMMYFUNCTION("""COMPUTED_VALUE"""),131.55)</f>
        <v>131.55000000000001</v>
      </c>
      <c r="J104" s="1">
        <f ca="1">IFERROR(__xludf.DUMMYFUNCTION("""COMPUTED_VALUE"""),308.47)</f>
        <v>308.47000000000003</v>
      </c>
      <c r="K104" s="1">
        <f ca="1">IFERROR(__xludf.DUMMYFUNCTION("""COMPUTED_VALUE"""),29.13)</f>
        <v>29.13</v>
      </c>
      <c r="L104" s="1">
        <f ca="1">IFERROR(__xludf.DUMMYFUNCTION("""COMPUTED_VALUE"""),386.6)</f>
        <v>386.6</v>
      </c>
      <c r="M104" s="1">
        <f ca="1">IFERROR(__xludf.DUMMYFUNCTION("""COMPUTED_VALUE"""),419.73)</f>
        <v>419.73</v>
      </c>
    </row>
    <row r="105" spans="1:13" x14ac:dyDescent="0.25">
      <c r="A105" s="2">
        <f ca="1">IFERROR(__xludf.DUMMYFUNCTION("""COMPUTED_VALUE"""),43984.6666666666)</f>
        <v>43984.666666666599</v>
      </c>
      <c r="B105" s="1">
        <f ca="1">IFERROR(__xludf.DUMMYFUNCTION("""COMPUTED_VALUE"""),80.83)</f>
        <v>80.83</v>
      </c>
      <c r="C105" s="1">
        <f ca="1">IFERROR(__xludf.DUMMYFUNCTION("""COMPUTED_VALUE"""),182.83)</f>
        <v>182.83</v>
      </c>
      <c r="D105" s="1">
        <f ca="1">IFERROR(__xludf.DUMMYFUNCTION("""COMPUTED_VALUE"""),123.55)</f>
        <v>123.55</v>
      </c>
      <c r="E105" s="1">
        <f ca="1">IFERROR(__xludf.DUMMYFUNCTION("""COMPUTED_VALUE"""),8.81)</f>
        <v>8.81</v>
      </c>
      <c r="F105" s="1">
        <f ca="1">IFERROR(__xludf.DUMMYFUNCTION("""COMPUTED_VALUE"""),231.91)</f>
        <v>231.91</v>
      </c>
      <c r="G105" s="1">
        <f ca="1">IFERROR(__xludf.DUMMYFUNCTION("""COMPUTED_VALUE"""),71.59)</f>
        <v>71.59</v>
      </c>
      <c r="H105" s="1">
        <f ca="1">IFERROR(__xludf.DUMMYFUNCTION("""COMPUTED_VALUE"""),59.87)</f>
        <v>59.87</v>
      </c>
      <c r="I105" s="1">
        <f ca="1">IFERROR(__xludf.DUMMYFUNCTION("""COMPUTED_VALUE"""),132.99)</f>
        <v>132.99</v>
      </c>
      <c r="J105" s="1">
        <f ca="1">IFERROR(__xludf.DUMMYFUNCTION("""COMPUTED_VALUE"""),308.29)</f>
        <v>308.29000000000002</v>
      </c>
      <c r="K105" s="1">
        <f ca="1">IFERROR(__xludf.DUMMYFUNCTION("""COMPUTED_VALUE"""),29)</f>
        <v>29</v>
      </c>
      <c r="L105" s="1">
        <f ca="1">IFERROR(__xludf.DUMMYFUNCTION("""COMPUTED_VALUE"""),389.68)</f>
        <v>389.68</v>
      </c>
      <c r="M105" s="1">
        <f ca="1">IFERROR(__xludf.DUMMYFUNCTION("""COMPUTED_VALUE"""),425.92)</f>
        <v>425.92</v>
      </c>
    </row>
    <row r="106" spans="1:13" x14ac:dyDescent="0.25">
      <c r="A106" s="2">
        <f ca="1">IFERROR(__xludf.DUMMYFUNCTION("""COMPUTED_VALUE"""),43985.6666666666)</f>
        <v>43985.666666666599</v>
      </c>
      <c r="B106" s="1">
        <f ca="1">IFERROR(__xludf.DUMMYFUNCTION("""COMPUTED_VALUE"""),81.28)</f>
        <v>81.28</v>
      </c>
      <c r="C106" s="1">
        <f ca="1">IFERROR(__xludf.DUMMYFUNCTION("""COMPUTED_VALUE"""),184.91)</f>
        <v>184.91</v>
      </c>
      <c r="D106" s="1">
        <f ca="1">IFERROR(__xludf.DUMMYFUNCTION("""COMPUTED_VALUE"""),123.62)</f>
        <v>123.62</v>
      </c>
      <c r="E106" s="1">
        <f ca="1">IFERROR(__xludf.DUMMYFUNCTION("""COMPUTED_VALUE"""),8.83)</f>
        <v>8.83</v>
      </c>
      <c r="F106" s="1">
        <f ca="1">IFERROR(__xludf.DUMMYFUNCTION("""COMPUTED_VALUE"""),232.72)</f>
        <v>232.72</v>
      </c>
      <c r="G106" s="1">
        <f ca="1">IFERROR(__xludf.DUMMYFUNCTION("""COMPUTED_VALUE"""),71.96)</f>
        <v>71.959999999999994</v>
      </c>
      <c r="H106" s="1">
        <f ca="1">IFERROR(__xludf.DUMMYFUNCTION("""COMPUTED_VALUE"""),58.77)</f>
        <v>58.77</v>
      </c>
      <c r="I106" s="1">
        <f ca="1">IFERROR(__xludf.DUMMYFUNCTION("""COMPUTED_VALUE"""),132.63)</f>
        <v>132.63</v>
      </c>
      <c r="J106" s="1">
        <f ca="1">IFERROR(__xludf.DUMMYFUNCTION("""COMPUTED_VALUE"""),307.09)</f>
        <v>307.08999999999997</v>
      </c>
      <c r="K106" s="1">
        <f ca="1">IFERROR(__xludf.DUMMYFUNCTION("""COMPUTED_VALUE"""),29.81)</f>
        <v>29.81</v>
      </c>
      <c r="L106" s="1">
        <f ca="1">IFERROR(__xludf.DUMMYFUNCTION("""COMPUTED_VALUE"""),390.44)</f>
        <v>390.44</v>
      </c>
      <c r="M106" s="1">
        <f ca="1">IFERROR(__xludf.DUMMYFUNCTION("""COMPUTED_VALUE"""),427.31)</f>
        <v>427.31</v>
      </c>
    </row>
    <row r="107" spans="1:13" x14ac:dyDescent="0.25">
      <c r="A107" s="2">
        <f ca="1">IFERROR(__xludf.DUMMYFUNCTION("""COMPUTED_VALUE"""),43986.6666666666)</f>
        <v>43986.666666666599</v>
      </c>
      <c r="B107" s="1">
        <f ca="1">IFERROR(__xludf.DUMMYFUNCTION("""COMPUTED_VALUE"""),80.58)</f>
        <v>80.58</v>
      </c>
      <c r="C107" s="1">
        <f ca="1">IFERROR(__xludf.DUMMYFUNCTION("""COMPUTED_VALUE"""),185.36)</f>
        <v>185.36</v>
      </c>
      <c r="D107" s="1">
        <f ca="1">IFERROR(__xludf.DUMMYFUNCTION("""COMPUTED_VALUE"""),123.92)</f>
        <v>123.92</v>
      </c>
      <c r="E107" s="1">
        <f ca="1">IFERROR(__xludf.DUMMYFUNCTION("""COMPUTED_VALUE"""),8.77)</f>
        <v>8.77</v>
      </c>
      <c r="F107" s="1">
        <f ca="1">IFERROR(__xludf.DUMMYFUNCTION("""COMPUTED_VALUE"""),230.16)</f>
        <v>230.16</v>
      </c>
      <c r="G107" s="1">
        <f ca="1">IFERROR(__xludf.DUMMYFUNCTION("""COMPUTED_VALUE"""),71.82)</f>
        <v>71.819999999999993</v>
      </c>
      <c r="H107" s="1">
        <f ca="1">IFERROR(__xludf.DUMMYFUNCTION("""COMPUTED_VALUE"""),58.86)</f>
        <v>58.86</v>
      </c>
      <c r="I107" s="1">
        <f ca="1">IFERROR(__xludf.DUMMYFUNCTION("""COMPUTED_VALUE"""),132.82)</f>
        <v>132.82</v>
      </c>
      <c r="J107" s="1">
        <f ca="1">IFERROR(__xludf.DUMMYFUNCTION("""COMPUTED_VALUE"""),306.64)</f>
        <v>306.64</v>
      </c>
      <c r="K107" s="1">
        <f ca="1">IFERROR(__xludf.DUMMYFUNCTION("""COMPUTED_VALUE"""),30.95)</f>
        <v>30.95</v>
      </c>
      <c r="L107" s="1">
        <f ca="1">IFERROR(__xludf.DUMMYFUNCTION("""COMPUTED_VALUE"""),389.92)</f>
        <v>389.92</v>
      </c>
      <c r="M107" s="1">
        <f ca="1">IFERROR(__xludf.DUMMYFUNCTION("""COMPUTED_VALUE"""),421.97)</f>
        <v>421.97</v>
      </c>
    </row>
    <row r="108" spans="1:13" x14ac:dyDescent="0.25">
      <c r="A108" s="2">
        <f ca="1">IFERROR(__xludf.DUMMYFUNCTION("""COMPUTED_VALUE"""),43987.6666666666)</f>
        <v>43987.666666666599</v>
      </c>
      <c r="B108" s="1">
        <f ca="1">IFERROR(__xludf.DUMMYFUNCTION("""COMPUTED_VALUE"""),82.88)</f>
        <v>82.88</v>
      </c>
      <c r="C108" s="1">
        <f ca="1">IFERROR(__xludf.DUMMYFUNCTION("""COMPUTED_VALUE"""),182.92)</f>
        <v>182.92</v>
      </c>
      <c r="D108" s="1">
        <f ca="1">IFERROR(__xludf.DUMMYFUNCTION("""COMPUTED_VALUE"""),123.03)</f>
        <v>123.03</v>
      </c>
      <c r="E108" s="1">
        <f ca="1">IFERROR(__xludf.DUMMYFUNCTION("""COMPUTED_VALUE"""),8.77)</f>
        <v>8.77</v>
      </c>
      <c r="F108" s="1">
        <f ca="1">IFERROR(__xludf.DUMMYFUNCTION("""COMPUTED_VALUE"""),226.29)</f>
        <v>226.29</v>
      </c>
      <c r="G108" s="1">
        <f ca="1">IFERROR(__xludf.DUMMYFUNCTION("""COMPUTED_VALUE"""),70.61)</f>
        <v>70.61</v>
      </c>
      <c r="H108" s="1">
        <f ca="1">IFERROR(__xludf.DUMMYFUNCTION("""COMPUTED_VALUE"""),57.63)</f>
        <v>57.63</v>
      </c>
      <c r="I108" s="1">
        <f ca="1">IFERROR(__xludf.DUMMYFUNCTION("""COMPUTED_VALUE"""),130.57)</f>
        <v>130.57</v>
      </c>
      <c r="J108" s="1">
        <f ca="1">IFERROR(__xludf.DUMMYFUNCTION("""COMPUTED_VALUE"""),310.75)</f>
        <v>310.75</v>
      </c>
      <c r="K108" s="1">
        <f ca="1">IFERROR(__xludf.DUMMYFUNCTION("""COMPUTED_VALUE"""),30.89)</f>
        <v>30.89</v>
      </c>
      <c r="L108" s="1">
        <f ca="1">IFERROR(__xludf.DUMMYFUNCTION("""COMPUTED_VALUE"""),385.8)</f>
        <v>385.8</v>
      </c>
      <c r="M108" s="1">
        <f ca="1">IFERROR(__xludf.DUMMYFUNCTION("""COMPUTED_VALUE"""),414.33)</f>
        <v>414.33</v>
      </c>
    </row>
    <row r="109" spans="1:13" x14ac:dyDescent="0.25">
      <c r="A109" s="2">
        <f ca="1">IFERROR(__xludf.DUMMYFUNCTION("""COMPUTED_VALUE"""),43990.6666666666)</f>
        <v>43990.666666666599</v>
      </c>
      <c r="B109" s="1">
        <f ca="1">IFERROR(__xludf.DUMMYFUNCTION("""COMPUTED_VALUE"""),83.37)</f>
        <v>83.37</v>
      </c>
      <c r="C109" s="1">
        <f ca="1">IFERROR(__xludf.DUMMYFUNCTION("""COMPUTED_VALUE"""),187.2)</f>
        <v>187.2</v>
      </c>
      <c r="D109" s="1">
        <f ca="1">IFERROR(__xludf.DUMMYFUNCTION("""COMPUTED_VALUE"""),124.15)</f>
        <v>124.15</v>
      </c>
      <c r="E109" s="1">
        <f ca="1">IFERROR(__xludf.DUMMYFUNCTION("""COMPUTED_VALUE"""),8.92)</f>
        <v>8.92</v>
      </c>
      <c r="F109" s="1">
        <f ca="1">IFERROR(__xludf.DUMMYFUNCTION("""COMPUTED_VALUE"""),230.77)</f>
        <v>230.77</v>
      </c>
      <c r="G109" s="1">
        <f ca="1">IFERROR(__xludf.DUMMYFUNCTION("""COMPUTED_VALUE"""),71.92)</f>
        <v>71.92</v>
      </c>
      <c r="H109" s="1">
        <f ca="1">IFERROR(__xludf.DUMMYFUNCTION("""COMPUTED_VALUE"""),59.04)</f>
        <v>59.04</v>
      </c>
      <c r="I109" s="1">
        <f ca="1">IFERROR(__xludf.DUMMYFUNCTION("""COMPUTED_VALUE"""),132.44)</f>
        <v>132.44</v>
      </c>
      <c r="J109" s="1">
        <f ca="1">IFERROR(__xludf.DUMMYFUNCTION("""COMPUTED_VALUE"""),312.04)</f>
        <v>312.04000000000002</v>
      </c>
      <c r="K109" s="1">
        <f ca="1">IFERROR(__xludf.DUMMYFUNCTION("""COMPUTED_VALUE"""),31.71)</f>
        <v>31.71</v>
      </c>
      <c r="L109" s="1">
        <f ca="1">IFERROR(__xludf.DUMMYFUNCTION("""COMPUTED_VALUE"""),392.9)</f>
        <v>392.9</v>
      </c>
      <c r="M109" s="1">
        <f ca="1">IFERROR(__xludf.DUMMYFUNCTION("""COMPUTED_VALUE"""),419.6)</f>
        <v>419.6</v>
      </c>
    </row>
    <row r="110" spans="1:13" x14ac:dyDescent="0.25">
      <c r="A110" s="2">
        <f ca="1">IFERROR(__xludf.DUMMYFUNCTION("""COMPUTED_VALUE"""),43991.6666666666)</f>
        <v>43991.666666666599</v>
      </c>
      <c r="B110" s="1">
        <f ca="1">IFERROR(__xludf.DUMMYFUNCTION("""COMPUTED_VALUE"""),86)</f>
        <v>86</v>
      </c>
      <c r="C110" s="1">
        <f ca="1">IFERROR(__xludf.DUMMYFUNCTION("""COMPUTED_VALUE"""),188.36)</f>
        <v>188.36</v>
      </c>
      <c r="D110" s="1">
        <f ca="1">IFERROR(__xludf.DUMMYFUNCTION("""COMPUTED_VALUE"""),126.2)</f>
        <v>126.2</v>
      </c>
      <c r="E110" s="1">
        <f ca="1">IFERROR(__xludf.DUMMYFUNCTION("""COMPUTED_VALUE"""),8.81)</f>
        <v>8.81</v>
      </c>
      <c r="F110" s="1">
        <f ca="1">IFERROR(__xludf.DUMMYFUNCTION("""COMPUTED_VALUE"""),231.4)</f>
        <v>231.4</v>
      </c>
      <c r="G110" s="1">
        <f ca="1">IFERROR(__xludf.DUMMYFUNCTION("""COMPUTED_VALUE"""),72.33)</f>
        <v>72.33</v>
      </c>
      <c r="H110" s="1">
        <f ca="1">IFERROR(__xludf.DUMMYFUNCTION("""COMPUTED_VALUE"""),63.33)</f>
        <v>63.33</v>
      </c>
      <c r="I110" s="1">
        <f ca="1">IFERROR(__xludf.DUMMYFUNCTION("""COMPUTED_VALUE"""),132.21)</f>
        <v>132.21</v>
      </c>
      <c r="J110" s="1">
        <f ca="1">IFERROR(__xludf.DUMMYFUNCTION("""COMPUTED_VALUE"""),307.19)</f>
        <v>307.19</v>
      </c>
      <c r="K110" s="1">
        <f ca="1">IFERROR(__xludf.DUMMYFUNCTION("""COMPUTED_VALUE"""),31.75)</f>
        <v>31.75</v>
      </c>
      <c r="L110" s="1">
        <f ca="1">IFERROR(__xludf.DUMMYFUNCTION("""COMPUTED_VALUE"""),397.78)</f>
        <v>397.78</v>
      </c>
      <c r="M110" s="1">
        <f ca="1">IFERROR(__xludf.DUMMYFUNCTION("""COMPUTED_VALUE"""),419.49)</f>
        <v>419.49</v>
      </c>
    </row>
    <row r="111" spans="1:13" x14ac:dyDescent="0.25">
      <c r="A111" s="2">
        <f ca="1">IFERROR(__xludf.DUMMYFUNCTION("""COMPUTED_VALUE"""),43992.6666666666)</f>
        <v>43992.666666666599</v>
      </c>
      <c r="B111" s="1">
        <f ca="1">IFERROR(__xludf.DUMMYFUNCTION("""COMPUTED_VALUE"""),88.21)</f>
        <v>88.21</v>
      </c>
      <c r="C111" s="1">
        <f ca="1">IFERROR(__xludf.DUMMYFUNCTION("""COMPUTED_VALUE"""),189.8)</f>
        <v>189.8</v>
      </c>
      <c r="D111" s="1">
        <f ca="1">IFERROR(__xludf.DUMMYFUNCTION("""COMPUTED_VALUE"""),130.04)</f>
        <v>130.04</v>
      </c>
      <c r="E111" s="1">
        <f ca="1">IFERROR(__xludf.DUMMYFUNCTION("""COMPUTED_VALUE"""),9.05)</f>
        <v>9.0500000000000007</v>
      </c>
      <c r="F111" s="1">
        <f ca="1">IFERROR(__xludf.DUMMYFUNCTION("""COMPUTED_VALUE"""),238.67)</f>
        <v>238.67</v>
      </c>
      <c r="G111" s="1">
        <f ca="1">IFERROR(__xludf.DUMMYFUNCTION("""COMPUTED_VALUE"""),72.81)</f>
        <v>72.81</v>
      </c>
      <c r="H111" s="1">
        <f ca="1">IFERROR(__xludf.DUMMYFUNCTION("""COMPUTED_VALUE"""),62.71)</f>
        <v>62.71</v>
      </c>
      <c r="I111" s="1">
        <f ca="1">IFERROR(__xludf.DUMMYFUNCTION("""COMPUTED_VALUE"""),132.97)</f>
        <v>132.97</v>
      </c>
      <c r="J111" s="1">
        <f ca="1">IFERROR(__xludf.DUMMYFUNCTION("""COMPUTED_VALUE"""),305.55)</f>
        <v>305.55</v>
      </c>
      <c r="K111" s="1">
        <f ca="1">IFERROR(__xludf.DUMMYFUNCTION("""COMPUTED_VALUE"""),31.53)</f>
        <v>31.53</v>
      </c>
      <c r="L111" s="1">
        <f ca="1">IFERROR(__xludf.DUMMYFUNCTION("""COMPUTED_VALUE"""),397.16)</f>
        <v>397.16</v>
      </c>
      <c r="M111" s="1">
        <f ca="1">IFERROR(__xludf.DUMMYFUNCTION("""COMPUTED_VALUE"""),434.05)</f>
        <v>434.05</v>
      </c>
    </row>
    <row r="112" spans="1:13" x14ac:dyDescent="0.25">
      <c r="A112" s="2">
        <f ca="1">IFERROR(__xludf.DUMMYFUNCTION("""COMPUTED_VALUE"""),43993.6666666666)</f>
        <v>43993.666666666599</v>
      </c>
      <c r="B112" s="1">
        <f ca="1">IFERROR(__xludf.DUMMYFUNCTION("""COMPUTED_VALUE"""),83.98)</f>
        <v>83.98</v>
      </c>
      <c r="C112" s="1">
        <f ca="1">IFERROR(__xludf.DUMMYFUNCTION("""COMPUTED_VALUE"""),196.84)</f>
        <v>196.84</v>
      </c>
      <c r="D112" s="1">
        <f ca="1">IFERROR(__xludf.DUMMYFUNCTION("""COMPUTED_VALUE"""),132.37)</f>
        <v>132.37</v>
      </c>
      <c r="E112" s="1">
        <f ca="1">IFERROR(__xludf.DUMMYFUNCTION("""COMPUTED_VALUE"""),9.37)</f>
        <v>9.3699999999999992</v>
      </c>
      <c r="F112" s="1">
        <f ca="1">IFERROR(__xludf.DUMMYFUNCTION("""COMPUTED_VALUE"""),236.73)</f>
        <v>236.73</v>
      </c>
      <c r="G112" s="1">
        <f ca="1">IFERROR(__xludf.DUMMYFUNCTION("""COMPUTED_VALUE"""),73.29)</f>
        <v>73.290000000000006</v>
      </c>
      <c r="H112" s="1">
        <f ca="1">IFERROR(__xludf.DUMMYFUNCTION("""COMPUTED_VALUE"""),68.34)</f>
        <v>68.34</v>
      </c>
      <c r="I112" s="1">
        <f ca="1">IFERROR(__xludf.DUMMYFUNCTION("""COMPUTED_VALUE"""),134.13)</f>
        <v>134.13</v>
      </c>
      <c r="J112" s="1">
        <f ca="1">IFERROR(__xludf.DUMMYFUNCTION("""COMPUTED_VALUE"""),307.33)</f>
        <v>307.33</v>
      </c>
      <c r="K112" s="1">
        <f ca="1">IFERROR(__xludf.DUMMYFUNCTION("""COMPUTED_VALUE"""),31.5)</f>
        <v>31.5</v>
      </c>
      <c r="L112" s="1">
        <f ca="1">IFERROR(__xludf.DUMMYFUNCTION("""COMPUTED_VALUE"""),406.82)</f>
        <v>406.82</v>
      </c>
      <c r="M112" s="1">
        <f ca="1">IFERROR(__xludf.DUMMYFUNCTION("""COMPUTED_VALUE"""),434.48)</f>
        <v>434.48</v>
      </c>
    </row>
    <row r="113" spans="1:13" x14ac:dyDescent="0.25">
      <c r="A113" s="2">
        <f ca="1">IFERROR(__xludf.DUMMYFUNCTION("""COMPUTED_VALUE"""),43994.6666666666)</f>
        <v>43994.666666666599</v>
      </c>
      <c r="B113" s="1">
        <f ca="1">IFERROR(__xludf.DUMMYFUNCTION("""COMPUTED_VALUE"""),84.7)</f>
        <v>84.7</v>
      </c>
      <c r="C113" s="1">
        <f ca="1">IFERROR(__xludf.DUMMYFUNCTION("""COMPUTED_VALUE"""),186.27)</f>
        <v>186.27</v>
      </c>
      <c r="D113" s="1">
        <f ca="1">IFERROR(__xludf.DUMMYFUNCTION("""COMPUTED_VALUE"""),127.9)</f>
        <v>127.9</v>
      </c>
      <c r="E113" s="1">
        <f ca="1">IFERROR(__xludf.DUMMYFUNCTION("""COMPUTED_VALUE"""),8.8)</f>
        <v>8.8000000000000007</v>
      </c>
      <c r="F113" s="1">
        <f ca="1">IFERROR(__xludf.DUMMYFUNCTION("""COMPUTED_VALUE"""),224.43)</f>
        <v>224.43</v>
      </c>
      <c r="G113" s="1">
        <f ca="1">IFERROR(__xludf.DUMMYFUNCTION("""COMPUTED_VALUE"""),70.19)</f>
        <v>70.19</v>
      </c>
      <c r="H113" s="1">
        <f ca="1">IFERROR(__xludf.DUMMYFUNCTION("""COMPUTED_VALUE"""),64.86)</f>
        <v>64.86</v>
      </c>
      <c r="I113" s="1">
        <f ca="1">IFERROR(__xludf.DUMMYFUNCTION("""COMPUTED_VALUE"""),127.84)</f>
        <v>127.84</v>
      </c>
      <c r="J113" s="1">
        <f ca="1">IFERROR(__xludf.DUMMYFUNCTION("""COMPUTED_VALUE"""),300.83)</f>
        <v>300.83</v>
      </c>
      <c r="K113" s="1">
        <f ca="1">IFERROR(__xludf.DUMMYFUNCTION("""COMPUTED_VALUE"""),29.38)</f>
        <v>29.38</v>
      </c>
      <c r="L113" s="1">
        <f ca="1">IFERROR(__xludf.DUMMYFUNCTION("""COMPUTED_VALUE"""),387.67)</f>
        <v>387.67</v>
      </c>
      <c r="M113" s="1">
        <f ca="1">IFERROR(__xludf.DUMMYFUNCTION("""COMPUTED_VALUE"""),425.56)</f>
        <v>425.56</v>
      </c>
    </row>
    <row r="114" spans="1:13" x14ac:dyDescent="0.25">
      <c r="A114" s="2">
        <f ca="1">IFERROR(__xludf.DUMMYFUNCTION("""COMPUTED_VALUE"""),43997.6666666666)</f>
        <v>43997.666666666599</v>
      </c>
      <c r="B114" s="1">
        <f ca="1">IFERROR(__xludf.DUMMYFUNCTION("""COMPUTED_VALUE"""),85.75)</f>
        <v>85.75</v>
      </c>
      <c r="C114" s="1">
        <f ca="1">IFERROR(__xludf.DUMMYFUNCTION("""COMPUTED_VALUE"""),187.74)</f>
        <v>187.74</v>
      </c>
      <c r="D114" s="1">
        <f ca="1">IFERROR(__xludf.DUMMYFUNCTION("""COMPUTED_VALUE"""),127.25)</f>
        <v>127.25</v>
      </c>
      <c r="E114" s="1">
        <f ca="1">IFERROR(__xludf.DUMMYFUNCTION("""COMPUTED_VALUE"""),8.93)</f>
        <v>8.93</v>
      </c>
      <c r="F114" s="1">
        <f ca="1">IFERROR(__xludf.DUMMYFUNCTION("""COMPUTED_VALUE"""),228.58)</f>
        <v>228.58</v>
      </c>
      <c r="G114" s="1">
        <f ca="1">IFERROR(__xludf.DUMMYFUNCTION("""COMPUTED_VALUE"""),70.66)</f>
        <v>70.66</v>
      </c>
      <c r="H114" s="1">
        <f ca="1">IFERROR(__xludf.DUMMYFUNCTION("""COMPUTED_VALUE"""),62.35)</f>
        <v>62.35</v>
      </c>
      <c r="I114" s="1">
        <f ca="1">IFERROR(__xludf.DUMMYFUNCTION("""COMPUTED_VALUE"""),129)</f>
        <v>129</v>
      </c>
      <c r="J114" s="1">
        <f ca="1">IFERROR(__xludf.DUMMYFUNCTION("""COMPUTED_VALUE"""),298.7)</f>
        <v>298.7</v>
      </c>
      <c r="K114" s="1">
        <f ca="1">IFERROR(__xludf.DUMMYFUNCTION("""COMPUTED_VALUE"""),30.03)</f>
        <v>30.03</v>
      </c>
      <c r="L114" s="1">
        <f ca="1">IFERROR(__xludf.DUMMYFUNCTION("""COMPUTED_VALUE"""),406.54)</f>
        <v>406.54</v>
      </c>
      <c r="M114" s="1">
        <f ca="1">IFERROR(__xludf.DUMMYFUNCTION("""COMPUTED_VALUE"""),418.07)</f>
        <v>418.07</v>
      </c>
    </row>
    <row r="115" spans="1:13" x14ac:dyDescent="0.25">
      <c r="A115" s="2">
        <f ca="1">IFERROR(__xludf.DUMMYFUNCTION("""COMPUTED_VALUE"""),43998.6666666666)</f>
        <v>43998.666666666599</v>
      </c>
      <c r="B115" s="1">
        <f ca="1">IFERROR(__xludf.DUMMYFUNCTION("""COMPUTED_VALUE"""),88.02)</f>
        <v>88.02</v>
      </c>
      <c r="C115" s="1">
        <f ca="1">IFERROR(__xludf.DUMMYFUNCTION("""COMPUTED_VALUE"""),188.94)</f>
        <v>188.94</v>
      </c>
      <c r="D115" s="1">
        <f ca="1">IFERROR(__xludf.DUMMYFUNCTION("""COMPUTED_VALUE"""),128.63)</f>
        <v>128.63</v>
      </c>
      <c r="E115" s="1">
        <f ca="1">IFERROR(__xludf.DUMMYFUNCTION("""COMPUTED_VALUE"""),9.17)</f>
        <v>9.17</v>
      </c>
      <c r="F115" s="1">
        <f ca="1">IFERROR(__xludf.DUMMYFUNCTION("""COMPUTED_VALUE"""),232.5)</f>
        <v>232.5</v>
      </c>
      <c r="G115" s="1">
        <f ca="1">IFERROR(__xludf.DUMMYFUNCTION("""COMPUTED_VALUE"""),70.99)</f>
        <v>70.989999999999995</v>
      </c>
      <c r="H115" s="1">
        <f ca="1">IFERROR(__xludf.DUMMYFUNCTION("""COMPUTED_VALUE"""),66.06)</f>
        <v>66.06</v>
      </c>
      <c r="I115" s="1">
        <f ca="1">IFERROR(__xludf.DUMMYFUNCTION("""COMPUTED_VALUE"""),130.48)</f>
        <v>130.47999999999999</v>
      </c>
      <c r="J115" s="1">
        <f ca="1">IFERROR(__xludf.DUMMYFUNCTION("""COMPUTED_VALUE"""),297.18)</f>
        <v>297.18</v>
      </c>
      <c r="K115" s="1">
        <f ca="1">IFERROR(__xludf.DUMMYFUNCTION("""COMPUTED_VALUE"""),30.41)</f>
        <v>30.41</v>
      </c>
      <c r="L115" s="1">
        <f ca="1">IFERROR(__xludf.DUMMYFUNCTION("""COMPUTED_VALUE"""),401.34)</f>
        <v>401.34</v>
      </c>
      <c r="M115" s="1">
        <f ca="1">IFERROR(__xludf.DUMMYFUNCTION("""COMPUTED_VALUE"""),425.5)</f>
        <v>425.5</v>
      </c>
    </row>
    <row r="116" spans="1:13" x14ac:dyDescent="0.25">
      <c r="A116" s="2">
        <f ca="1">IFERROR(__xludf.DUMMYFUNCTION("""COMPUTED_VALUE"""),43999.6666666666)</f>
        <v>43999.666666666599</v>
      </c>
      <c r="B116" s="1">
        <f ca="1">IFERROR(__xludf.DUMMYFUNCTION("""COMPUTED_VALUE"""),87.9)</f>
        <v>87.9</v>
      </c>
      <c r="C116" s="1">
        <f ca="1">IFERROR(__xludf.DUMMYFUNCTION("""COMPUTED_VALUE"""),193.57)</f>
        <v>193.57</v>
      </c>
      <c r="D116" s="1">
        <f ca="1">IFERROR(__xludf.DUMMYFUNCTION("""COMPUTED_VALUE"""),130.76)</f>
        <v>130.76</v>
      </c>
      <c r="E116" s="1">
        <f ca="1">IFERROR(__xludf.DUMMYFUNCTION("""COMPUTED_VALUE"""),9.07)</f>
        <v>9.07</v>
      </c>
      <c r="F116" s="1">
        <f ca="1">IFERROR(__xludf.DUMMYFUNCTION("""COMPUTED_VALUE"""),235.65)</f>
        <v>235.65</v>
      </c>
      <c r="G116" s="1">
        <f ca="1">IFERROR(__xludf.DUMMYFUNCTION("""COMPUTED_VALUE"""),72.14)</f>
        <v>72.14</v>
      </c>
      <c r="H116" s="1">
        <f ca="1">IFERROR(__xludf.DUMMYFUNCTION("""COMPUTED_VALUE"""),65.48)</f>
        <v>65.48</v>
      </c>
      <c r="I116" s="1">
        <f ca="1">IFERROR(__xludf.DUMMYFUNCTION("""COMPUTED_VALUE"""),131.67)</f>
        <v>131.66999999999999</v>
      </c>
      <c r="J116" s="1">
        <f ca="1">IFERROR(__xludf.DUMMYFUNCTION("""COMPUTED_VALUE"""),301.36)</f>
        <v>301.36</v>
      </c>
      <c r="K116" s="1">
        <f ca="1">IFERROR(__xludf.DUMMYFUNCTION("""COMPUTED_VALUE"""),31.07)</f>
        <v>31.07</v>
      </c>
      <c r="L116" s="1">
        <f ca="1">IFERROR(__xludf.DUMMYFUNCTION("""COMPUTED_VALUE"""),411.67)</f>
        <v>411.67</v>
      </c>
      <c r="M116" s="1">
        <f ca="1">IFERROR(__xludf.DUMMYFUNCTION("""COMPUTED_VALUE"""),436.13)</f>
        <v>436.13</v>
      </c>
    </row>
    <row r="117" spans="1:13" x14ac:dyDescent="0.25">
      <c r="A117" s="2">
        <f ca="1">IFERROR(__xludf.DUMMYFUNCTION("""COMPUTED_VALUE"""),44000.6666666666)</f>
        <v>44000.666666666599</v>
      </c>
      <c r="B117" s="1">
        <f ca="1">IFERROR(__xludf.DUMMYFUNCTION("""COMPUTED_VALUE"""),87.93)</f>
        <v>87.93</v>
      </c>
      <c r="C117" s="1">
        <f ca="1">IFERROR(__xludf.DUMMYFUNCTION("""COMPUTED_VALUE"""),194.24)</f>
        <v>194.24</v>
      </c>
      <c r="D117" s="1">
        <f ca="1">IFERROR(__xludf.DUMMYFUNCTION("""COMPUTED_VALUE"""),132.05)</f>
        <v>132.05000000000001</v>
      </c>
      <c r="E117" s="1">
        <f ca="1">IFERROR(__xludf.DUMMYFUNCTION("""COMPUTED_VALUE"""),9.24)</f>
        <v>9.24</v>
      </c>
      <c r="F117" s="1">
        <f ca="1">IFERROR(__xludf.DUMMYFUNCTION("""COMPUTED_VALUE"""),235.53)</f>
        <v>235.53</v>
      </c>
      <c r="G117" s="1">
        <f ca="1">IFERROR(__xludf.DUMMYFUNCTION("""COMPUTED_VALUE"""),72.56)</f>
        <v>72.56</v>
      </c>
      <c r="H117" s="1">
        <f ca="1">IFERROR(__xludf.DUMMYFUNCTION("""COMPUTED_VALUE"""),66.12)</f>
        <v>66.12</v>
      </c>
      <c r="I117" s="1">
        <f ca="1">IFERROR(__xludf.DUMMYFUNCTION("""COMPUTED_VALUE"""),131.76)</f>
        <v>131.76</v>
      </c>
      <c r="J117" s="1">
        <f ca="1">IFERROR(__xludf.DUMMYFUNCTION("""COMPUTED_VALUE"""),299.61)</f>
        <v>299.61</v>
      </c>
      <c r="K117" s="1">
        <f ca="1">IFERROR(__xludf.DUMMYFUNCTION("""COMPUTED_VALUE"""),31.34)</f>
        <v>31.34</v>
      </c>
      <c r="L117" s="1">
        <f ca="1">IFERROR(__xludf.DUMMYFUNCTION("""COMPUTED_VALUE"""),413.49)</f>
        <v>413.49</v>
      </c>
      <c r="M117" s="1">
        <f ca="1">IFERROR(__xludf.DUMMYFUNCTION("""COMPUTED_VALUE"""),447.77)</f>
        <v>447.77</v>
      </c>
    </row>
    <row r="118" spans="1:13" x14ac:dyDescent="0.25">
      <c r="A118" s="2">
        <f ca="1">IFERROR(__xludf.DUMMYFUNCTION("""COMPUTED_VALUE"""),44001.6666666666)</f>
        <v>44001.666666666599</v>
      </c>
      <c r="B118" s="1">
        <f ca="1">IFERROR(__xludf.DUMMYFUNCTION("""COMPUTED_VALUE"""),87.43)</f>
        <v>87.43</v>
      </c>
      <c r="C118" s="1">
        <f ca="1">IFERROR(__xludf.DUMMYFUNCTION("""COMPUTED_VALUE"""),196.32)</f>
        <v>196.32</v>
      </c>
      <c r="D118" s="1">
        <f ca="1">IFERROR(__xludf.DUMMYFUNCTION("""COMPUTED_VALUE"""),132.7)</f>
        <v>132.69999999999999</v>
      </c>
      <c r="E118" s="1">
        <f ca="1">IFERROR(__xludf.DUMMYFUNCTION("""COMPUTED_VALUE"""),9.22)</f>
        <v>9.2200000000000006</v>
      </c>
      <c r="F118" s="1">
        <f ca="1">IFERROR(__xludf.DUMMYFUNCTION("""COMPUTED_VALUE"""),235.94)</f>
        <v>235.94</v>
      </c>
      <c r="G118" s="1">
        <f ca="1">IFERROR(__xludf.DUMMYFUNCTION("""COMPUTED_VALUE"""),71.8)</f>
        <v>71.8</v>
      </c>
      <c r="H118" s="1">
        <f ca="1">IFERROR(__xludf.DUMMYFUNCTION("""COMPUTED_VALUE"""),66.93)</f>
        <v>66.930000000000007</v>
      </c>
      <c r="I118" s="1">
        <f ca="1">IFERROR(__xludf.DUMMYFUNCTION("""COMPUTED_VALUE"""),132.78)</f>
        <v>132.78</v>
      </c>
      <c r="J118" s="1">
        <f ca="1">IFERROR(__xludf.DUMMYFUNCTION("""COMPUTED_VALUE"""),299.57)</f>
        <v>299.57</v>
      </c>
      <c r="K118" s="1">
        <f ca="1">IFERROR(__xludf.DUMMYFUNCTION("""COMPUTED_VALUE"""),31.87)</f>
        <v>31.87</v>
      </c>
      <c r="L118" s="1">
        <f ca="1">IFERROR(__xludf.DUMMYFUNCTION("""COMPUTED_VALUE"""),420.46)</f>
        <v>420.46</v>
      </c>
      <c r="M118" s="1">
        <f ca="1">IFERROR(__xludf.DUMMYFUNCTION("""COMPUTED_VALUE"""),449.87)</f>
        <v>449.87</v>
      </c>
    </row>
    <row r="119" spans="1:13" x14ac:dyDescent="0.25">
      <c r="A119" s="2">
        <f ca="1">IFERROR(__xludf.DUMMYFUNCTION("""COMPUTED_VALUE"""),44004.6666666666)</f>
        <v>44004.666666666599</v>
      </c>
      <c r="B119" s="1">
        <f ca="1">IFERROR(__xludf.DUMMYFUNCTION("""COMPUTED_VALUE"""),89.72)</f>
        <v>89.72</v>
      </c>
      <c r="C119" s="1">
        <f ca="1">IFERROR(__xludf.DUMMYFUNCTION("""COMPUTED_VALUE"""),195.15)</f>
        <v>195.15</v>
      </c>
      <c r="D119" s="1">
        <f ca="1">IFERROR(__xludf.DUMMYFUNCTION("""COMPUTED_VALUE"""),133.75)</f>
        <v>133.75</v>
      </c>
      <c r="E119" s="1">
        <f ca="1">IFERROR(__xludf.DUMMYFUNCTION("""COMPUTED_VALUE"""),9.26)</f>
        <v>9.26</v>
      </c>
      <c r="F119" s="1">
        <f ca="1">IFERROR(__xludf.DUMMYFUNCTION("""COMPUTED_VALUE"""),238.79)</f>
        <v>238.79</v>
      </c>
      <c r="G119" s="1">
        <f ca="1">IFERROR(__xludf.DUMMYFUNCTION("""COMPUTED_VALUE"""),71.59)</f>
        <v>71.59</v>
      </c>
      <c r="H119" s="1">
        <f ca="1">IFERROR(__xludf.DUMMYFUNCTION("""COMPUTED_VALUE"""),66.73)</f>
        <v>66.73</v>
      </c>
      <c r="I119" s="1">
        <f ca="1">IFERROR(__xludf.DUMMYFUNCTION("""COMPUTED_VALUE"""),131.28)</f>
        <v>131.28</v>
      </c>
      <c r="J119" s="1">
        <f ca="1">IFERROR(__xludf.DUMMYFUNCTION("""COMPUTED_VALUE"""),299.9)</f>
        <v>299.89999999999998</v>
      </c>
      <c r="K119" s="1">
        <f ca="1">IFERROR(__xludf.DUMMYFUNCTION("""COMPUTED_VALUE"""),30.28)</f>
        <v>30.28</v>
      </c>
      <c r="L119" s="1">
        <f ca="1">IFERROR(__xludf.DUMMYFUNCTION("""COMPUTED_VALUE"""),428.01)</f>
        <v>428.01</v>
      </c>
      <c r="M119" s="1">
        <f ca="1">IFERROR(__xludf.DUMMYFUNCTION("""COMPUTED_VALUE"""),453.72)</f>
        <v>453.72</v>
      </c>
    </row>
    <row r="120" spans="1:13" x14ac:dyDescent="0.25">
      <c r="A120" s="2">
        <f ca="1">IFERROR(__xludf.DUMMYFUNCTION("""COMPUTED_VALUE"""),44005.6666666666)</f>
        <v>44005.666666666599</v>
      </c>
      <c r="B120" s="1">
        <f ca="1">IFERROR(__xludf.DUMMYFUNCTION("""COMPUTED_VALUE"""),91.63)</f>
        <v>91.63</v>
      </c>
      <c r="C120" s="1">
        <f ca="1">IFERROR(__xludf.DUMMYFUNCTION("""COMPUTED_VALUE"""),200.57)</f>
        <v>200.57</v>
      </c>
      <c r="D120" s="1">
        <f ca="1">IFERROR(__xludf.DUMMYFUNCTION("""COMPUTED_VALUE"""),135.69)</f>
        <v>135.69</v>
      </c>
      <c r="E120" s="1">
        <f ca="1">IFERROR(__xludf.DUMMYFUNCTION("""COMPUTED_VALUE"""),9.53)</f>
        <v>9.5299999999999994</v>
      </c>
      <c r="F120" s="1">
        <f ca="1">IFERROR(__xludf.DUMMYFUNCTION("""COMPUTED_VALUE"""),239.22)</f>
        <v>239.22</v>
      </c>
      <c r="G120" s="1">
        <f ca="1">IFERROR(__xludf.DUMMYFUNCTION("""COMPUTED_VALUE"""),72.59)</f>
        <v>72.59</v>
      </c>
      <c r="H120" s="1">
        <f ca="1">IFERROR(__xludf.DUMMYFUNCTION("""COMPUTED_VALUE"""),66.29)</f>
        <v>66.290000000000006</v>
      </c>
      <c r="I120" s="1">
        <f ca="1">IFERROR(__xludf.DUMMYFUNCTION("""COMPUTED_VALUE"""),131.05)</f>
        <v>131.05000000000001</v>
      </c>
      <c r="J120" s="1">
        <f ca="1">IFERROR(__xludf.DUMMYFUNCTION("""COMPUTED_VALUE"""),300.45)</f>
        <v>300.45</v>
      </c>
      <c r="K120" s="1">
        <f ca="1">IFERROR(__xludf.DUMMYFUNCTION("""COMPUTED_VALUE"""),31.35)</f>
        <v>31.35</v>
      </c>
      <c r="L120" s="1">
        <f ca="1">IFERROR(__xludf.DUMMYFUNCTION("""COMPUTED_VALUE"""),438.64)</f>
        <v>438.64</v>
      </c>
      <c r="M120" s="1">
        <f ca="1">IFERROR(__xludf.DUMMYFUNCTION("""COMPUTED_VALUE"""),468.04)</f>
        <v>468.04</v>
      </c>
    </row>
    <row r="121" spans="1:13" x14ac:dyDescent="0.25">
      <c r="A121" s="2">
        <f ca="1">IFERROR(__xludf.DUMMYFUNCTION("""COMPUTED_VALUE"""),44006.6666666666)</f>
        <v>44006.666666666599</v>
      </c>
      <c r="B121" s="1">
        <f ca="1">IFERROR(__xludf.DUMMYFUNCTION("""COMPUTED_VALUE"""),90.02)</f>
        <v>90.02</v>
      </c>
      <c r="C121" s="1">
        <f ca="1">IFERROR(__xludf.DUMMYFUNCTION("""COMPUTED_VALUE"""),201.91)</f>
        <v>201.91</v>
      </c>
      <c r="D121" s="1">
        <f ca="1">IFERROR(__xludf.DUMMYFUNCTION("""COMPUTED_VALUE"""),138.22)</f>
        <v>138.22</v>
      </c>
      <c r="E121" s="1">
        <f ca="1">IFERROR(__xludf.DUMMYFUNCTION("""COMPUTED_VALUE"""),9.45)</f>
        <v>9.4499999999999993</v>
      </c>
      <c r="F121" s="1">
        <f ca="1">IFERROR(__xludf.DUMMYFUNCTION("""COMPUTED_VALUE"""),242.24)</f>
        <v>242.24</v>
      </c>
      <c r="G121" s="1">
        <f ca="1">IFERROR(__xludf.DUMMYFUNCTION("""COMPUTED_VALUE"""),73.22)</f>
        <v>73.22</v>
      </c>
      <c r="H121" s="1">
        <f ca="1">IFERROR(__xludf.DUMMYFUNCTION("""COMPUTED_VALUE"""),66.79)</f>
        <v>66.790000000000006</v>
      </c>
      <c r="I121" s="1">
        <f ca="1">IFERROR(__xludf.DUMMYFUNCTION("""COMPUTED_VALUE"""),131.36)</f>
        <v>131.36000000000001</v>
      </c>
      <c r="J121" s="1">
        <f ca="1">IFERROR(__xludf.DUMMYFUNCTION("""COMPUTED_VALUE"""),301.29)</f>
        <v>301.29000000000002</v>
      </c>
      <c r="K121" s="1">
        <f ca="1">IFERROR(__xludf.DUMMYFUNCTION("""COMPUTED_VALUE"""),31.13)</f>
        <v>31.13</v>
      </c>
      <c r="L121" s="1">
        <f ca="1">IFERROR(__xludf.DUMMYFUNCTION("""COMPUTED_VALUE"""),440.55)</f>
        <v>440.55</v>
      </c>
      <c r="M121" s="1">
        <f ca="1">IFERROR(__xludf.DUMMYFUNCTION("""COMPUTED_VALUE"""),466.26)</f>
        <v>466.26</v>
      </c>
    </row>
    <row r="122" spans="1:13" x14ac:dyDescent="0.25">
      <c r="A122" s="2">
        <f ca="1">IFERROR(__xludf.DUMMYFUNCTION("""COMPUTED_VALUE"""),44007.6666666666)</f>
        <v>44007.666666666599</v>
      </c>
      <c r="B122" s="1">
        <f ca="1">IFERROR(__xludf.DUMMYFUNCTION("""COMPUTED_VALUE"""),91.21)</f>
        <v>91.21</v>
      </c>
      <c r="C122" s="1">
        <f ca="1">IFERROR(__xludf.DUMMYFUNCTION("""COMPUTED_VALUE"""),197.84)</f>
        <v>197.84</v>
      </c>
      <c r="D122" s="1">
        <f ca="1">IFERROR(__xludf.DUMMYFUNCTION("""COMPUTED_VALUE"""),136.72)</f>
        <v>136.72</v>
      </c>
      <c r="E122" s="1">
        <f ca="1">IFERROR(__xludf.DUMMYFUNCTION("""COMPUTED_VALUE"""),9.24)</f>
        <v>9.24</v>
      </c>
      <c r="F122" s="1">
        <f ca="1">IFERROR(__xludf.DUMMYFUNCTION("""COMPUTED_VALUE"""),234.02)</f>
        <v>234.02</v>
      </c>
      <c r="G122" s="1">
        <f ca="1">IFERROR(__xludf.DUMMYFUNCTION("""COMPUTED_VALUE"""),71.6)</f>
        <v>71.599999999999994</v>
      </c>
      <c r="H122" s="1">
        <f ca="1">IFERROR(__xludf.DUMMYFUNCTION("""COMPUTED_VALUE"""),64.06)</f>
        <v>64.06</v>
      </c>
      <c r="I122" s="1">
        <f ca="1">IFERROR(__xludf.DUMMYFUNCTION("""COMPUTED_VALUE"""),129.56)</f>
        <v>129.56</v>
      </c>
      <c r="J122" s="1">
        <f ca="1">IFERROR(__xludf.DUMMYFUNCTION("""COMPUTED_VALUE"""),298.02)</f>
        <v>298.02</v>
      </c>
      <c r="K122" s="1">
        <f ca="1">IFERROR(__xludf.DUMMYFUNCTION("""COMPUTED_VALUE"""),30.7)</f>
        <v>30.7</v>
      </c>
      <c r="L122" s="1">
        <f ca="1">IFERROR(__xludf.DUMMYFUNCTION("""COMPUTED_VALUE"""),431.68)</f>
        <v>431.68</v>
      </c>
      <c r="M122" s="1">
        <f ca="1">IFERROR(__xludf.DUMMYFUNCTION("""COMPUTED_VALUE"""),457.85)</f>
        <v>457.85</v>
      </c>
    </row>
    <row r="123" spans="1:13" x14ac:dyDescent="0.25">
      <c r="A123" s="2">
        <f ca="1">IFERROR(__xludf.DUMMYFUNCTION("""COMPUTED_VALUE"""),44008.6666666666)</f>
        <v>44008.666666666599</v>
      </c>
      <c r="B123" s="1">
        <f ca="1">IFERROR(__xludf.DUMMYFUNCTION("""COMPUTED_VALUE"""),88.41)</f>
        <v>88.41</v>
      </c>
      <c r="C123" s="1">
        <f ca="1">IFERROR(__xludf.DUMMYFUNCTION("""COMPUTED_VALUE"""),200.34)</f>
        <v>200.34</v>
      </c>
      <c r="D123" s="1">
        <f ca="1">IFERROR(__xludf.DUMMYFUNCTION("""COMPUTED_VALUE"""),137.73)</f>
        <v>137.72999999999999</v>
      </c>
      <c r="E123" s="1">
        <f ca="1">IFERROR(__xludf.DUMMYFUNCTION("""COMPUTED_VALUE"""),9.49)</f>
        <v>9.49</v>
      </c>
      <c r="F123" s="1">
        <f ca="1">IFERROR(__xludf.DUMMYFUNCTION("""COMPUTED_VALUE"""),235.68)</f>
        <v>235.68</v>
      </c>
      <c r="G123" s="1">
        <f ca="1">IFERROR(__xludf.DUMMYFUNCTION("""COMPUTED_VALUE"""),72.07)</f>
        <v>72.069999999999993</v>
      </c>
      <c r="H123" s="1">
        <f ca="1">IFERROR(__xludf.DUMMYFUNCTION("""COMPUTED_VALUE"""),65.73)</f>
        <v>65.73</v>
      </c>
      <c r="I123" s="1">
        <f ca="1">IFERROR(__xludf.DUMMYFUNCTION("""COMPUTED_VALUE"""),131.41)</f>
        <v>131.41</v>
      </c>
      <c r="J123" s="1">
        <f ca="1">IFERROR(__xludf.DUMMYFUNCTION("""COMPUTED_VALUE"""),300.53)</f>
        <v>300.52999999999997</v>
      </c>
      <c r="K123" s="1">
        <f ca="1">IFERROR(__xludf.DUMMYFUNCTION("""COMPUTED_VALUE"""),30.89)</f>
        <v>30.89</v>
      </c>
      <c r="L123" s="1">
        <f ca="1">IFERROR(__xludf.DUMMYFUNCTION("""COMPUTED_VALUE"""),436.95)</f>
        <v>436.95</v>
      </c>
      <c r="M123" s="1">
        <f ca="1">IFERROR(__xludf.DUMMYFUNCTION("""COMPUTED_VALUE"""),465.91)</f>
        <v>465.91</v>
      </c>
    </row>
    <row r="124" spans="1:13" x14ac:dyDescent="0.25">
      <c r="A124" s="2">
        <f ca="1">IFERROR(__xludf.DUMMYFUNCTION("""COMPUTED_VALUE"""),44011.6666666666)</f>
        <v>44011.666666666599</v>
      </c>
      <c r="B124" s="1">
        <f ca="1">IFERROR(__xludf.DUMMYFUNCTION("""COMPUTED_VALUE"""),90.45)</f>
        <v>90.45</v>
      </c>
      <c r="C124" s="1">
        <f ca="1">IFERROR(__xludf.DUMMYFUNCTION("""COMPUTED_VALUE"""),196.33)</f>
        <v>196.33</v>
      </c>
      <c r="D124" s="1">
        <f ca="1">IFERROR(__xludf.DUMMYFUNCTION("""COMPUTED_VALUE"""),134.64)</f>
        <v>134.63999999999999</v>
      </c>
      <c r="E124" s="1">
        <f ca="1">IFERROR(__xludf.DUMMYFUNCTION("""COMPUTED_VALUE"""),9.15)</f>
        <v>9.15</v>
      </c>
      <c r="F124" s="1">
        <f ca="1">IFERROR(__xludf.DUMMYFUNCTION("""COMPUTED_VALUE"""),216.08)</f>
        <v>216.08</v>
      </c>
      <c r="G124" s="1">
        <f ca="1">IFERROR(__xludf.DUMMYFUNCTION("""COMPUTED_VALUE"""),68)</f>
        <v>68</v>
      </c>
      <c r="H124" s="1">
        <f ca="1">IFERROR(__xludf.DUMMYFUNCTION("""COMPUTED_VALUE"""),63.98)</f>
        <v>63.98</v>
      </c>
      <c r="I124" s="1">
        <f ca="1">IFERROR(__xludf.DUMMYFUNCTION("""COMPUTED_VALUE"""),128.93)</f>
        <v>128.93</v>
      </c>
      <c r="J124" s="1">
        <f ca="1">IFERROR(__xludf.DUMMYFUNCTION("""COMPUTED_VALUE"""),296.56)</f>
        <v>296.56</v>
      </c>
      <c r="K124" s="1">
        <f ca="1">IFERROR(__xludf.DUMMYFUNCTION("""COMPUTED_VALUE"""),30.74)</f>
        <v>30.74</v>
      </c>
      <c r="L124" s="1">
        <f ca="1">IFERROR(__xludf.DUMMYFUNCTION("""COMPUTED_VALUE"""),426.92)</f>
        <v>426.92</v>
      </c>
      <c r="M124" s="1">
        <f ca="1">IFERROR(__xludf.DUMMYFUNCTION("""COMPUTED_VALUE"""),443.4)</f>
        <v>443.4</v>
      </c>
    </row>
    <row r="125" spans="1:13" x14ac:dyDescent="0.25">
      <c r="A125" s="2">
        <f ca="1">IFERROR(__xludf.DUMMYFUNCTION("""COMPUTED_VALUE"""),44012.6666666666)</f>
        <v>44012.666666666599</v>
      </c>
      <c r="B125" s="1">
        <f ca="1">IFERROR(__xludf.DUMMYFUNCTION("""COMPUTED_VALUE"""),91.2)</f>
        <v>91.2</v>
      </c>
      <c r="C125" s="1">
        <f ca="1">IFERROR(__xludf.DUMMYFUNCTION("""COMPUTED_VALUE"""),198.44)</f>
        <v>198.44</v>
      </c>
      <c r="D125" s="1">
        <f ca="1">IFERROR(__xludf.DUMMYFUNCTION("""COMPUTED_VALUE"""),134.02)</f>
        <v>134.02000000000001</v>
      </c>
      <c r="E125" s="1">
        <f ca="1">IFERROR(__xludf.DUMMYFUNCTION("""COMPUTED_VALUE"""),9.2)</f>
        <v>9.1999999999999993</v>
      </c>
      <c r="F125" s="1">
        <f ca="1">IFERROR(__xludf.DUMMYFUNCTION("""COMPUTED_VALUE"""),220.64)</f>
        <v>220.64</v>
      </c>
      <c r="G125" s="1">
        <f ca="1">IFERROR(__xludf.DUMMYFUNCTION("""COMPUTED_VALUE"""),69.75)</f>
        <v>69.75</v>
      </c>
      <c r="H125" s="1">
        <f ca="1">IFERROR(__xludf.DUMMYFUNCTION("""COMPUTED_VALUE"""),67.29)</f>
        <v>67.290000000000006</v>
      </c>
      <c r="I125" s="1">
        <f ca="1">IFERROR(__xludf.DUMMYFUNCTION("""COMPUTED_VALUE"""),131.08)</f>
        <v>131.08000000000001</v>
      </c>
      <c r="J125" s="1">
        <f ca="1">IFERROR(__xludf.DUMMYFUNCTION("""COMPUTED_VALUE"""),301.59)</f>
        <v>301.58999999999997</v>
      </c>
      <c r="K125" s="1">
        <f ca="1">IFERROR(__xludf.DUMMYFUNCTION("""COMPUTED_VALUE"""),30.98)</f>
        <v>30.98</v>
      </c>
      <c r="L125" s="1">
        <f ca="1">IFERROR(__xludf.DUMMYFUNCTION("""COMPUTED_VALUE"""),424.2)</f>
        <v>424.2</v>
      </c>
      <c r="M125" s="1">
        <f ca="1">IFERROR(__xludf.DUMMYFUNCTION("""COMPUTED_VALUE"""),447.24)</f>
        <v>447.24</v>
      </c>
    </row>
    <row r="126" spans="1:13" x14ac:dyDescent="0.25">
      <c r="A126" s="2">
        <f ca="1">IFERROR(__xludf.DUMMYFUNCTION("""COMPUTED_VALUE"""),44013.6666666666)</f>
        <v>44013.666666666599</v>
      </c>
      <c r="B126" s="1">
        <f ca="1">IFERROR(__xludf.DUMMYFUNCTION("""COMPUTED_VALUE"""),91.03)</f>
        <v>91.03</v>
      </c>
      <c r="C126" s="1">
        <f ca="1">IFERROR(__xludf.DUMMYFUNCTION("""COMPUTED_VALUE"""),203.51)</f>
        <v>203.51</v>
      </c>
      <c r="D126" s="1">
        <f ca="1">IFERROR(__xludf.DUMMYFUNCTION("""COMPUTED_VALUE"""),137.94)</f>
        <v>137.94</v>
      </c>
      <c r="E126" s="1">
        <f ca="1">IFERROR(__xludf.DUMMYFUNCTION("""COMPUTED_VALUE"""),9.5)</f>
        <v>9.5</v>
      </c>
      <c r="F126" s="1">
        <f ca="1">IFERROR(__xludf.DUMMYFUNCTION("""COMPUTED_VALUE"""),227.07)</f>
        <v>227.07</v>
      </c>
      <c r="G126" s="1">
        <f ca="1">IFERROR(__xludf.DUMMYFUNCTION("""COMPUTED_VALUE"""),70.68)</f>
        <v>70.680000000000007</v>
      </c>
      <c r="H126" s="1">
        <f ca="1">IFERROR(__xludf.DUMMYFUNCTION("""COMPUTED_VALUE"""),71.99)</f>
        <v>71.989999999999995</v>
      </c>
      <c r="I126" s="1">
        <f ca="1">IFERROR(__xludf.DUMMYFUNCTION("""COMPUTED_VALUE"""),132.26)</f>
        <v>132.26</v>
      </c>
      <c r="J126" s="1">
        <f ca="1">IFERROR(__xludf.DUMMYFUNCTION("""COMPUTED_VALUE"""),303.21)</f>
        <v>303.20999999999998</v>
      </c>
      <c r="K126" s="1">
        <f ca="1">IFERROR(__xludf.DUMMYFUNCTION("""COMPUTED_VALUE"""),31.56)</f>
        <v>31.56</v>
      </c>
      <c r="L126" s="1">
        <f ca="1">IFERROR(__xludf.DUMMYFUNCTION("""COMPUTED_VALUE"""),435.31)</f>
        <v>435.31</v>
      </c>
      <c r="M126" s="1">
        <f ca="1">IFERROR(__xludf.DUMMYFUNCTION("""COMPUTED_VALUE"""),455.04)</f>
        <v>455.04</v>
      </c>
    </row>
    <row r="127" spans="1:13" x14ac:dyDescent="0.25">
      <c r="A127" s="2">
        <f ca="1">IFERROR(__xludf.DUMMYFUNCTION("""COMPUTED_VALUE"""),44014.6666666666)</f>
        <v>44014.666666666599</v>
      </c>
      <c r="B127" s="1">
        <f ca="1">IFERROR(__xludf.DUMMYFUNCTION("""COMPUTED_VALUE"""),91.03)</f>
        <v>91.03</v>
      </c>
      <c r="C127" s="1">
        <f ca="1">IFERROR(__xludf.DUMMYFUNCTION("""COMPUTED_VALUE"""),204.7)</f>
        <v>204.7</v>
      </c>
      <c r="D127" s="1">
        <f ca="1">IFERROR(__xludf.DUMMYFUNCTION("""COMPUTED_VALUE"""),143.94)</f>
        <v>143.94</v>
      </c>
      <c r="E127" s="1">
        <f ca="1">IFERROR(__xludf.DUMMYFUNCTION("""COMPUTED_VALUE"""),9.53)</f>
        <v>9.5299999999999994</v>
      </c>
      <c r="F127" s="1">
        <f ca="1">IFERROR(__xludf.DUMMYFUNCTION("""COMPUTED_VALUE"""),237.55)</f>
        <v>237.55</v>
      </c>
      <c r="G127" s="1">
        <f ca="1">IFERROR(__xludf.DUMMYFUNCTION("""COMPUTED_VALUE"""),71.9)</f>
        <v>71.900000000000006</v>
      </c>
      <c r="H127" s="1">
        <f ca="1">IFERROR(__xludf.DUMMYFUNCTION("""COMPUTED_VALUE"""),74.64)</f>
        <v>74.64</v>
      </c>
      <c r="I127" s="1">
        <f ca="1">IFERROR(__xludf.DUMMYFUNCTION("""COMPUTED_VALUE"""),132.36)</f>
        <v>132.36000000000001</v>
      </c>
      <c r="J127" s="1">
        <f ca="1">IFERROR(__xludf.DUMMYFUNCTION("""COMPUTED_VALUE"""),304.75)</f>
        <v>304.75</v>
      </c>
      <c r="K127" s="1">
        <f ca="1">IFERROR(__xludf.DUMMYFUNCTION("""COMPUTED_VALUE"""),31.27)</f>
        <v>31.27</v>
      </c>
      <c r="L127" s="1">
        <f ca="1">IFERROR(__xludf.DUMMYFUNCTION("""COMPUTED_VALUE"""),439.81)</f>
        <v>439.81</v>
      </c>
      <c r="M127" s="1">
        <f ca="1">IFERROR(__xludf.DUMMYFUNCTION("""COMPUTED_VALUE"""),485.64)</f>
        <v>485.64</v>
      </c>
    </row>
    <row r="128" spans="1:13" x14ac:dyDescent="0.25">
      <c r="A128" s="2">
        <f ca="1">IFERROR(__xludf.DUMMYFUNCTION("""COMPUTED_VALUE"""),44018.6666666666)</f>
        <v>44018.666666666599</v>
      </c>
      <c r="B128" s="1">
        <f ca="1">IFERROR(__xludf.DUMMYFUNCTION("""COMPUTED_VALUE"""),93.46)</f>
        <v>93.46</v>
      </c>
      <c r="C128" s="1">
        <f ca="1">IFERROR(__xludf.DUMMYFUNCTION("""COMPUTED_VALUE"""),206.26)</f>
        <v>206.26</v>
      </c>
      <c r="D128" s="1">
        <f ca="1">IFERROR(__xludf.DUMMYFUNCTION("""COMPUTED_VALUE"""),144.51)</f>
        <v>144.51</v>
      </c>
      <c r="E128" s="1">
        <f ca="1">IFERROR(__xludf.DUMMYFUNCTION("""COMPUTED_VALUE"""),9.61)</f>
        <v>9.61</v>
      </c>
      <c r="F128" s="1">
        <f ca="1">IFERROR(__xludf.DUMMYFUNCTION("""COMPUTED_VALUE"""),233.42)</f>
        <v>233.42</v>
      </c>
      <c r="G128" s="1">
        <f ca="1">IFERROR(__xludf.DUMMYFUNCTION("""COMPUTED_VALUE"""),73.24)</f>
        <v>73.239999999999995</v>
      </c>
      <c r="H128" s="1">
        <f ca="1">IFERROR(__xludf.DUMMYFUNCTION("""COMPUTED_VALUE"""),80.58)</f>
        <v>80.58</v>
      </c>
      <c r="I128" s="1">
        <f ca="1">IFERROR(__xludf.DUMMYFUNCTION("""COMPUTED_VALUE"""),132.85)</f>
        <v>132.85</v>
      </c>
      <c r="J128" s="1">
        <f ca="1">IFERROR(__xludf.DUMMYFUNCTION("""COMPUTED_VALUE"""),305.74)</f>
        <v>305.74</v>
      </c>
      <c r="K128" s="1">
        <f ca="1">IFERROR(__xludf.DUMMYFUNCTION("""COMPUTED_VALUE"""),31.55)</f>
        <v>31.55</v>
      </c>
      <c r="L128" s="1">
        <f ca="1">IFERROR(__xludf.DUMMYFUNCTION("""COMPUTED_VALUE"""),442.95)</f>
        <v>442.95</v>
      </c>
      <c r="M128" s="1">
        <f ca="1">IFERROR(__xludf.DUMMYFUNCTION("""COMPUTED_VALUE"""),476.89)</f>
        <v>476.89</v>
      </c>
    </row>
    <row r="129" spans="1:13" x14ac:dyDescent="0.25">
      <c r="A129" s="2">
        <f ca="1">IFERROR(__xludf.DUMMYFUNCTION("""COMPUTED_VALUE"""),44019.6666666666)</f>
        <v>44019.666666666599</v>
      </c>
      <c r="B129" s="1">
        <f ca="1">IFERROR(__xludf.DUMMYFUNCTION("""COMPUTED_VALUE"""),93.17)</f>
        <v>93.17</v>
      </c>
      <c r="C129" s="1">
        <f ca="1">IFERROR(__xludf.DUMMYFUNCTION("""COMPUTED_VALUE"""),210.7)</f>
        <v>210.7</v>
      </c>
      <c r="D129" s="1">
        <f ca="1">IFERROR(__xludf.DUMMYFUNCTION("""COMPUTED_VALUE"""),152.85)</f>
        <v>152.85</v>
      </c>
      <c r="E129" s="1">
        <f ca="1">IFERROR(__xludf.DUMMYFUNCTION("""COMPUTED_VALUE"""),9.84)</f>
        <v>9.84</v>
      </c>
      <c r="F129" s="1">
        <f ca="1">IFERROR(__xludf.DUMMYFUNCTION("""COMPUTED_VALUE"""),240.28)</f>
        <v>240.28</v>
      </c>
      <c r="G129" s="1">
        <f ca="1">IFERROR(__xludf.DUMMYFUNCTION("""COMPUTED_VALUE"""),74.79)</f>
        <v>74.790000000000006</v>
      </c>
      <c r="H129" s="1">
        <f ca="1">IFERROR(__xludf.DUMMYFUNCTION("""COMPUTED_VALUE"""),91.44)</f>
        <v>91.44</v>
      </c>
      <c r="I129" s="1">
        <f ca="1">IFERROR(__xludf.DUMMYFUNCTION("""COMPUTED_VALUE"""),133.3)</f>
        <v>133.30000000000001</v>
      </c>
      <c r="J129" s="1">
        <f ca="1">IFERROR(__xludf.DUMMYFUNCTION("""COMPUTED_VALUE"""),311.49)</f>
        <v>311.49</v>
      </c>
      <c r="K129" s="1">
        <f ca="1">IFERROR(__xludf.DUMMYFUNCTION("""COMPUTED_VALUE"""),31.88)</f>
        <v>31.88</v>
      </c>
      <c r="L129" s="1">
        <f ca="1">IFERROR(__xludf.DUMMYFUNCTION("""COMPUTED_VALUE"""),452.59)</f>
        <v>452.59</v>
      </c>
      <c r="M129" s="1">
        <f ca="1">IFERROR(__xludf.DUMMYFUNCTION("""COMPUTED_VALUE"""),493.81)</f>
        <v>493.81</v>
      </c>
    </row>
    <row r="130" spans="1:13" x14ac:dyDescent="0.25">
      <c r="A130" s="2">
        <f ca="1">IFERROR(__xludf.DUMMYFUNCTION("""COMPUTED_VALUE"""),44020.6666666666)</f>
        <v>44020.666666666599</v>
      </c>
      <c r="B130" s="1">
        <f ca="1">IFERROR(__xludf.DUMMYFUNCTION("""COMPUTED_VALUE"""),95.34)</f>
        <v>95.34</v>
      </c>
      <c r="C130" s="1">
        <f ca="1">IFERROR(__xludf.DUMMYFUNCTION("""COMPUTED_VALUE"""),208.25)</f>
        <v>208.25</v>
      </c>
      <c r="D130" s="1">
        <f ca="1">IFERROR(__xludf.DUMMYFUNCTION("""COMPUTED_VALUE"""),150.01)</f>
        <v>150.01</v>
      </c>
      <c r="E130" s="1">
        <f ca="1">IFERROR(__xludf.DUMMYFUNCTION("""COMPUTED_VALUE"""),9.87)</f>
        <v>9.8699999999999992</v>
      </c>
      <c r="F130" s="1">
        <f ca="1">IFERROR(__xludf.DUMMYFUNCTION("""COMPUTED_VALUE"""),240.86)</f>
        <v>240.86</v>
      </c>
      <c r="G130" s="1">
        <f ca="1">IFERROR(__xludf.DUMMYFUNCTION("""COMPUTED_VALUE"""),74.26)</f>
        <v>74.260000000000005</v>
      </c>
      <c r="H130" s="1">
        <f ca="1">IFERROR(__xludf.DUMMYFUNCTION("""COMPUTED_VALUE"""),92.66)</f>
        <v>92.66</v>
      </c>
      <c r="I130" s="1">
        <f ca="1">IFERROR(__xludf.DUMMYFUNCTION("""COMPUTED_VALUE"""),133.57)</f>
        <v>133.57</v>
      </c>
      <c r="J130" s="1">
        <f ca="1">IFERROR(__xludf.DUMMYFUNCTION("""COMPUTED_VALUE"""),316.23)</f>
        <v>316.23</v>
      </c>
      <c r="K130" s="1">
        <f ca="1">IFERROR(__xludf.DUMMYFUNCTION("""COMPUTED_VALUE"""),31.31)</f>
        <v>31.31</v>
      </c>
      <c r="L130" s="1">
        <f ca="1">IFERROR(__xludf.DUMMYFUNCTION("""COMPUTED_VALUE"""),449.36)</f>
        <v>449.36</v>
      </c>
      <c r="M130" s="1">
        <f ca="1">IFERROR(__xludf.DUMMYFUNCTION("""COMPUTED_VALUE"""),493.16)</f>
        <v>493.16</v>
      </c>
    </row>
    <row r="131" spans="1:13" x14ac:dyDescent="0.25">
      <c r="A131" s="2">
        <f ca="1">IFERROR(__xludf.DUMMYFUNCTION("""COMPUTED_VALUE"""),44021.6666666666)</f>
        <v>44021.666666666599</v>
      </c>
      <c r="B131" s="1">
        <f ca="1">IFERROR(__xludf.DUMMYFUNCTION("""COMPUTED_VALUE"""),95.68)</f>
        <v>95.68</v>
      </c>
      <c r="C131" s="1">
        <f ca="1">IFERROR(__xludf.DUMMYFUNCTION("""COMPUTED_VALUE"""),212.83)</f>
        <v>212.83</v>
      </c>
      <c r="D131" s="1">
        <f ca="1">IFERROR(__xludf.DUMMYFUNCTION("""COMPUTED_VALUE"""),154.06)</f>
        <v>154.06</v>
      </c>
      <c r="E131" s="1">
        <f ca="1">IFERROR(__xludf.DUMMYFUNCTION("""COMPUTED_VALUE"""),10.22)</f>
        <v>10.220000000000001</v>
      </c>
      <c r="F131" s="1">
        <f ca="1">IFERROR(__xludf.DUMMYFUNCTION("""COMPUTED_VALUE"""),243.58)</f>
        <v>243.58</v>
      </c>
      <c r="G131" s="1">
        <f ca="1">IFERROR(__xludf.DUMMYFUNCTION("""COMPUTED_VALUE"""),74.8)</f>
        <v>74.8</v>
      </c>
      <c r="H131" s="1">
        <f ca="1">IFERROR(__xludf.DUMMYFUNCTION("""COMPUTED_VALUE"""),91.06)</f>
        <v>91.06</v>
      </c>
      <c r="I131" s="1">
        <f ca="1">IFERROR(__xludf.DUMMYFUNCTION("""COMPUTED_VALUE"""),134.22)</f>
        <v>134.22</v>
      </c>
      <c r="J131" s="1">
        <f ca="1">IFERROR(__xludf.DUMMYFUNCTION("""COMPUTED_VALUE"""),316.32)</f>
        <v>316.32</v>
      </c>
      <c r="K131" s="1">
        <f ca="1">IFERROR(__xludf.DUMMYFUNCTION("""COMPUTED_VALUE"""),31.96)</f>
        <v>31.96</v>
      </c>
      <c r="L131" s="1">
        <f ca="1">IFERROR(__xludf.DUMMYFUNCTION("""COMPUTED_VALUE"""),457.68)</f>
        <v>457.68</v>
      </c>
      <c r="M131" s="1">
        <f ca="1">IFERROR(__xludf.DUMMYFUNCTION("""COMPUTED_VALUE"""),502.78)</f>
        <v>502.78</v>
      </c>
    </row>
    <row r="132" spans="1:13" x14ac:dyDescent="0.25">
      <c r="A132" s="2">
        <f ca="1">IFERROR(__xludf.DUMMYFUNCTION("""COMPUTED_VALUE"""),44022.6666666666)</f>
        <v>44022.666666666599</v>
      </c>
      <c r="B132" s="1">
        <f ca="1">IFERROR(__xludf.DUMMYFUNCTION("""COMPUTED_VALUE"""),95.92)</f>
        <v>95.92</v>
      </c>
      <c r="C132" s="1">
        <f ca="1">IFERROR(__xludf.DUMMYFUNCTION("""COMPUTED_VALUE"""),214.32)</f>
        <v>214.32</v>
      </c>
      <c r="D132" s="1">
        <f ca="1">IFERROR(__xludf.DUMMYFUNCTION("""COMPUTED_VALUE"""),159.13)</f>
        <v>159.13</v>
      </c>
      <c r="E132" s="1">
        <f ca="1">IFERROR(__xludf.DUMMYFUNCTION("""COMPUTED_VALUE"""),10.51)</f>
        <v>10.51</v>
      </c>
      <c r="F132" s="1">
        <f ca="1">IFERROR(__xludf.DUMMYFUNCTION("""COMPUTED_VALUE"""),244.5)</f>
        <v>244.5</v>
      </c>
      <c r="G132" s="1">
        <f ca="1">IFERROR(__xludf.DUMMYFUNCTION("""COMPUTED_VALUE"""),75.55)</f>
        <v>75.55</v>
      </c>
      <c r="H132" s="1">
        <f ca="1">IFERROR(__xludf.DUMMYFUNCTION("""COMPUTED_VALUE"""),92.95)</f>
        <v>92.95</v>
      </c>
      <c r="I132" s="1">
        <f ca="1">IFERROR(__xludf.DUMMYFUNCTION("""COMPUTED_VALUE"""),132.71)</f>
        <v>132.71</v>
      </c>
      <c r="J132" s="1">
        <f ca="1">IFERROR(__xludf.DUMMYFUNCTION("""COMPUTED_VALUE"""),325.54)</f>
        <v>325.54000000000002</v>
      </c>
      <c r="K132" s="1">
        <f ca="1">IFERROR(__xludf.DUMMYFUNCTION("""COMPUTED_VALUE"""),32.15)</f>
        <v>32.15</v>
      </c>
      <c r="L132" s="1">
        <f ca="1">IFERROR(__xludf.DUMMYFUNCTION("""COMPUTED_VALUE"""),460.84)</f>
        <v>460.84</v>
      </c>
      <c r="M132" s="1">
        <f ca="1">IFERROR(__xludf.DUMMYFUNCTION("""COMPUTED_VALUE"""),507.76)</f>
        <v>507.76</v>
      </c>
    </row>
    <row r="133" spans="1:13" x14ac:dyDescent="0.25">
      <c r="A133" s="2">
        <f ca="1">IFERROR(__xludf.DUMMYFUNCTION("""COMPUTED_VALUE"""),44025.6666666666)</f>
        <v>44025.666666666599</v>
      </c>
      <c r="B133" s="1">
        <f ca="1">IFERROR(__xludf.DUMMYFUNCTION("""COMPUTED_VALUE"""),95.48)</f>
        <v>95.48</v>
      </c>
      <c r="C133" s="1">
        <f ca="1">IFERROR(__xludf.DUMMYFUNCTION("""COMPUTED_VALUE"""),213.67)</f>
        <v>213.67</v>
      </c>
      <c r="D133" s="1">
        <f ca="1">IFERROR(__xludf.DUMMYFUNCTION("""COMPUTED_VALUE"""),160)</f>
        <v>160</v>
      </c>
      <c r="E133" s="1">
        <f ca="1">IFERROR(__xludf.DUMMYFUNCTION("""COMPUTED_VALUE"""),10.48)</f>
        <v>10.48</v>
      </c>
      <c r="F133" s="1">
        <f ca="1">IFERROR(__xludf.DUMMYFUNCTION("""COMPUTED_VALUE"""),245.07)</f>
        <v>245.07</v>
      </c>
      <c r="G133" s="1">
        <f ca="1">IFERROR(__xludf.DUMMYFUNCTION("""COMPUTED_VALUE"""),77.09)</f>
        <v>77.09</v>
      </c>
      <c r="H133" s="1">
        <f ca="1">IFERROR(__xludf.DUMMYFUNCTION("""COMPUTED_VALUE"""),102.98)</f>
        <v>102.98</v>
      </c>
      <c r="I133" s="1">
        <f ca="1">IFERROR(__xludf.DUMMYFUNCTION("""COMPUTED_VALUE"""),134.46)</f>
        <v>134.46</v>
      </c>
      <c r="J133" s="1">
        <f ca="1">IFERROR(__xludf.DUMMYFUNCTION("""COMPUTED_VALUE"""),326.23)</f>
        <v>326.23</v>
      </c>
      <c r="K133" s="1">
        <f ca="1">IFERROR(__xludf.DUMMYFUNCTION("""COMPUTED_VALUE"""),31.94)</f>
        <v>31.94</v>
      </c>
      <c r="L133" s="1">
        <f ca="1">IFERROR(__xludf.DUMMYFUNCTION("""COMPUTED_VALUE"""),466.2)</f>
        <v>466.2</v>
      </c>
      <c r="M133" s="1">
        <f ca="1">IFERROR(__xludf.DUMMYFUNCTION("""COMPUTED_VALUE"""),548.73)</f>
        <v>548.73</v>
      </c>
    </row>
    <row r="134" spans="1:13" x14ac:dyDescent="0.25">
      <c r="A134" s="2">
        <f ca="1">IFERROR(__xludf.DUMMYFUNCTION("""COMPUTED_VALUE"""),44026.6666666666)</f>
        <v>44026.666666666599</v>
      </c>
      <c r="B134" s="1">
        <f ca="1">IFERROR(__xludf.DUMMYFUNCTION("""COMPUTED_VALUE"""),97.06)</f>
        <v>97.06</v>
      </c>
      <c r="C134" s="1">
        <f ca="1">IFERROR(__xludf.DUMMYFUNCTION("""COMPUTED_VALUE"""),207.07)</f>
        <v>207.07</v>
      </c>
      <c r="D134" s="1">
        <f ca="1">IFERROR(__xludf.DUMMYFUNCTION("""COMPUTED_VALUE"""),155.2)</f>
        <v>155.19999999999999</v>
      </c>
      <c r="E134" s="1">
        <f ca="1">IFERROR(__xludf.DUMMYFUNCTION("""COMPUTED_VALUE"""),10.05)</f>
        <v>10.050000000000001</v>
      </c>
      <c r="F134" s="1">
        <f ca="1">IFERROR(__xludf.DUMMYFUNCTION("""COMPUTED_VALUE"""),239)</f>
        <v>239</v>
      </c>
      <c r="G134" s="1">
        <f ca="1">IFERROR(__xludf.DUMMYFUNCTION("""COMPUTED_VALUE"""),75.57)</f>
        <v>75.569999999999993</v>
      </c>
      <c r="H134" s="1">
        <f ca="1">IFERROR(__xludf.DUMMYFUNCTION("""COMPUTED_VALUE"""),99.8)</f>
        <v>99.8</v>
      </c>
      <c r="I134" s="1">
        <f ca="1">IFERROR(__xludf.DUMMYFUNCTION("""COMPUTED_VALUE"""),134.91)</f>
        <v>134.91</v>
      </c>
      <c r="J134" s="1">
        <f ca="1">IFERROR(__xludf.DUMMYFUNCTION("""COMPUTED_VALUE"""),322.92)</f>
        <v>322.92</v>
      </c>
      <c r="K134" s="1">
        <f ca="1">IFERROR(__xludf.DUMMYFUNCTION("""COMPUTED_VALUE"""),31.13)</f>
        <v>31.13</v>
      </c>
      <c r="L134" s="1">
        <f ca="1">IFERROR(__xludf.DUMMYFUNCTION("""COMPUTED_VALUE"""),442.47)</f>
        <v>442.47</v>
      </c>
      <c r="M134" s="1">
        <f ca="1">IFERROR(__xludf.DUMMYFUNCTION("""COMPUTED_VALUE"""),525.5)</f>
        <v>525.5</v>
      </c>
    </row>
    <row r="135" spans="1:13" x14ac:dyDescent="0.25">
      <c r="A135" s="2">
        <f ca="1">IFERROR(__xludf.DUMMYFUNCTION("""COMPUTED_VALUE"""),44027.6666666666)</f>
        <v>44027.666666666599</v>
      </c>
      <c r="B135" s="1">
        <f ca="1">IFERROR(__xludf.DUMMYFUNCTION("""COMPUTED_VALUE"""),97.73)</f>
        <v>97.73</v>
      </c>
      <c r="C135" s="1">
        <f ca="1">IFERROR(__xludf.DUMMYFUNCTION("""COMPUTED_VALUE"""),208.35)</f>
        <v>208.35</v>
      </c>
      <c r="D135" s="1">
        <f ca="1">IFERROR(__xludf.DUMMYFUNCTION("""COMPUTED_VALUE"""),154.2)</f>
        <v>154.19999999999999</v>
      </c>
      <c r="E135" s="1">
        <f ca="1">IFERROR(__xludf.DUMMYFUNCTION("""COMPUTED_VALUE"""),10.38)</f>
        <v>10.38</v>
      </c>
      <c r="F135" s="1">
        <f ca="1">IFERROR(__xludf.DUMMYFUNCTION("""COMPUTED_VALUE"""),239.73)</f>
        <v>239.73</v>
      </c>
      <c r="G135" s="1">
        <f ca="1">IFERROR(__xludf.DUMMYFUNCTION("""COMPUTED_VALUE"""),76.03)</f>
        <v>76.03</v>
      </c>
      <c r="H135" s="1">
        <f ca="1">IFERROR(__xludf.DUMMYFUNCTION("""COMPUTED_VALUE"""),101.12)</f>
        <v>101.12</v>
      </c>
      <c r="I135" s="1">
        <f ca="1">IFERROR(__xludf.DUMMYFUNCTION("""COMPUTED_VALUE"""),135.52)</f>
        <v>135.52000000000001</v>
      </c>
      <c r="J135" s="1">
        <f ca="1">IFERROR(__xludf.DUMMYFUNCTION("""COMPUTED_VALUE"""),328)</f>
        <v>328</v>
      </c>
      <c r="K135" s="1">
        <f ca="1">IFERROR(__xludf.DUMMYFUNCTION("""COMPUTED_VALUE"""),31.51)</f>
        <v>31.51</v>
      </c>
      <c r="L135" s="1">
        <f ca="1">IFERROR(__xludf.DUMMYFUNCTION("""COMPUTED_VALUE"""),433.78)</f>
        <v>433.78</v>
      </c>
      <c r="M135" s="1">
        <f ca="1">IFERROR(__xludf.DUMMYFUNCTION("""COMPUTED_VALUE"""),524.88)</f>
        <v>524.88</v>
      </c>
    </row>
    <row r="136" spans="1:13" x14ac:dyDescent="0.25">
      <c r="A136" s="2">
        <f ca="1">IFERROR(__xludf.DUMMYFUNCTION("""COMPUTED_VALUE"""),44028.6666666666)</f>
        <v>44028.666666666599</v>
      </c>
      <c r="B136" s="1">
        <f ca="1">IFERROR(__xludf.DUMMYFUNCTION("""COMPUTED_VALUE"""),96.52)</f>
        <v>96.52</v>
      </c>
      <c r="C136" s="1">
        <f ca="1">IFERROR(__xludf.DUMMYFUNCTION("""COMPUTED_VALUE"""),208.04)</f>
        <v>208.04</v>
      </c>
      <c r="D136" s="1">
        <f ca="1">IFERROR(__xludf.DUMMYFUNCTION("""COMPUTED_VALUE"""),150.44)</f>
        <v>150.44</v>
      </c>
      <c r="E136" s="1">
        <f ca="1">IFERROR(__xludf.DUMMYFUNCTION("""COMPUTED_VALUE"""),10.23)</f>
        <v>10.23</v>
      </c>
      <c r="F136" s="1">
        <f ca="1">IFERROR(__xludf.DUMMYFUNCTION("""COMPUTED_VALUE"""),240.28)</f>
        <v>240.28</v>
      </c>
      <c r="G136" s="1">
        <f ca="1">IFERROR(__xludf.DUMMYFUNCTION("""COMPUTED_VALUE"""),75.68)</f>
        <v>75.680000000000007</v>
      </c>
      <c r="H136" s="1">
        <f ca="1">IFERROR(__xludf.DUMMYFUNCTION("""COMPUTED_VALUE"""),103.07)</f>
        <v>103.07</v>
      </c>
      <c r="I136" s="1">
        <f ca="1">IFERROR(__xludf.DUMMYFUNCTION("""COMPUTED_VALUE"""),133.69)</f>
        <v>133.69</v>
      </c>
      <c r="J136" s="1">
        <f ca="1">IFERROR(__xludf.DUMMYFUNCTION("""COMPUTED_VALUE"""),326.7)</f>
        <v>326.7</v>
      </c>
      <c r="K136" s="1">
        <f ca="1">IFERROR(__xludf.DUMMYFUNCTION("""COMPUTED_VALUE"""),31.38)</f>
        <v>31.38</v>
      </c>
      <c r="L136" s="1">
        <f ca="1">IFERROR(__xludf.DUMMYFUNCTION("""COMPUTED_VALUE"""),433.01)</f>
        <v>433.01</v>
      </c>
      <c r="M136" s="1">
        <f ca="1">IFERROR(__xludf.DUMMYFUNCTION("""COMPUTED_VALUE"""),523.26)</f>
        <v>523.26</v>
      </c>
    </row>
    <row r="137" spans="1:13" x14ac:dyDescent="0.25">
      <c r="A137" s="2">
        <f ca="1">IFERROR(__xludf.DUMMYFUNCTION("""COMPUTED_VALUE"""),44029.6666666666)</f>
        <v>44029.666666666599</v>
      </c>
      <c r="B137" s="1">
        <f ca="1">IFERROR(__xludf.DUMMYFUNCTION("""COMPUTED_VALUE"""),96.33)</f>
        <v>96.33</v>
      </c>
      <c r="C137" s="1">
        <f ca="1">IFERROR(__xludf.DUMMYFUNCTION("""COMPUTED_VALUE"""),203.92)</f>
        <v>203.92</v>
      </c>
      <c r="D137" s="1">
        <f ca="1">IFERROR(__xludf.DUMMYFUNCTION("""COMPUTED_VALUE"""),150)</f>
        <v>150</v>
      </c>
      <c r="E137" s="1">
        <f ca="1">IFERROR(__xludf.DUMMYFUNCTION("""COMPUTED_VALUE"""),10.13)</f>
        <v>10.130000000000001</v>
      </c>
      <c r="F137" s="1">
        <f ca="1">IFERROR(__xludf.DUMMYFUNCTION("""COMPUTED_VALUE"""),240.93)</f>
        <v>240.93</v>
      </c>
      <c r="G137" s="1">
        <f ca="1">IFERROR(__xludf.DUMMYFUNCTION("""COMPUTED_VALUE"""),75.9)</f>
        <v>75.900000000000006</v>
      </c>
      <c r="H137" s="1">
        <f ca="1">IFERROR(__xludf.DUMMYFUNCTION("""COMPUTED_VALUE"""),100.04)</f>
        <v>100.04</v>
      </c>
      <c r="I137" s="1">
        <f ca="1">IFERROR(__xludf.DUMMYFUNCTION("""COMPUTED_VALUE"""),133.88)</f>
        <v>133.88</v>
      </c>
      <c r="J137" s="1">
        <f ca="1">IFERROR(__xludf.DUMMYFUNCTION("""COMPUTED_VALUE"""),326.27)</f>
        <v>326.27</v>
      </c>
      <c r="K137" s="1">
        <f ca="1">IFERROR(__xludf.DUMMYFUNCTION("""COMPUTED_VALUE"""),31.13)</f>
        <v>31.13</v>
      </c>
      <c r="L137" s="1">
        <f ca="1">IFERROR(__xludf.DUMMYFUNCTION("""COMPUTED_VALUE"""),426.29)</f>
        <v>426.29</v>
      </c>
      <c r="M137" s="1">
        <f ca="1">IFERROR(__xludf.DUMMYFUNCTION("""COMPUTED_VALUE"""),527.39)</f>
        <v>527.39</v>
      </c>
    </row>
    <row r="138" spans="1:13" x14ac:dyDescent="0.25">
      <c r="A138" s="2">
        <f ca="1">IFERROR(__xludf.DUMMYFUNCTION("""COMPUTED_VALUE"""),44032.6666666666)</f>
        <v>44032.666666666599</v>
      </c>
      <c r="B138" s="1">
        <f ca="1">IFERROR(__xludf.DUMMYFUNCTION("""COMPUTED_VALUE"""),98.36)</f>
        <v>98.36</v>
      </c>
      <c r="C138" s="1">
        <f ca="1">IFERROR(__xludf.DUMMYFUNCTION("""COMPUTED_VALUE"""),202.88)</f>
        <v>202.88</v>
      </c>
      <c r="D138" s="1">
        <f ca="1">IFERROR(__xludf.DUMMYFUNCTION("""COMPUTED_VALUE"""),148.1)</f>
        <v>148.1</v>
      </c>
      <c r="E138" s="1">
        <f ca="1">IFERROR(__xludf.DUMMYFUNCTION("""COMPUTED_VALUE"""),10.2)</f>
        <v>10.199999999999999</v>
      </c>
      <c r="F138" s="1">
        <f ca="1">IFERROR(__xludf.DUMMYFUNCTION("""COMPUTED_VALUE"""),242.03)</f>
        <v>242.03</v>
      </c>
      <c r="G138" s="1">
        <f ca="1">IFERROR(__xludf.DUMMYFUNCTION("""COMPUTED_VALUE"""),75.78)</f>
        <v>75.78</v>
      </c>
      <c r="H138" s="1">
        <f ca="1">IFERROR(__xludf.DUMMYFUNCTION("""COMPUTED_VALUE"""),100.06)</f>
        <v>100.06</v>
      </c>
      <c r="I138" s="1">
        <f ca="1">IFERROR(__xludf.DUMMYFUNCTION("""COMPUTED_VALUE"""),134.66)</f>
        <v>134.66</v>
      </c>
      <c r="J138" s="1">
        <f ca="1">IFERROR(__xludf.DUMMYFUNCTION("""COMPUTED_VALUE"""),324.79)</f>
        <v>324.79000000000002</v>
      </c>
      <c r="K138" s="1">
        <f ca="1">IFERROR(__xludf.DUMMYFUNCTION("""COMPUTED_VALUE"""),31.27)</f>
        <v>31.27</v>
      </c>
      <c r="L138" s="1">
        <f ca="1">IFERROR(__xludf.DUMMYFUNCTION("""COMPUTED_VALUE"""),432.42)</f>
        <v>432.42</v>
      </c>
      <c r="M138" s="1">
        <f ca="1">IFERROR(__xludf.DUMMYFUNCTION("""COMPUTED_VALUE"""),492.99)</f>
        <v>492.99</v>
      </c>
    </row>
    <row r="139" spans="1:13" x14ac:dyDescent="0.25">
      <c r="A139" s="2">
        <f ca="1">IFERROR(__xludf.DUMMYFUNCTION("""COMPUTED_VALUE"""),44033.6666666666)</f>
        <v>44033.666666666599</v>
      </c>
      <c r="B139" s="1">
        <f ca="1">IFERROR(__xludf.DUMMYFUNCTION("""COMPUTED_VALUE"""),97)</f>
        <v>97</v>
      </c>
      <c r="C139" s="1">
        <f ca="1">IFERROR(__xludf.DUMMYFUNCTION("""COMPUTED_VALUE"""),211.6)</f>
        <v>211.6</v>
      </c>
      <c r="D139" s="1">
        <f ca="1">IFERROR(__xludf.DUMMYFUNCTION("""COMPUTED_VALUE"""),159.84)</f>
        <v>159.84</v>
      </c>
      <c r="E139" s="1">
        <f ca="1">IFERROR(__xludf.DUMMYFUNCTION("""COMPUTED_VALUE"""),10.51)</f>
        <v>10.51</v>
      </c>
      <c r="F139" s="1">
        <f ca="1">IFERROR(__xludf.DUMMYFUNCTION("""COMPUTED_VALUE"""),245.42)</f>
        <v>245.42</v>
      </c>
      <c r="G139" s="1">
        <f ca="1">IFERROR(__xludf.DUMMYFUNCTION("""COMPUTED_VALUE"""),78.29)</f>
        <v>78.290000000000006</v>
      </c>
      <c r="H139" s="1">
        <f ca="1">IFERROR(__xludf.DUMMYFUNCTION("""COMPUTED_VALUE"""),109.53)</f>
        <v>109.53</v>
      </c>
      <c r="I139" s="1">
        <f ca="1">IFERROR(__xludf.DUMMYFUNCTION("""COMPUTED_VALUE"""),133.11)</f>
        <v>133.11000000000001</v>
      </c>
      <c r="J139" s="1">
        <f ca="1">IFERROR(__xludf.DUMMYFUNCTION("""COMPUTED_VALUE"""),326.51)</f>
        <v>326.51</v>
      </c>
      <c r="K139" s="1">
        <f ca="1">IFERROR(__xludf.DUMMYFUNCTION("""COMPUTED_VALUE"""),31.71)</f>
        <v>31.71</v>
      </c>
      <c r="L139" s="1">
        <f ca="1">IFERROR(__xludf.DUMMYFUNCTION("""COMPUTED_VALUE"""),455.27)</f>
        <v>455.27</v>
      </c>
      <c r="M139" s="1">
        <f ca="1">IFERROR(__xludf.DUMMYFUNCTION("""COMPUTED_VALUE"""),502.41)</f>
        <v>502.41</v>
      </c>
    </row>
    <row r="140" spans="1:13" x14ac:dyDescent="0.25">
      <c r="A140" s="2">
        <f ca="1">IFERROR(__xludf.DUMMYFUNCTION("""COMPUTED_VALUE"""),44034.6666666666)</f>
        <v>44034.666666666599</v>
      </c>
      <c r="B140" s="1">
        <f ca="1">IFERROR(__xludf.DUMMYFUNCTION("""COMPUTED_VALUE"""),97.27)</f>
        <v>97.27</v>
      </c>
      <c r="C140" s="1">
        <f ca="1">IFERROR(__xludf.DUMMYFUNCTION("""COMPUTED_VALUE"""),208.75)</f>
        <v>208.75</v>
      </c>
      <c r="D140" s="1">
        <f ca="1">IFERROR(__xludf.DUMMYFUNCTION("""COMPUTED_VALUE"""),156.91)</f>
        <v>156.91</v>
      </c>
      <c r="E140" s="1">
        <f ca="1">IFERROR(__xludf.DUMMYFUNCTION("""COMPUTED_VALUE"""),10.33)</f>
        <v>10.33</v>
      </c>
      <c r="F140" s="1">
        <f ca="1">IFERROR(__xludf.DUMMYFUNCTION("""COMPUTED_VALUE"""),241.75)</f>
        <v>241.75</v>
      </c>
      <c r="G140" s="1">
        <f ca="1">IFERROR(__xludf.DUMMYFUNCTION("""COMPUTED_VALUE"""),77.92)</f>
        <v>77.92</v>
      </c>
      <c r="H140" s="1">
        <f ca="1">IFERROR(__xludf.DUMMYFUNCTION("""COMPUTED_VALUE"""),104.56)</f>
        <v>104.56</v>
      </c>
      <c r="I140" s="1">
        <f ca="1">IFERROR(__xludf.DUMMYFUNCTION("""COMPUTED_VALUE"""),134.43)</f>
        <v>134.43</v>
      </c>
      <c r="J140" s="1">
        <f ca="1">IFERROR(__xludf.DUMMYFUNCTION("""COMPUTED_VALUE"""),327.74)</f>
        <v>327.74</v>
      </c>
      <c r="K140" s="1">
        <f ca="1">IFERROR(__xludf.DUMMYFUNCTION("""COMPUTED_VALUE"""),31.43)</f>
        <v>31.43</v>
      </c>
      <c r="L140" s="1">
        <f ca="1">IFERROR(__xludf.DUMMYFUNCTION("""COMPUTED_VALUE"""),444.28)</f>
        <v>444.28</v>
      </c>
      <c r="M140" s="1">
        <f ca="1">IFERROR(__xludf.DUMMYFUNCTION("""COMPUTED_VALUE"""),490.1)</f>
        <v>490.1</v>
      </c>
    </row>
    <row r="141" spans="1:13" x14ac:dyDescent="0.25">
      <c r="A141" s="2">
        <f ca="1">IFERROR(__xludf.DUMMYFUNCTION("""COMPUTED_VALUE"""),44035.6666666666)</f>
        <v>44035.666666666599</v>
      </c>
      <c r="B141" s="1">
        <f ca="1">IFERROR(__xludf.DUMMYFUNCTION("""COMPUTED_VALUE"""),92.85)</f>
        <v>92.85</v>
      </c>
      <c r="C141" s="1">
        <f ca="1">IFERROR(__xludf.DUMMYFUNCTION("""COMPUTED_VALUE"""),211.75)</f>
        <v>211.75</v>
      </c>
      <c r="D141" s="1">
        <f ca="1">IFERROR(__xludf.DUMMYFUNCTION("""COMPUTED_VALUE"""),155)</f>
        <v>155</v>
      </c>
      <c r="E141" s="1">
        <f ca="1">IFERROR(__xludf.DUMMYFUNCTION("""COMPUTED_VALUE"""),10.44)</f>
        <v>10.44</v>
      </c>
      <c r="F141" s="1">
        <f ca="1">IFERROR(__xludf.DUMMYFUNCTION("""COMPUTED_VALUE"""),239.87)</f>
        <v>239.87</v>
      </c>
      <c r="G141" s="1">
        <f ca="1">IFERROR(__xludf.DUMMYFUNCTION("""COMPUTED_VALUE"""),78.42)</f>
        <v>78.42</v>
      </c>
      <c r="H141" s="1">
        <f ca="1">IFERROR(__xludf.DUMMYFUNCTION("""COMPUTED_VALUE"""),106.16)</f>
        <v>106.16</v>
      </c>
      <c r="I141" s="1">
        <f ca="1">IFERROR(__xludf.DUMMYFUNCTION("""COMPUTED_VALUE"""),136.01)</f>
        <v>136.01</v>
      </c>
      <c r="J141" s="1">
        <f ca="1">IFERROR(__xludf.DUMMYFUNCTION("""COMPUTED_VALUE"""),328.3)</f>
        <v>328.3</v>
      </c>
      <c r="K141" s="1">
        <f ca="1">IFERROR(__xludf.DUMMYFUNCTION("""COMPUTED_VALUE"""),31.38)</f>
        <v>31.38</v>
      </c>
      <c r="L141" s="1">
        <f ca="1">IFERROR(__xludf.DUMMYFUNCTION("""COMPUTED_VALUE"""),445.05)</f>
        <v>445.05</v>
      </c>
      <c r="M141" s="1">
        <f ca="1">IFERROR(__xludf.DUMMYFUNCTION("""COMPUTED_VALUE"""),489.82)</f>
        <v>489.82</v>
      </c>
    </row>
    <row r="142" spans="1:13" x14ac:dyDescent="0.25">
      <c r="A142" s="2">
        <f ca="1">IFERROR(__xludf.DUMMYFUNCTION("""COMPUTED_VALUE"""),44036.6666666666)</f>
        <v>44036.666666666599</v>
      </c>
      <c r="B142" s="1">
        <f ca="1">IFERROR(__xludf.DUMMYFUNCTION("""COMPUTED_VALUE"""),92.62)</f>
        <v>92.62</v>
      </c>
      <c r="C142" s="1">
        <f ca="1">IFERROR(__xludf.DUMMYFUNCTION("""COMPUTED_VALUE"""),202.54)</f>
        <v>202.54</v>
      </c>
      <c r="D142" s="1">
        <f ca="1">IFERROR(__xludf.DUMMYFUNCTION("""COMPUTED_VALUE"""),149.33)</f>
        <v>149.33000000000001</v>
      </c>
      <c r="E142" s="1">
        <f ca="1">IFERROR(__xludf.DUMMYFUNCTION("""COMPUTED_VALUE"""),10.13)</f>
        <v>10.130000000000001</v>
      </c>
      <c r="F142" s="1">
        <f ca="1">IFERROR(__xludf.DUMMYFUNCTION("""COMPUTED_VALUE"""),232.6)</f>
        <v>232.6</v>
      </c>
      <c r="G142" s="1">
        <f ca="1">IFERROR(__xludf.DUMMYFUNCTION("""COMPUTED_VALUE"""),75.78)</f>
        <v>75.78</v>
      </c>
      <c r="H142" s="1">
        <f ca="1">IFERROR(__xludf.DUMMYFUNCTION("""COMPUTED_VALUE"""),100.87)</f>
        <v>100.87</v>
      </c>
      <c r="I142" s="1">
        <f ca="1">IFERROR(__xludf.DUMMYFUNCTION("""COMPUTED_VALUE"""),137.08)</f>
        <v>137.08000000000001</v>
      </c>
      <c r="J142" s="1">
        <f ca="1">IFERROR(__xludf.DUMMYFUNCTION("""COMPUTED_VALUE"""),326.11)</f>
        <v>326.11</v>
      </c>
      <c r="K142" s="1">
        <f ca="1">IFERROR(__xludf.DUMMYFUNCTION("""COMPUTED_VALUE"""),30.97)</f>
        <v>30.97</v>
      </c>
      <c r="L142" s="1">
        <f ca="1">IFERROR(__xludf.DUMMYFUNCTION("""COMPUTED_VALUE"""),431.74)</f>
        <v>431.74</v>
      </c>
      <c r="M142" s="1">
        <f ca="1">IFERROR(__xludf.DUMMYFUNCTION("""COMPUTED_VALUE"""),477.58)</f>
        <v>477.58</v>
      </c>
    </row>
    <row r="143" spans="1:13" x14ac:dyDescent="0.25">
      <c r="A143" s="2">
        <f ca="1">IFERROR(__xludf.DUMMYFUNCTION("""COMPUTED_VALUE"""),44039.6666666666)</f>
        <v>44039.666666666599</v>
      </c>
      <c r="B143" s="1">
        <f ca="1">IFERROR(__xludf.DUMMYFUNCTION("""COMPUTED_VALUE"""),94.81)</f>
        <v>94.81</v>
      </c>
      <c r="C143" s="1">
        <f ca="1">IFERROR(__xludf.DUMMYFUNCTION("""COMPUTED_VALUE"""),201.3)</f>
        <v>201.3</v>
      </c>
      <c r="D143" s="1">
        <f ca="1">IFERROR(__xludf.DUMMYFUNCTION("""COMPUTED_VALUE"""),150.45)</f>
        <v>150.44999999999999</v>
      </c>
      <c r="E143" s="1">
        <f ca="1">IFERROR(__xludf.DUMMYFUNCTION("""COMPUTED_VALUE"""),10.19)</f>
        <v>10.19</v>
      </c>
      <c r="F143" s="1">
        <f ca="1">IFERROR(__xludf.DUMMYFUNCTION("""COMPUTED_VALUE"""),230.71)</f>
        <v>230.71</v>
      </c>
      <c r="G143" s="1">
        <f ca="1">IFERROR(__xludf.DUMMYFUNCTION("""COMPUTED_VALUE"""),75.59)</f>
        <v>75.59</v>
      </c>
      <c r="H143" s="1">
        <f ca="1">IFERROR(__xludf.DUMMYFUNCTION("""COMPUTED_VALUE"""),94.47)</f>
        <v>94.47</v>
      </c>
      <c r="I143" s="1">
        <f ca="1">IFERROR(__xludf.DUMMYFUNCTION("""COMPUTED_VALUE"""),136.06)</f>
        <v>136.06</v>
      </c>
      <c r="J143" s="1">
        <f ca="1">IFERROR(__xludf.DUMMYFUNCTION("""COMPUTED_VALUE"""),325.78)</f>
        <v>325.77999999999997</v>
      </c>
      <c r="K143" s="1">
        <f ca="1">IFERROR(__xludf.DUMMYFUNCTION("""COMPUTED_VALUE"""),30.58)</f>
        <v>30.58</v>
      </c>
      <c r="L143" s="1">
        <f ca="1">IFERROR(__xludf.DUMMYFUNCTION("""COMPUTED_VALUE"""),430.31)</f>
        <v>430.31</v>
      </c>
      <c r="M143" s="1">
        <f ca="1">IFERROR(__xludf.DUMMYFUNCTION("""COMPUTED_VALUE"""),480.45)</f>
        <v>480.45</v>
      </c>
    </row>
    <row r="144" spans="1:13" x14ac:dyDescent="0.25">
      <c r="A144" s="2">
        <f ca="1">IFERROR(__xludf.DUMMYFUNCTION("""COMPUTED_VALUE"""),44040.6666666666)</f>
        <v>44040.666666666599</v>
      </c>
      <c r="B144" s="1">
        <f ca="1">IFERROR(__xludf.DUMMYFUNCTION("""COMPUTED_VALUE"""),93.25)</f>
        <v>93.25</v>
      </c>
      <c r="C144" s="1">
        <f ca="1">IFERROR(__xludf.DUMMYFUNCTION("""COMPUTED_VALUE"""),203.85)</f>
        <v>203.85</v>
      </c>
      <c r="D144" s="1">
        <f ca="1">IFERROR(__xludf.DUMMYFUNCTION("""COMPUTED_VALUE"""),152.76)</f>
        <v>152.76</v>
      </c>
      <c r="E144" s="1">
        <f ca="1">IFERROR(__xludf.DUMMYFUNCTION("""COMPUTED_VALUE"""),10.42)</f>
        <v>10.42</v>
      </c>
      <c r="F144" s="1">
        <f ca="1">IFERROR(__xludf.DUMMYFUNCTION("""COMPUTED_VALUE"""),233.5)</f>
        <v>233.5</v>
      </c>
      <c r="G144" s="1">
        <f ca="1">IFERROR(__xludf.DUMMYFUNCTION("""COMPUTED_VALUE"""),76.51)</f>
        <v>76.510000000000005</v>
      </c>
      <c r="H144" s="1">
        <f ca="1">IFERROR(__xludf.DUMMYFUNCTION("""COMPUTED_VALUE"""),102.64)</f>
        <v>102.64</v>
      </c>
      <c r="I144" s="1">
        <f ca="1">IFERROR(__xludf.DUMMYFUNCTION("""COMPUTED_VALUE"""),137.67)</f>
        <v>137.66999999999999</v>
      </c>
      <c r="J144" s="1">
        <f ca="1">IFERROR(__xludf.DUMMYFUNCTION("""COMPUTED_VALUE"""),327.6)</f>
        <v>327.60000000000002</v>
      </c>
      <c r="K144" s="1">
        <f ca="1">IFERROR(__xludf.DUMMYFUNCTION("""COMPUTED_VALUE"""),31.27)</f>
        <v>31.27</v>
      </c>
      <c r="L144" s="1">
        <f ca="1">IFERROR(__xludf.DUMMYFUNCTION("""COMPUTED_VALUE"""),437.1)</f>
        <v>437.1</v>
      </c>
      <c r="M144" s="1">
        <f ca="1">IFERROR(__xludf.DUMMYFUNCTION("""COMPUTED_VALUE"""),495.65)</f>
        <v>495.65</v>
      </c>
    </row>
    <row r="145" spans="1:13" x14ac:dyDescent="0.25">
      <c r="A145" s="2">
        <f ca="1">IFERROR(__xludf.DUMMYFUNCTION("""COMPUTED_VALUE"""),44041.6666666666)</f>
        <v>44041.666666666599</v>
      </c>
      <c r="B145" s="1">
        <f ca="1">IFERROR(__xludf.DUMMYFUNCTION("""COMPUTED_VALUE"""),95.04)</f>
        <v>95.04</v>
      </c>
      <c r="C145" s="1">
        <f ca="1">IFERROR(__xludf.DUMMYFUNCTION("""COMPUTED_VALUE"""),202.02)</f>
        <v>202.02</v>
      </c>
      <c r="D145" s="1">
        <f ca="1">IFERROR(__xludf.DUMMYFUNCTION("""COMPUTED_VALUE"""),150.02)</f>
        <v>150.02000000000001</v>
      </c>
      <c r="E145" s="1">
        <f ca="1">IFERROR(__xludf.DUMMYFUNCTION("""COMPUTED_VALUE"""),10.22)</f>
        <v>10.220000000000001</v>
      </c>
      <c r="F145" s="1">
        <f ca="1">IFERROR(__xludf.DUMMYFUNCTION("""COMPUTED_VALUE"""),230.12)</f>
        <v>230.12</v>
      </c>
      <c r="G145" s="1">
        <f ca="1">IFERROR(__xludf.DUMMYFUNCTION("""COMPUTED_VALUE"""),75.02)</f>
        <v>75.02</v>
      </c>
      <c r="H145" s="1">
        <f ca="1">IFERROR(__xludf.DUMMYFUNCTION("""COMPUTED_VALUE"""),98.43)</f>
        <v>98.43</v>
      </c>
      <c r="I145" s="1">
        <f ca="1">IFERROR(__xludf.DUMMYFUNCTION("""COMPUTED_VALUE"""),137.38)</f>
        <v>137.38</v>
      </c>
      <c r="J145" s="1">
        <f ca="1">IFERROR(__xludf.DUMMYFUNCTION("""COMPUTED_VALUE"""),327.57)</f>
        <v>327.57</v>
      </c>
      <c r="K145" s="1">
        <f ca="1">IFERROR(__xludf.DUMMYFUNCTION("""COMPUTED_VALUE"""),30.74)</f>
        <v>30.74</v>
      </c>
      <c r="L145" s="1">
        <f ca="1">IFERROR(__xludf.DUMMYFUNCTION("""COMPUTED_VALUE"""),432.26)</f>
        <v>432.26</v>
      </c>
      <c r="M145" s="1">
        <f ca="1">IFERROR(__xludf.DUMMYFUNCTION("""COMPUTED_VALUE"""),488.51)</f>
        <v>488.51</v>
      </c>
    </row>
    <row r="146" spans="1:13" x14ac:dyDescent="0.25">
      <c r="A146" s="2">
        <f ca="1">IFERROR(__xludf.DUMMYFUNCTION("""COMPUTED_VALUE"""),44042.6666666666)</f>
        <v>44042.666666666599</v>
      </c>
      <c r="B146" s="1">
        <f ca="1">IFERROR(__xludf.DUMMYFUNCTION("""COMPUTED_VALUE"""),96.19)</f>
        <v>96.19</v>
      </c>
      <c r="C146" s="1">
        <f ca="1">IFERROR(__xludf.DUMMYFUNCTION("""COMPUTED_VALUE"""),204.06)</f>
        <v>204.06</v>
      </c>
      <c r="D146" s="1">
        <f ca="1">IFERROR(__xludf.DUMMYFUNCTION("""COMPUTED_VALUE"""),151.68)</f>
        <v>151.68</v>
      </c>
      <c r="E146" s="1">
        <f ca="1">IFERROR(__xludf.DUMMYFUNCTION("""COMPUTED_VALUE"""),10.47)</f>
        <v>10.47</v>
      </c>
      <c r="F146" s="1">
        <f ca="1">IFERROR(__xludf.DUMMYFUNCTION("""COMPUTED_VALUE"""),233.29)</f>
        <v>233.29</v>
      </c>
      <c r="G146" s="1">
        <f ca="1">IFERROR(__xludf.DUMMYFUNCTION("""COMPUTED_VALUE"""),76.1)</f>
        <v>76.099999999999994</v>
      </c>
      <c r="H146" s="1">
        <f ca="1">IFERROR(__xludf.DUMMYFUNCTION("""COMPUTED_VALUE"""),99.94)</f>
        <v>99.94</v>
      </c>
      <c r="I146" s="1">
        <f ca="1">IFERROR(__xludf.DUMMYFUNCTION("""COMPUTED_VALUE"""),137.93)</f>
        <v>137.93</v>
      </c>
      <c r="J146" s="1">
        <f ca="1">IFERROR(__xludf.DUMMYFUNCTION("""COMPUTED_VALUE"""),326.14)</f>
        <v>326.14</v>
      </c>
      <c r="K146" s="1">
        <f ca="1">IFERROR(__xludf.DUMMYFUNCTION("""COMPUTED_VALUE"""),30.89)</f>
        <v>30.89</v>
      </c>
      <c r="L146" s="1">
        <f ca="1">IFERROR(__xludf.DUMMYFUNCTION("""COMPUTED_VALUE"""),436.3)</f>
        <v>436.3</v>
      </c>
      <c r="M146" s="1">
        <f ca="1">IFERROR(__xludf.DUMMYFUNCTION("""COMPUTED_VALUE"""),484.48)</f>
        <v>484.48</v>
      </c>
    </row>
    <row r="147" spans="1:13" x14ac:dyDescent="0.25">
      <c r="A147" s="2">
        <f ca="1">IFERROR(__xludf.DUMMYFUNCTION("""COMPUTED_VALUE"""),44043.6666666666)</f>
        <v>44043.666666666599</v>
      </c>
      <c r="B147" s="1">
        <f ca="1">IFERROR(__xludf.DUMMYFUNCTION("""COMPUTED_VALUE"""),106.26)</f>
        <v>106.26</v>
      </c>
      <c r="C147" s="1">
        <f ca="1">IFERROR(__xludf.DUMMYFUNCTION("""COMPUTED_VALUE"""),203.9)</f>
        <v>203.9</v>
      </c>
      <c r="D147" s="1">
        <f ca="1">IFERROR(__xludf.DUMMYFUNCTION("""COMPUTED_VALUE"""),152.59)</f>
        <v>152.59</v>
      </c>
      <c r="E147" s="1">
        <f ca="1">IFERROR(__xludf.DUMMYFUNCTION("""COMPUTED_VALUE"""),10.61)</f>
        <v>10.61</v>
      </c>
      <c r="F147" s="1">
        <f ca="1">IFERROR(__xludf.DUMMYFUNCTION("""COMPUTED_VALUE"""),234.5)</f>
        <v>234.5</v>
      </c>
      <c r="G147" s="1">
        <f ca="1">IFERROR(__xludf.DUMMYFUNCTION("""COMPUTED_VALUE"""),76.57)</f>
        <v>76.569999999999993</v>
      </c>
      <c r="H147" s="1">
        <f ca="1">IFERROR(__xludf.DUMMYFUNCTION("""COMPUTED_VALUE"""),99.17)</f>
        <v>99.17</v>
      </c>
      <c r="I147" s="1">
        <f ca="1">IFERROR(__xludf.DUMMYFUNCTION("""COMPUTED_VALUE"""),137.69)</f>
        <v>137.69</v>
      </c>
      <c r="J147" s="1">
        <f ca="1">IFERROR(__xludf.DUMMYFUNCTION("""COMPUTED_VALUE"""),324.82)</f>
        <v>324.82</v>
      </c>
      <c r="K147" s="1">
        <f ca="1">IFERROR(__xludf.DUMMYFUNCTION("""COMPUTED_VALUE"""),31.21)</f>
        <v>31.21</v>
      </c>
      <c r="L147" s="1">
        <f ca="1">IFERROR(__xludf.DUMMYFUNCTION("""COMPUTED_VALUE"""),438.88)</f>
        <v>438.88</v>
      </c>
      <c r="M147" s="1">
        <f ca="1">IFERROR(__xludf.DUMMYFUNCTION("""COMPUTED_VALUE"""),485.8)</f>
        <v>485.8</v>
      </c>
    </row>
    <row r="148" spans="1:13" x14ac:dyDescent="0.25">
      <c r="A148" s="2">
        <f ca="1">IFERROR(__xludf.DUMMYFUNCTION("""COMPUTED_VALUE"""),44046.6666666666)</f>
        <v>44046.666666666599</v>
      </c>
      <c r="B148" s="1">
        <f ca="1">IFERROR(__xludf.DUMMYFUNCTION("""COMPUTED_VALUE"""),108.94)</f>
        <v>108.94</v>
      </c>
      <c r="C148" s="1">
        <f ca="1">IFERROR(__xludf.DUMMYFUNCTION("""COMPUTED_VALUE"""),205.01)</f>
        <v>205.01</v>
      </c>
      <c r="D148" s="1">
        <f ca="1">IFERROR(__xludf.DUMMYFUNCTION("""COMPUTED_VALUE"""),158.23)</f>
        <v>158.22999999999999</v>
      </c>
      <c r="E148" s="1">
        <f ca="1">IFERROR(__xludf.DUMMYFUNCTION("""COMPUTED_VALUE"""),10.61)</f>
        <v>10.61</v>
      </c>
      <c r="F148" s="1">
        <f ca="1">IFERROR(__xludf.DUMMYFUNCTION("""COMPUTED_VALUE"""),253.67)</f>
        <v>253.67</v>
      </c>
      <c r="G148" s="1">
        <f ca="1">IFERROR(__xludf.DUMMYFUNCTION("""COMPUTED_VALUE"""),74.15)</f>
        <v>74.150000000000006</v>
      </c>
      <c r="H148" s="1">
        <f ca="1">IFERROR(__xludf.DUMMYFUNCTION("""COMPUTED_VALUE"""),95.38)</f>
        <v>95.38</v>
      </c>
      <c r="I148" s="1">
        <f ca="1">IFERROR(__xludf.DUMMYFUNCTION("""COMPUTED_VALUE"""),137.66)</f>
        <v>137.66</v>
      </c>
      <c r="J148" s="1">
        <f ca="1">IFERROR(__xludf.DUMMYFUNCTION("""COMPUTED_VALUE"""),325.53)</f>
        <v>325.52999999999997</v>
      </c>
      <c r="K148" s="1">
        <f ca="1">IFERROR(__xludf.DUMMYFUNCTION("""COMPUTED_VALUE"""),31.68)</f>
        <v>31.68</v>
      </c>
      <c r="L148" s="1">
        <f ca="1">IFERROR(__xludf.DUMMYFUNCTION("""COMPUTED_VALUE"""),444.32)</f>
        <v>444.32</v>
      </c>
      <c r="M148" s="1">
        <f ca="1">IFERROR(__xludf.DUMMYFUNCTION("""COMPUTED_VALUE"""),488.88)</f>
        <v>488.88</v>
      </c>
    </row>
    <row r="149" spans="1:13" x14ac:dyDescent="0.25">
      <c r="A149" s="2">
        <f ca="1">IFERROR(__xludf.DUMMYFUNCTION("""COMPUTED_VALUE"""),44047.6666666666)</f>
        <v>44047.666666666599</v>
      </c>
      <c r="B149" s="1">
        <f ca="1">IFERROR(__xludf.DUMMYFUNCTION("""COMPUTED_VALUE"""),109.67)</f>
        <v>109.67</v>
      </c>
      <c r="C149" s="1">
        <f ca="1">IFERROR(__xludf.DUMMYFUNCTION("""COMPUTED_VALUE"""),216.54)</f>
        <v>216.54</v>
      </c>
      <c r="D149" s="1">
        <f ca="1">IFERROR(__xludf.DUMMYFUNCTION("""COMPUTED_VALUE"""),155.59)</f>
        <v>155.59</v>
      </c>
      <c r="E149" s="1">
        <f ca="1">IFERROR(__xludf.DUMMYFUNCTION("""COMPUTED_VALUE"""),11.01)</f>
        <v>11.01</v>
      </c>
      <c r="F149" s="1">
        <f ca="1">IFERROR(__xludf.DUMMYFUNCTION("""COMPUTED_VALUE"""),251.96)</f>
        <v>251.96</v>
      </c>
      <c r="G149" s="1">
        <f ca="1">IFERROR(__xludf.DUMMYFUNCTION("""COMPUTED_VALUE"""),73.72)</f>
        <v>73.72</v>
      </c>
      <c r="H149" s="1">
        <f ca="1">IFERROR(__xludf.DUMMYFUNCTION("""COMPUTED_VALUE"""),99)</f>
        <v>99</v>
      </c>
      <c r="I149" s="1">
        <f ca="1">IFERROR(__xludf.DUMMYFUNCTION("""COMPUTED_VALUE"""),136.7)</f>
        <v>136.69999999999999</v>
      </c>
      <c r="J149" s="1">
        <f ca="1">IFERROR(__xludf.DUMMYFUNCTION("""COMPUTED_VALUE"""),329.32)</f>
        <v>329.32</v>
      </c>
      <c r="K149" s="1">
        <f ca="1">IFERROR(__xludf.DUMMYFUNCTION("""COMPUTED_VALUE"""),32.12)</f>
        <v>32.119999999999997</v>
      </c>
      <c r="L149" s="1">
        <f ca="1">IFERROR(__xludf.DUMMYFUNCTION("""COMPUTED_VALUE"""),447.97)</f>
        <v>447.97</v>
      </c>
      <c r="M149" s="1">
        <f ca="1">IFERROR(__xludf.DUMMYFUNCTION("""COMPUTED_VALUE"""),498.62)</f>
        <v>498.62</v>
      </c>
    </row>
    <row r="150" spans="1:13" x14ac:dyDescent="0.25">
      <c r="A150" s="2">
        <f ca="1">IFERROR(__xludf.DUMMYFUNCTION("""COMPUTED_VALUE"""),44048.6666666666)</f>
        <v>44048.666666666599</v>
      </c>
      <c r="B150" s="1">
        <f ca="1">IFERROR(__xludf.DUMMYFUNCTION("""COMPUTED_VALUE"""),110.06)</f>
        <v>110.06</v>
      </c>
      <c r="C150" s="1">
        <f ca="1">IFERROR(__xludf.DUMMYFUNCTION("""COMPUTED_VALUE"""),213.29)</f>
        <v>213.29</v>
      </c>
      <c r="D150" s="1">
        <f ca="1">IFERROR(__xludf.DUMMYFUNCTION("""COMPUTED_VALUE"""),156.94)</f>
        <v>156.94</v>
      </c>
      <c r="E150" s="1">
        <f ca="1">IFERROR(__xludf.DUMMYFUNCTION("""COMPUTED_VALUE"""),11.23)</f>
        <v>11.23</v>
      </c>
      <c r="F150" s="1">
        <f ca="1">IFERROR(__xludf.DUMMYFUNCTION("""COMPUTED_VALUE"""),249.83)</f>
        <v>249.83</v>
      </c>
      <c r="G150" s="1">
        <f ca="1">IFERROR(__xludf.DUMMYFUNCTION("""COMPUTED_VALUE"""),73.25)</f>
        <v>73.25</v>
      </c>
      <c r="H150" s="1">
        <f ca="1">IFERROR(__xludf.DUMMYFUNCTION("""COMPUTED_VALUE"""),99.13)</f>
        <v>99.13</v>
      </c>
      <c r="I150" s="1">
        <f ca="1">IFERROR(__xludf.DUMMYFUNCTION("""COMPUTED_VALUE"""),137.47)</f>
        <v>137.47</v>
      </c>
      <c r="J150" s="1">
        <f ca="1">IFERROR(__xludf.DUMMYFUNCTION("""COMPUTED_VALUE"""),339.79)</f>
        <v>339.79</v>
      </c>
      <c r="K150" s="1">
        <f ca="1">IFERROR(__xludf.DUMMYFUNCTION("""COMPUTED_VALUE"""),32.84)</f>
        <v>32.840000000000003</v>
      </c>
      <c r="L150" s="1">
        <f ca="1">IFERROR(__xludf.DUMMYFUNCTION("""COMPUTED_VALUE"""),446.92)</f>
        <v>446.92</v>
      </c>
      <c r="M150" s="1">
        <f ca="1">IFERROR(__xludf.DUMMYFUNCTION("""COMPUTED_VALUE"""),509.64)</f>
        <v>509.64</v>
      </c>
    </row>
    <row r="151" spans="1:13" x14ac:dyDescent="0.25">
      <c r="A151" s="2">
        <f ca="1">IFERROR(__xludf.DUMMYFUNCTION("""COMPUTED_VALUE"""),44049.6666666666)</f>
        <v>44049.666666666599</v>
      </c>
      <c r="B151" s="1">
        <f ca="1">IFERROR(__xludf.DUMMYFUNCTION("""COMPUTED_VALUE"""),113.9)</f>
        <v>113.9</v>
      </c>
      <c r="C151" s="1">
        <f ca="1">IFERROR(__xludf.DUMMYFUNCTION("""COMPUTED_VALUE"""),212.94)</f>
        <v>212.94</v>
      </c>
      <c r="D151" s="1">
        <f ca="1">IFERROR(__xludf.DUMMYFUNCTION("""COMPUTED_VALUE"""),160.25)</f>
        <v>160.25</v>
      </c>
      <c r="E151" s="1">
        <f ca="1">IFERROR(__xludf.DUMMYFUNCTION("""COMPUTED_VALUE"""),11.29)</f>
        <v>11.29</v>
      </c>
      <c r="F151" s="1">
        <f ca="1">IFERROR(__xludf.DUMMYFUNCTION("""COMPUTED_VALUE"""),249.12)</f>
        <v>249.12</v>
      </c>
      <c r="G151" s="1">
        <f ca="1">IFERROR(__xludf.DUMMYFUNCTION("""COMPUTED_VALUE"""),73.68)</f>
        <v>73.680000000000007</v>
      </c>
      <c r="H151" s="1">
        <f ca="1">IFERROR(__xludf.DUMMYFUNCTION("""COMPUTED_VALUE"""),99)</f>
        <v>99</v>
      </c>
      <c r="I151" s="1">
        <f ca="1">IFERROR(__xludf.DUMMYFUNCTION("""COMPUTED_VALUE"""),136.25)</f>
        <v>136.25</v>
      </c>
      <c r="J151" s="1">
        <f ca="1">IFERROR(__xludf.DUMMYFUNCTION("""COMPUTED_VALUE"""),339.97)</f>
        <v>339.97</v>
      </c>
      <c r="K151" s="1">
        <f ca="1">IFERROR(__xludf.DUMMYFUNCTION("""COMPUTED_VALUE"""),32.95)</f>
        <v>32.950000000000003</v>
      </c>
      <c r="L151" s="1">
        <f ca="1">IFERROR(__xludf.DUMMYFUNCTION("""COMPUTED_VALUE"""),449.51)</f>
        <v>449.51</v>
      </c>
      <c r="M151" s="1">
        <f ca="1">IFERROR(__xludf.DUMMYFUNCTION("""COMPUTED_VALUE"""),502.11)</f>
        <v>502.11</v>
      </c>
    </row>
    <row r="152" spans="1:13" x14ac:dyDescent="0.25">
      <c r="A152" s="2">
        <f ca="1">IFERROR(__xludf.DUMMYFUNCTION("""COMPUTED_VALUE"""),44050.6666666666)</f>
        <v>44050.666666666599</v>
      </c>
      <c r="B152" s="1">
        <f ca="1">IFERROR(__xludf.DUMMYFUNCTION("""COMPUTED_VALUE"""),111.11)</f>
        <v>111.11</v>
      </c>
      <c r="C152" s="1">
        <f ca="1">IFERROR(__xludf.DUMMYFUNCTION("""COMPUTED_VALUE"""),216.35)</f>
        <v>216.35</v>
      </c>
      <c r="D152" s="1">
        <f ca="1">IFERROR(__xludf.DUMMYFUNCTION("""COMPUTED_VALUE"""),161.25)</f>
        <v>161.25</v>
      </c>
      <c r="E152" s="1">
        <f ca="1">IFERROR(__xludf.DUMMYFUNCTION("""COMPUTED_VALUE"""),11.34)</f>
        <v>11.34</v>
      </c>
      <c r="F152" s="1">
        <f ca="1">IFERROR(__xludf.DUMMYFUNCTION("""COMPUTED_VALUE"""),265.28)</f>
        <v>265.27999999999997</v>
      </c>
      <c r="G152" s="1">
        <f ca="1">IFERROR(__xludf.DUMMYFUNCTION("""COMPUTED_VALUE"""),75.01)</f>
        <v>75.010000000000005</v>
      </c>
      <c r="H152" s="1">
        <f ca="1">IFERROR(__xludf.DUMMYFUNCTION("""COMPUTED_VALUE"""),99.31)</f>
        <v>99.31</v>
      </c>
      <c r="I152" s="1">
        <f ca="1">IFERROR(__xludf.DUMMYFUNCTION("""COMPUTED_VALUE"""),135.86)</f>
        <v>135.86000000000001</v>
      </c>
      <c r="J152" s="1">
        <f ca="1">IFERROR(__xludf.DUMMYFUNCTION("""COMPUTED_VALUE"""),343.31)</f>
        <v>343.31</v>
      </c>
      <c r="K152" s="1">
        <f ca="1">IFERROR(__xludf.DUMMYFUNCTION("""COMPUTED_VALUE"""),32.92)</f>
        <v>32.92</v>
      </c>
      <c r="L152" s="1">
        <f ca="1">IFERROR(__xludf.DUMMYFUNCTION("""COMPUTED_VALUE"""),464.11)</f>
        <v>464.11</v>
      </c>
      <c r="M152" s="1">
        <f ca="1">IFERROR(__xludf.DUMMYFUNCTION("""COMPUTED_VALUE"""),509.08)</f>
        <v>509.08</v>
      </c>
    </row>
    <row r="153" spans="1:13" x14ac:dyDescent="0.25">
      <c r="A153" s="2">
        <f ca="1">IFERROR(__xludf.DUMMYFUNCTION("""COMPUTED_VALUE"""),44053.6666666666)</f>
        <v>44053.666666666599</v>
      </c>
      <c r="B153" s="1">
        <f ca="1">IFERROR(__xludf.DUMMYFUNCTION("""COMPUTED_VALUE"""),112.73)</f>
        <v>112.73</v>
      </c>
      <c r="C153" s="1">
        <f ca="1">IFERROR(__xludf.DUMMYFUNCTION("""COMPUTED_VALUE"""),212.48)</f>
        <v>212.48</v>
      </c>
      <c r="D153" s="1">
        <f ca="1">IFERROR(__xludf.DUMMYFUNCTION("""COMPUTED_VALUE"""),158.37)</f>
        <v>158.37</v>
      </c>
      <c r="E153" s="1">
        <f ca="1">IFERROR(__xludf.DUMMYFUNCTION("""COMPUTED_VALUE"""),11.2)</f>
        <v>11.2</v>
      </c>
      <c r="F153" s="1">
        <f ca="1">IFERROR(__xludf.DUMMYFUNCTION("""COMPUTED_VALUE"""),268.44)</f>
        <v>268.44</v>
      </c>
      <c r="G153" s="1">
        <f ca="1">IFERROR(__xludf.DUMMYFUNCTION("""COMPUTED_VALUE"""),74.72)</f>
        <v>74.72</v>
      </c>
      <c r="H153" s="1">
        <f ca="1">IFERROR(__xludf.DUMMYFUNCTION("""COMPUTED_VALUE"""),96.85)</f>
        <v>96.85</v>
      </c>
      <c r="I153" s="1">
        <f ca="1">IFERROR(__xludf.DUMMYFUNCTION("""COMPUTED_VALUE"""),136.74)</f>
        <v>136.74</v>
      </c>
      <c r="J153" s="1">
        <f ca="1">IFERROR(__xludf.DUMMYFUNCTION("""COMPUTED_VALUE"""),340.91)</f>
        <v>340.91</v>
      </c>
      <c r="K153" s="1">
        <f ca="1">IFERROR(__xludf.DUMMYFUNCTION("""COMPUTED_VALUE"""),32.59)</f>
        <v>32.590000000000003</v>
      </c>
      <c r="L153" s="1">
        <f ca="1">IFERROR(__xludf.DUMMYFUNCTION("""COMPUTED_VALUE"""),449.57)</f>
        <v>449.57</v>
      </c>
      <c r="M153" s="1">
        <f ca="1">IFERROR(__xludf.DUMMYFUNCTION("""COMPUTED_VALUE"""),494.73)</f>
        <v>494.73</v>
      </c>
    </row>
    <row r="154" spans="1:13" x14ac:dyDescent="0.25">
      <c r="A154" s="2">
        <f ca="1">IFERROR(__xludf.DUMMYFUNCTION("""COMPUTED_VALUE"""),44054.6666666666)</f>
        <v>44054.666666666599</v>
      </c>
      <c r="B154" s="1">
        <f ca="1">IFERROR(__xludf.DUMMYFUNCTION("""COMPUTED_VALUE"""),109.38)</f>
        <v>109.38</v>
      </c>
      <c r="C154" s="1">
        <f ca="1">IFERROR(__xludf.DUMMYFUNCTION("""COMPUTED_VALUE"""),208.25)</f>
        <v>208.25</v>
      </c>
      <c r="D154" s="1">
        <f ca="1">IFERROR(__xludf.DUMMYFUNCTION("""COMPUTED_VALUE"""),157.41)</f>
        <v>157.41</v>
      </c>
      <c r="E154" s="1">
        <f ca="1">IFERROR(__xludf.DUMMYFUNCTION("""COMPUTED_VALUE"""),11.17)</f>
        <v>11.17</v>
      </c>
      <c r="F154" s="1">
        <f ca="1">IFERROR(__xludf.DUMMYFUNCTION("""COMPUTED_VALUE"""),263)</f>
        <v>263</v>
      </c>
      <c r="G154" s="1">
        <f ca="1">IFERROR(__xludf.DUMMYFUNCTION("""COMPUTED_VALUE"""),74.81)</f>
        <v>74.81</v>
      </c>
      <c r="H154" s="1">
        <f ca="1">IFERROR(__xludf.DUMMYFUNCTION("""COMPUTED_VALUE"""),94.57)</f>
        <v>94.57</v>
      </c>
      <c r="I154" s="1">
        <f ca="1">IFERROR(__xludf.DUMMYFUNCTION("""COMPUTED_VALUE"""),135.98)</f>
        <v>135.97999999999999</v>
      </c>
      <c r="J154" s="1">
        <f ca="1">IFERROR(__xludf.DUMMYFUNCTION("""COMPUTED_VALUE"""),340)</f>
        <v>340</v>
      </c>
      <c r="K154" s="1">
        <f ca="1">IFERROR(__xludf.DUMMYFUNCTION("""COMPUTED_VALUE"""),32.74)</f>
        <v>32.74</v>
      </c>
      <c r="L154" s="1">
        <f ca="1">IFERROR(__xludf.DUMMYFUNCTION("""COMPUTED_VALUE"""),443.29)</f>
        <v>443.29</v>
      </c>
      <c r="M154" s="1">
        <f ca="1">IFERROR(__xludf.DUMMYFUNCTION("""COMPUTED_VALUE"""),483.38)</f>
        <v>483.38</v>
      </c>
    </row>
    <row r="155" spans="1:13" x14ac:dyDescent="0.25">
      <c r="A155" s="2">
        <f ca="1">IFERROR(__xludf.DUMMYFUNCTION("""COMPUTED_VALUE"""),44055.6666666666)</f>
        <v>44055.666666666599</v>
      </c>
      <c r="B155" s="1">
        <f ca="1">IFERROR(__xludf.DUMMYFUNCTION("""COMPUTED_VALUE"""),113.01)</f>
        <v>113.01</v>
      </c>
      <c r="C155" s="1">
        <f ca="1">IFERROR(__xludf.DUMMYFUNCTION("""COMPUTED_VALUE"""),203.38)</f>
        <v>203.38</v>
      </c>
      <c r="D155" s="1">
        <f ca="1">IFERROR(__xludf.DUMMYFUNCTION("""COMPUTED_VALUE"""),154.03)</f>
        <v>154.03</v>
      </c>
      <c r="E155" s="1">
        <f ca="1">IFERROR(__xludf.DUMMYFUNCTION("""COMPUTED_VALUE"""),10.85)</f>
        <v>10.85</v>
      </c>
      <c r="F155" s="1">
        <f ca="1">IFERROR(__xludf.DUMMYFUNCTION("""COMPUTED_VALUE"""),256.13)</f>
        <v>256.13</v>
      </c>
      <c r="G155" s="1">
        <f ca="1">IFERROR(__xludf.DUMMYFUNCTION("""COMPUTED_VALUE"""),74.02)</f>
        <v>74.02</v>
      </c>
      <c r="H155" s="1">
        <f ca="1">IFERROR(__xludf.DUMMYFUNCTION("""COMPUTED_VALUE"""),91.63)</f>
        <v>91.63</v>
      </c>
      <c r="I155" s="1">
        <f ca="1">IFERROR(__xludf.DUMMYFUNCTION("""COMPUTED_VALUE"""),135.12)</f>
        <v>135.12</v>
      </c>
      <c r="J155" s="1">
        <f ca="1">IFERROR(__xludf.DUMMYFUNCTION("""COMPUTED_VALUE"""),332.43)</f>
        <v>332.43</v>
      </c>
      <c r="K155" s="1">
        <f ca="1">IFERROR(__xludf.DUMMYFUNCTION("""COMPUTED_VALUE"""),32.4)</f>
        <v>32.4</v>
      </c>
      <c r="L155" s="1">
        <f ca="1">IFERROR(__xludf.DUMMYFUNCTION("""COMPUTED_VALUE"""),435.23)</f>
        <v>435.23</v>
      </c>
      <c r="M155" s="1">
        <f ca="1">IFERROR(__xludf.DUMMYFUNCTION("""COMPUTED_VALUE"""),466.93)</f>
        <v>466.93</v>
      </c>
    </row>
    <row r="156" spans="1:13" x14ac:dyDescent="0.25">
      <c r="A156" s="2">
        <f ca="1">IFERROR(__xludf.DUMMYFUNCTION("""COMPUTED_VALUE"""),44056.6666666666)</f>
        <v>44056.666666666599</v>
      </c>
      <c r="B156" s="1">
        <f ca="1">IFERROR(__xludf.DUMMYFUNCTION("""COMPUTED_VALUE"""),115.01)</f>
        <v>115.01</v>
      </c>
      <c r="C156" s="1">
        <f ca="1">IFERROR(__xludf.DUMMYFUNCTION("""COMPUTED_VALUE"""),209.19)</f>
        <v>209.19</v>
      </c>
      <c r="D156" s="1">
        <f ca="1">IFERROR(__xludf.DUMMYFUNCTION("""COMPUTED_VALUE"""),158.11)</f>
        <v>158.11000000000001</v>
      </c>
      <c r="E156" s="1">
        <f ca="1">IFERROR(__xludf.DUMMYFUNCTION("""COMPUTED_VALUE"""),11.44)</f>
        <v>11.44</v>
      </c>
      <c r="F156" s="1">
        <f ca="1">IFERROR(__xludf.DUMMYFUNCTION("""COMPUTED_VALUE"""),259.89)</f>
        <v>259.89</v>
      </c>
      <c r="G156" s="1">
        <f ca="1">IFERROR(__xludf.DUMMYFUNCTION("""COMPUTED_VALUE"""),75.33)</f>
        <v>75.33</v>
      </c>
      <c r="H156" s="1">
        <f ca="1">IFERROR(__xludf.DUMMYFUNCTION("""COMPUTED_VALUE"""),103.65)</f>
        <v>103.65</v>
      </c>
      <c r="I156" s="1">
        <f ca="1">IFERROR(__xludf.DUMMYFUNCTION("""COMPUTED_VALUE"""),137.8)</f>
        <v>137.80000000000001</v>
      </c>
      <c r="J156" s="1">
        <f ca="1">IFERROR(__xludf.DUMMYFUNCTION("""COMPUTED_VALUE"""),336.76)</f>
        <v>336.76</v>
      </c>
      <c r="K156" s="1">
        <f ca="1">IFERROR(__xludf.DUMMYFUNCTION("""COMPUTED_VALUE"""),33.36)</f>
        <v>33.36</v>
      </c>
      <c r="L156" s="1">
        <f ca="1">IFERROR(__xludf.DUMMYFUNCTION("""COMPUTED_VALUE"""),445.36)</f>
        <v>445.36</v>
      </c>
      <c r="M156" s="1">
        <f ca="1">IFERROR(__xludf.DUMMYFUNCTION("""COMPUTED_VALUE"""),475.47)</f>
        <v>475.47</v>
      </c>
    </row>
    <row r="157" spans="1:13" x14ac:dyDescent="0.25">
      <c r="A157" s="2">
        <f ca="1">IFERROR(__xludf.DUMMYFUNCTION("""COMPUTED_VALUE"""),44057.6666666666)</f>
        <v>44057.666666666599</v>
      </c>
      <c r="B157" s="1">
        <f ca="1">IFERROR(__xludf.DUMMYFUNCTION("""COMPUTED_VALUE"""),114.91)</f>
        <v>114.91</v>
      </c>
      <c r="C157" s="1">
        <f ca="1">IFERROR(__xludf.DUMMYFUNCTION("""COMPUTED_VALUE"""),208.7)</f>
        <v>208.7</v>
      </c>
      <c r="D157" s="1">
        <f ca="1">IFERROR(__xludf.DUMMYFUNCTION("""COMPUTED_VALUE"""),158.05)</f>
        <v>158.05000000000001</v>
      </c>
      <c r="E157" s="1">
        <f ca="1">IFERROR(__xludf.DUMMYFUNCTION("""COMPUTED_VALUE"""),11.44)</f>
        <v>11.44</v>
      </c>
      <c r="F157" s="1">
        <f ca="1">IFERROR(__xludf.DUMMYFUNCTION("""COMPUTED_VALUE"""),261.3)</f>
        <v>261.3</v>
      </c>
      <c r="G157" s="1">
        <f ca="1">IFERROR(__xludf.DUMMYFUNCTION("""COMPUTED_VALUE"""),75.92)</f>
        <v>75.92</v>
      </c>
      <c r="H157" s="1">
        <f ca="1">IFERROR(__xludf.DUMMYFUNCTION("""COMPUTED_VALUE"""),108.07)</f>
        <v>108.07</v>
      </c>
      <c r="I157" s="1">
        <f ca="1">IFERROR(__xludf.DUMMYFUNCTION("""COMPUTED_VALUE"""),138.1)</f>
        <v>138.1</v>
      </c>
      <c r="J157" s="1">
        <f ca="1">IFERROR(__xludf.DUMMYFUNCTION("""COMPUTED_VALUE"""),335.7)</f>
        <v>335.7</v>
      </c>
      <c r="K157" s="1">
        <f ca="1">IFERROR(__xludf.DUMMYFUNCTION("""COMPUTED_VALUE"""),32.94)</f>
        <v>32.94</v>
      </c>
      <c r="L157" s="1">
        <f ca="1">IFERROR(__xludf.DUMMYFUNCTION("""COMPUTED_VALUE"""),450.02)</f>
        <v>450.02</v>
      </c>
      <c r="M157" s="1">
        <f ca="1">IFERROR(__xludf.DUMMYFUNCTION("""COMPUTED_VALUE"""),481.33)</f>
        <v>481.33</v>
      </c>
    </row>
    <row r="158" spans="1:13" x14ac:dyDescent="0.25">
      <c r="A158" s="2">
        <f ca="1">IFERROR(__xludf.DUMMYFUNCTION("""COMPUTED_VALUE"""),44060.6666666666)</f>
        <v>44060.666666666599</v>
      </c>
      <c r="B158" s="1">
        <f ca="1">IFERROR(__xludf.DUMMYFUNCTION("""COMPUTED_VALUE"""),114.61)</f>
        <v>114.61</v>
      </c>
      <c r="C158" s="1">
        <f ca="1">IFERROR(__xludf.DUMMYFUNCTION("""COMPUTED_VALUE"""),208.9)</f>
        <v>208.9</v>
      </c>
      <c r="D158" s="1">
        <f ca="1">IFERROR(__xludf.DUMMYFUNCTION("""COMPUTED_VALUE"""),157.4)</f>
        <v>157.4</v>
      </c>
      <c r="E158" s="1">
        <f ca="1">IFERROR(__xludf.DUMMYFUNCTION("""COMPUTED_VALUE"""),11.56)</f>
        <v>11.56</v>
      </c>
      <c r="F158" s="1">
        <f ca="1">IFERROR(__xludf.DUMMYFUNCTION("""COMPUTED_VALUE"""),261.24)</f>
        <v>261.24</v>
      </c>
      <c r="G158" s="1">
        <f ca="1">IFERROR(__xludf.DUMMYFUNCTION("""COMPUTED_VALUE"""),75.39)</f>
        <v>75.39</v>
      </c>
      <c r="H158" s="1">
        <f ca="1">IFERROR(__xludf.DUMMYFUNCTION("""COMPUTED_VALUE"""),110.05)</f>
        <v>110.05</v>
      </c>
      <c r="I158" s="1">
        <f ca="1">IFERROR(__xludf.DUMMYFUNCTION("""COMPUTED_VALUE"""),137.56)</f>
        <v>137.56</v>
      </c>
      <c r="J158" s="1">
        <f ca="1">IFERROR(__xludf.DUMMYFUNCTION("""COMPUTED_VALUE"""),336.28)</f>
        <v>336.28</v>
      </c>
      <c r="K158" s="1">
        <f ca="1">IFERROR(__xludf.DUMMYFUNCTION("""COMPUTED_VALUE"""),32.78)</f>
        <v>32.78</v>
      </c>
      <c r="L158" s="1">
        <f ca="1">IFERROR(__xludf.DUMMYFUNCTION("""COMPUTED_VALUE"""),447.6)</f>
        <v>447.6</v>
      </c>
      <c r="M158" s="1">
        <f ca="1">IFERROR(__xludf.DUMMYFUNCTION("""COMPUTED_VALUE"""),482.68)</f>
        <v>482.68</v>
      </c>
    </row>
    <row r="159" spans="1:13" x14ac:dyDescent="0.25">
      <c r="A159" s="2">
        <f ca="1">IFERROR(__xludf.DUMMYFUNCTION("""COMPUTED_VALUE"""),44061.6666666666)</f>
        <v>44061.666666666599</v>
      </c>
      <c r="B159" s="1">
        <f ca="1">IFERROR(__xludf.DUMMYFUNCTION("""COMPUTED_VALUE"""),115.56)</f>
        <v>115.56</v>
      </c>
      <c r="C159" s="1">
        <f ca="1">IFERROR(__xludf.DUMMYFUNCTION("""COMPUTED_VALUE"""),210.28)</f>
        <v>210.28</v>
      </c>
      <c r="D159" s="1">
        <f ca="1">IFERROR(__xludf.DUMMYFUNCTION("""COMPUTED_VALUE"""),159.12)</f>
        <v>159.12</v>
      </c>
      <c r="E159" s="1">
        <f ca="1">IFERROR(__xludf.DUMMYFUNCTION("""COMPUTED_VALUE"""),12.34)</f>
        <v>12.34</v>
      </c>
      <c r="F159" s="1">
        <f ca="1">IFERROR(__xludf.DUMMYFUNCTION("""COMPUTED_VALUE"""),261.16)</f>
        <v>261.16000000000003</v>
      </c>
      <c r="G159" s="1">
        <f ca="1">IFERROR(__xludf.DUMMYFUNCTION("""COMPUTED_VALUE"""),75.9)</f>
        <v>75.900000000000006</v>
      </c>
      <c r="H159" s="1">
        <f ca="1">IFERROR(__xludf.DUMMYFUNCTION("""COMPUTED_VALUE"""),122.38)</f>
        <v>122.38</v>
      </c>
      <c r="I159" s="1">
        <f ca="1">IFERROR(__xludf.DUMMYFUNCTION("""COMPUTED_VALUE"""),137.92)</f>
        <v>137.91999999999999</v>
      </c>
      <c r="J159" s="1">
        <f ca="1">IFERROR(__xludf.DUMMYFUNCTION("""COMPUTED_VALUE"""),339.96)</f>
        <v>339.96</v>
      </c>
      <c r="K159" s="1">
        <f ca="1">IFERROR(__xludf.DUMMYFUNCTION("""COMPUTED_VALUE"""),33.03)</f>
        <v>33.03</v>
      </c>
      <c r="L159" s="1">
        <f ca="1">IFERROR(__xludf.DUMMYFUNCTION("""COMPUTED_VALUE"""),451.58)</f>
        <v>451.58</v>
      </c>
      <c r="M159" s="1">
        <f ca="1">IFERROR(__xludf.DUMMYFUNCTION("""COMPUTED_VALUE"""),482.35)</f>
        <v>482.35</v>
      </c>
    </row>
    <row r="160" spans="1:13" x14ac:dyDescent="0.25">
      <c r="A160" s="2">
        <f ca="1">IFERROR(__xludf.DUMMYFUNCTION("""COMPUTED_VALUE"""),44062.6666666666)</f>
        <v>44062.666666666599</v>
      </c>
      <c r="B160" s="1">
        <f ca="1">IFERROR(__xludf.DUMMYFUNCTION("""COMPUTED_VALUE"""),115.71)</f>
        <v>115.71</v>
      </c>
      <c r="C160" s="1">
        <f ca="1">IFERROR(__xludf.DUMMYFUNCTION("""COMPUTED_VALUE"""),211.49)</f>
        <v>211.49</v>
      </c>
      <c r="D160" s="1">
        <f ca="1">IFERROR(__xludf.DUMMYFUNCTION("""COMPUTED_VALUE"""),165.62)</f>
        <v>165.62</v>
      </c>
      <c r="E160" s="1">
        <f ca="1">IFERROR(__xludf.DUMMYFUNCTION("""COMPUTED_VALUE"""),12.26)</f>
        <v>12.26</v>
      </c>
      <c r="F160" s="1">
        <f ca="1">IFERROR(__xludf.DUMMYFUNCTION("""COMPUTED_VALUE"""),262.34)</f>
        <v>262.33999999999997</v>
      </c>
      <c r="G160" s="1">
        <f ca="1">IFERROR(__xludf.DUMMYFUNCTION("""COMPUTED_VALUE"""),77.93)</f>
        <v>77.930000000000007</v>
      </c>
      <c r="H160" s="1">
        <f ca="1">IFERROR(__xludf.DUMMYFUNCTION("""COMPUTED_VALUE"""),125.81)</f>
        <v>125.81</v>
      </c>
      <c r="I160" s="1">
        <f ca="1">IFERROR(__xludf.DUMMYFUNCTION("""COMPUTED_VALUE"""),138.11)</f>
        <v>138.11000000000001</v>
      </c>
      <c r="J160" s="1">
        <f ca="1">IFERROR(__xludf.DUMMYFUNCTION("""COMPUTED_VALUE"""),340.75)</f>
        <v>340.75</v>
      </c>
      <c r="K160" s="1">
        <f ca="1">IFERROR(__xludf.DUMMYFUNCTION("""COMPUTED_VALUE"""),32.86)</f>
        <v>32.86</v>
      </c>
      <c r="L160" s="1">
        <f ca="1">IFERROR(__xludf.DUMMYFUNCTION("""COMPUTED_VALUE"""),463.51)</f>
        <v>463.51</v>
      </c>
      <c r="M160" s="1">
        <f ca="1">IFERROR(__xludf.DUMMYFUNCTION("""COMPUTED_VALUE"""),491.87)</f>
        <v>491.87</v>
      </c>
    </row>
    <row r="161" spans="1:13" x14ac:dyDescent="0.25">
      <c r="A161" s="2">
        <f ca="1">IFERROR(__xludf.DUMMYFUNCTION("""COMPUTED_VALUE"""),44063.6666666666)</f>
        <v>44063.666666666599</v>
      </c>
      <c r="B161" s="1">
        <f ca="1">IFERROR(__xludf.DUMMYFUNCTION("""COMPUTED_VALUE"""),118.28)</f>
        <v>118.28</v>
      </c>
      <c r="C161" s="1">
        <f ca="1">IFERROR(__xludf.DUMMYFUNCTION("""COMPUTED_VALUE"""),209.7)</f>
        <v>209.7</v>
      </c>
      <c r="D161" s="1">
        <f ca="1">IFERROR(__xludf.DUMMYFUNCTION("""COMPUTED_VALUE"""),163.02)</f>
        <v>163.02000000000001</v>
      </c>
      <c r="E161" s="1">
        <f ca="1">IFERROR(__xludf.DUMMYFUNCTION("""COMPUTED_VALUE"""),12.14)</f>
        <v>12.14</v>
      </c>
      <c r="F161" s="1">
        <f ca="1">IFERROR(__xludf.DUMMYFUNCTION("""COMPUTED_VALUE"""),262.59)</f>
        <v>262.58999999999997</v>
      </c>
      <c r="G161" s="1">
        <f ca="1">IFERROR(__xludf.DUMMYFUNCTION("""COMPUTED_VALUE"""),77.38)</f>
        <v>77.38</v>
      </c>
      <c r="H161" s="1">
        <f ca="1">IFERROR(__xludf.DUMMYFUNCTION("""COMPUTED_VALUE"""),125.24)</f>
        <v>125.24</v>
      </c>
      <c r="I161" s="1">
        <f ca="1">IFERROR(__xludf.DUMMYFUNCTION("""COMPUTED_VALUE"""),136.45)</f>
        <v>136.44999999999999</v>
      </c>
      <c r="J161" s="1">
        <f ca="1">IFERROR(__xludf.DUMMYFUNCTION("""COMPUTED_VALUE"""),340.9)</f>
        <v>340.9</v>
      </c>
      <c r="K161" s="1">
        <f ca="1">IFERROR(__xludf.DUMMYFUNCTION("""COMPUTED_VALUE"""),32.92)</f>
        <v>32.92</v>
      </c>
      <c r="L161" s="1">
        <f ca="1">IFERROR(__xludf.DUMMYFUNCTION("""COMPUTED_VALUE"""),462.01)</f>
        <v>462.01</v>
      </c>
      <c r="M161" s="1">
        <f ca="1">IFERROR(__xludf.DUMMYFUNCTION("""COMPUTED_VALUE"""),484.53)</f>
        <v>484.53</v>
      </c>
    </row>
    <row r="162" spans="1:13" x14ac:dyDescent="0.25">
      <c r="A162" s="2">
        <f ca="1">IFERROR(__xludf.DUMMYFUNCTION("""COMPUTED_VALUE"""),44064.6666666666)</f>
        <v>44064.666666666599</v>
      </c>
      <c r="B162" s="1">
        <f ca="1">IFERROR(__xludf.DUMMYFUNCTION("""COMPUTED_VALUE"""),124.37)</f>
        <v>124.37</v>
      </c>
      <c r="C162" s="1">
        <f ca="1">IFERROR(__xludf.DUMMYFUNCTION("""COMPUTED_VALUE"""),214.58)</f>
        <v>214.58</v>
      </c>
      <c r="D162" s="1">
        <f ca="1">IFERROR(__xludf.DUMMYFUNCTION("""COMPUTED_VALUE"""),164.87)</f>
        <v>164.87</v>
      </c>
      <c r="E162" s="1">
        <f ca="1">IFERROR(__xludf.DUMMYFUNCTION("""COMPUTED_VALUE"""),12.14)</f>
        <v>12.14</v>
      </c>
      <c r="F162" s="1">
        <f ca="1">IFERROR(__xludf.DUMMYFUNCTION("""COMPUTED_VALUE"""),269.01)</f>
        <v>269.01</v>
      </c>
      <c r="G162" s="1">
        <f ca="1">IFERROR(__xludf.DUMMYFUNCTION("""COMPUTED_VALUE"""),79.09)</f>
        <v>79.09</v>
      </c>
      <c r="H162" s="1">
        <f ca="1">IFERROR(__xludf.DUMMYFUNCTION("""COMPUTED_VALUE"""),133.46)</f>
        <v>133.46</v>
      </c>
      <c r="I162" s="1">
        <f ca="1">IFERROR(__xludf.DUMMYFUNCTION("""COMPUTED_VALUE"""),136.72)</f>
        <v>136.72</v>
      </c>
      <c r="J162" s="1">
        <f ca="1">IFERROR(__xludf.DUMMYFUNCTION("""COMPUTED_VALUE"""),340.87)</f>
        <v>340.87</v>
      </c>
      <c r="K162" s="1">
        <f ca="1">IFERROR(__xludf.DUMMYFUNCTION("""COMPUTED_VALUE"""),32.88)</f>
        <v>32.880000000000003</v>
      </c>
      <c r="L162" s="1">
        <f ca="1">IFERROR(__xludf.DUMMYFUNCTION("""COMPUTED_VALUE"""),478.48)</f>
        <v>478.48</v>
      </c>
      <c r="M162" s="1">
        <f ca="1">IFERROR(__xludf.DUMMYFUNCTION("""COMPUTED_VALUE"""),497.9)</f>
        <v>497.9</v>
      </c>
    </row>
    <row r="163" spans="1:13" x14ac:dyDescent="0.25">
      <c r="A163" s="2">
        <f ca="1">IFERROR(__xludf.DUMMYFUNCTION("""COMPUTED_VALUE"""),44067.6666666666)</f>
        <v>44067.666666666599</v>
      </c>
      <c r="B163" s="1">
        <f ca="1">IFERROR(__xludf.DUMMYFUNCTION("""COMPUTED_VALUE"""),125.86)</f>
        <v>125.86</v>
      </c>
      <c r="C163" s="1">
        <f ca="1">IFERROR(__xludf.DUMMYFUNCTION("""COMPUTED_VALUE"""),213.02)</f>
        <v>213.02</v>
      </c>
      <c r="D163" s="1">
        <f ca="1">IFERROR(__xludf.DUMMYFUNCTION("""COMPUTED_VALUE"""),164.24)</f>
        <v>164.24</v>
      </c>
      <c r="E163" s="1">
        <f ca="1">IFERROR(__xludf.DUMMYFUNCTION("""COMPUTED_VALUE"""),12.68)</f>
        <v>12.68</v>
      </c>
      <c r="F163" s="1">
        <f ca="1">IFERROR(__xludf.DUMMYFUNCTION("""COMPUTED_VALUE"""),267.01)</f>
        <v>267.01</v>
      </c>
      <c r="G163" s="1">
        <f ca="1">IFERROR(__xludf.DUMMYFUNCTION("""COMPUTED_VALUE"""),79.02)</f>
        <v>79.02</v>
      </c>
      <c r="H163" s="1">
        <f ca="1">IFERROR(__xludf.DUMMYFUNCTION("""COMPUTED_VALUE"""),136.67)</f>
        <v>136.66999999999999</v>
      </c>
      <c r="I163" s="1">
        <f ca="1">IFERROR(__xludf.DUMMYFUNCTION("""COMPUTED_VALUE"""),136.46)</f>
        <v>136.46</v>
      </c>
      <c r="J163" s="1">
        <f ca="1">IFERROR(__xludf.DUMMYFUNCTION("""COMPUTED_VALUE"""),344.61)</f>
        <v>344.61</v>
      </c>
      <c r="K163" s="1">
        <f ca="1">IFERROR(__xludf.DUMMYFUNCTION("""COMPUTED_VALUE"""),33)</f>
        <v>33</v>
      </c>
      <c r="L163" s="1">
        <f ca="1">IFERROR(__xludf.DUMMYFUNCTION("""COMPUTED_VALUE"""),473.22)</f>
        <v>473.22</v>
      </c>
      <c r="M163" s="1">
        <f ca="1">IFERROR(__xludf.DUMMYFUNCTION("""COMPUTED_VALUE"""),492.31)</f>
        <v>492.31</v>
      </c>
    </row>
    <row r="164" spans="1:13" x14ac:dyDescent="0.25">
      <c r="A164" s="2">
        <f ca="1">IFERROR(__xludf.DUMMYFUNCTION("""COMPUTED_VALUE"""),44068.6666666666)</f>
        <v>44068.666666666599</v>
      </c>
      <c r="B164" s="1">
        <f ca="1">IFERROR(__xludf.DUMMYFUNCTION("""COMPUTED_VALUE"""),124.83)</f>
        <v>124.83</v>
      </c>
      <c r="C164" s="1">
        <f ca="1">IFERROR(__xludf.DUMMYFUNCTION("""COMPUTED_VALUE"""),213.69)</f>
        <v>213.69</v>
      </c>
      <c r="D164" s="1">
        <f ca="1">IFERROR(__xludf.DUMMYFUNCTION("""COMPUTED_VALUE"""),165.37)</f>
        <v>165.37</v>
      </c>
      <c r="E164" s="1">
        <f ca="1">IFERROR(__xludf.DUMMYFUNCTION("""COMPUTED_VALUE"""),12.72)</f>
        <v>12.72</v>
      </c>
      <c r="F164" s="1">
        <f ca="1">IFERROR(__xludf.DUMMYFUNCTION("""COMPUTED_VALUE"""),271.39)</f>
        <v>271.39</v>
      </c>
      <c r="G164" s="1">
        <f ca="1">IFERROR(__xludf.DUMMYFUNCTION("""COMPUTED_VALUE"""),79.41)</f>
        <v>79.41</v>
      </c>
      <c r="H164" s="1">
        <f ca="1">IFERROR(__xludf.DUMMYFUNCTION("""COMPUTED_VALUE"""),134.28)</f>
        <v>134.28</v>
      </c>
      <c r="I164" s="1">
        <f ca="1">IFERROR(__xludf.DUMMYFUNCTION("""COMPUTED_VALUE"""),137.64)</f>
        <v>137.63999999999999</v>
      </c>
      <c r="J164" s="1">
        <f ca="1">IFERROR(__xludf.DUMMYFUNCTION("""COMPUTED_VALUE"""),344.13)</f>
        <v>344.13</v>
      </c>
      <c r="K164" s="1">
        <f ca="1">IFERROR(__xludf.DUMMYFUNCTION("""COMPUTED_VALUE"""),33.4)</f>
        <v>33.4</v>
      </c>
      <c r="L164" s="1">
        <f ca="1">IFERROR(__xludf.DUMMYFUNCTION("""COMPUTED_VALUE"""),476.3)</f>
        <v>476.3</v>
      </c>
      <c r="M164" s="1">
        <f ca="1">IFERROR(__xludf.DUMMYFUNCTION("""COMPUTED_VALUE"""),488.81)</f>
        <v>488.81</v>
      </c>
    </row>
    <row r="165" spans="1:13" x14ac:dyDescent="0.25">
      <c r="A165" s="2">
        <f ca="1">IFERROR(__xludf.DUMMYFUNCTION("""COMPUTED_VALUE"""),44069.6666666666)</f>
        <v>44069.666666666599</v>
      </c>
      <c r="B165" s="1">
        <f ca="1">IFERROR(__xludf.DUMMYFUNCTION("""COMPUTED_VALUE"""),126.52)</f>
        <v>126.52</v>
      </c>
      <c r="C165" s="1">
        <f ca="1">IFERROR(__xludf.DUMMYFUNCTION("""COMPUTED_VALUE"""),216.47)</f>
        <v>216.47</v>
      </c>
      <c r="D165" s="1">
        <f ca="1">IFERROR(__xludf.DUMMYFUNCTION("""COMPUTED_VALUE"""),167.32)</f>
        <v>167.32</v>
      </c>
      <c r="E165" s="1">
        <f ca="1">IFERROR(__xludf.DUMMYFUNCTION("""COMPUTED_VALUE"""),12.75)</f>
        <v>12.75</v>
      </c>
      <c r="F165" s="1">
        <f ca="1">IFERROR(__xludf.DUMMYFUNCTION("""COMPUTED_VALUE"""),280.82)</f>
        <v>280.82</v>
      </c>
      <c r="G165" s="1">
        <f ca="1">IFERROR(__xludf.DUMMYFUNCTION("""COMPUTED_VALUE"""),80.41)</f>
        <v>80.41</v>
      </c>
      <c r="H165" s="1">
        <f ca="1">IFERROR(__xludf.DUMMYFUNCTION("""COMPUTED_VALUE"""),134.89)</f>
        <v>134.88999999999999</v>
      </c>
      <c r="I165" s="1">
        <f ca="1">IFERROR(__xludf.DUMMYFUNCTION("""COMPUTED_VALUE"""),137.3)</f>
        <v>137.30000000000001</v>
      </c>
      <c r="J165" s="1">
        <f ca="1">IFERROR(__xludf.DUMMYFUNCTION("""COMPUTED_VALUE"""),344.71)</f>
        <v>344.71</v>
      </c>
      <c r="K165" s="1">
        <f ca="1">IFERROR(__xludf.DUMMYFUNCTION("""COMPUTED_VALUE"""),33.61)</f>
        <v>33.61</v>
      </c>
      <c r="L165" s="1">
        <f ca="1">IFERROR(__xludf.DUMMYFUNCTION("""COMPUTED_VALUE"""),484.43)</f>
        <v>484.43</v>
      </c>
      <c r="M165" s="1">
        <f ca="1">IFERROR(__xludf.DUMMYFUNCTION("""COMPUTED_VALUE"""),490.58)</f>
        <v>490.58</v>
      </c>
    </row>
    <row r="166" spans="1:13" x14ac:dyDescent="0.25">
      <c r="A166" s="2">
        <f ca="1">IFERROR(__xludf.DUMMYFUNCTION("""COMPUTED_VALUE"""),44070.6666666666)</f>
        <v>44070.666666666599</v>
      </c>
      <c r="B166" s="1">
        <f ca="1">IFERROR(__xludf.DUMMYFUNCTION("""COMPUTED_VALUE"""),125.01)</f>
        <v>125.01</v>
      </c>
      <c r="C166" s="1">
        <f ca="1">IFERROR(__xludf.DUMMYFUNCTION("""COMPUTED_VALUE"""),221.15)</f>
        <v>221.15</v>
      </c>
      <c r="D166" s="1">
        <f ca="1">IFERROR(__xludf.DUMMYFUNCTION("""COMPUTED_VALUE"""),172.09)</f>
        <v>172.09</v>
      </c>
      <c r="E166" s="1">
        <f ca="1">IFERROR(__xludf.DUMMYFUNCTION("""COMPUTED_VALUE"""),12.77)</f>
        <v>12.77</v>
      </c>
      <c r="F166" s="1">
        <f ca="1">IFERROR(__xludf.DUMMYFUNCTION("""COMPUTED_VALUE"""),303.91)</f>
        <v>303.91000000000003</v>
      </c>
      <c r="G166" s="1">
        <f ca="1">IFERROR(__xludf.DUMMYFUNCTION("""COMPUTED_VALUE"""),82.62)</f>
        <v>82.62</v>
      </c>
      <c r="H166" s="1">
        <f ca="1">IFERROR(__xludf.DUMMYFUNCTION("""COMPUTED_VALUE"""),143.54)</f>
        <v>143.54</v>
      </c>
      <c r="I166" s="1">
        <f ca="1">IFERROR(__xludf.DUMMYFUNCTION("""COMPUTED_VALUE"""),138.47)</f>
        <v>138.47</v>
      </c>
      <c r="J166" s="1">
        <f ca="1">IFERROR(__xludf.DUMMYFUNCTION("""COMPUTED_VALUE"""),344.27)</f>
        <v>344.27</v>
      </c>
      <c r="K166" s="1">
        <f ca="1">IFERROR(__xludf.DUMMYFUNCTION("""COMPUTED_VALUE"""),33.97)</f>
        <v>33.97</v>
      </c>
      <c r="L166" s="1">
        <f ca="1">IFERROR(__xludf.DUMMYFUNCTION("""COMPUTED_VALUE"""),528.49)</f>
        <v>528.49</v>
      </c>
      <c r="M166" s="1">
        <f ca="1">IFERROR(__xludf.DUMMYFUNCTION("""COMPUTED_VALUE"""),547.53)</f>
        <v>547.53</v>
      </c>
    </row>
    <row r="167" spans="1:13" x14ac:dyDescent="0.25">
      <c r="A167" s="2">
        <f ca="1">IFERROR(__xludf.DUMMYFUNCTION("""COMPUTED_VALUE"""),44071.6666666666)</f>
        <v>44071.666666666599</v>
      </c>
      <c r="B167" s="1">
        <f ca="1">IFERROR(__xludf.DUMMYFUNCTION("""COMPUTED_VALUE"""),124.81)</f>
        <v>124.81</v>
      </c>
      <c r="C167" s="1">
        <f ca="1">IFERROR(__xludf.DUMMYFUNCTION("""COMPUTED_VALUE"""),226.58)</f>
        <v>226.58</v>
      </c>
      <c r="D167" s="1">
        <f ca="1">IFERROR(__xludf.DUMMYFUNCTION("""COMPUTED_VALUE"""),170)</f>
        <v>170</v>
      </c>
      <c r="E167" s="1">
        <f ca="1">IFERROR(__xludf.DUMMYFUNCTION("""COMPUTED_VALUE"""),12.63)</f>
        <v>12.63</v>
      </c>
      <c r="F167" s="1">
        <f ca="1">IFERROR(__xludf.DUMMYFUNCTION("""COMPUTED_VALUE"""),293.22)</f>
        <v>293.22000000000003</v>
      </c>
      <c r="G167" s="1">
        <f ca="1">IFERROR(__xludf.DUMMYFUNCTION("""COMPUTED_VALUE"""),81.72)</f>
        <v>81.72</v>
      </c>
      <c r="H167" s="1">
        <f ca="1">IFERROR(__xludf.DUMMYFUNCTION("""COMPUTED_VALUE"""),149.25)</f>
        <v>149.25</v>
      </c>
      <c r="I167" s="1">
        <f ca="1">IFERROR(__xludf.DUMMYFUNCTION("""COMPUTED_VALUE"""),138.4)</f>
        <v>138.4</v>
      </c>
      <c r="J167" s="1">
        <f ca="1">IFERROR(__xludf.DUMMYFUNCTION("""COMPUTED_VALUE"""),346.36)</f>
        <v>346.36</v>
      </c>
      <c r="K167" s="1">
        <f ca="1">IFERROR(__xludf.DUMMYFUNCTION("""COMPUTED_VALUE"""),33.91)</f>
        <v>33.909999999999997</v>
      </c>
      <c r="L167" s="1">
        <f ca="1">IFERROR(__xludf.DUMMYFUNCTION("""COMPUTED_VALUE"""),510.32)</f>
        <v>510.32</v>
      </c>
      <c r="M167" s="1">
        <f ca="1">IFERROR(__xludf.DUMMYFUNCTION("""COMPUTED_VALUE"""),526.27)</f>
        <v>526.27</v>
      </c>
    </row>
    <row r="168" spans="1:13" x14ac:dyDescent="0.25">
      <c r="A168" s="2">
        <f ca="1">IFERROR(__xludf.DUMMYFUNCTION("""COMPUTED_VALUE"""),44074.6666666666)</f>
        <v>44074.666666666599</v>
      </c>
      <c r="B168" s="1">
        <f ca="1">IFERROR(__xludf.DUMMYFUNCTION("""COMPUTED_VALUE"""),129.04)</f>
        <v>129.04</v>
      </c>
      <c r="C168" s="1">
        <f ca="1">IFERROR(__xludf.DUMMYFUNCTION("""COMPUTED_VALUE"""),228.91)</f>
        <v>228.91</v>
      </c>
      <c r="D168" s="1">
        <f ca="1">IFERROR(__xludf.DUMMYFUNCTION("""COMPUTED_VALUE"""),170.09)</f>
        <v>170.09</v>
      </c>
      <c r="E168" s="1">
        <f ca="1">IFERROR(__xludf.DUMMYFUNCTION("""COMPUTED_VALUE"""),13.15)</f>
        <v>13.15</v>
      </c>
      <c r="F168" s="1">
        <f ca="1">IFERROR(__xludf.DUMMYFUNCTION("""COMPUTED_VALUE"""),293.66)</f>
        <v>293.66000000000003</v>
      </c>
      <c r="G168" s="1">
        <f ca="1">IFERROR(__xludf.DUMMYFUNCTION("""COMPUTED_VALUE"""),82.22)</f>
        <v>82.22</v>
      </c>
      <c r="H168" s="1">
        <f ca="1">IFERROR(__xludf.DUMMYFUNCTION("""COMPUTED_VALUE"""),147.56)</f>
        <v>147.56</v>
      </c>
      <c r="I168" s="1">
        <f ca="1">IFERROR(__xludf.DUMMYFUNCTION("""COMPUTED_VALUE"""),139.94)</f>
        <v>139.94</v>
      </c>
      <c r="J168" s="1">
        <f ca="1">IFERROR(__xludf.DUMMYFUNCTION("""COMPUTED_VALUE"""),348.37)</f>
        <v>348.37</v>
      </c>
      <c r="K168" s="1">
        <f ca="1">IFERROR(__xludf.DUMMYFUNCTION("""COMPUTED_VALUE"""),34.48)</f>
        <v>34.479999999999997</v>
      </c>
      <c r="L168" s="1">
        <f ca="1">IFERROR(__xludf.DUMMYFUNCTION("""COMPUTED_VALUE"""),516.44)</f>
        <v>516.44000000000005</v>
      </c>
      <c r="M168" s="1">
        <f ca="1">IFERROR(__xludf.DUMMYFUNCTION("""COMPUTED_VALUE"""),523.89)</f>
        <v>523.89</v>
      </c>
    </row>
    <row r="169" spans="1:13" x14ac:dyDescent="0.25">
      <c r="A169" s="2">
        <f ca="1">IFERROR(__xludf.DUMMYFUNCTION("""COMPUTED_VALUE"""),44075.6666666666)</f>
        <v>44075.666666666599</v>
      </c>
      <c r="B169" s="1">
        <f ca="1">IFERROR(__xludf.DUMMYFUNCTION("""COMPUTED_VALUE"""),134.18)</f>
        <v>134.18</v>
      </c>
      <c r="C169" s="1">
        <f ca="1">IFERROR(__xludf.DUMMYFUNCTION("""COMPUTED_VALUE"""),225.53)</f>
        <v>225.53</v>
      </c>
      <c r="D169" s="1">
        <f ca="1">IFERROR(__xludf.DUMMYFUNCTION("""COMPUTED_VALUE"""),172.55)</f>
        <v>172.55</v>
      </c>
      <c r="E169" s="1">
        <f ca="1">IFERROR(__xludf.DUMMYFUNCTION("""COMPUTED_VALUE"""),13.37)</f>
        <v>13.37</v>
      </c>
      <c r="F169" s="1">
        <f ca="1">IFERROR(__xludf.DUMMYFUNCTION("""COMPUTED_VALUE"""),293.2)</f>
        <v>293.2</v>
      </c>
      <c r="G169" s="1">
        <f ca="1">IFERROR(__xludf.DUMMYFUNCTION("""COMPUTED_VALUE"""),81.71)</f>
        <v>81.709999999999994</v>
      </c>
      <c r="H169" s="1">
        <f ca="1">IFERROR(__xludf.DUMMYFUNCTION("""COMPUTED_VALUE"""),166.11)</f>
        <v>166.11</v>
      </c>
      <c r="I169" s="1">
        <f ca="1">IFERROR(__xludf.DUMMYFUNCTION("""COMPUTED_VALUE"""),140.06)</f>
        <v>140.06</v>
      </c>
      <c r="J169" s="1">
        <f ca="1">IFERROR(__xludf.DUMMYFUNCTION("""COMPUTED_VALUE"""),347.66)</f>
        <v>347.66</v>
      </c>
      <c r="K169" s="1">
        <f ca="1">IFERROR(__xludf.DUMMYFUNCTION("""COMPUTED_VALUE"""),34.72)</f>
        <v>34.72</v>
      </c>
      <c r="L169" s="1">
        <f ca="1">IFERROR(__xludf.DUMMYFUNCTION("""COMPUTED_VALUE"""),513.39)</f>
        <v>513.39</v>
      </c>
      <c r="M169" s="1">
        <f ca="1">IFERROR(__xludf.DUMMYFUNCTION("""COMPUTED_VALUE"""),529.56)</f>
        <v>529.55999999999995</v>
      </c>
    </row>
    <row r="170" spans="1:13" x14ac:dyDescent="0.25">
      <c r="A170" s="2">
        <f ca="1">IFERROR(__xludf.DUMMYFUNCTION("""COMPUTED_VALUE"""),44076.6666666666)</f>
        <v>44076.666666666599</v>
      </c>
      <c r="B170" s="1">
        <f ca="1">IFERROR(__xludf.DUMMYFUNCTION("""COMPUTED_VALUE"""),131.4)</f>
        <v>131.4</v>
      </c>
      <c r="C170" s="1">
        <f ca="1">IFERROR(__xludf.DUMMYFUNCTION("""COMPUTED_VALUE"""),227.27)</f>
        <v>227.27</v>
      </c>
      <c r="D170" s="1">
        <f ca="1">IFERROR(__xludf.DUMMYFUNCTION("""COMPUTED_VALUE"""),174.96)</f>
        <v>174.96</v>
      </c>
      <c r="E170" s="1">
        <f ca="1">IFERROR(__xludf.DUMMYFUNCTION("""COMPUTED_VALUE"""),13.82)</f>
        <v>13.82</v>
      </c>
      <c r="F170" s="1">
        <f ca="1">IFERROR(__xludf.DUMMYFUNCTION("""COMPUTED_VALUE"""),295.44)</f>
        <v>295.44</v>
      </c>
      <c r="G170" s="1">
        <f ca="1">IFERROR(__xludf.DUMMYFUNCTION("""COMPUTED_VALUE"""),83.04)</f>
        <v>83.04</v>
      </c>
      <c r="H170" s="1">
        <f ca="1">IFERROR(__xludf.DUMMYFUNCTION("""COMPUTED_VALUE"""),158.35)</f>
        <v>158.35</v>
      </c>
      <c r="I170" s="1">
        <f ca="1">IFERROR(__xludf.DUMMYFUNCTION("""COMPUTED_VALUE"""),139.19)</f>
        <v>139.19</v>
      </c>
      <c r="J170" s="1">
        <f ca="1">IFERROR(__xludf.DUMMYFUNCTION("""COMPUTED_VALUE"""),351.38)</f>
        <v>351.38</v>
      </c>
      <c r="K170" s="1">
        <f ca="1">IFERROR(__xludf.DUMMYFUNCTION("""COMPUTED_VALUE"""),35.95)</f>
        <v>35.950000000000003</v>
      </c>
      <c r="L170" s="1">
        <f ca="1">IFERROR(__xludf.DUMMYFUNCTION("""COMPUTED_VALUE"""),527.95)</f>
        <v>527.95000000000005</v>
      </c>
      <c r="M170" s="1">
        <f ca="1">IFERROR(__xludf.DUMMYFUNCTION("""COMPUTED_VALUE"""),556.55)</f>
        <v>556.54999999999995</v>
      </c>
    </row>
    <row r="171" spans="1:13" x14ac:dyDescent="0.25">
      <c r="A171" s="2">
        <f ca="1">IFERROR(__xludf.DUMMYFUNCTION("""COMPUTED_VALUE"""),44077.6666666666)</f>
        <v>44077.666666666599</v>
      </c>
      <c r="B171" s="1">
        <f ca="1">IFERROR(__xludf.DUMMYFUNCTION("""COMPUTED_VALUE"""),120.88)</f>
        <v>120.88</v>
      </c>
      <c r="C171" s="1">
        <f ca="1">IFERROR(__xludf.DUMMYFUNCTION("""COMPUTED_VALUE"""),231.65)</f>
        <v>231.65</v>
      </c>
      <c r="D171" s="1">
        <f ca="1">IFERROR(__xludf.DUMMYFUNCTION("""COMPUTED_VALUE"""),176.57)</f>
        <v>176.57</v>
      </c>
      <c r="E171" s="1">
        <f ca="1">IFERROR(__xludf.DUMMYFUNCTION("""COMPUTED_VALUE"""),14.35)</f>
        <v>14.35</v>
      </c>
      <c r="F171" s="1">
        <f ca="1">IFERROR(__xludf.DUMMYFUNCTION("""COMPUTED_VALUE"""),302.5)</f>
        <v>302.5</v>
      </c>
      <c r="G171" s="1">
        <f ca="1">IFERROR(__xludf.DUMMYFUNCTION("""COMPUTED_VALUE"""),86.41)</f>
        <v>86.41</v>
      </c>
      <c r="H171" s="1">
        <f ca="1">IFERROR(__xludf.DUMMYFUNCTION("""COMPUTED_VALUE"""),149.12)</f>
        <v>149.12</v>
      </c>
      <c r="I171" s="1">
        <f ca="1">IFERROR(__xludf.DUMMYFUNCTION("""COMPUTED_VALUE"""),143.29)</f>
        <v>143.29</v>
      </c>
      <c r="J171" s="1">
        <f ca="1">IFERROR(__xludf.DUMMYFUNCTION("""COMPUTED_VALUE"""),358.86)</f>
        <v>358.86</v>
      </c>
      <c r="K171" s="1">
        <f ca="1">IFERROR(__xludf.DUMMYFUNCTION("""COMPUTED_VALUE"""),37.5)</f>
        <v>37.5</v>
      </c>
      <c r="L171" s="1">
        <f ca="1">IFERROR(__xludf.DUMMYFUNCTION("""COMPUTED_VALUE"""),533.8)</f>
        <v>533.79999999999995</v>
      </c>
      <c r="M171" s="1">
        <f ca="1">IFERROR(__xludf.DUMMYFUNCTION("""COMPUTED_VALUE"""),552.84)</f>
        <v>552.84</v>
      </c>
    </row>
    <row r="172" spans="1:13" x14ac:dyDescent="0.25">
      <c r="A172" s="2">
        <f ca="1">IFERROR(__xludf.DUMMYFUNCTION("""COMPUTED_VALUE"""),44078.6666666666)</f>
        <v>44078.666666666599</v>
      </c>
      <c r="B172" s="1">
        <f ca="1">IFERROR(__xludf.DUMMYFUNCTION("""COMPUTED_VALUE"""),120.96)</f>
        <v>120.96</v>
      </c>
      <c r="C172" s="1">
        <f ca="1">IFERROR(__xludf.DUMMYFUNCTION("""COMPUTED_VALUE"""),217.3)</f>
        <v>217.3</v>
      </c>
      <c r="D172" s="1">
        <f ca="1">IFERROR(__xludf.DUMMYFUNCTION("""COMPUTED_VALUE"""),168.4)</f>
        <v>168.4</v>
      </c>
      <c r="E172" s="1">
        <f ca="1">IFERROR(__xludf.DUMMYFUNCTION("""COMPUTED_VALUE"""),13.02)</f>
        <v>13.02</v>
      </c>
      <c r="F172" s="1">
        <f ca="1">IFERROR(__xludf.DUMMYFUNCTION("""COMPUTED_VALUE"""),291.12)</f>
        <v>291.12</v>
      </c>
      <c r="G172" s="1">
        <f ca="1">IFERROR(__xludf.DUMMYFUNCTION("""COMPUTED_VALUE"""),82.09)</f>
        <v>82.09</v>
      </c>
      <c r="H172" s="1">
        <f ca="1">IFERROR(__xludf.DUMMYFUNCTION("""COMPUTED_VALUE"""),135.67)</f>
        <v>135.66999999999999</v>
      </c>
      <c r="I172" s="1">
        <f ca="1">IFERROR(__xludf.DUMMYFUNCTION("""COMPUTED_VALUE"""),139.37)</f>
        <v>139.37</v>
      </c>
      <c r="J172" s="1">
        <f ca="1">IFERROR(__xludf.DUMMYFUNCTION("""COMPUTED_VALUE"""),348.3)</f>
        <v>348.3</v>
      </c>
      <c r="K172" s="1">
        <f ca="1">IFERROR(__xludf.DUMMYFUNCTION("""COMPUTED_VALUE"""),35.21)</f>
        <v>35.21</v>
      </c>
      <c r="L172" s="1">
        <f ca="1">IFERROR(__xludf.DUMMYFUNCTION("""COMPUTED_VALUE"""),507.8)</f>
        <v>507.8</v>
      </c>
      <c r="M172" s="1">
        <f ca="1">IFERROR(__xludf.DUMMYFUNCTION("""COMPUTED_VALUE"""),525.75)</f>
        <v>525.75</v>
      </c>
    </row>
    <row r="173" spans="1:13" x14ac:dyDescent="0.25">
      <c r="A173" s="2">
        <f ca="1">IFERROR(__xludf.DUMMYFUNCTION("""COMPUTED_VALUE"""),44082.6666666666)</f>
        <v>44082.666666666599</v>
      </c>
      <c r="B173" s="1">
        <f ca="1">IFERROR(__xludf.DUMMYFUNCTION("""COMPUTED_VALUE"""),112.82)</f>
        <v>112.82</v>
      </c>
      <c r="C173" s="1">
        <f ca="1">IFERROR(__xludf.DUMMYFUNCTION("""COMPUTED_VALUE"""),214.25)</f>
        <v>214.25</v>
      </c>
      <c r="D173" s="1">
        <f ca="1">IFERROR(__xludf.DUMMYFUNCTION("""COMPUTED_VALUE"""),164.73)</f>
        <v>164.73</v>
      </c>
      <c r="E173" s="1">
        <f ca="1">IFERROR(__xludf.DUMMYFUNCTION("""COMPUTED_VALUE"""),12.62)</f>
        <v>12.62</v>
      </c>
      <c r="F173" s="1">
        <f ca="1">IFERROR(__xludf.DUMMYFUNCTION("""COMPUTED_VALUE"""),282.73)</f>
        <v>282.73</v>
      </c>
      <c r="G173" s="1">
        <f ca="1">IFERROR(__xludf.DUMMYFUNCTION("""COMPUTED_VALUE"""),79.55)</f>
        <v>79.55</v>
      </c>
      <c r="H173" s="1">
        <f ca="1">IFERROR(__xludf.DUMMYFUNCTION("""COMPUTED_VALUE"""),139.44)</f>
        <v>139.44</v>
      </c>
      <c r="I173" s="1">
        <f ca="1">IFERROR(__xludf.DUMMYFUNCTION("""COMPUTED_VALUE"""),138.76)</f>
        <v>138.76</v>
      </c>
      <c r="J173" s="1">
        <f ca="1">IFERROR(__xludf.DUMMYFUNCTION("""COMPUTED_VALUE"""),346.57)</f>
        <v>346.57</v>
      </c>
      <c r="K173" s="1">
        <f ca="1">IFERROR(__xludf.DUMMYFUNCTION("""COMPUTED_VALUE"""),36.3)</f>
        <v>36.299999999999997</v>
      </c>
      <c r="L173" s="1">
        <f ca="1">IFERROR(__xludf.DUMMYFUNCTION("""COMPUTED_VALUE"""),491.94)</f>
        <v>491.94</v>
      </c>
      <c r="M173" s="1">
        <f ca="1">IFERROR(__xludf.DUMMYFUNCTION("""COMPUTED_VALUE"""),516.05)</f>
        <v>516.04999999999995</v>
      </c>
    </row>
    <row r="174" spans="1:13" x14ac:dyDescent="0.25">
      <c r="A174" s="2">
        <f ca="1">IFERROR(__xludf.DUMMYFUNCTION("""COMPUTED_VALUE"""),44083.6666666666)</f>
        <v>44083.666666666599</v>
      </c>
      <c r="B174" s="1">
        <f ca="1">IFERROR(__xludf.DUMMYFUNCTION("""COMPUTED_VALUE"""),117.32)</f>
        <v>117.32</v>
      </c>
      <c r="C174" s="1">
        <f ca="1">IFERROR(__xludf.DUMMYFUNCTION("""COMPUTED_VALUE"""),202.66)</f>
        <v>202.66</v>
      </c>
      <c r="D174" s="1">
        <f ca="1">IFERROR(__xludf.DUMMYFUNCTION("""COMPUTED_VALUE"""),157.49)</f>
        <v>157.49</v>
      </c>
      <c r="E174" s="1">
        <f ca="1">IFERROR(__xludf.DUMMYFUNCTION("""COMPUTED_VALUE"""),11.91)</f>
        <v>11.91</v>
      </c>
      <c r="F174" s="1">
        <f ca="1">IFERROR(__xludf.DUMMYFUNCTION("""COMPUTED_VALUE"""),271.16)</f>
        <v>271.16000000000003</v>
      </c>
      <c r="G174" s="1">
        <f ca="1">IFERROR(__xludf.DUMMYFUNCTION("""COMPUTED_VALUE"""),76.62)</f>
        <v>76.62</v>
      </c>
      <c r="H174" s="1">
        <f ca="1">IFERROR(__xludf.DUMMYFUNCTION("""COMPUTED_VALUE"""),110.07)</f>
        <v>110.07</v>
      </c>
      <c r="I174" s="1">
        <f ca="1">IFERROR(__xludf.DUMMYFUNCTION("""COMPUTED_VALUE"""),135.55)</f>
        <v>135.55000000000001</v>
      </c>
      <c r="J174" s="1">
        <f ca="1">IFERROR(__xludf.DUMMYFUNCTION("""COMPUTED_VALUE"""),338.86)</f>
        <v>338.86</v>
      </c>
      <c r="K174" s="1">
        <f ca="1">IFERROR(__xludf.DUMMYFUNCTION("""COMPUTED_VALUE"""),35.05)</f>
        <v>35.049999999999997</v>
      </c>
      <c r="L174" s="1">
        <f ca="1">IFERROR(__xludf.DUMMYFUNCTION("""COMPUTED_VALUE"""),462.13)</f>
        <v>462.13</v>
      </c>
      <c r="M174" s="1">
        <f ca="1">IFERROR(__xludf.DUMMYFUNCTION("""COMPUTED_VALUE"""),507.02)</f>
        <v>507.02</v>
      </c>
    </row>
    <row r="175" spans="1:13" x14ac:dyDescent="0.25">
      <c r="A175" s="2">
        <f ca="1">IFERROR(__xludf.DUMMYFUNCTION("""COMPUTED_VALUE"""),44084.6666666666)</f>
        <v>44084.666666666599</v>
      </c>
      <c r="B175" s="1">
        <f ca="1">IFERROR(__xludf.DUMMYFUNCTION("""COMPUTED_VALUE"""),113.49)</f>
        <v>113.49</v>
      </c>
      <c r="C175" s="1">
        <f ca="1">IFERROR(__xludf.DUMMYFUNCTION("""COMPUTED_VALUE"""),211.29)</f>
        <v>211.29</v>
      </c>
      <c r="D175" s="1">
        <f ca="1">IFERROR(__xludf.DUMMYFUNCTION("""COMPUTED_VALUE"""),163.43)</f>
        <v>163.43</v>
      </c>
      <c r="E175" s="1">
        <f ca="1">IFERROR(__xludf.DUMMYFUNCTION("""COMPUTED_VALUE"""),12.72)</f>
        <v>12.72</v>
      </c>
      <c r="F175" s="1">
        <f ca="1">IFERROR(__xludf.DUMMYFUNCTION("""COMPUTED_VALUE"""),273.72)</f>
        <v>273.72000000000003</v>
      </c>
      <c r="G175" s="1">
        <f ca="1">IFERROR(__xludf.DUMMYFUNCTION("""COMPUTED_VALUE"""),77.85)</f>
        <v>77.849999999999994</v>
      </c>
      <c r="H175" s="1">
        <f ca="1">IFERROR(__xludf.DUMMYFUNCTION("""COMPUTED_VALUE"""),122.09)</f>
        <v>122.09</v>
      </c>
      <c r="I175" s="1">
        <f ca="1">IFERROR(__xludf.DUMMYFUNCTION("""COMPUTED_VALUE"""),137.11)</f>
        <v>137.11000000000001</v>
      </c>
      <c r="J175" s="1">
        <f ca="1">IFERROR(__xludf.DUMMYFUNCTION("""COMPUTED_VALUE"""),346.43)</f>
        <v>346.43</v>
      </c>
      <c r="K175" s="1">
        <f ca="1">IFERROR(__xludf.DUMMYFUNCTION("""COMPUTED_VALUE"""),36)</f>
        <v>36</v>
      </c>
      <c r="L175" s="1">
        <f ca="1">IFERROR(__xludf.DUMMYFUNCTION("""COMPUTED_VALUE"""),479.46)</f>
        <v>479.46</v>
      </c>
      <c r="M175" s="1">
        <f ca="1">IFERROR(__xludf.DUMMYFUNCTION("""COMPUTED_VALUE"""),500.19)</f>
        <v>500.19</v>
      </c>
    </row>
    <row r="176" spans="1:13" x14ac:dyDescent="0.25">
      <c r="A176" s="2">
        <f ca="1">IFERROR(__xludf.DUMMYFUNCTION("""COMPUTED_VALUE"""),44085.6666666666)</f>
        <v>44085.666666666599</v>
      </c>
      <c r="B176" s="1">
        <f ca="1">IFERROR(__xludf.DUMMYFUNCTION("""COMPUTED_VALUE"""),112)</f>
        <v>112</v>
      </c>
      <c r="C176" s="1">
        <f ca="1">IFERROR(__xludf.DUMMYFUNCTION("""COMPUTED_VALUE"""),205.37)</f>
        <v>205.37</v>
      </c>
      <c r="D176" s="1">
        <f ca="1">IFERROR(__xludf.DUMMYFUNCTION("""COMPUTED_VALUE"""),158.76)</f>
        <v>158.76</v>
      </c>
      <c r="E176" s="1">
        <f ca="1">IFERROR(__xludf.DUMMYFUNCTION("""COMPUTED_VALUE"""),12.31)</f>
        <v>12.31</v>
      </c>
      <c r="F176" s="1">
        <f ca="1">IFERROR(__xludf.DUMMYFUNCTION("""COMPUTED_VALUE"""),268.09)</f>
        <v>268.08999999999997</v>
      </c>
      <c r="G176" s="1">
        <f ca="1">IFERROR(__xludf.DUMMYFUNCTION("""COMPUTED_VALUE"""),76.6)</f>
        <v>76.599999999999994</v>
      </c>
      <c r="H176" s="1">
        <f ca="1">IFERROR(__xludf.DUMMYFUNCTION("""COMPUTED_VALUE"""),123.78)</f>
        <v>123.78</v>
      </c>
      <c r="I176" s="1">
        <f ca="1">IFERROR(__xludf.DUMMYFUNCTION("""COMPUTED_VALUE"""),134.76)</f>
        <v>134.76</v>
      </c>
      <c r="J176" s="1">
        <f ca="1">IFERROR(__xludf.DUMMYFUNCTION("""COMPUTED_VALUE"""),339.53)</f>
        <v>339.53</v>
      </c>
      <c r="K176" s="1">
        <f ca="1">IFERROR(__xludf.DUMMYFUNCTION("""COMPUTED_VALUE"""),35.71)</f>
        <v>35.71</v>
      </c>
      <c r="L176" s="1">
        <f ca="1">IFERROR(__xludf.DUMMYFUNCTION("""COMPUTED_VALUE"""),476.26)</f>
        <v>476.26</v>
      </c>
      <c r="M176" s="1">
        <f ca="1">IFERROR(__xludf.DUMMYFUNCTION("""COMPUTED_VALUE"""),480.67)</f>
        <v>480.67</v>
      </c>
    </row>
    <row r="177" spans="1:13" x14ac:dyDescent="0.25">
      <c r="A177" s="2">
        <f ca="1">IFERROR(__xludf.DUMMYFUNCTION("""COMPUTED_VALUE"""),44088.6666666666)</f>
        <v>44088.666666666599</v>
      </c>
      <c r="B177" s="1">
        <f ca="1">IFERROR(__xludf.DUMMYFUNCTION("""COMPUTED_VALUE"""),115.36)</f>
        <v>115.36</v>
      </c>
      <c r="C177" s="1">
        <f ca="1">IFERROR(__xludf.DUMMYFUNCTION("""COMPUTED_VALUE"""),204.03)</f>
        <v>204.03</v>
      </c>
      <c r="D177" s="1">
        <f ca="1">IFERROR(__xludf.DUMMYFUNCTION("""COMPUTED_VALUE"""),155.81)</f>
        <v>155.81</v>
      </c>
      <c r="E177" s="1">
        <f ca="1">IFERROR(__xludf.DUMMYFUNCTION("""COMPUTED_VALUE"""),12.16)</f>
        <v>12.16</v>
      </c>
      <c r="F177" s="1">
        <f ca="1">IFERROR(__xludf.DUMMYFUNCTION("""COMPUTED_VALUE"""),266.61)</f>
        <v>266.61</v>
      </c>
      <c r="G177" s="1">
        <f ca="1">IFERROR(__xludf.DUMMYFUNCTION("""COMPUTED_VALUE"""),76.04)</f>
        <v>76.040000000000006</v>
      </c>
      <c r="H177" s="1">
        <f ca="1">IFERROR(__xludf.DUMMYFUNCTION("""COMPUTED_VALUE"""),124.24)</f>
        <v>124.24</v>
      </c>
      <c r="I177" s="1">
        <f ca="1">IFERROR(__xludf.DUMMYFUNCTION("""COMPUTED_VALUE"""),135.81)</f>
        <v>135.81</v>
      </c>
      <c r="J177" s="1">
        <f ca="1">IFERROR(__xludf.DUMMYFUNCTION("""COMPUTED_VALUE"""),339.13)</f>
        <v>339.13</v>
      </c>
      <c r="K177" s="1">
        <f ca="1">IFERROR(__xludf.DUMMYFUNCTION("""COMPUTED_VALUE"""),35.97)</f>
        <v>35.97</v>
      </c>
      <c r="L177" s="1">
        <f ca="1">IFERROR(__xludf.DUMMYFUNCTION("""COMPUTED_VALUE"""),471.35)</f>
        <v>471.35</v>
      </c>
      <c r="M177" s="1">
        <f ca="1">IFERROR(__xludf.DUMMYFUNCTION("""COMPUTED_VALUE"""),482.03)</f>
        <v>482.03</v>
      </c>
    </row>
    <row r="178" spans="1:13" x14ac:dyDescent="0.25">
      <c r="A178" s="2">
        <f ca="1">IFERROR(__xludf.DUMMYFUNCTION("""COMPUTED_VALUE"""),44089.6666666666)</f>
        <v>44089.666666666599</v>
      </c>
      <c r="B178" s="1">
        <f ca="1">IFERROR(__xludf.DUMMYFUNCTION("""COMPUTED_VALUE"""),115.54)</f>
        <v>115.54</v>
      </c>
      <c r="C178" s="1">
        <f ca="1">IFERROR(__xludf.DUMMYFUNCTION("""COMPUTED_VALUE"""),205.41)</f>
        <v>205.41</v>
      </c>
      <c r="D178" s="1">
        <f ca="1">IFERROR(__xludf.DUMMYFUNCTION("""COMPUTED_VALUE"""),155.15)</f>
        <v>155.15</v>
      </c>
      <c r="E178" s="1">
        <f ca="1">IFERROR(__xludf.DUMMYFUNCTION("""COMPUTED_VALUE"""),12.87)</f>
        <v>12.87</v>
      </c>
      <c r="F178" s="1">
        <f ca="1">IFERROR(__xludf.DUMMYFUNCTION("""COMPUTED_VALUE"""),266.15)</f>
        <v>266.14999999999998</v>
      </c>
      <c r="G178" s="1">
        <f ca="1">IFERROR(__xludf.DUMMYFUNCTION("""COMPUTED_VALUE"""),75.96)</f>
        <v>75.959999999999994</v>
      </c>
      <c r="H178" s="1">
        <f ca="1">IFERROR(__xludf.DUMMYFUNCTION("""COMPUTED_VALUE"""),139.87)</f>
        <v>139.87</v>
      </c>
      <c r="I178" s="1">
        <f ca="1">IFERROR(__xludf.DUMMYFUNCTION("""COMPUTED_VALUE"""),136.67)</f>
        <v>136.66999999999999</v>
      </c>
      <c r="J178" s="1">
        <f ca="1">IFERROR(__xludf.DUMMYFUNCTION("""COMPUTED_VALUE"""),342.92)</f>
        <v>342.92</v>
      </c>
      <c r="K178" s="1">
        <f ca="1">IFERROR(__xludf.DUMMYFUNCTION("""COMPUTED_VALUE"""),36.22)</f>
        <v>36.22</v>
      </c>
      <c r="L178" s="1">
        <f ca="1">IFERROR(__xludf.DUMMYFUNCTION("""COMPUTED_VALUE"""),485.91)</f>
        <v>485.91</v>
      </c>
      <c r="M178" s="1">
        <f ca="1">IFERROR(__xludf.DUMMYFUNCTION("""COMPUTED_VALUE"""),476.26)</f>
        <v>476.26</v>
      </c>
    </row>
    <row r="179" spans="1:13" x14ac:dyDescent="0.25">
      <c r="A179" s="2">
        <f ca="1">IFERROR(__xludf.DUMMYFUNCTION("""COMPUTED_VALUE"""),44090.6666666666)</f>
        <v>44090.666666666599</v>
      </c>
      <c r="B179" s="1">
        <f ca="1">IFERROR(__xludf.DUMMYFUNCTION("""COMPUTED_VALUE"""),112.13)</f>
        <v>112.13</v>
      </c>
      <c r="C179" s="1">
        <f ca="1">IFERROR(__xludf.DUMMYFUNCTION("""COMPUTED_VALUE"""),208.78)</f>
        <v>208.78</v>
      </c>
      <c r="D179" s="1">
        <f ca="1">IFERROR(__xludf.DUMMYFUNCTION("""COMPUTED_VALUE"""),157.81)</f>
        <v>157.81</v>
      </c>
      <c r="E179" s="1">
        <f ca="1">IFERROR(__xludf.DUMMYFUNCTION("""COMPUTED_VALUE"""),12.99)</f>
        <v>12.99</v>
      </c>
      <c r="F179" s="1">
        <f ca="1">IFERROR(__xludf.DUMMYFUNCTION("""COMPUTED_VALUE"""),272.42)</f>
        <v>272.42</v>
      </c>
      <c r="G179" s="1">
        <f ca="1">IFERROR(__xludf.DUMMYFUNCTION("""COMPUTED_VALUE"""),77.07)</f>
        <v>77.069999999999993</v>
      </c>
      <c r="H179" s="1">
        <f ca="1">IFERROR(__xludf.DUMMYFUNCTION("""COMPUTED_VALUE"""),149.92)</f>
        <v>149.91999999999999</v>
      </c>
      <c r="I179" s="1">
        <f ca="1">IFERROR(__xludf.DUMMYFUNCTION("""COMPUTED_VALUE"""),135.62)</f>
        <v>135.62</v>
      </c>
      <c r="J179" s="1">
        <f ca="1">IFERROR(__xludf.DUMMYFUNCTION("""COMPUTED_VALUE"""),343.91)</f>
        <v>343.91</v>
      </c>
      <c r="K179" s="1">
        <f ca="1">IFERROR(__xludf.DUMMYFUNCTION("""COMPUTED_VALUE"""),36.69)</f>
        <v>36.69</v>
      </c>
      <c r="L179" s="1">
        <f ca="1">IFERROR(__xludf.DUMMYFUNCTION("""COMPUTED_VALUE"""),497.67)</f>
        <v>497.67</v>
      </c>
      <c r="M179" s="1">
        <f ca="1">IFERROR(__xludf.DUMMYFUNCTION("""COMPUTED_VALUE"""),495.99)</f>
        <v>495.99</v>
      </c>
    </row>
    <row r="180" spans="1:13" x14ac:dyDescent="0.25">
      <c r="A180" s="2">
        <f ca="1">IFERROR(__xludf.DUMMYFUNCTION("""COMPUTED_VALUE"""),44091.6666666666)</f>
        <v>44091.666666666599</v>
      </c>
      <c r="B180" s="1">
        <f ca="1">IFERROR(__xludf.DUMMYFUNCTION("""COMPUTED_VALUE"""),110.34)</f>
        <v>110.34</v>
      </c>
      <c r="C180" s="1">
        <f ca="1">IFERROR(__xludf.DUMMYFUNCTION("""COMPUTED_VALUE"""),205.05)</f>
        <v>205.05</v>
      </c>
      <c r="D180" s="1">
        <f ca="1">IFERROR(__xludf.DUMMYFUNCTION("""COMPUTED_VALUE"""),153.91)</f>
        <v>153.91</v>
      </c>
      <c r="E180" s="1">
        <f ca="1">IFERROR(__xludf.DUMMYFUNCTION("""COMPUTED_VALUE"""),12.51)</f>
        <v>12.51</v>
      </c>
      <c r="F180" s="1">
        <f ca="1">IFERROR(__xludf.DUMMYFUNCTION("""COMPUTED_VALUE"""),263.52)</f>
        <v>263.52</v>
      </c>
      <c r="G180" s="1">
        <f ca="1">IFERROR(__xludf.DUMMYFUNCTION("""COMPUTED_VALUE"""),76.05)</f>
        <v>76.05</v>
      </c>
      <c r="H180" s="1">
        <f ca="1">IFERROR(__xludf.DUMMYFUNCTION("""COMPUTED_VALUE"""),147.25)</f>
        <v>147.25</v>
      </c>
      <c r="I180" s="1">
        <f ca="1">IFERROR(__xludf.DUMMYFUNCTION("""COMPUTED_VALUE"""),134.98)</f>
        <v>134.97999999999999</v>
      </c>
      <c r="J180" s="1">
        <f ca="1">IFERROR(__xludf.DUMMYFUNCTION("""COMPUTED_VALUE"""),343.73)</f>
        <v>343.73</v>
      </c>
      <c r="K180" s="1">
        <f ca="1">IFERROR(__xludf.DUMMYFUNCTION("""COMPUTED_VALUE"""),36.7)</f>
        <v>36.700000000000003</v>
      </c>
      <c r="L180" s="1">
        <f ca="1">IFERROR(__xludf.DUMMYFUNCTION("""COMPUTED_VALUE"""),476)</f>
        <v>476</v>
      </c>
      <c r="M180" s="1">
        <f ca="1">IFERROR(__xludf.DUMMYFUNCTION("""COMPUTED_VALUE"""),483.86)</f>
        <v>483.86</v>
      </c>
    </row>
    <row r="181" spans="1:13" x14ac:dyDescent="0.25">
      <c r="A181" s="2">
        <f ca="1">IFERROR(__xludf.DUMMYFUNCTION("""COMPUTED_VALUE"""),44092.6666666666)</f>
        <v>44092.666666666599</v>
      </c>
      <c r="B181" s="1">
        <f ca="1">IFERROR(__xludf.DUMMYFUNCTION("""COMPUTED_VALUE"""),106.84)</f>
        <v>106.84</v>
      </c>
      <c r="C181" s="1">
        <f ca="1">IFERROR(__xludf.DUMMYFUNCTION("""COMPUTED_VALUE"""),202.91)</f>
        <v>202.91</v>
      </c>
      <c r="D181" s="1">
        <f ca="1">IFERROR(__xludf.DUMMYFUNCTION("""COMPUTED_VALUE"""),150.44)</f>
        <v>150.44</v>
      </c>
      <c r="E181" s="1">
        <f ca="1">IFERROR(__xludf.DUMMYFUNCTION("""COMPUTED_VALUE"""),12.46)</f>
        <v>12.46</v>
      </c>
      <c r="F181" s="1">
        <f ca="1">IFERROR(__xludf.DUMMYFUNCTION("""COMPUTED_VALUE"""),254.82)</f>
        <v>254.82</v>
      </c>
      <c r="G181" s="1">
        <f ca="1">IFERROR(__xludf.DUMMYFUNCTION("""COMPUTED_VALUE"""),74.78)</f>
        <v>74.78</v>
      </c>
      <c r="H181" s="1">
        <f ca="1">IFERROR(__xludf.DUMMYFUNCTION("""COMPUTED_VALUE"""),141.14)</f>
        <v>141.13999999999999</v>
      </c>
      <c r="I181" s="1">
        <f ca="1">IFERROR(__xludf.DUMMYFUNCTION("""COMPUTED_VALUE"""),133.2)</f>
        <v>133.19999999999999</v>
      </c>
      <c r="J181" s="1">
        <f ca="1">IFERROR(__xludf.DUMMYFUNCTION("""COMPUTED_VALUE"""),338.88)</f>
        <v>338.88</v>
      </c>
      <c r="K181" s="1">
        <f ca="1">IFERROR(__xludf.DUMMYFUNCTION("""COMPUTED_VALUE"""),36.59)</f>
        <v>36.590000000000003</v>
      </c>
      <c r="L181" s="1">
        <f ca="1">IFERROR(__xludf.DUMMYFUNCTION("""COMPUTED_VALUE"""),474.3)</f>
        <v>474.3</v>
      </c>
      <c r="M181" s="1">
        <f ca="1">IFERROR(__xludf.DUMMYFUNCTION("""COMPUTED_VALUE"""),470.2)</f>
        <v>470.2</v>
      </c>
    </row>
    <row r="182" spans="1:13" x14ac:dyDescent="0.25">
      <c r="A182" s="2">
        <f ca="1">IFERROR(__xludf.DUMMYFUNCTION("""COMPUTED_VALUE"""),44095.6666666666)</f>
        <v>44095.666666666599</v>
      </c>
      <c r="B182" s="1">
        <f ca="1">IFERROR(__xludf.DUMMYFUNCTION("""COMPUTED_VALUE"""),110.08)</f>
        <v>110.08</v>
      </c>
      <c r="C182" s="1">
        <f ca="1">IFERROR(__xludf.DUMMYFUNCTION("""COMPUTED_VALUE"""),200.39)</f>
        <v>200.39</v>
      </c>
      <c r="D182" s="1">
        <f ca="1">IFERROR(__xludf.DUMMYFUNCTION("""COMPUTED_VALUE"""),147.75)</f>
        <v>147.75</v>
      </c>
      <c r="E182" s="1">
        <f ca="1">IFERROR(__xludf.DUMMYFUNCTION("""COMPUTED_VALUE"""),12.19)</f>
        <v>12.19</v>
      </c>
      <c r="F182" s="1">
        <f ca="1">IFERROR(__xludf.DUMMYFUNCTION("""COMPUTED_VALUE"""),252.53)</f>
        <v>252.53</v>
      </c>
      <c r="G182" s="1">
        <f ca="1">IFERROR(__xludf.DUMMYFUNCTION("""COMPUTED_VALUE"""),73)</f>
        <v>73</v>
      </c>
      <c r="H182" s="1">
        <f ca="1">IFERROR(__xludf.DUMMYFUNCTION("""COMPUTED_VALUE"""),147.38)</f>
        <v>147.38</v>
      </c>
      <c r="I182" s="1">
        <f ca="1">IFERROR(__xludf.DUMMYFUNCTION("""COMPUTED_VALUE"""),131.47)</f>
        <v>131.47</v>
      </c>
      <c r="J182" s="1">
        <f ca="1">IFERROR(__xludf.DUMMYFUNCTION("""COMPUTED_VALUE"""),335.96)</f>
        <v>335.96</v>
      </c>
      <c r="K182" s="1">
        <f ca="1">IFERROR(__xludf.DUMMYFUNCTION("""COMPUTED_VALUE"""),35.97)</f>
        <v>35.97</v>
      </c>
      <c r="L182" s="1">
        <f ca="1">IFERROR(__xludf.DUMMYFUNCTION("""COMPUTED_VALUE"""),467.55)</f>
        <v>467.55</v>
      </c>
      <c r="M182" s="1">
        <f ca="1">IFERROR(__xludf.DUMMYFUNCTION("""COMPUTED_VALUE"""),469.96)</f>
        <v>469.96</v>
      </c>
    </row>
    <row r="183" spans="1:13" x14ac:dyDescent="0.25">
      <c r="A183" s="2">
        <f ca="1">IFERROR(__xludf.DUMMYFUNCTION("""COMPUTED_VALUE"""),44096.6666666666)</f>
        <v>44096.666666666599</v>
      </c>
      <c r="B183" s="1">
        <f ca="1">IFERROR(__xludf.DUMMYFUNCTION("""COMPUTED_VALUE"""),111.81)</f>
        <v>111.81</v>
      </c>
      <c r="C183" s="1">
        <f ca="1">IFERROR(__xludf.DUMMYFUNCTION("""COMPUTED_VALUE"""),202.54)</f>
        <v>202.54</v>
      </c>
      <c r="D183" s="1">
        <f ca="1">IFERROR(__xludf.DUMMYFUNCTION("""COMPUTED_VALUE"""),148.02)</f>
        <v>148.02000000000001</v>
      </c>
      <c r="E183" s="1">
        <f ca="1">IFERROR(__xludf.DUMMYFUNCTION("""COMPUTED_VALUE"""),12.52)</f>
        <v>12.52</v>
      </c>
      <c r="F183" s="1">
        <f ca="1">IFERROR(__xludf.DUMMYFUNCTION("""COMPUTED_VALUE"""),248.15)</f>
        <v>248.15</v>
      </c>
      <c r="G183" s="1">
        <f ca="1">IFERROR(__xludf.DUMMYFUNCTION("""COMPUTED_VALUE"""),71.56)</f>
        <v>71.56</v>
      </c>
      <c r="H183" s="1">
        <f ca="1">IFERROR(__xludf.DUMMYFUNCTION("""COMPUTED_VALUE"""),149.8)</f>
        <v>149.80000000000001</v>
      </c>
      <c r="I183" s="1">
        <f ca="1">IFERROR(__xludf.DUMMYFUNCTION("""COMPUTED_VALUE"""),131.24)</f>
        <v>131.24</v>
      </c>
      <c r="J183" s="1">
        <f ca="1">IFERROR(__xludf.DUMMYFUNCTION("""COMPUTED_VALUE"""),339.57)</f>
        <v>339.57</v>
      </c>
      <c r="K183" s="1">
        <f ca="1">IFERROR(__xludf.DUMMYFUNCTION("""COMPUTED_VALUE"""),35.18)</f>
        <v>35.18</v>
      </c>
      <c r="L183" s="1">
        <f ca="1">IFERROR(__xludf.DUMMYFUNCTION("""COMPUTED_VALUE"""),475.64)</f>
        <v>475.64</v>
      </c>
      <c r="M183" s="1">
        <f ca="1">IFERROR(__xludf.DUMMYFUNCTION("""COMPUTED_VALUE"""),487.35)</f>
        <v>487.35</v>
      </c>
    </row>
    <row r="184" spans="1:13" x14ac:dyDescent="0.25">
      <c r="A184" s="2">
        <f ca="1">IFERROR(__xludf.DUMMYFUNCTION("""COMPUTED_VALUE"""),44097.6666666666)</f>
        <v>44097.666666666599</v>
      </c>
      <c r="B184" s="1">
        <f ca="1">IFERROR(__xludf.DUMMYFUNCTION("""COMPUTED_VALUE"""),107.12)</f>
        <v>107.12</v>
      </c>
      <c r="C184" s="1">
        <f ca="1">IFERROR(__xludf.DUMMYFUNCTION("""COMPUTED_VALUE"""),207.42)</f>
        <v>207.42</v>
      </c>
      <c r="D184" s="1">
        <f ca="1">IFERROR(__xludf.DUMMYFUNCTION("""COMPUTED_VALUE"""),156.45)</f>
        <v>156.44999999999999</v>
      </c>
      <c r="E184" s="1">
        <f ca="1">IFERROR(__xludf.DUMMYFUNCTION("""COMPUTED_VALUE"""),12.64)</f>
        <v>12.64</v>
      </c>
      <c r="F184" s="1">
        <f ca="1">IFERROR(__xludf.DUMMYFUNCTION("""COMPUTED_VALUE"""),254.75)</f>
        <v>254.75</v>
      </c>
      <c r="G184" s="1">
        <f ca="1">IFERROR(__xludf.DUMMYFUNCTION("""COMPUTED_VALUE"""),73.27)</f>
        <v>73.27</v>
      </c>
      <c r="H184" s="1">
        <f ca="1">IFERROR(__xludf.DUMMYFUNCTION("""COMPUTED_VALUE"""),141.41)</f>
        <v>141.41</v>
      </c>
      <c r="I184" s="1">
        <f ca="1">IFERROR(__xludf.DUMMYFUNCTION("""COMPUTED_VALUE"""),132.15)</f>
        <v>132.15</v>
      </c>
      <c r="J184" s="1">
        <f ca="1">IFERROR(__xludf.DUMMYFUNCTION("""COMPUTED_VALUE"""),344.45)</f>
        <v>344.45</v>
      </c>
      <c r="K184" s="1">
        <f ca="1">IFERROR(__xludf.DUMMYFUNCTION("""COMPUTED_VALUE"""),36.16)</f>
        <v>36.159999999999997</v>
      </c>
      <c r="L184" s="1">
        <f ca="1">IFERROR(__xludf.DUMMYFUNCTION("""COMPUTED_VALUE"""),486.78)</f>
        <v>486.78</v>
      </c>
      <c r="M184" s="1">
        <f ca="1">IFERROR(__xludf.DUMMYFUNCTION("""COMPUTED_VALUE"""),491.17)</f>
        <v>491.17</v>
      </c>
    </row>
    <row r="185" spans="1:13" x14ac:dyDescent="0.25">
      <c r="A185" s="2">
        <f ca="1">IFERROR(__xludf.DUMMYFUNCTION("""COMPUTED_VALUE"""),44098.6666666666)</f>
        <v>44098.666666666599</v>
      </c>
      <c r="B185" s="1">
        <f ca="1">IFERROR(__xludf.DUMMYFUNCTION("""COMPUTED_VALUE"""),108.22)</f>
        <v>108.22</v>
      </c>
      <c r="C185" s="1">
        <f ca="1">IFERROR(__xludf.DUMMYFUNCTION("""COMPUTED_VALUE"""),200.59)</f>
        <v>200.59</v>
      </c>
      <c r="D185" s="1">
        <f ca="1">IFERROR(__xludf.DUMMYFUNCTION("""COMPUTED_VALUE"""),149.99)</f>
        <v>149.99</v>
      </c>
      <c r="E185" s="1">
        <f ca="1">IFERROR(__xludf.DUMMYFUNCTION("""COMPUTED_VALUE"""),12.12)</f>
        <v>12.12</v>
      </c>
      <c r="F185" s="1">
        <f ca="1">IFERROR(__xludf.DUMMYFUNCTION("""COMPUTED_VALUE"""),249.02)</f>
        <v>249.02</v>
      </c>
      <c r="G185" s="1">
        <f ca="1">IFERROR(__xludf.DUMMYFUNCTION("""COMPUTED_VALUE"""),70.76)</f>
        <v>70.760000000000005</v>
      </c>
      <c r="H185" s="1">
        <f ca="1">IFERROR(__xludf.DUMMYFUNCTION("""COMPUTED_VALUE"""),126.79)</f>
        <v>126.79</v>
      </c>
      <c r="I185" s="1">
        <f ca="1">IFERROR(__xludf.DUMMYFUNCTION("""COMPUTED_VALUE"""),131)</f>
        <v>131</v>
      </c>
      <c r="J185" s="1">
        <f ca="1">IFERROR(__xludf.DUMMYFUNCTION("""COMPUTED_VALUE"""),344.63)</f>
        <v>344.63</v>
      </c>
      <c r="K185" s="1">
        <f ca="1">IFERROR(__xludf.DUMMYFUNCTION("""COMPUTED_VALUE"""),35.16)</f>
        <v>35.159999999999997</v>
      </c>
      <c r="L185" s="1">
        <f ca="1">IFERROR(__xludf.DUMMYFUNCTION("""COMPUTED_VALUE"""),470.39)</f>
        <v>470.39</v>
      </c>
      <c r="M185" s="1">
        <f ca="1">IFERROR(__xludf.DUMMYFUNCTION("""COMPUTED_VALUE"""),470.61)</f>
        <v>470.61</v>
      </c>
    </row>
    <row r="186" spans="1:13" x14ac:dyDescent="0.25">
      <c r="A186" s="2">
        <f ca="1">IFERROR(__xludf.DUMMYFUNCTION("""COMPUTED_VALUE"""),44099.6666666666)</f>
        <v>44099.666666666599</v>
      </c>
      <c r="B186" s="1">
        <f ca="1">IFERROR(__xludf.DUMMYFUNCTION("""COMPUTED_VALUE"""),112.28)</f>
        <v>112.28</v>
      </c>
      <c r="C186" s="1">
        <f ca="1">IFERROR(__xludf.DUMMYFUNCTION("""COMPUTED_VALUE"""),203.19)</f>
        <v>203.19</v>
      </c>
      <c r="D186" s="1">
        <f ca="1">IFERROR(__xludf.DUMMYFUNCTION("""COMPUTED_VALUE"""),150.99)</f>
        <v>150.99</v>
      </c>
      <c r="E186" s="1">
        <f ca="1">IFERROR(__xludf.DUMMYFUNCTION("""COMPUTED_VALUE"""),12.35)</f>
        <v>12.35</v>
      </c>
      <c r="F186" s="1">
        <f ca="1">IFERROR(__xludf.DUMMYFUNCTION("""COMPUTED_VALUE"""),249.53)</f>
        <v>249.53</v>
      </c>
      <c r="G186" s="1">
        <f ca="1">IFERROR(__xludf.DUMMYFUNCTION("""COMPUTED_VALUE"""),71.41)</f>
        <v>71.41</v>
      </c>
      <c r="H186" s="1">
        <f ca="1">IFERROR(__xludf.DUMMYFUNCTION("""COMPUTED_VALUE"""),129.26)</f>
        <v>129.26</v>
      </c>
      <c r="I186" s="1">
        <f ca="1">IFERROR(__xludf.DUMMYFUNCTION("""COMPUTED_VALUE"""),131.58)</f>
        <v>131.58000000000001</v>
      </c>
      <c r="J186" s="1">
        <f ca="1">IFERROR(__xludf.DUMMYFUNCTION("""COMPUTED_VALUE"""),347)</f>
        <v>347</v>
      </c>
      <c r="K186" s="1">
        <f ca="1">IFERROR(__xludf.DUMMYFUNCTION("""COMPUTED_VALUE"""),35.25)</f>
        <v>35.25</v>
      </c>
      <c r="L186" s="1">
        <f ca="1">IFERROR(__xludf.DUMMYFUNCTION("""COMPUTED_VALUE"""),467.67)</f>
        <v>467.67</v>
      </c>
      <c r="M186" s="1">
        <f ca="1">IFERROR(__xludf.DUMMYFUNCTION("""COMPUTED_VALUE"""),473.08)</f>
        <v>473.08</v>
      </c>
    </row>
    <row r="187" spans="1:13" x14ac:dyDescent="0.25">
      <c r="A187" s="2">
        <f ca="1">IFERROR(__xludf.DUMMYFUNCTION("""COMPUTED_VALUE"""),44102.6666666666)</f>
        <v>44102.666666666599</v>
      </c>
      <c r="B187" s="1">
        <f ca="1">IFERROR(__xludf.DUMMYFUNCTION("""COMPUTED_VALUE"""),114.96)</f>
        <v>114.96</v>
      </c>
      <c r="C187" s="1">
        <f ca="1">IFERROR(__xludf.DUMMYFUNCTION("""COMPUTED_VALUE"""),207.82)</f>
        <v>207.82</v>
      </c>
      <c r="D187" s="1">
        <f ca="1">IFERROR(__xludf.DUMMYFUNCTION("""COMPUTED_VALUE"""),154.76)</f>
        <v>154.76</v>
      </c>
      <c r="E187" s="1">
        <f ca="1">IFERROR(__xludf.DUMMYFUNCTION("""COMPUTED_VALUE"""),12.87)</f>
        <v>12.87</v>
      </c>
      <c r="F187" s="1">
        <f ca="1">IFERROR(__xludf.DUMMYFUNCTION("""COMPUTED_VALUE"""),254.82)</f>
        <v>254.82</v>
      </c>
      <c r="G187" s="1">
        <f ca="1">IFERROR(__xludf.DUMMYFUNCTION("""COMPUTED_VALUE"""),72.25)</f>
        <v>72.25</v>
      </c>
      <c r="H187" s="1">
        <f ca="1">IFERROR(__xludf.DUMMYFUNCTION("""COMPUTED_VALUE"""),135.78)</f>
        <v>135.78</v>
      </c>
      <c r="I187" s="1">
        <f ca="1">IFERROR(__xludf.DUMMYFUNCTION("""COMPUTED_VALUE"""),133.55)</f>
        <v>133.55000000000001</v>
      </c>
      <c r="J187" s="1">
        <f ca="1">IFERROR(__xludf.DUMMYFUNCTION("""COMPUTED_VALUE"""),342.58)</f>
        <v>342.58</v>
      </c>
      <c r="K187" s="1">
        <f ca="1">IFERROR(__xludf.DUMMYFUNCTION("""COMPUTED_VALUE"""),35.68)</f>
        <v>35.68</v>
      </c>
      <c r="L187" s="1">
        <f ca="1">IFERROR(__xludf.DUMMYFUNCTION("""COMPUTED_VALUE"""),479.78)</f>
        <v>479.78</v>
      </c>
      <c r="M187" s="1">
        <f ca="1">IFERROR(__xludf.DUMMYFUNCTION("""COMPUTED_VALUE"""),482.88)</f>
        <v>482.88</v>
      </c>
    </row>
    <row r="188" spans="1:13" x14ac:dyDescent="0.25">
      <c r="A188" s="2">
        <f ca="1">IFERROR(__xludf.DUMMYFUNCTION("""COMPUTED_VALUE"""),44103.6666666666)</f>
        <v>44103.666666666599</v>
      </c>
      <c r="B188" s="1">
        <f ca="1">IFERROR(__xludf.DUMMYFUNCTION("""COMPUTED_VALUE"""),114.09)</f>
        <v>114.09</v>
      </c>
      <c r="C188" s="1">
        <f ca="1">IFERROR(__xludf.DUMMYFUNCTION("""COMPUTED_VALUE"""),209.44)</f>
        <v>209.44</v>
      </c>
      <c r="D188" s="1">
        <f ca="1">IFERROR(__xludf.DUMMYFUNCTION("""COMPUTED_VALUE"""),158.7)</f>
        <v>158.69999999999999</v>
      </c>
      <c r="E188" s="1">
        <f ca="1">IFERROR(__xludf.DUMMYFUNCTION("""COMPUTED_VALUE"""),13.04)</f>
        <v>13.04</v>
      </c>
      <c r="F188" s="1">
        <f ca="1">IFERROR(__xludf.DUMMYFUNCTION("""COMPUTED_VALUE"""),256.82)</f>
        <v>256.82</v>
      </c>
      <c r="G188" s="1">
        <f ca="1">IFERROR(__xludf.DUMMYFUNCTION("""COMPUTED_VALUE"""),73.23)</f>
        <v>73.23</v>
      </c>
      <c r="H188" s="1">
        <f ca="1">IFERROR(__xludf.DUMMYFUNCTION("""COMPUTED_VALUE"""),140.4)</f>
        <v>140.4</v>
      </c>
      <c r="I188" s="1">
        <f ca="1">IFERROR(__xludf.DUMMYFUNCTION("""COMPUTED_VALUE"""),137.97)</f>
        <v>137.97</v>
      </c>
      <c r="J188" s="1">
        <f ca="1">IFERROR(__xludf.DUMMYFUNCTION("""COMPUTED_VALUE"""),349.62)</f>
        <v>349.62</v>
      </c>
      <c r="K188" s="1">
        <f ca="1">IFERROR(__xludf.DUMMYFUNCTION("""COMPUTED_VALUE"""),36.73)</f>
        <v>36.729999999999997</v>
      </c>
      <c r="L188" s="1">
        <f ca="1">IFERROR(__xludf.DUMMYFUNCTION("""COMPUTED_VALUE"""),488.51)</f>
        <v>488.51</v>
      </c>
      <c r="M188" s="1">
        <f ca="1">IFERROR(__xludf.DUMMYFUNCTION("""COMPUTED_VALUE"""),490.65)</f>
        <v>490.65</v>
      </c>
    </row>
    <row r="189" spans="1:13" x14ac:dyDescent="0.25">
      <c r="A189" s="2">
        <f ca="1">IFERROR(__xludf.DUMMYFUNCTION("""COMPUTED_VALUE"""),44104.6666666666)</f>
        <v>44104.666666666599</v>
      </c>
      <c r="B189" s="1">
        <f ca="1">IFERROR(__xludf.DUMMYFUNCTION("""COMPUTED_VALUE"""),115.81)</f>
        <v>115.81</v>
      </c>
      <c r="C189" s="1">
        <f ca="1">IFERROR(__xludf.DUMMYFUNCTION("""COMPUTED_VALUE"""),207.26)</f>
        <v>207.26</v>
      </c>
      <c r="D189" s="1">
        <f ca="1">IFERROR(__xludf.DUMMYFUNCTION("""COMPUTED_VALUE"""),157.24)</f>
        <v>157.24</v>
      </c>
      <c r="E189" s="1">
        <f ca="1">IFERROR(__xludf.DUMMYFUNCTION("""COMPUTED_VALUE"""),13.23)</f>
        <v>13.23</v>
      </c>
      <c r="F189" s="1">
        <f ca="1">IFERROR(__xludf.DUMMYFUNCTION("""COMPUTED_VALUE"""),261.79)</f>
        <v>261.79000000000002</v>
      </c>
      <c r="G189" s="1">
        <f ca="1">IFERROR(__xludf.DUMMYFUNCTION("""COMPUTED_VALUE"""),73.47)</f>
        <v>73.47</v>
      </c>
      <c r="H189" s="1">
        <f ca="1">IFERROR(__xludf.DUMMYFUNCTION("""COMPUTED_VALUE"""),139.69)</f>
        <v>139.69</v>
      </c>
      <c r="I189" s="1">
        <f ca="1">IFERROR(__xludf.DUMMYFUNCTION("""COMPUTED_VALUE"""),137.16)</f>
        <v>137.16</v>
      </c>
      <c r="J189" s="1">
        <f ca="1">IFERROR(__xludf.DUMMYFUNCTION("""COMPUTED_VALUE"""),352.14)</f>
        <v>352.14</v>
      </c>
      <c r="K189" s="1">
        <f ca="1">IFERROR(__xludf.DUMMYFUNCTION("""COMPUTED_VALUE"""),36.43)</f>
        <v>36.43</v>
      </c>
      <c r="L189" s="1">
        <f ca="1">IFERROR(__xludf.DUMMYFUNCTION("""COMPUTED_VALUE"""),489.33)</f>
        <v>489.33</v>
      </c>
      <c r="M189" s="1">
        <f ca="1">IFERROR(__xludf.DUMMYFUNCTION("""COMPUTED_VALUE"""),493.48)</f>
        <v>493.48</v>
      </c>
    </row>
    <row r="190" spans="1:13" x14ac:dyDescent="0.25">
      <c r="A190" s="2">
        <f ca="1">IFERROR(__xludf.DUMMYFUNCTION("""COMPUTED_VALUE"""),44105.6666666666)</f>
        <v>44105.666666666599</v>
      </c>
      <c r="B190" s="1">
        <f ca="1">IFERROR(__xludf.DUMMYFUNCTION("""COMPUTED_VALUE"""),116.79)</f>
        <v>116.79</v>
      </c>
      <c r="C190" s="1">
        <f ca="1">IFERROR(__xludf.DUMMYFUNCTION("""COMPUTED_VALUE"""),210.33)</f>
        <v>210.33</v>
      </c>
      <c r="D190" s="1">
        <f ca="1">IFERROR(__xludf.DUMMYFUNCTION("""COMPUTED_VALUE"""),157.44)</f>
        <v>157.44</v>
      </c>
      <c r="E190" s="1">
        <f ca="1">IFERROR(__xludf.DUMMYFUNCTION("""COMPUTED_VALUE"""),13.53)</f>
        <v>13.53</v>
      </c>
      <c r="F190" s="1">
        <f ca="1">IFERROR(__xludf.DUMMYFUNCTION("""COMPUTED_VALUE"""),261.9)</f>
        <v>261.89999999999998</v>
      </c>
      <c r="G190" s="1">
        <f ca="1">IFERROR(__xludf.DUMMYFUNCTION("""COMPUTED_VALUE"""),73.48)</f>
        <v>73.48</v>
      </c>
      <c r="H190" s="1">
        <f ca="1">IFERROR(__xludf.DUMMYFUNCTION("""COMPUTED_VALUE"""),143)</f>
        <v>143</v>
      </c>
      <c r="I190" s="1">
        <f ca="1">IFERROR(__xludf.DUMMYFUNCTION("""COMPUTED_VALUE"""),138.6)</f>
        <v>138.6</v>
      </c>
      <c r="J190" s="1">
        <f ca="1">IFERROR(__xludf.DUMMYFUNCTION("""COMPUTED_VALUE"""),355)</f>
        <v>355</v>
      </c>
      <c r="K190" s="1">
        <f ca="1">IFERROR(__xludf.DUMMYFUNCTION("""COMPUTED_VALUE"""),36.43)</f>
        <v>36.43</v>
      </c>
      <c r="L190" s="1">
        <f ca="1">IFERROR(__xludf.DUMMYFUNCTION("""COMPUTED_VALUE"""),490.43)</f>
        <v>490.43</v>
      </c>
      <c r="M190" s="1">
        <f ca="1">IFERROR(__xludf.DUMMYFUNCTION("""COMPUTED_VALUE"""),500.03)</f>
        <v>500.03</v>
      </c>
    </row>
    <row r="191" spans="1:13" x14ac:dyDescent="0.25">
      <c r="A191" s="2">
        <f ca="1">IFERROR(__xludf.DUMMYFUNCTION("""COMPUTED_VALUE"""),44106.6666666666)</f>
        <v>44106.666666666599</v>
      </c>
      <c r="B191" s="1">
        <f ca="1">IFERROR(__xludf.DUMMYFUNCTION("""COMPUTED_VALUE"""),113.02)</f>
        <v>113.02</v>
      </c>
      <c r="C191" s="1">
        <f ca="1">IFERROR(__xludf.DUMMYFUNCTION("""COMPUTED_VALUE"""),212.46)</f>
        <v>212.46</v>
      </c>
      <c r="D191" s="1">
        <f ca="1">IFERROR(__xludf.DUMMYFUNCTION("""COMPUTED_VALUE"""),161.06)</f>
        <v>161.06</v>
      </c>
      <c r="E191" s="1">
        <f ca="1">IFERROR(__xludf.DUMMYFUNCTION("""COMPUTED_VALUE"""),13.61)</f>
        <v>13.61</v>
      </c>
      <c r="F191" s="1">
        <f ca="1">IFERROR(__xludf.DUMMYFUNCTION("""COMPUTED_VALUE"""),266.63)</f>
        <v>266.63</v>
      </c>
      <c r="G191" s="1">
        <f ca="1">IFERROR(__xludf.DUMMYFUNCTION("""COMPUTED_VALUE"""),74.5)</f>
        <v>74.5</v>
      </c>
      <c r="H191" s="1">
        <f ca="1">IFERROR(__xludf.DUMMYFUNCTION("""COMPUTED_VALUE"""),149.39)</f>
        <v>149.38999999999999</v>
      </c>
      <c r="I191" s="1">
        <f ca="1">IFERROR(__xludf.DUMMYFUNCTION("""COMPUTED_VALUE"""),140.8)</f>
        <v>140.80000000000001</v>
      </c>
      <c r="J191" s="1">
        <f ca="1">IFERROR(__xludf.DUMMYFUNCTION("""COMPUTED_VALUE"""),358.46)</f>
        <v>358.46</v>
      </c>
      <c r="K191" s="1">
        <f ca="1">IFERROR(__xludf.DUMMYFUNCTION("""COMPUTED_VALUE"""),36.86)</f>
        <v>36.86</v>
      </c>
      <c r="L191" s="1">
        <f ca="1">IFERROR(__xludf.DUMMYFUNCTION("""COMPUTED_VALUE"""),499.51)</f>
        <v>499.51</v>
      </c>
      <c r="M191" s="1">
        <f ca="1">IFERROR(__xludf.DUMMYFUNCTION("""COMPUTED_VALUE"""),527.51)</f>
        <v>527.51</v>
      </c>
    </row>
    <row r="192" spans="1:13" x14ac:dyDescent="0.25">
      <c r="A192" s="2">
        <f ca="1">IFERROR(__xludf.DUMMYFUNCTION("""COMPUTED_VALUE"""),44109.6666666666)</f>
        <v>44109.666666666599</v>
      </c>
      <c r="B192" s="1">
        <f ca="1">IFERROR(__xludf.DUMMYFUNCTION("""COMPUTED_VALUE"""),116.5)</f>
        <v>116.5</v>
      </c>
      <c r="C192" s="1">
        <f ca="1">IFERROR(__xludf.DUMMYFUNCTION("""COMPUTED_VALUE"""),206.19)</f>
        <v>206.19</v>
      </c>
      <c r="D192" s="1">
        <f ca="1">IFERROR(__xludf.DUMMYFUNCTION("""COMPUTED_VALUE"""),156.25)</f>
        <v>156.25</v>
      </c>
      <c r="E192" s="1">
        <f ca="1">IFERROR(__xludf.DUMMYFUNCTION("""COMPUTED_VALUE"""),13.06)</f>
        <v>13.06</v>
      </c>
      <c r="F192" s="1">
        <f ca="1">IFERROR(__xludf.DUMMYFUNCTION("""COMPUTED_VALUE"""),259.94)</f>
        <v>259.94</v>
      </c>
      <c r="G192" s="1">
        <f ca="1">IFERROR(__xludf.DUMMYFUNCTION("""COMPUTED_VALUE"""),72.92)</f>
        <v>72.92</v>
      </c>
      <c r="H192" s="1">
        <f ca="1">IFERROR(__xludf.DUMMYFUNCTION("""COMPUTED_VALUE"""),138.36)</f>
        <v>138.36000000000001</v>
      </c>
      <c r="I192" s="1">
        <f ca="1">IFERROR(__xludf.DUMMYFUNCTION("""COMPUTED_VALUE"""),138.06)</f>
        <v>138.06</v>
      </c>
      <c r="J192" s="1">
        <f ca="1">IFERROR(__xludf.DUMMYFUNCTION("""COMPUTED_VALUE"""),355.01)</f>
        <v>355.01</v>
      </c>
      <c r="K192" s="1">
        <f ca="1">IFERROR(__xludf.DUMMYFUNCTION("""COMPUTED_VALUE"""),35.68)</f>
        <v>35.68</v>
      </c>
      <c r="L192" s="1">
        <f ca="1">IFERROR(__xludf.DUMMYFUNCTION("""COMPUTED_VALUE"""),478.99)</f>
        <v>478.99</v>
      </c>
      <c r="M192" s="1">
        <f ca="1">IFERROR(__xludf.DUMMYFUNCTION("""COMPUTED_VALUE"""),503.06)</f>
        <v>503.06</v>
      </c>
    </row>
    <row r="193" spans="1:13" x14ac:dyDescent="0.25">
      <c r="A193" s="2">
        <f ca="1">IFERROR(__xludf.DUMMYFUNCTION("""COMPUTED_VALUE"""),44110.6666666666)</f>
        <v>44110.666666666599</v>
      </c>
      <c r="B193" s="1">
        <f ca="1">IFERROR(__xludf.DUMMYFUNCTION("""COMPUTED_VALUE"""),113.16)</f>
        <v>113.16</v>
      </c>
      <c r="C193" s="1">
        <f ca="1">IFERROR(__xludf.DUMMYFUNCTION("""COMPUTED_VALUE"""),210.38)</f>
        <v>210.38</v>
      </c>
      <c r="D193" s="1">
        <f ca="1">IFERROR(__xludf.DUMMYFUNCTION("""COMPUTED_VALUE"""),159.96)</f>
        <v>159.96</v>
      </c>
      <c r="E193" s="1">
        <f ca="1">IFERROR(__xludf.DUMMYFUNCTION("""COMPUTED_VALUE"""),13.64)</f>
        <v>13.64</v>
      </c>
      <c r="F193" s="1">
        <f ca="1">IFERROR(__xludf.DUMMYFUNCTION("""COMPUTED_VALUE"""),264.65)</f>
        <v>264.64999999999998</v>
      </c>
      <c r="G193" s="1">
        <f ca="1">IFERROR(__xludf.DUMMYFUNCTION("""COMPUTED_VALUE"""),74.3)</f>
        <v>74.3</v>
      </c>
      <c r="H193" s="1">
        <f ca="1">IFERROR(__xludf.DUMMYFUNCTION("""COMPUTED_VALUE"""),141.89)</f>
        <v>141.88999999999999</v>
      </c>
      <c r="I193" s="1">
        <f ca="1">IFERROR(__xludf.DUMMYFUNCTION("""COMPUTED_VALUE"""),137.93)</f>
        <v>137.93</v>
      </c>
      <c r="J193" s="1">
        <f ca="1">IFERROR(__xludf.DUMMYFUNCTION("""COMPUTED_VALUE"""),358.58)</f>
        <v>358.58</v>
      </c>
      <c r="K193" s="1">
        <f ca="1">IFERROR(__xludf.DUMMYFUNCTION("""COMPUTED_VALUE"""),36.61)</f>
        <v>36.61</v>
      </c>
      <c r="L193" s="1">
        <f ca="1">IFERROR(__xludf.DUMMYFUNCTION("""COMPUTED_VALUE"""),486.47)</f>
        <v>486.47</v>
      </c>
      <c r="M193" s="1">
        <f ca="1">IFERROR(__xludf.DUMMYFUNCTION("""COMPUTED_VALUE"""),520.65)</f>
        <v>520.65</v>
      </c>
    </row>
    <row r="194" spans="1:13" x14ac:dyDescent="0.25">
      <c r="A194" s="2">
        <f ca="1">IFERROR(__xludf.DUMMYFUNCTION("""COMPUTED_VALUE"""),44111.6666666666)</f>
        <v>44111.666666666599</v>
      </c>
      <c r="B194" s="1">
        <f ca="1">IFERROR(__xludf.DUMMYFUNCTION("""COMPUTED_VALUE"""),115.08)</f>
        <v>115.08</v>
      </c>
      <c r="C194" s="1">
        <f ca="1">IFERROR(__xludf.DUMMYFUNCTION("""COMPUTED_VALUE"""),205.91)</f>
        <v>205.91</v>
      </c>
      <c r="D194" s="1">
        <f ca="1">IFERROR(__xludf.DUMMYFUNCTION("""COMPUTED_VALUE"""),155)</f>
        <v>155</v>
      </c>
      <c r="E194" s="1">
        <f ca="1">IFERROR(__xludf.DUMMYFUNCTION("""COMPUTED_VALUE"""),13.74)</f>
        <v>13.74</v>
      </c>
      <c r="F194" s="1">
        <f ca="1">IFERROR(__xludf.DUMMYFUNCTION("""COMPUTED_VALUE"""),258.66)</f>
        <v>258.66000000000003</v>
      </c>
      <c r="G194" s="1">
        <f ca="1">IFERROR(__xludf.DUMMYFUNCTION("""COMPUTED_VALUE"""),72.67)</f>
        <v>72.67</v>
      </c>
      <c r="H194" s="1">
        <f ca="1">IFERROR(__xludf.DUMMYFUNCTION("""COMPUTED_VALUE"""),137.99)</f>
        <v>137.99</v>
      </c>
      <c r="I194" s="1">
        <f ca="1">IFERROR(__xludf.DUMMYFUNCTION("""COMPUTED_VALUE"""),135.7)</f>
        <v>135.69999999999999</v>
      </c>
      <c r="J194" s="1">
        <f ca="1">IFERROR(__xludf.DUMMYFUNCTION("""COMPUTED_VALUE"""),358.35)</f>
        <v>358.35</v>
      </c>
      <c r="K194" s="1">
        <f ca="1">IFERROR(__xludf.DUMMYFUNCTION("""COMPUTED_VALUE"""),36.4)</f>
        <v>36.4</v>
      </c>
      <c r="L194" s="1">
        <f ca="1">IFERROR(__xludf.DUMMYFUNCTION("""COMPUTED_VALUE"""),478.98)</f>
        <v>478.98</v>
      </c>
      <c r="M194" s="1">
        <f ca="1">IFERROR(__xludf.DUMMYFUNCTION("""COMPUTED_VALUE"""),505.87)</f>
        <v>505.87</v>
      </c>
    </row>
    <row r="195" spans="1:13" x14ac:dyDescent="0.25">
      <c r="A195" s="2">
        <f ca="1">IFERROR(__xludf.DUMMYFUNCTION("""COMPUTED_VALUE"""),44112.6666666666)</f>
        <v>44112.666666666599</v>
      </c>
      <c r="B195" s="1">
        <f ca="1">IFERROR(__xludf.DUMMYFUNCTION("""COMPUTED_VALUE"""),114.97)</f>
        <v>114.97</v>
      </c>
      <c r="C195" s="1">
        <f ca="1">IFERROR(__xludf.DUMMYFUNCTION("""COMPUTED_VALUE"""),209.83)</f>
        <v>209.83</v>
      </c>
      <c r="D195" s="1">
        <f ca="1">IFERROR(__xludf.DUMMYFUNCTION("""COMPUTED_VALUE"""),159.78)</f>
        <v>159.78</v>
      </c>
      <c r="E195" s="1">
        <f ca="1">IFERROR(__xludf.DUMMYFUNCTION("""COMPUTED_VALUE"""),13.96)</f>
        <v>13.96</v>
      </c>
      <c r="F195" s="1">
        <f ca="1">IFERROR(__xludf.DUMMYFUNCTION("""COMPUTED_VALUE"""),258.12)</f>
        <v>258.12</v>
      </c>
      <c r="G195" s="1">
        <f ca="1">IFERROR(__xludf.DUMMYFUNCTION("""COMPUTED_VALUE"""),73.01)</f>
        <v>73.010000000000005</v>
      </c>
      <c r="H195" s="1">
        <f ca="1">IFERROR(__xludf.DUMMYFUNCTION("""COMPUTED_VALUE"""),141.77)</f>
        <v>141.77000000000001</v>
      </c>
      <c r="I195" s="1">
        <f ca="1">IFERROR(__xludf.DUMMYFUNCTION("""COMPUTED_VALUE"""),137.01)</f>
        <v>137.01</v>
      </c>
      <c r="J195" s="1">
        <f ca="1">IFERROR(__xludf.DUMMYFUNCTION("""COMPUTED_VALUE"""),363.02)</f>
        <v>363.02</v>
      </c>
      <c r="K195" s="1">
        <f ca="1">IFERROR(__xludf.DUMMYFUNCTION("""COMPUTED_VALUE"""),36.67)</f>
        <v>36.67</v>
      </c>
      <c r="L195" s="1">
        <f ca="1">IFERROR(__xludf.DUMMYFUNCTION("""COMPUTED_VALUE"""),493.15)</f>
        <v>493.15</v>
      </c>
      <c r="M195" s="1">
        <f ca="1">IFERROR(__xludf.DUMMYFUNCTION("""COMPUTED_VALUE"""),534.66)</f>
        <v>534.66</v>
      </c>
    </row>
    <row r="196" spans="1:13" x14ac:dyDescent="0.25">
      <c r="A196" s="2">
        <f ca="1">IFERROR(__xludf.DUMMYFUNCTION("""COMPUTED_VALUE"""),44113.6666666666)</f>
        <v>44113.666666666599</v>
      </c>
      <c r="B196" s="1">
        <f ca="1">IFERROR(__xludf.DUMMYFUNCTION("""COMPUTED_VALUE"""),116.97)</f>
        <v>116.97</v>
      </c>
      <c r="C196" s="1">
        <f ca="1">IFERROR(__xludf.DUMMYFUNCTION("""COMPUTED_VALUE"""),210.58)</f>
        <v>210.58</v>
      </c>
      <c r="D196" s="1">
        <f ca="1">IFERROR(__xludf.DUMMYFUNCTION("""COMPUTED_VALUE"""),159.53)</f>
        <v>159.53</v>
      </c>
      <c r="E196" s="1">
        <f ca="1">IFERROR(__xludf.DUMMYFUNCTION("""COMPUTED_VALUE"""),13.84)</f>
        <v>13.84</v>
      </c>
      <c r="F196" s="1">
        <f ca="1">IFERROR(__xludf.DUMMYFUNCTION("""COMPUTED_VALUE"""),263.76)</f>
        <v>263.76</v>
      </c>
      <c r="G196" s="1">
        <f ca="1">IFERROR(__xludf.DUMMYFUNCTION("""COMPUTED_VALUE"""),74.3)</f>
        <v>74.3</v>
      </c>
      <c r="H196" s="1">
        <f ca="1">IFERROR(__xludf.DUMMYFUNCTION("""COMPUTED_VALUE"""),141.97)</f>
        <v>141.97</v>
      </c>
      <c r="I196" s="1">
        <f ca="1">IFERROR(__xludf.DUMMYFUNCTION("""COMPUTED_VALUE"""),137.85)</f>
        <v>137.85</v>
      </c>
      <c r="J196" s="1">
        <f ca="1">IFERROR(__xludf.DUMMYFUNCTION("""COMPUTED_VALUE"""),365.09)</f>
        <v>365.09</v>
      </c>
      <c r="K196" s="1">
        <f ca="1">IFERROR(__xludf.DUMMYFUNCTION("""COMPUTED_VALUE"""),37.33)</f>
        <v>37.33</v>
      </c>
      <c r="L196" s="1">
        <f ca="1">IFERROR(__xludf.DUMMYFUNCTION("""COMPUTED_VALUE"""),490.84)</f>
        <v>490.84</v>
      </c>
      <c r="M196" s="1">
        <f ca="1">IFERROR(__xludf.DUMMYFUNCTION("""COMPUTED_VALUE"""),531.79)</f>
        <v>531.79</v>
      </c>
    </row>
    <row r="197" spans="1:13" x14ac:dyDescent="0.25">
      <c r="A197" s="2">
        <f ca="1">IFERROR(__xludf.DUMMYFUNCTION("""COMPUTED_VALUE"""),44116.6666666666)</f>
        <v>44116.666666666599</v>
      </c>
      <c r="B197" s="1">
        <f ca="1">IFERROR(__xludf.DUMMYFUNCTION("""COMPUTED_VALUE"""),124.4)</f>
        <v>124.4</v>
      </c>
      <c r="C197" s="1">
        <f ca="1">IFERROR(__xludf.DUMMYFUNCTION("""COMPUTED_VALUE"""),215.81)</f>
        <v>215.81</v>
      </c>
      <c r="D197" s="1">
        <f ca="1">IFERROR(__xludf.DUMMYFUNCTION("""COMPUTED_VALUE"""),164.33)</f>
        <v>164.33</v>
      </c>
      <c r="E197" s="1">
        <f ca="1">IFERROR(__xludf.DUMMYFUNCTION("""COMPUTED_VALUE"""),13.76)</f>
        <v>13.76</v>
      </c>
      <c r="F197" s="1">
        <f ca="1">IFERROR(__xludf.DUMMYFUNCTION("""COMPUTED_VALUE"""),264.45)</f>
        <v>264.45</v>
      </c>
      <c r="G197" s="1">
        <f ca="1">IFERROR(__xludf.DUMMYFUNCTION("""COMPUTED_VALUE"""),75.76)</f>
        <v>75.760000000000005</v>
      </c>
      <c r="H197" s="1">
        <f ca="1">IFERROR(__xludf.DUMMYFUNCTION("""COMPUTED_VALUE"""),144.67)</f>
        <v>144.66999999999999</v>
      </c>
      <c r="I197" s="1">
        <f ca="1">IFERROR(__xludf.DUMMYFUNCTION("""COMPUTED_VALUE"""),138.44)</f>
        <v>138.44</v>
      </c>
      <c r="J197" s="1">
        <f ca="1">IFERROR(__xludf.DUMMYFUNCTION("""COMPUTED_VALUE"""),369.46)</f>
        <v>369.46</v>
      </c>
      <c r="K197" s="1">
        <f ca="1">IFERROR(__xludf.DUMMYFUNCTION("""COMPUTED_VALUE"""),37.67)</f>
        <v>37.67</v>
      </c>
      <c r="L197" s="1">
        <f ca="1">IFERROR(__xludf.DUMMYFUNCTION("""COMPUTED_VALUE"""),502.16)</f>
        <v>502.16</v>
      </c>
      <c r="M197" s="1">
        <f ca="1">IFERROR(__xludf.DUMMYFUNCTION("""COMPUTED_VALUE"""),539.44)</f>
        <v>539.44000000000005</v>
      </c>
    </row>
    <row r="198" spans="1:13" x14ac:dyDescent="0.25">
      <c r="A198" s="2">
        <f ca="1">IFERROR(__xludf.DUMMYFUNCTION("""COMPUTED_VALUE"""),44117.6666666666)</f>
        <v>44117.666666666599</v>
      </c>
      <c r="B198" s="1">
        <f ca="1">IFERROR(__xludf.DUMMYFUNCTION("""COMPUTED_VALUE"""),121.1)</f>
        <v>121.1</v>
      </c>
      <c r="C198" s="1">
        <f ca="1">IFERROR(__xludf.DUMMYFUNCTION("""COMPUTED_VALUE"""),221.4)</f>
        <v>221.4</v>
      </c>
      <c r="D198" s="1">
        <f ca="1">IFERROR(__xludf.DUMMYFUNCTION("""COMPUTED_VALUE"""),172.15)</f>
        <v>172.15</v>
      </c>
      <c r="E198" s="1">
        <f ca="1">IFERROR(__xludf.DUMMYFUNCTION("""COMPUTED_VALUE"""),14.23)</f>
        <v>14.23</v>
      </c>
      <c r="F198" s="1">
        <f ca="1">IFERROR(__xludf.DUMMYFUNCTION("""COMPUTED_VALUE"""),275.75)</f>
        <v>275.75</v>
      </c>
      <c r="G198" s="1">
        <f ca="1">IFERROR(__xludf.DUMMYFUNCTION("""COMPUTED_VALUE"""),78.46)</f>
        <v>78.459999999999994</v>
      </c>
      <c r="H198" s="1">
        <f ca="1">IFERROR(__xludf.DUMMYFUNCTION("""COMPUTED_VALUE"""),147.43)</f>
        <v>147.43</v>
      </c>
      <c r="I198" s="1">
        <f ca="1">IFERROR(__xludf.DUMMYFUNCTION("""COMPUTED_VALUE"""),142.13)</f>
        <v>142.13</v>
      </c>
      <c r="J198" s="1">
        <f ca="1">IFERROR(__xludf.DUMMYFUNCTION("""COMPUTED_VALUE"""),376.48)</f>
        <v>376.48</v>
      </c>
      <c r="K198" s="1">
        <f ca="1">IFERROR(__xludf.DUMMYFUNCTION("""COMPUTED_VALUE"""),38.24)</f>
        <v>38.24</v>
      </c>
      <c r="L198" s="1">
        <f ca="1">IFERROR(__xludf.DUMMYFUNCTION("""COMPUTED_VALUE"""),510.89)</f>
        <v>510.89</v>
      </c>
      <c r="M198" s="1">
        <f ca="1">IFERROR(__xludf.DUMMYFUNCTION("""COMPUTED_VALUE"""),539.81)</f>
        <v>539.80999999999995</v>
      </c>
    </row>
    <row r="199" spans="1:13" x14ac:dyDescent="0.25">
      <c r="A199" s="2">
        <f ca="1">IFERROR(__xludf.DUMMYFUNCTION("""COMPUTED_VALUE"""),44118.6666666666)</f>
        <v>44118.666666666599</v>
      </c>
      <c r="B199" s="1">
        <f ca="1">IFERROR(__xludf.DUMMYFUNCTION("""COMPUTED_VALUE"""),121.19)</f>
        <v>121.19</v>
      </c>
      <c r="C199" s="1">
        <f ca="1">IFERROR(__xludf.DUMMYFUNCTION("""COMPUTED_VALUE"""),222.86)</f>
        <v>222.86</v>
      </c>
      <c r="D199" s="1">
        <f ca="1">IFERROR(__xludf.DUMMYFUNCTION("""COMPUTED_VALUE"""),172.18)</f>
        <v>172.18</v>
      </c>
      <c r="E199" s="1">
        <f ca="1">IFERROR(__xludf.DUMMYFUNCTION("""COMPUTED_VALUE"""),14.25)</f>
        <v>14.25</v>
      </c>
      <c r="F199" s="1">
        <f ca="1">IFERROR(__xludf.DUMMYFUNCTION("""COMPUTED_VALUE"""),276.14)</f>
        <v>276.14</v>
      </c>
      <c r="G199" s="1">
        <f ca="1">IFERROR(__xludf.DUMMYFUNCTION("""COMPUTED_VALUE"""),78.58)</f>
        <v>78.58</v>
      </c>
      <c r="H199" s="1">
        <f ca="1">IFERROR(__xludf.DUMMYFUNCTION("""COMPUTED_VALUE"""),148.88)</f>
        <v>148.88</v>
      </c>
      <c r="I199" s="1">
        <f ca="1">IFERROR(__xludf.DUMMYFUNCTION("""COMPUTED_VALUE"""),143.54)</f>
        <v>143.54</v>
      </c>
      <c r="J199" s="1">
        <f ca="1">IFERROR(__xludf.DUMMYFUNCTION("""COMPUTED_VALUE"""),380.68)</f>
        <v>380.68</v>
      </c>
      <c r="K199" s="1">
        <f ca="1">IFERROR(__xludf.DUMMYFUNCTION("""COMPUTED_VALUE"""),38.15)</f>
        <v>38.15</v>
      </c>
      <c r="L199" s="1">
        <f ca="1">IFERROR(__xludf.DUMMYFUNCTION("""COMPUTED_VALUE"""),514.31)</f>
        <v>514.30999999999995</v>
      </c>
      <c r="M199" s="1">
        <f ca="1">IFERROR(__xludf.DUMMYFUNCTION("""COMPUTED_VALUE"""),554.09)</f>
        <v>554.09</v>
      </c>
    </row>
    <row r="200" spans="1:13" x14ac:dyDescent="0.25">
      <c r="A200" s="2">
        <f ca="1">IFERROR(__xludf.DUMMYFUNCTION("""COMPUTED_VALUE"""),44119.6666666666)</f>
        <v>44119.666666666599</v>
      </c>
      <c r="B200" s="1">
        <f ca="1">IFERROR(__xludf.DUMMYFUNCTION("""COMPUTED_VALUE"""),120.71)</f>
        <v>120.71</v>
      </c>
      <c r="C200" s="1">
        <f ca="1">IFERROR(__xludf.DUMMYFUNCTION("""COMPUTED_VALUE"""),220.86)</f>
        <v>220.86</v>
      </c>
      <c r="D200" s="1">
        <f ca="1">IFERROR(__xludf.DUMMYFUNCTION("""COMPUTED_VALUE"""),168.19)</f>
        <v>168.19</v>
      </c>
      <c r="E200" s="1">
        <f ca="1">IFERROR(__xludf.DUMMYFUNCTION("""COMPUTED_VALUE"""),14.1)</f>
        <v>14.1</v>
      </c>
      <c r="F200" s="1">
        <f ca="1">IFERROR(__xludf.DUMMYFUNCTION("""COMPUTED_VALUE"""),271.82)</f>
        <v>271.82</v>
      </c>
      <c r="G200" s="1">
        <f ca="1">IFERROR(__xludf.DUMMYFUNCTION("""COMPUTED_VALUE"""),78.4)</f>
        <v>78.400000000000006</v>
      </c>
      <c r="H200" s="1">
        <f ca="1">IFERROR(__xludf.DUMMYFUNCTION("""COMPUTED_VALUE"""),153.77)</f>
        <v>153.77000000000001</v>
      </c>
      <c r="I200" s="1">
        <f ca="1">IFERROR(__xludf.DUMMYFUNCTION("""COMPUTED_VALUE"""),142.52)</f>
        <v>142.52000000000001</v>
      </c>
      <c r="J200" s="1">
        <f ca="1">IFERROR(__xludf.DUMMYFUNCTION("""COMPUTED_VALUE"""),378.34)</f>
        <v>378.34</v>
      </c>
      <c r="K200" s="1">
        <f ca="1">IFERROR(__xludf.DUMMYFUNCTION("""COMPUTED_VALUE"""),38.03)</f>
        <v>38.03</v>
      </c>
      <c r="L200" s="1">
        <f ca="1">IFERROR(__xludf.DUMMYFUNCTION("""COMPUTED_VALUE"""),506.31)</f>
        <v>506.31</v>
      </c>
      <c r="M200" s="1">
        <f ca="1">IFERROR(__xludf.DUMMYFUNCTION("""COMPUTED_VALUE"""),541.45)</f>
        <v>541.45000000000005</v>
      </c>
    </row>
    <row r="201" spans="1:13" x14ac:dyDescent="0.25">
      <c r="A201" s="2">
        <f ca="1">IFERROR(__xludf.DUMMYFUNCTION("""COMPUTED_VALUE"""),44120.6666666666)</f>
        <v>44120.666666666599</v>
      </c>
      <c r="B201" s="1">
        <f ca="1">IFERROR(__xludf.DUMMYFUNCTION("""COMPUTED_VALUE"""),119.02)</f>
        <v>119.02</v>
      </c>
      <c r="C201" s="1">
        <f ca="1">IFERROR(__xludf.DUMMYFUNCTION("""COMPUTED_VALUE"""),219.66)</f>
        <v>219.66</v>
      </c>
      <c r="D201" s="1">
        <f ca="1">IFERROR(__xludf.DUMMYFUNCTION("""COMPUTED_VALUE"""),166.93)</f>
        <v>166.93</v>
      </c>
      <c r="E201" s="1">
        <f ca="1">IFERROR(__xludf.DUMMYFUNCTION("""COMPUTED_VALUE"""),13.97)</f>
        <v>13.97</v>
      </c>
      <c r="F201" s="1">
        <f ca="1">IFERROR(__xludf.DUMMYFUNCTION("""COMPUTED_VALUE"""),266.72)</f>
        <v>266.72000000000003</v>
      </c>
      <c r="G201" s="1">
        <f ca="1">IFERROR(__xludf.DUMMYFUNCTION("""COMPUTED_VALUE"""),77.96)</f>
        <v>77.959999999999994</v>
      </c>
      <c r="H201" s="1">
        <f ca="1">IFERROR(__xludf.DUMMYFUNCTION("""COMPUTED_VALUE"""),149.63)</f>
        <v>149.63</v>
      </c>
      <c r="I201" s="1">
        <f ca="1">IFERROR(__xludf.DUMMYFUNCTION("""COMPUTED_VALUE"""),141.43)</f>
        <v>141.43</v>
      </c>
      <c r="J201" s="1">
        <f ca="1">IFERROR(__xludf.DUMMYFUNCTION("""COMPUTED_VALUE"""),376.58)</f>
        <v>376.58</v>
      </c>
      <c r="K201" s="1">
        <f ca="1">IFERROR(__xludf.DUMMYFUNCTION("""COMPUTED_VALUE"""),37.99)</f>
        <v>37.99</v>
      </c>
      <c r="L201" s="1">
        <f ca="1">IFERROR(__xludf.DUMMYFUNCTION("""COMPUTED_VALUE"""),501.15)</f>
        <v>501.15</v>
      </c>
      <c r="M201" s="1">
        <f ca="1">IFERROR(__xludf.DUMMYFUNCTION("""COMPUTED_VALUE"""),541.94)</f>
        <v>541.94000000000005</v>
      </c>
    </row>
    <row r="202" spans="1:13" x14ac:dyDescent="0.25">
      <c r="A202" s="2">
        <f ca="1">IFERROR(__xludf.DUMMYFUNCTION("""COMPUTED_VALUE"""),44123.6666666666)</f>
        <v>44123.666666666599</v>
      </c>
      <c r="B202" s="1">
        <f ca="1">IFERROR(__xludf.DUMMYFUNCTION("""COMPUTED_VALUE"""),115.98)</f>
        <v>115.98</v>
      </c>
      <c r="C202" s="1">
        <f ca="1">IFERROR(__xludf.DUMMYFUNCTION("""COMPUTED_VALUE"""),219.66)</f>
        <v>219.66</v>
      </c>
      <c r="D202" s="1">
        <f ca="1">IFERROR(__xludf.DUMMYFUNCTION("""COMPUTED_VALUE"""),163.64)</f>
        <v>163.63999999999999</v>
      </c>
      <c r="E202" s="1">
        <f ca="1">IFERROR(__xludf.DUMMYFUNCTION("""COMPUTED_VALUE"""),13.81)</f>
        <v>13.81</v>
      </c>
      <c r="F202" s="1">
        <f ca="1">IFERROR(__xludf.DUMMYFUNCTION("""COMPUTED_VALUE"""),265.93)</f>
        <v>265.93</v>
      </c>
      <c r="G202" s="1">
        <f ca="1">IFERROR(__xludf.DUMMYFUNCTION("""COMPUTED_VALUE"""),78.65)</f>
        <v>78.650000000000006</v>
      </c>
      <c r="H202" s="1">
        <f ca="1">IFERROR(__xludf.DUMMYFUNCTION("""COMPUTED_VALUE"""),146.56)</f>
        <v>146.56</v>
      </c>
      <c r="I202" s="1">
        <f ca="1">IFERROR(__xludf.DUMMYFUNCTION("""COMPUTED_VALUE"""),141.73)</f>
        <v>141.72999999999999</v>
      </c>
      <c r="J202" s="1">
        <f ca="1">IFERROR(__xludf.DUMMYFUNCTION("""COMPUTED_VALUE"""),381.54)</f>
        <v>381.54</v>
      </c>
      <c r="K202" s="1">
        <f ca="1">IFERROR(__xludf.DUMMYFUNCTION("""COMPUTED_VALUE"""),37.87)</f>
        <v>37.869999999999997</v>
      </c>
      <c r="L202" s="1">
        <f ca="1">IFERROR(__xludf.DUMMYFUNCTION("""COMPUTED_VALUE"""),502.82)</f>
        <v>502.82</v>
      </c>
      <c r="M202" s="1">
        <f ca="1">IFERROR(__xludf.DUMMYFUNCTION("""COMPUTED_VALUE"""),530.79)</f>
        <v>530.79</v>
      </c>
    </row>
    <row r="203" spans="1:13" x14ac:dyDescent="0.25">
      <c r="A203" s="2">
        <f ca="1">IFERROR(__xludf.DUMMYFUNCTION("""COMPUTED_VALUE"""),44124.6666666666)</f>
        <v>44124.666666666599</v>
      </c>
      <c r="B203" s="1">
        <f ca="1">IFERROR(__xludf.DUMMYFUNCTION("""COMPUTED_VALUE"""),117.51)</f>
        <v>117.51</v>
      </c>
      <c r="C203" s="1">
        <f ca="1">IFERROR(__xludf.DUMMYFUNCTION("""COMPUTED_VALUE"""),214.22)</f>
        <v>214.22</v>
      </c>
      <c r="D203" s="1">
        <f ca="1">IFERROR(__xludf.DUMMYFUNCTION("""COMPUTED_VALUE"""),160.36)</f>
        <v>160.36000000000001</v>
      </c>
      <c r="E203" s="1">
        <f ca="1">IFERROR(__xludf.DUMMYFUNCTION("""COMPUTED_VALUE"""),13.5)</f>
        <v>13.5</v>
      </c>
      <c r="F203" s="1">
        <f ca="1">IFERROR(__xludf.DUMMYFUNCTION("""COMPUTED_VALUE"""),261.4)</f>
        <v>261.39999999999998</v>
      </c>
      <c r="G203" s="1">
        <f ca="1">IFERROR(__xludf.DUMMYFUNCTION("""COMPUTED_VALUE"""),76.73)</f>
        <v>76.73</v>
      </c>
      <c r="H203" s="1">
        <f ca="1">IFERROR(__xludf.DUMMYFUNCTION("""COMPUTED_VALUE"""),143.61)</f>
        <v>143.61000000000001</v>
      </c>
      <c r="I203" s="1">
        <f ca="1">IFERROR(__xludf.DUMMYFUNCTION("""COMPUTED_VALUE"""),139.68)</f>
        <v>139.68</v>
      </c>
      <c r="J203" s="1">
        <f ca="1">IFERROR(__xludf.DUMMYFUNCTION("""COMPUTED_VALUE"""),375.56)</f>
        <v>375.56</v>
      </c>
      <c r="K203" s="1">
        <f ca="1">IFERROR(__xludf.DUMMYFUNCTION("""COMPUTED_VALUE"""),37.58)</f>
        <v>37.58</v>
      </c>
      <c r="L203" s="1">
        <f ca="1">IFERROR(__xludf.DUMMYFUNCTION("""COMPUTED_VALUE"""),495.2)</f>
        <v>495.2</v>
      </c>
      <c r="M203" s="1">
        <f ca="1">IFERROR(__xludf.DUMMYFUNCTION("""COMPUTED_VALUE"""),530.72)</f>
        <v>530.72</v>
      </c>
    </row>
    <row r="204" spans="1:13" x14ac:dyDescent="0.25">
      <c r="A204" s="2">
        <f ca="1">IFERROR(__xludf.DUMMYFUNCTION("""COMPUTED_VALUE"""),44125.6666666666)</f>
        <v>44125.666666666599</v>
      </c>
      <c r="B204" s="1">
        <f ca="1">IFERROR(__xludf.DUMMYFUNCTION("""COMPUTED_VALUE"""),116.87)</f>
        <v>116.87</v>
      </c>
      <c r="C204" s="1">
        <f ca="1">IFERROR(__xludf.DUMMYFUNCTION("""COMPUTED_VALUE"""),214.65)</f>
        <v>214.65</v>
      </c>
      <c r="D204" s="1">
        <f ca="1">IFERROR(__xludf.DUMMYFUNCTION("""COMPUTED_VALUE"""),160.85)</f>
        <v>160.85</v>
      </c>
      <c r="E204" s="1">
        <f ca="1">IFERROR(__xludf.DUMMYFUNCTION("""COMPUTED_VALUE"""),13.65)</f>
        <v>13.65</v>
      </c>
      <c r="F204" s="1">
        <f ca="1">IFERROR(__xludf.DUMMYFUNCTION("""COMPUTED_VALUE"""),267.56)</f>
        <v>267.56</v>
      </c>
      <c r="G204" s="1">
        <f ca="1">IFERROR(__xludf.DUMMYFUNCTION("""COMPUTED_VALUE"""),77.8)</f>
        <v>77.8</v>
      </c>
      <c r="H204" s="1">
        <f ca="1">IFERROR(__xludf.DUMMYFUNCTION("""COMPUTED_VALUE"""),140.65)</f>
        <v>140.65</v>
      </c>
      <c r="I204" s="1">
        <f ca="1">IFERROR(__xludf.DUMMYFUNCTION("""COMPUTED_VALUE"""),139.71)</f>
        <v>139.71</v>
      </c>
      <c r="J204" s="1">
        <f ca="1">IFERROR(__xludf.DUMMYFUNCTION("""COMPUTED_VALUE"""),378.31)</f>
        <v>378.31</v>
      </c>
      <c r="K204" s="1">
        <f ca="1">IFERROR(__xludf.DUMMYFUNCTION("""COMPUTED_VALUE"""),37.7)</f>
        <v>37.700000000000003</v>
      </c>
      <c r="L204" s="1">
        <f ca="1">IFERROR(__xludf.DUMMYFUNCTION("""COMPUTED_VALUE"""),494.58)</f>
        <v>494.58</v>
      </c>
      <c r="M204" s="1">
        <f ca="1">IFERROR(__xludf.DUMMYFUNCTION("""COMPUTED_VALUE"""),525.42)</f>
        <v>525.41999999999996</v>
      </c>
    </row>
    <row r="205" spans="1:13" x14ac:dyDescent="0.25">
      <c r="A205" s="2">
        <f ca="1">IFERROR(__xludf.DUMMYFUNCTION("""COMPUTED_VALUE"""),44126.6666666666)</f>
        <v>44126.666666666599</v>
      </c>
      <c r="B205" s="1">
        <f ca="1">IFERROR(__xludf.DUMMYFUNCTION("""COMPUTED_VALUE"""),115.75)</f>
        <v>115.75</v>
      </c>
      <c r="C205" s="1">
        <f ca="1">IFERROR(__xludf.DUMMYFUNCTION("""COMPUTED_VALUE"""),214.8)</f>
        <v>214.8</v>
      </c>
      <c r="D205" s="1">
        <f ca="1">IFERROR(__xludf.DUMMYFUNCTION("""COMPUTED_VALUE"""),159.25)</f>
        <v>159.25</v>
      </c>
      <c r="E205" s="1">
        <f ca="1">IFERROR(__xludf.DUMMYFUNCTION("""COMPUTED_VALUE"""),13.52)</f>
        <v>13.52</v>
      </c>
      <c r="F205" s="1">
        <f ca="1">IFERROR(__xludf.DUMMYFUNCTION("""COMPUTED_VALUE"""),278.73)</f>
        <v>278.73</v>
      </c>
      <c r="G205" s="1">
        <f ca="1">IFERROR(__xludf.DUMMYFUNCTION("""COMPUTED_VALUE"""),79.67)</f>
        <v>79.67</v>
      </c>
      <c r="H205" s="1">
        <f ca="1">IFERROR(__xludf.DUMMYFUNCTION("""COMPUTED_VALUE"""),140.88)</f>
        <v>140.88</v>
      </c>
      <c r="I205" s="1">
        <f ca="1">IFERROR(__xludf.DUMMYFUNCTION("""COMPUTED_VALUE"""),139.6)</f>
        <v>139.6</v>
      </c>
      <c r="J205" s="1">
        <f ca="1">IFERROR(__xludf.DUMMYFUNCTION("""COMPUTED_VALUE"""),377.82)</f>
        <v>377.82</v>
      </c>
      <c r="K205" s="1">
        <f ca="1">IFERROR(__xludf.DUMMYFUNCTION("""COMPUTED_VALUE"""),37.21)</f>
        <v>37.21</v>
      </c>
      <c r="L205" s="1">
        <f ca="1">IFERROR(__xludf.DUMMYFUNCTION("""COMPUTED_VALUE"""),495.96)</f>
        <v>495.96</v>
      </c>
      <c r="M205" s="1">
        <f ca="1">IFERROR(__xludf.DUMMYFUNCTION("""COMPUTED_VALUE"""),489.05)</f>
        <v>489.05</v>
      </c>
    </row>
    <row r="206" spans="1:13" x14ac:dyDescent="0.25">
      <c r="A206" s="2">
        <f ca="1">IFERROR(__xludf.DUMMYFUNCTION("""COMPUTED_VALUE"""),44127.6666666666)</f>
        <v>44127.666666666599</v>
      </c>
      <c r="B206" s="1">
        <f ca="1">IFERROR(__xludf.DUMMYFUNCTION("""COMPUTED_VALUE"""),115.04)</f>
        <v>115.04</v>
      </c>
      <c r="C206" s="1">
        <f ca="1">IFERROR(__xludf.DUMMYFUNCTION("""COMPUTED_VALUE"""),214.89)</f>
        <v>214.89</v>
      </c>
      <c r="D206" s="1">
        <f ca="1">IFERROR(__xludf.DUMMYFUNCTION("""COMPUTED_VALUE"""),158.82)</f>
        <v>158.82</v>
      </c>
      <c r="E206" s="1">
        <f ca="1">IFERROR(__xludf.DUMMYFUNCTION("""COMPUTED_VALUE"""),13.36)</f>
        <v>13.36</v>
      </c>
      <c r="F206" s="1">
        <f ca="1">IFERROR(__xludf.DUMMYFUNCTION("""COMPUTED_VALUE"""),278.12)</f>
        <v>278.12</v>
      </c>
      <c r="G206" s="1">
        <f ca="1">IFERROR(__xludf.DUMMYFUNCTION("""COMPUTED_VALUE"""),80.77)</f>
        <v>80.77</v>
      </c>
      <c r="H206" s="1">
        <f ca="1">IFERROR(__xludf.DUMMYFUNCTION("""COMPUTED_VALUE"""),141.93)</f>
        <v>141.93</v>
      </c>
      <c r="I206" s="1">
        <f ca="1">IFERROR(__xludf.DUMMYFUNCTION("""COMPUTED_VALUE"""),139.61)</f>
        <v>139.61000000000001</v>
      </c>
      <c r="J206" s="1">
        <f ca="1">IFERROR(__xludf.DUMMYFUNCTION("""COMPUTED_VALUE"""),375.75)</f>
        <v>375.75</v>
      </c>
      <c r="K206" s="1">
        <f ca="1">IFERROR(__xludf.DUMMYFUNCTION("""COMPUTED_VALUE"""),37.34)</f>
        <v>37.340000000000003</v>
      </c>
      <c r="L206" s="1">
        <f ca="1">IFERROR(__xludf.DUMMYFUNCTION("""COMPUTED_VALUE"""),483.6)</f>
        <v>483.6</v>
      </c>
      <c r="M206" s="1">
        <f ca="1">IFERROR(__xludf.DUMMYFUNCTION("""COMPUTED_VALUE"""),485.23)</f>
        <v>485.23</v>
      </c>
    </row>
    <row r="207" spans="1:13" x14ac:dyDescent="0.25">
      <c r="A207" s="2">
        <f ca="1">IFERROR(__xludf.DUMMYFUNCTION("""COMPUTED_VALUE"""),44130.6666666666)</f>
        <v>44130.666666666599</v>
      </c>
      <c r="B207" s="1">
        <f ca="1">IFERROR(__xludf.DUMMYFUNCTION("""COMPUTED_VALUE"""),115.05)</f>
        <v>115.05</v>
      </c>
      <c r="C207" s="1">
        <f ca="1">IFERROR(__xludf.DUMMYFUNCTION("""COMPUTED_VALUE"""),216.23)</f>
        <v>216.23</v>
      </c>
      <c r="D207" s="1">
        <f ca="1">IFERROR(__xludf.DUMMYFUNCTION("""COMPUTED_VALUE"""),160.22)</f>
        <v>160.22</v>
      </c>
      <c r="E207" s="1">
        <f ca="1">IFERROR(__xludf.DUMMYFUNCTION("""COMPUTED_VALUE"""),13.59)</f>
        <v>13.59</v>
      </c>
      <c r="F207" s="1">
        <f ca="1">IFERROR(__xludf.DUMMYFUNCTION("""COMPUTED_VALUE"""),284.79)</f>
        <v>284.79000000000002</v>
      </c>
      <c r="G207" s="1">
        <f ca="1">IFERROR(__xludf.DUMMYFUNCTION("""COMPUTED_VALUE"""),82.05)</f>
        <v>82.05</v>
      </c>
      <c r="H207" s="1">
        <f ca="1">IFERROR(__xludf.DUMMYFUNCTION("""COMPUTED_VALUE"""),140.21)</f>
        <v>140.21</v>
      </c>
      <c r="I207" s="1">
        <f ca="1">IFERROR(__xludf.DUMMYFUNCTION("""COMPUTED_VALUE"""),139.56)</f>
        <v>139.56</v>
      </c>
      <c r="J207" s="1">
        <f ca="1">IFERROR(__xludf.DUMMYFUNCTION("""COMPUTED_VALUE"""),374.6)</f>
        <v>374.6</v>
      </c>
      <c r="K207" s="1">
        <f ca="1">IFERROR(__xludf.DUMMYFUNCTION("""COMPUTED_VALUE"""),37.27)</f>
        <v>37.270000000000003</v>
      </c>
      <c r="L207" s="1">
        <f ca="1">IFERROR(__xludf.DUMMYFUNCTION("""COMPUTED_VALUE"""),488.5)</f>
        <v>488.5</v>
      </c>
      <c r="M207" s="1">
        <f ca="1">IFERROR(__xludf.DUMMYFUNCTION("""COMPUTED_VALUE"""),488.28)</f>
        <v>488.28</v>
      </c>
    </row>
    <row r="208" spans="1:13" x14ac:dyDescent="0.25">
      <c r="A208" s="2">
        <f ca="1">IFERROR(__xludf.DUMMYFUNCTION("""COMPUTED_VALUE"""),44131.6666666666)</f>
        <v>44131.666666666599</v>
      </c>
      <c r="B208" s="1">
        <f ca="1">IFERROR(__xludf.DUMMYFUNCTION("""COMPUTED_VALUE"""),116.6)</f>
        <v>116.6</v>
      </c>
      <c r="C208" s="1">
        <f ca="1">IFERROR(__xludf.DUMMYFUNCTION("""COMPUTED_VALUE"""),210.08)</f>
        <v>210.08</v>
      </c>
      <c r="D208" s="1">
        <f ca="1">IFERROR(__xludf.DUMMYFUNCTION("""COMPUTED_VALUE"""),160.35)</f>
        <v>160.35</v>
      </c>
      <c r="E208" s="1">
        <f ca="1">IFERROR(__xludf.DUMMYFUNCTION("""COMPUTED_VALUE"""),13.14)</f>
        <v>13.14</v>
      </c>
      <c r="F208" s="1">
        <f ca="1">IFERROR(__xludf.DUMMYFUNCTION("""COMPUTED_VALUE"""),277.11)</f>
        <v>277.11</v>
      </c>
      <c r="G208" s="1">
        <f ca="1">IFERROR(__xludf.DUMMYFUNCTION("""COMPUTED_VALUE"""),79.52)</f>
        <v>79.52</v>
      </c>
      <c r="H208" s="1">
        <f ca="1">IFERROR(__xludf.DUMMYFUNCTION("""COMPUTED_VALUE"""),140.09)</f>
        <v>140.09</v>
      </c>
      <c r="I208" s="1">
        <f ca="1">IFERROR(__xludf.DUMMYFUNCTION("""COMPUTED_VALUE"""),138.06)</f>
        <v>138.06</v>
      </c>
      <c r="J208" s="1">
        <f ca="1">IFERROR(__xludf.DUMMYFUNCTION("""COMPUTED_VALUE"""),370.71)</f>
        <v>370.71</v>
      </c>
      <c r="K208" s="1">
        <f ca="1">IFERROR(__xludf.DUMMYFUNCTION("""COMPUTED_VALUE"""),36.3)</f>
        <v>36.299999999999997</v>
      </c>
      <c r="L208" s="1">
        <f ca="1">IFERROR(__xludf.DUMMYFUNCTION("""COMPUTED_VALUE"""),475.2)</f>
        <v>475.2</v>
      </c>
      <c r="M208" s="1">
        <f ca="1">IFERROR(__xludf.DUMMYFUNCTION("""COMPUTED_VALUE"""),488.24)</f>
        <v>488.24</v>
      </c>
    </row>
    <row r="209" spans="1:13" x14ac:dyDescent="0.25">
      <c r="A209" s="2">
        <f ca="1">IFERROR(__xludf.DUMMYFUNCTION("""COMPUTED_VALUE"""),44132.6666666666)</f>
        <v>44132.666666666599</v>
      </c>
      <c r="B209" s="1">
        <f ca="1">IFERROR(__xludf.DUMMYFUNCTION("""COMPUTED_VALUE"""),111.2)</f>
        <v>111.2</v>
      </c>
      <c r="C209" s="1">
        <f ca="1">IFERROR(__xludf.DUMMYFUNCTION("""COMPUTED_VALUE"""),213.25)</f>
        <v>213.25</v>
      </c>
      <c r="D209" s="1">
        <f ca="1">IFERROR(__xludf.DUMMYFUNCTION("""COMPUTED_VALUE"""),164.32)</f>
        <v>164.32</v>
      </c>
      <c r="E209" s="1">
        <f ca="1">IFERROR(__xludf.DUMMYFUNCTION("""COMPUTED_VALUE"""),13.4)</f>
        <v>13.4</v>
      </c>
      <c r="F209" s="1">
        <f ca="1">IFERROR(__xludf.DUMMYFUNCTION("""COMPUTED_VALUE"""),283.29)</f>
        <v>283.29000000000002</v>
      </c>
      <c r="G209" s="1">
        <f ca="1">IFERROR(__xludf.DUMMYFUNCTION("""COMPUTED_VALUE"""),80.21)</f>
        <v>80.209999999999994</v>
      </c>
      <c r="H209" s="1">
        <f ca="1">IFERROR(__xludf.DUMMYFUNCTION("""COMPUTED_VALUE"""),141.56)</f>
        <v>141.56</v>
      </c>
      <c r="I209" s="1">
        <f ca="1">IFERROR(__xludf.DUMMYFUNCTION("""COMPUTED_VALUE"""),139.12)</f>
        <v>139.12</v>
      </c>
      <c r="J209" s="1">
        <f ca="1">IFERROR(__xludf.DUMMYFUNCTION("""COMPUTED_VALUE"""),372.72)</f>
        <v>372.72</v>
      </c>
      <c r="K209" s="1">
        <f ca="1">IFERROR(__xludf.DUMMYFUNCTION("""COMPUTED_VALUE"""),35.96)</f>
        <v>35.96</v>
      </c>
      <c r="L209" s="1">
        <f ca="1">IFERROR(__xludf.DUMMYFUNCTION("""COMPUTED_VALUE"""),478.56)</f>
        <v>478.56</v>
      </c>
      <c r="M209" s="1">
        <f ca="1">IFERROR(__xludf.DUMMYFUNCTION("""COMPUTED_VALUE"""),488.93)</f>
        <v>488.93</v>
      </c>
    </row>
    <row r="210" spans="1:13" x14ac:dyDescent="0.25">
      <c r="A210" s="2">
        <f ca="1">IFERROR(__xludf.DUMMYFUNCTION("""COMPUTED_VALUE"""),44133.6666666666)</f>
        <v>44133.666666666599</v>
      </c>
      <c r="B210" s="1">
        <f ca="1">IFERROR(__xludf.DUMMYFUNCTION("""COMPUTED_VALUE"""),115.32)</f>
        <v>115.32</v>
      </c>
      <c r="C210" s="1">
        <f ca="1">IFERROR(__xludf.DUMMYFUNCTION("""COMPUTED_VALUE"""),202.68)</f>
        <v>202.68</v>
      </c>
      <c r="D210" s="1">
        <f ca="1">IFERROR(__xludf.DUMMYFUNCTION("""COMPUTED_VALUE"""),158.14)</f>
        <v>158.13999999999999</v>
      </c>
      <c r="E210" s="1">
        <f ca="1">IFERROR(__xludf.DUMMYFUNCTION("""COMPUTED_VALUE"""),12.63)</f>
        <v>12.63</v>
      </c>
      <c r="F210" s="1">
        <f ca="1">IFERROR(__xludf.DUMMYFUNCTION("""COMPUTED_VALUE"""),267.67)</f>
        <v>267.67</v>
      </c>
      <c r="G210" s="1">
        <f ca="1">IFERROR(__xludf.DUMMYFUNCTION("""COMPUTED_VALUE"""),75.83)</f>
        <v>75.83</v>
      </c>
      <c r="H210" s="1">
        <f ca="1">IFERROR(__xludf.DUMMYFUNCTION("""COMPUTED_VALUE"""),135.34)</f>
        <v>135.34</v>
      </c>
      <c r="I210" s="1">
        <f ca="1">IFERROR(__xludf.DUMMYFUNCTION("""COMPUTED_VALUE"""),134.17)</f>
        <v>134.16999999999999</v>
      </c>
      <c r="J210" s="1">
        <f ca="1">IFERROR(__xludf.DUMMYFUNCTION("""COMPUTED_VALUE"""),364.96)</f>
        <v>364.96</v>
      </c>
      <c r="K210" s="1">
        <f ca="1">IFERROR(__xludf.DUMMYFUNCTION("""COMPUTED_VALUE"""),34.72)</f>
        <v>34.72</v>
      </c>
      <c r="L210" s="1">
        <f ca="1">IFERROR(__xludf.DUMMYFUNCTION("""COMPUTED_VALUE"""),456.97)</f>
        <v>456.97</v>
      </c>
      <c r="M210" s="1">
        <f ca="1">IFERROR(__xludf.DUMMYFUNCTION("""COMPUTED_VALUE"""),486.24)</f>
        <v>486.24</v>
      </c>
    </row>
    <row r="211" spans="1:13" x14ac:dyDescent="0.25">
      <c r="A211" s="2">
        <f ca="1">IFERROR(__xludf.DUMMYFUNCTION("""COMPUTED_VALUE"""),44134.6666666666)</f>
        <v>44134.666666666599</v>
      </c>
      <c r="B211" s="1">
        <f ca="1">IFERROR(__xludf.DUMMYFUNCTION("""COMPUTED_VALUE"""),108.86)</f>
        <v>108.86</v>
      </c>
      <c r="C211" s="1">
        <f ca="1">IFERROR(__xludf.DUMMYFUNCTION("""COMPUTED_VALUE"""),204.72)</f>
        <v>204.72</v>
      </c>
      <c r="D211" s="1">
        <f ca="1">IFERROR(__xludf.DUMMYFUNCTION("""COMPUTED_VALUE"""),160.55)</f>
        <v>160.55000000000001</v>
      </c>
      <c r="E211" s="1">
        <f ca="1">IFERROR(__xludf.DUMMYFUNCTION("""COMPUTED_VALUE"""),13.02)</f>
        <v>13.02</v>
      </c>
      <c r="F211" s="1">
        <f ca="1">IFERROR(__xludf.DUMMYFUNCTION("""COMPUTED_VALUE"""),280.83)</f>
        <v>280.83</v>
      </c>
      <c r="G211" s="1">
        <f ca="1">IFERROR(__xludf.DUMMYFUNCTION("""COMPUTED_VALUE"""),78.36)</f>
        <v>78.36</v>
      </c>
      <c r="H211" s="1">
        <f ca="1">IFERROR(__xludf.DUMMYFUNCTION("""COMPUTED_VALUE"""),136.94)</f>
        <v>136.94</v>
      </c>
      <c r="I211" s="1">
        <f ca="1">IFERROR(__xludf.DUMMYFUNCTION("""COMPUTED_VALUE"""),133.99)</f>
        <v>133.99</v>
      </c>
      <c r="J211" s="1">
        <f ca="1">IFERROR(__xludf.DUMMYFUNCTION("""COMPUTED_VALUE"""),364.86)</f>
        <v>364.86</v>
      </c>
      <c r="K211" s="1">
        <f ca="1">IFERROR(__xludf.DUMMYFUNCTION("""COMPUTED_VALUE"""),35.5)</f>
        <v>35.5</v>
      </c>
      <c r="L211" s="1">
        <f ca="1">IFERROR(__xludf.DUMMYFUNCTION("""COMPUTED_VALUE"""),461.11)</f>
        <v>461.11</v>
      </c>
      <c r="M211" s="1">
        <f ca="1">IFERROR(__xludf.DUMMYFUNCTION("""COMPUTED_VALUE"""),504.21)</f>
        <v>504.21</v>
      </c>
    </row>
    <row r="212" spans="1:13" x14ac:dyDescent="0.25">
      <c r="A212" s="2">
        <f ca="1">IFERROR(__xludf.DUMMYFUNCTION("""COMPUTED_VALUE"""),44137.6666666666)</f>
        <v>44137.666666666599</v>
      </c>
      <c r="B212" s="1">
        <f ca="1">IFERROR(__xludf.DUMMYFUNCTION("""COMPUTED_VALUE"""),108.77)</f>
        <v>108.77</v>
      </c>
      <c r="C212" s="1">
        <f ca="1">IFERROR(__xludf.DUMMYFUNCTION("""COMPUTED_VALUE"""),202.47)</f>
        <v>202.47</v>
      </c>
      <c r="D212" s="1">
        <f ca="1">IFERROR(__xludf.DUMMYFUNCTION("""COMPUTED_VALUE"""),151.81)</f>
        <v>151.81</v>
      </c>
      <c r="E212" s="1">
        <f ca="1">IFERROR(__xludf.DUMMYFUNCTION("""COMPUTED_VALUE"""),12.53)</f>
        <v>12.53</v>
      </c>
      <c r="F212" s="1">
        <f ca="1">IFERROR(__xludf.DUMMYFUNCTION("""COMPUTED_VALUE"""),263.11)</f>
        <v>263.11</v>
      </c>
      <c r="G212" s="1">
        <f ca="1">IFERROR(__xludf.DUMMYFUNCTION("""COMPUTED_VALUE"""),81.05)</f>
        <v>81.05</v>
      </c>
      <c r="H212" s="1">
        <f ca="1">IFERROR(__xludf.DUMMYFUNCTION("""COMPUTED_VALUE"""),129.35)</f>
        <v>129.35</v>
      </c>
      <c r="I212" s="1">
        <f ca="1">IFERROR(__xludf.DUMMYFUNCTION("""COMPUTED_VALUE"""),133.29)</f>
        <v>133.29</v>
      </c>
      <c r="J212" s="1">
        <f ca="1">IFERROR(__xludf.DUMMYFUNCTION("""COMPUTED_VALUE"""),357.62)</f>
        <v>357.62</v>
      </c>
      <c r="K212" s="1">
        <f ca="1">IFERROR(__xludf.DUMMYFUNCTION("""COMPUTED_VALUE"""),34.96)</f>
        <v>34.96</v>
      </c>
      <c r="L212" s="1">
        <f ca="1">IFERROR(__xludf.DUMMYFUNCTION("""COMPUTED_VALUE"""),447.1)</f>
        <v>447.1</v>
      </c>
      <c r="M212" s="1">
        <f ca="1">IFERROR(__xludf.DUMMYFUNCTION("""COMPUTED_VALUE"""),475.74)</f>
        <v>475.74</v>
      </c>
    </row>
    <row r="213" spans="1:13" x14ac:dyDescent="0.25">
      <c r="A213" s="2">
        <f ca="1">IFERROR(__xludf.DUMMYFUNCTION("""COMPUTED_VALUE"""),44138.6666666666)</f>
        <v>44138.666666666599</v>
      </c>
      <c r="B213" s="1">
        <f ca="1">IFERROR(__xludf.DUMMYFUNCTION("""COMPUTED_VALUE"""),110.44)</f>
        <v>110.44</v>
      </c>
      <c r="C213" s="1">
        <f ca="1">IFERROR(__xludf.DUMMYFUNCTION("""COMPUTED_VALUE"""),202.33)</f>
        <v>202.33</v>
      </c>
      <c r="D213" s="1">
        <f ca="1">IFERROR(__xludf.DUMMYFUNCTION("""COMPUTED_VALUE"""),150.22)</f>
        <v>150.22</v>
      </c>
      <c r="E213" s="1">
        <f ca="1">IFERROR(__xludf.DUMMYFUNCTION("""COMPUTED_VALUE"""),12.58)</f>
        <v>12.58</v>
      </c>
      <c r="F213" s="1">
        <f ca="1">IFERROR(__xludf.DUMMYFUNCTION("""COMPUTED_VALUE"""),261.36)</f>
        <v>261.36</v>
      </c>
      <c r="G213" s="1">
        <f ca="1">IFERROR(__xludf.DUMMYFUNCTION("""COMPUTED_VALUE"""),81.3)</f>
        <v>81.3</v>
      </c>
      <c r="H213" s="1">
        <f ca="1">IFERROR(__xludf.DUMMYFUNCTION("""COMPUTED_VALUE"""),133.5)</f>
        <v>133.5</v>
      </c>
      <c r="I213" s="1">
        <f ca="1">IFERROR(__xludf.DUMMYFUNCTION("""COMPUTED_VALUE"""),135.15)</f>
        <v>135.15</v>
      </c>
      <c r="J213" s="1">
        <f ca="1">IFERROR(__xludf.DUMMYFUNCTION("""COMPUTED_VALUE"""),364.39)</f>
        <v>364.39</v>
      </c>
      <c r="K213" s="1">
        <f ca="1">IFERROR(__xludf.DUMMYFUNCTION("""COMPUTED_VALUE"""),35.13)</f>
        <v>35.130000000000003</v>
      </c>
      <c r="L213" s="1">
        <f ca="1">IFERROR(__xludf.DUMMYFUNCTION("""COMPUTED_VALUE"""),444.94)</f>
        <v>444.94</v>
      </c>
      <c r="M213" s="1">
        <f ca="1">IFERROR(__xludf.DUMMYFUNCTION("""COMPUTED_VALUE"""),484.12)</f>
        <v>484.12</v>
      </c>
    </row>
    <row r="214" spans="1:13" x14ac:dyDescent="0.25">
      <c r="A214" s="2">
        <f ca="1">IFERROR(__xludf.DUMMYFUNCTION("""COMPUTED_VALUE"""),44139.6666666666)</f>
        <v>44139.666666666599</v>
      </c>
      <c r="B214" s="1">
        <f ca="1">IFERROR(__xludf.DUMMYFUNCTION("""COMPUTED_VALUE"""),114.95)</f>
        <v>114.95</v>
      </c>
      <c r="C214" s="1">
        <f ca="1">IFERROR(__xludf.DUMMYFUNCTION("""COMPUTED_VALUE"""),206.43)</f>
        <v>206.43</v>
      </c>
      <c r="D214" s="1">
        <f ca="1">IFERROR(__xludf.DUMMYFUNCTION("""COMPUTED_VALUE"""),152.42)</f>
        <v>152.41999999999999</v>
      </c>
      <c r="E214" s="1">
        <f ca="1">IFERROR(__xludf.DUMMYFUNCTION("""COMPUTED_VALUE"""),13.02)</f>
        <v>13.02</v>
      </c>
      <c r="F214" s="1">
        <f ca="1">IFERROR(__xludf.DUMMYFUNCTION("""COMPUTED_VALUE"""),265.3)</f>
        <v>265.3</v>
      </c>
      <c r="G214" s="1">
        <f ca="1">IFERROR(__xludf.DUMMYFUNCTION("""COMPUTED_VALUE"""),82.51)</f>
        <v>82.51</v>
      </c>
      <c r="H214" s="1">
        <f ca="1">IFERROR(__xludf.DUMMYFUNCTION("""COMPUTED_VALUE"""),141.3)</f>
        <v>141.30000000000001</v>
      </c>
      <c r="I214" s="1">
        <f ca="1">IFERROR(__xludf.DUMMYFUNCTION("""COMPUTED_VALUE"""),137.04)</f>
        <v>137.04</v>
      </c>
      <c r="J214" s="1">
        <f ca="1">IFERROR(__xludf.DUMMYFUNCTION("""COMPUTED_VALUE"""),371.96)</f>
        <v>371.96</v>
      </c>
      <c r="K214" s="1">
        <f ca="1">IFERROR(__xludf.DUMMYFUNCTION("""COMPUTED_VALUE"""),35.38)</f>
        <v>35.380000000000003</v>
      </c>
      <c r="L214" s="1">
        <f ca="1">IFERROR(__xludf.DUMMYFUNCTION("""COMPUTED_VALUE"""),454.02)</f>
        <v>454.02</v>
      </c>
      <c r="M214" s="1">
        <f ca="1">IFERROR(__xludf.DUMMYFUNCTION("""COMPUTED_VALUE"""),487.22)</f>
        <v>487.22</v>
      </c>
    </row>
    <row r="215" spans="1:13" x14ac:dyDescent="0.25">
      <c r="A215" s="2">
        <f ca="1">IFERROR(__xludf.DUMMYFUNCTION("""COMPUTED_VALUE"""),44140.6666666666)</f>
        <v>44140.666666666599</v>
      </c>
      <c r="B215" s="1">
        <f ca="1">IFERROR(__xludf.DUMMYFUNCTION("""COMPUTED_VALUE"""),119.03)</f>
        <v>119.03</v>
      </c>
      <c r="C215" s="1">
        <f ca="1">IFERROR(__xludf.DUMMYFUNCTION("""COMPUTED_VALUE"""),216.39)</f>
        <v>216.39</v>
      </c>
      <c r="D215" s="1">
        <f ca="1">IFERROR(__xludf.DUMMYFUNCTION("""COMPUTED_VALUE"""),162.06)</f>
        <v>162.06</v>
      </c>
      <c r="E215" s="1">
        <f ca="1">IFERROR(__xludf.DUMMYFUNCTION("""COMPUTED_VALUE"""),13.79)</f>
        <v>13.79</v>
      </c>
      <c r="F215" s="1">
        <f ca="1">IFERROR(__xludf.DUMMYFUNCTION("""COMPUTED_VALUE"""),287.38)</f>
        <v>287.38</v>
      </c>
      <c r="G215" s="1">
        <f ca="1">IFERROR(__xludf.DUMMYFUNCTION("""COMPUTED_VALUE"""),87.46)</f>
        <v>87.46</v>
      </c>
      <c r="H215" s="1">
        <f ca="1">IFERROR(__xludf.DUMMYFUNCTION("""COMPUTED_VALUE"""),140.33)</f>
        <v>140.33000000000001</v>
      </c>
      <c r="I215" s="1">
        <f ca="1">IFERROR(__xludf.DUMMYFUNCTION("""COMPUTED_VALUE"""),137.86)</f>
        <v>137.86000000000001</v>
      </c>
      <c r="J215" s="1">
        <f ca="1">IFERROR(__xludf.DUMMYFUNCTION("""COMPUTED_VALUE"""),376.17)</f>
        <v>376.17</v>
      </c>
      <c r="K215" s="1">
        <f ca="1">IFERROR(__xludf.DUMMYFUNCTION("""COMPUTED_VALUE"""),36.46)</f>
        <v>36.46</v>
      </c>
      <c r="L215" s="1">
        <f ca="1">IFERROR(__xludf.DUMMYFUNCTION("""COMPUTED_VALUE"""),487.23)</f>
        <v>487.23</v>
      </c>
      <c r="M215" s="1">
        <f ca="1">IFERROR(__xludf.DUMMYFUNCTION("""COMPUTED_VALUE"""),496.95)</f>
        <v>496.95</v>
      </c>
    </row>
    <row r="216" spans="1:13" x14ac:dyDescent="0.25">
      <c r="A216" s="2">
        <f ca="1">IFERROR(__xludf.DUMMYFUNCTION("""COMPUTED_VALUE"""),44141.6666666666)</f>
        <v>44141.666666666599</v>
      </c>
      <c r="B216" s="1">
        <f ca="1">IFERROR(__xludf.DUMMYFUNCTION("""COMPUTED_VALUE"""),118.69)</f>
        <v>118.69</v>
      </c>
      <c r="C216" s="1">
        <f ca="1">IFERROR(__xludf.DUMMYFUNCTION("""COMPUTED_VALUE"""),223.29)</f>
        <v>223.29</v>
      </c>
      <c r="D216" s="1">
        <f ca="1">IFERROR(__xludf.DUMMYFUNCTION("""COMPUTED_VALUE"""),166.1)</f>
        <v>166.1</v>
      </c>
      <c r="E216" s="1">
        <f ca="1">IFERROR(__xludf.DUMMYFUNCTION("""COMPUTED_VALUE"""),14.16)</f>
        <v>14.16</v>
      </c>
      <c r="F216" s="1">
        <f ca="1">IFERROR(__xludf.DUMMYFUNCTION("""COMPUTED_VALUE"""),294.68)</f>
        <v>294.68</v>
      </c>
      <c r="G216" s="1">
        <f ca="1">IFERROR(__xludf.DUMMYFUNCTION("""COMPUTED_VALUE"""),88.17)</f>
        <v>88.17</v>
      </c>
      <c r="H216" s="1">
        <f ca="1">IFERROR(__xludf.DUMMYFUNCTION("""COMPUTED_VALUE"""),146.03)</f>
        <v>146.03</v>
      </c>
      <c r="I216" s="1">
        <f ca="1">IFERROR(__xludf.DUMMYFUNCTION("""COMPUTED_VALUE"""),138.05)</f>
        <v>138.05000000000001</v>
      </c>
      <c r="J216" s="1">
        <f ca="1">IFERROR(__xludf.DUMMYFUNCTION("""COMPUTED_VALUE"""),385.23)</f>
        <v>385.23</v>
      </c>
      <c r="K216" s="1">
        <f ca="1">IFERROR(__xludf.DUMMYFUNCTION("""COMPUTED_VALUE"""),38.09)</f>
        <v>38.090000000000003</v>
      </c>
      <c r="L216" s="1">
        <f ca="1">IFERROR(__xludf.DUMMYFUNCTION("""COMPUTED_VALUE"""),496.47)</f>
        <v>496.47</v>
      </c>
      <c r="M216" s="1">
        <f ca="1">IFERROR(__xludf.DUMMYFUNCTION("""COMPUTED_VALUE"""),513.76)</f>
        <v>513.76</v>
      </c>
    </row>
    <row r="217" spans="1:13" x14ac:dyDescent="0.25">
      <c r="A217" s="2">
        <f ca="1">IFERROR(__xludf.DUMMYFUNCTION("""COMPUTED_VALUE"""),44144.6666666666)</f>
        <v>44144.666666666599</v>
      </c>
      <c r="B217" s="1">
        <f ca="1">IFERROR(__xludf.DUMMYFUNCTION("""COMPUTED_VALUE"""),116.32)</f>
        <v>116.32</v>
      </c>
      <c r="C217" s="1">
        <f ca="1">IFERROR(__xludf.DUMMYFUNCTION("""COMPUTED_VALUE"""),223.72)</f>
        <v>223.72</v>
      </c>
      <c r="D217" s="1">
        <f ca="1">IFERROR(__xludf.DUMMYFUNCTION("""COMPUTED_VALUE"""),165.57)</f>
        <v>165.57</v>
      </c>
      <c r="E217" s="1">
        <f ca="1">IFERROR(__xludf.DUMMYFUNCTION("""COMPUTED_VALUE"""),14.56)</f>
        <v>14.56</v>
      </c>
      <c r="F217" s="1">
        <f ca="1">IFERROR(__xludf.DUMMYFUNCTION("""COMPUTED_VALUE"""),293.41)</f>
        <v>293.41000000000003</v>
      </c>
      <c r="G217" s="1">
        <f ca="1">IFERROR(__xludf.DUMMYFUNCTION("""COMPUTED_VALUE"""),88.09)</f>
        <v>88.09</v>
      </c>
      <c r="H217" s="1">
        <f ca="1">IFERROR(__xludf.DUMMYFUNCTION("""COMPUTED_VALUE"""),143.32)</f>
        <v>143.32</v>
      </c>
      <c r="I217" s="1">
        <f ca="1">IFERROR(__xludf.DUMMYFUNCTION("""COMPUTED_VALUE"""),138.38)</f>
        <v>138.38</v>
      </c>
      <c r="J217" s="1">
        <f ca="1">IFERROR(__xludf.DUMMYFUNCTION("""COMPUTED_VALUE"""),385.66)</f>
        <v>385.66</v>
      </c>
      <c r="K217" s="1">
        <f ca="1">IFERROR(__xludf.DUMMYFUNCTION("""COMPUTED_VALUE"""),38.06)</f>
        <v>38.06</v>
      </c>
      <c r="L217" s="1">
        <f ca="1">IFERROR(__xludf.DUMMYFUNCTION("""COMPUTED_VALUE"""),494.63)</f>
        <v>494.63</v>
      </c>
      <c r="M217" s="1">
        <f ca="1">IFERROR(__xludf.DUMMYFUNCTION("""COMPUTED_VALUE"""),514.73)</f>
        <v>514.73</v>
      </c>
    </row>
    <row r="218" spans="1:13" x14ac:dyDescent="0.25">
      <c r="A218" s="2">
        <f ca="1">IFERROR(__xludf.DUMMYFUNCTION("""COMPUTED_VALUE"""),44145.6666666666)</f>
        <v>44145.666666666599</v>
      </c>
      <c r="B218" s="1">
        <f ca="1">IFERROR(__xludf.DUMMYFUNCTION("""COMPUTED_VALUE"""),115.97)</f>
        <v>115.97</v>
      </c>
      <c r="C218" s="1">
        <f ca="1">IFERROR(__xludf.DUMMYFUNCTION("""COMPUTED_VALUE"""),218.39)</f>
        <v>218.39</v>
      </c>
      <c r="D218" s="1">
        <f ca="1">IFERROR(__xludf.DUMMYFUNCTION("""COMPUTED_VALUE"""),157.19)</f>
        <v>157.19</v>
      </c>
      <c r="E218" s="1">
        <f ca="1">IFERROR(__xludf.DUMMYFUNCTION("""COMPUTED_VALUE"""),13.63)</f>
        <v>13.63</v>
      </c>
      <c r="F218" s="1">
        <f ca="1">IFERROR(__xludf.DUMMYFUNCTION("""COMPUTED_VALUE"""),278.77)</f>
        <v>278.77</v>
      </c>
      <c r="G218" s="1">
        <f ca="1">IFERROR(__xludf.DUMMYFUNCTION("""COMPUTED_VALUE"""),88.15)</f>
        <v>88.15</v>
      </c>
      <c r="H218" s="1">
        <f ca="1">IFERROR(__xludf.DUMMYFUNCTION("""COMPUTED_VALUE"""),140.42)</f>
        <v>140.41999999999999</v>
      </c>
      <c r="I218" s="1">
        <f ca="1">IFERROR(__xludf.DUMMYFUNCTION("""COMPUTED_VALUE"""),138.45)</f>
        <v>138.44999999999999</v>
      </c>
      <c r="J218" s="1">
        <f ca="1">IFERROR(__xludf.DUMMYFUNCTION("""COMPUTED_VALUE"""),365)</f>
        <v>365</v>
      </c>
      <c r="K218" s="1">
        <f ca="1">IFERROR(__xludf.DUMMYFUNCTION("""COMPUTED_VALUE"""),37.55)</f>
        <v>37.549999999999997</v>
      </c>
      <c r="L218" s="1">
        <f ca="1">IFERROR(__xludf.DUMMYFUNCTION("""COMPUTED_VALUE"""),471.14)</f>
        <v>471.14</v>
      </c>
      <c r="M218" s="1">
        <f ca="1">IFERROR(__xludf.DUMMYFUNCTION("""COMPUTED_VALUE"""),470.5)</f>
        <v>470.5</v>
      </c>
    </row>
    <row r="219" spans="1:13" x14ac:dyDescent="0.25">
      <c r="A219" s="2">
        <f ca="1">IFERROR(__xludf.DUMMYFUNCTION("""COMPUTED_VALUE"""),44146.6666666666)</f>
        <v>44146.666666666599</v>
      </c>
      <c r="B219" s="1">
        <f ca="1">IFERROR(__xludf.DUMMYFUNCTION("""COMPUTED_VALUE"""),119.49)</f>
        <v>119.49</v>
      </c>
      <c r="C219" s="1">
        <f ca="1">IFERROR(__xludf.DUMMYFUNCTION("""COMPUTED_VALUE"""),211.01)</f>
        <v>211.01</v>
      </c>
      <c r="D219" s="1">
        <f ca="1">IFERROR(__xludf.DUMMYFUNCTION("""COMPUTED_VALUE"""),151.75)</f>
        <v>151.75</v>
      </c>
      <c r="E219" s="1">
        <f ca="1">IFERROR(__xludf.DUMMYFUNCTION("""COMPUTED_VALUE"""),12.77)</f>
        <v>12.77</v>
      </c>
      <c r="F219" s="1">
        <f ca="1">IFERROR(__xludf.DUMMYFUNCTION("""COMPUTED_VALUE"""),272.43)</f>
        <v>272.43</v>
      </c>
      <c r="G219" s="1">
        <f ca="1">IFERROR(__xludf.DUMMYFUNCTION("""COMPUTED_VALUE"""),87.02)</f>
        <v>87.02</v>
      </c>
      <c r="H219" s="1">
        <f ca="1">IFERROR(__xludf.DUMMYFUNCTION("""COMPUTED_VALUE"""),136.79)</f>
        <v>136.79</v>
      </c>
      <c r="I219" s="1">
        <f ca="1">IFERROR(__xludf.DUMMYFUNCTION("""COMPUTED_VALUE"""),141.72)</f>
        <v>141.72</v>
      </c>
      <c r="J219" s="1">
        <f ca="1">IFERROR(__xludf.DUMMYFUNCTION("""COMPUTED_VALUE"""),366.62)</f>
        <v>366.62</v>
      </c>
      <c r="K219" s="1">
        <f ca="1">IFERROR(__xludf.DUMMYFUNCTION("""COMPUTED_VALUE"""),36.31)</f>
        <v>36.31</v>
      </c>
      <c r="L219" s="1">
        <f ca="1">IFERROR(__xludf.DUMMYFUNCTION("""COMPUTED_VALUE"""),452)</f>
        <v>452</v>
      </c>
      <c r="M219" s="1">
        <f ca="1">IFERROR(__xludf.DUMMYFUNCTION("""COMPUTED_VALUE"""),480.24)</f>
        <v>480.24</v>
      </c>
    </row>
    <row r="220" spans="1:13" x14ac:dyDescent="0.25">
      <c r="A220" s="2">
        <f ca="1">IFERROR(__xludf.DUMMYFUNCTION("""COMPUTED_VALUE"""),44147.6666666666)</f>
        <v>44147.666666666599</v>
      </c>
      <c r="B220" s="1">
        <f ca="1">IFERROR(__xludf.DUMMYFUNCTION("""COMPUTED_VALUE"""),119.21)</f>
        <v>119.21</v>
      </c>
      <c r="C220" s="1">
        <f ca="1">IFERROR(__xludf.DUMMYFUNCTION("""COMPUTED_VALUE"""),216.55)</f>
        <v>216.55</v>
      </c>
      <c r="D220" s="1">
        <f ca="1">IFERROR(__xludf.DUMMYFUNCTION("""COMPUTED_VALUE"""),156.87)</f>
        <v>156.87</v>
      </c>
      <c r="E220" s="1">
        <f ca="1">IFERROR(__xludf.DUMMYFUNCTION("""COMPUTED_VALUE"""),13.42)</f>
        <v>13.42</v>
      </c>
      <c r="F220" s="1">
        <f ca="1">IFERROR(__xludf.DUMMYFUNCTION("""COMPUTED_VALUE"""),276.48)</f>
        <v>276.48</v>
      </c>
      <c r="G220" s="1">
        <f ca="1">IFERROR(__xludf.DUMMYFUNCTION("""COMPUTED_VALUE"""),87.64)</f>
        <v>87.64</v>
      </c>
      <c r="H220" s="1">
        <f ca="1">IFERROR(__xludf.DUMMYFUNCTION("""COMPUTED_VALUE"""),139.04)</f>
        <v>139.04</v>
      </c>
      <c r="I220" s="1">
        <f ca="1">IFERROR(__xludf.DUMMYFUNCTION("""COMPUTED_VALUE"""),143.9)</f>
        <v>143.9</v>
      </c>
      <c r="J220" s="1">
        <f ca="1">IFERROR(__xludf.DUMMYFUNCTION("""COMPUTED_VALUE"""),372.92)</f>
        <v>372.92</v>
      </c>
      <c r="K220" s="1">
        <f ca="1">IFERROR(__xludf.DUMMYFUNCTION("""COMPUTED_VALUE"""),37.59)</f>
        <v>37.590000000000003</v>
      </c>
      <c r="L220" s="1">
        <f ca="1">IFERROR(__xludf.DUMMYFUNCTION("""COMPUTED_VALUE"""),467.75)</f>
        <v>467.75</v>
      </c>
      <c r="M220" s="1">
        <f ca="1">IFERROR(__xludf.DUMMYFUNCTION("""COMPUTED_VALUE"""),490.76)</f>
        <v>490.76</v>
      </c>
    </row>
    <row r="221" spans="1:13" x14ac:dyDescent="0.25">
      <c r="A221" s="2">
        <f ca="1">IFERROR(__xludf.DUMMYFUNCTION("""COMPUTED_VALUE"""),44148.6666666666)</f>
        <v>44148.666666666599</v>
      </c>
      <c r="B221" s="1">
        <f ca="1">IFERROR(__xludf.DUMMYFUNCTION("""COMPUTED_VALUE"""),119.26)</f>
        <v>119.26</v>
      </c>
      <c r="C221" s="1">
        <f ca="1">IFERROR(__xludf.DUMMYFUNCTION("""COMPUTED_VALUE"""),215.44)</f>
        <v>215.44</v>
      </c>
      <c r="D221" s="1">
        <f ca="1">IFERROR(__xludf.DUMMYFUNCTION("""COMPUTED_VALUE"""),155.51)</f>
        <v>155.51</v>
      </c>
      <c r="E221" s="1">
        <f ca="1">IFERROR(__xludf.DUMMYFUNCTION("""COMPUTED_VALUE"""),13.46)</f>
        <v>13.46</v>
      </c>
      <c r="F221" s="1">
        <f ca="1">IFERROR(__xludf.DUMMYFUNCTION("""COMPUTED_VALUE"""),275.08)</f>
        <v>275.08</v>
      </c>
      <c r="G221" s="1">
        <f ca="1">IFERROR(__xludf.DUMMYFUNCTION("""COMPUTED_VALUE"""),87.49)</f>
        <v>87.49</v>
      </c>
      <c r="H221" s="1">
        <f ca="1">IFERROR(__xludf.DUMMYFUNCTION("""COMPUTED_VALUE"""),137.25)</f>
        <v>137.25</v>
      </c>
      <c r="I221" s="1">
        <f ca="1">IFERROR(__xludf.DUMMYFUNCTION("""COMPUTED_VALUE"""),143.84)</f>
        <v>143.84</v>
      </c>
      <c r="J221" s="1">
        <f ca="1">IFERROR(__xludf.DUMMYFUNCTION("""COMPUTED_VALUE"""),375.71)</f>
        <v>375.71</v>
      </c>
      <c r="K221" s="1">
        <f ca="1">IFERROR(__xludf.DUMMYFUNCTION("""COMPUTED_VALUE"""),37.02)</f>
        <v>37.020000000000003</v>
      </c>
      <c r="L221" s="1">
        <f ca="1">IFERROR(__xludf.DUMMYFUNCTION("""COMPUTED_VALUE"""),462.58)</f>
        <v>462.58</v>
      </c>
      <c r="M221" s="1">
        <f ca="1">IFERROR(__xludf.DUMMYFUNCTION("""COMPUTED_VALUE"""),486.77)</f>
        <v>486.77</v>
      </c>
    </row>
    <row r="222" spans="1:13" x14ac:dyDescent="0.25">
      <c r="A222" s="2">
        <f ca="1">IFERROR(__xludf.DUMMYFUNCTION("""COMPUTED_VALUE"""),44151.6666666666)</f>
        <v>44151.666666666599</v>
      </c>
      <c r="B222" s="1">
        <f ca="1">IFERROR(__xludf.DUMMYFUNCTION("""COMPUTED_VALUE"""),120.3)</f>
        <v>120.3</v>
      </c>
      <c r="C222" s="1">
        <f ca="1">IFERROR(__xludf.DUMMYFUNCTION("""COMPUTED_VALUE"""),216.51)</f>
        <v>216.51</v>
      </c>
      <c r="D222" s="1">
        <f ca="1">IFERROR(__xludf.DUMMYFUNCTION("""COMPUTED_VALUE"""),156.44)</f>
        <v>156.44</v>
      </c>
      <c r="E222" s="1">
        <f ca="1">IFERROR(__xludf.DUMMYFUNCTION("""COMPUTED_VALUE"""),13.3)</f>
        <v>13.3</v>
      </c>
      <c r="F222" s="1">
        <f ca="1">IFERROR(__xludf.DUMMYFUNCTION("""COMPUTED_VALUE"""),276.95)</f>
        <v>276.95</v>
      </c>
      <c r="G222" s="1">
        <f ca="1">IFERROR(__xludf.DUMMYFUNCTION("""COMPUTED_VALUE"""),88.85)</f>
        <v>88.85</v>
      </c>
      <c r="H222" s="1">
        <f ca="1">IFERROR(__xludf.DUMMYFUNCTION("""COMPUTED_VALUE"""),136.17)</f>
        <v>136.16999999999999</v>
      </c>
      <c r="I222" s="1">
        <f ca="1">IFERROR(__xludf.DUMMYFUNCTION("""COMPUTED_VALUE"""),144.71)</f>
        <v>144.71</v>
      </c>
      <c r="J222" s="1">
        <f ca="1">IFERROR(__xludf.DUMMYFUNCTION("""COMPUTED_VALUE"""),378.84)</f>
        <v>378.84</v>
      </c>
      <c r="K222" s="1">
        <f ca="1">IFERROR(__xludf.DUMMYFUNCTION("""COMPUTED_VALUE"""),37.35)</f>
        <v>37.35</v>
      </c>
      <c r="L222" s="1">
        <f ca="1">IFERROR(__xludf.DUMMYFUNCTION("""COMPUTED_VALUE"""),469.34)</f>
        <v>469.34</v>
      </c>
      <c r="M222" s="1">
        <f ca="1">IFERROR(__xludf.DUMMYFUNCTION("""COMPUTED_VALUE"""),482.84)</f>
        <v>482.84</v>
      </c>
    </row>
    <row r="223" spans="1:13" x14ac:dyDescent="0.25">
      <c r="A223" s="2">
        <f ca="1">IFERROR(__xludf.DUMMYFUNCTION("""COMPUTED_VALUE"""),44152.6666666666)</f>
        <v>44152.666666666599</v>
      </c>
      <c r="B223" s="1">
        <f ca="1">IFERROR(__xludf.DUMMYFUNCTION("""COMPUTED_VALUE"""),119.39)</f>
        <v>119.39</v>
      </c>
      <c r="C223" s="1">
        <f ca="1">IFERROR(__xludf.DUMMYFUNCTION("""COMPUTED_VALUE"""),217.23)</f>
        <v>217.23</v>
      </c>
      <c r="D223" s="1">
        <f ca="1">IFERROR(__xludf.DUMMYFUNCTION("""COMPUTED_VALUE"""),156.55)</f>
        <v>156.55000000000001</v>
      </c>
      <c r="E223" s="1">
        <f ca="1">IFERROR(__xludf.DUMMYFUNCTION("""COMPUTED_VALUE"""),13.52)</f>
        <v>13.52</v>
      </c>
      <c r="F223" s="1">
        <f ca="1">IFERROR(__xludf.DUMMYFUNCTION("""COMPUTED_VALUE"""),278.96)</f>
        <v>278.95999999999998</v>
      </c>
      <c r="G223" s="1">
        <f ca="1">IFERROR(__xludf.DUMMYFUNCTION("""COMPUTED_VALUE"""),89.07)</f>
        <v>89.07</v>
      </c>
      <c r="H223" s="1">
        <f ca="1">IFERROR(__xludf.DUMMYFUNCTION("""COMPUTED_VALUE"""),136.03)</f>
        <v>136.03</v>
      </c>
      <c r="I223" s="1">
        <f ca="1">IFERROR(__xludf.DUMMYFUNCTION("""COMPUTED_VALUE"""),145.76)</f>
        <v>145.76</v>
      </c>
      <c r="J223" s="1">
        <f ca="1">IFERROR(__xludf.DUMMYFUNCTION("""COMPUTED_VALUE"""),379.79)</f>
        <v>379.79</v>
      </c>
      <c r="K223" s="1">
        <f ca="1">IFERROR(__xludf.DUMMYFUNCTION("""COMPUTED_VALUE"""),38.08)</f>
        <v>38.08</v>
      </c>
      <c r="L223" s="1">
        <f ca="1">IFERROR(__xludf.DUMMYFUNCTION("""COMPUTED_VALUE"""),460.95)</f>
        <v>460.95</v>
      </c>
      <c r="M223" s="1">
        <f ca="1">IFERROR(__xludf.DUMMYFUNCTION("""COMPUTED_VALUE"""),479.1)</f>
        <v>479.1</v>
      </c>
    </row>
    <row r="224" spans="1:13" x14ac:dyDescent="0.25">
      <c r="A224" s="2">
        <f ca="1">IFERROR(__xludf.DUMMYFUNCTION("""COMPUTED_VALUE"""),44153.6666666666)</f>
        <v>44153.666666666599</v>
      </c>
      <c r="B224" s="1">
        <f ca="1">IFERROR(__xludf.DUMMYFUNCTION("""COMPUTED_VALUE"""),118.03)</f>
        <v>118.03</v>
      </c>
      <c r="C224" s="1">
        <f ca="1">IFERROR(__xludf.DUMMYFUNCTION("""COMPUTED_VALUE"""),214.46)</f>
        <v>214.46</v>
      </c>
      <c r="D224" s="1">
        <f ca="1">IFERROR(__xludf.DUMMYFUNCTION("""COMPUTED_VALUE"""),156.78)</f>
        <v>156.78</v>
      </c>
      <c r="E224" s="1">
        <f ca="1">IFERROR(__xludf.DUMMYFUNCTION("""COMPUTED_VALUE"""),13.42)</f>
        <v>13.42</v>
      </c>
      <c r="F224" s="1">
        <f ca="1">IFERROR(__xludf.DUMMYFUNCTION("""COMPUTED_VALUE"""),275)</f>
        <v>275</v>
      </c>
      <c r="G224" s="1">
        <f ca="1">IFERROR(__xludf.DUMMYFUNCTION("""COMPUTED_VALUE"""),88.51)</f>
        <v>88.51</v>
      </c>
      <c r="H224" s="1">
        <f ca="1">IFERROR(__xludf.DUMMYFUNCTION("""COMPUTED_VALUE"""),147.2)</f>
        <v>147.19999999999999</v>
      </c>
      <c r="I224" s="1">
        <f ca="1">IFERROR(__xludf.DUMMYFUNCTION("""COMPUTED_VALUE"""),145.24)</f>
        <v>145.24</v>
      </c>
      <c r="J224" s="1">
        <f ca="1">IFERROR(__xludf.DUMMYFUNCTION("""COMPUTED_VALUE"""),381.92)</f>
        <v>381.92</v>
      </c>
      <c r="K224" s="1">
        <f ca="1">IFERROR(__xludf.DUMMYFUNCTION("""COMPUTED_VALUE"""),38.06)</f>
        <v>38.06</v>
      </c>
      <c r="L224" s="1">
        <f ca="1">IFERROR(__xludf.DUMMYFUNCTION("""COMPUTED_VALUE"""),467.95)</f>
        <v>467.95</v>
      </c>
      <c r="M224" s="1">
        <f ca="1">IFERROR(__xludf.DUMMYFUNCTION("""COMPUTED_VALUE"""),480.63)</f>
        <v>480.63</v>
      </c>
    </row>
    <row r="225" spans="1:13" x14ac:dyDescent="0.25">
      <c r="A225" s="2">
        <f ca="1">IFERROR(__xludf.DUMMYFUNCTION("""COMPUTED_VALUE"""),44154.6666666666)</f>
        <v>44154.666666666599</v>
      </c>
      <c r="B225" s="1">
        <f ca="1">IFERROR(__xludf.DUMMYFUNCTION("""COMPUTED_VALUE"""),118.64)</f>
        <v>118.64</v>
      </c>
      <c r="C225" s="1">
        <f ca="1">IFERROR(__xludf.DUMMYFUNCTION("""COMPUTED_VALUE"""),211.08)</f>
        <v>211.08</v>
      </c>
      <c r="D225" s="1">
        <f ca="1">IFERROR(__xludf.DUMMYFUNCTION("""COMPUTED_VALUE"""),155.27)</f>
        <v>155.27000000000001</v>
      </c>
      <c r="E225" s="1">
        <f ca="1">IFERROR(__xludf.DUMMYFUNCTION("""COMPUTED_VALUE"""),13.43)</f>
        <v>13.43</v>
      </c>
      <c r="F225" s="1">
        <f ca="1">IFERROR(__xludf.DUMMYFUNCTION("""COMPUTED_VALUE"""),271.97)</f>
        <v>271.97000000000003</v>
      </c>
      <c r="G225" s="1">
        <f ca="1">IFERROR(__xludf.DUMMYFUNCTION("""COMPUTED_VALUE"""),87.34)</f>
        <v>87.34</v>
      </c>
      <c r="H225" s="1">
        <f ca="1">IFERROR(__xludf.DUMMYFUNCTION("""COMPUTED_VALUE"""),162.21)</f>
        <v>162.21</v>
      </c>
      <c r="I225" s="1">
        <f ca="1">IFERROR(__xludf.DUMMYFUNCTION("""COMPUTED_VALUE"""),143.38)</f>
        <v>143.38</v>
      </c>
      <c r="J225" s="1">
        <f ca="1">IFERROR(__xludf.DUMMYFUNCTION("""COMPUTED_VALUE"""),382.23)</f>
        <v>382.23</v>
      </c>
      <c r="K225" s="1">
        <f ca="1">IFERROR(__xludf.DUMMYFUNCTION("""COMPUTED_VALUE"""),38.06)</f>
        <v>38.06</v>
      </c>
      <c r="L225" s="1">
        <f ca="1">IFERROR(__xludf.DUMMYFUNCTION("""COMPUTED_VALUE"""),459.47)</f>
        <v>459.47</v>
      </c>
      <c r="M225" s="1">
        <f ca="1">IFERROR(__xludf.DUMMYFUNCTION("""COMPUTED_VALUE"""),481.79)</f>
        <v>481.79</v>
      </c>
    </row>
    <row r="226" spans="1:13" x14ac:dyDescent="0.25">
      <c r="A226" s="2">
        <f ca="1">IFERROR(__xludf.DUMMYFUNCTION("""COMPUTED_VALUE"""),44155.6666666666)</f>
        <v>44155.666666666599</v>
      </c>
      <c r="B226" s="1">
        <f ca="1">IFERROR(__xludf.DUMMYFUNCTION("""COMPUTED_VALUE"""),117.34)</f>
        <v>117.34</v>
      </c>
      <c r="C226" s="1">
        <f ca="1">IFERROR(__xludf.DUMMYFUNCTION("""COMPUTED_VALUE"""),212.42)</f>
        <v>212.42</v>
      </c>
      <c r="D226" s="1">
        <f ca="1">IFERROR(__xludf.DUMMYFUNCTION("""COMPUTED_VALUE"""),155.85)</f>
        <v>155.85</v>
      </c>
      <c r="E226" s="1">
        <f ca="1">IFERROR(__xludf.DUMMYFUNCTION("""COMPUTED_VALUE"""),13.44)</f>
        <v>13.44</v>
      </c>
      <c r="F226" s="1">
        <f ca="1">IFERROR(__xludf.DUMMYFUNCTION("""COMPUTED_VALUE"""),272.94)</f>
        <v>272.94</v>
      </c>
      <c r="G226" s="1">
        <f ca="1">IFERROR(__xludf.DUMMYFUNCTION("""COMPUTED_VALUE"""),88.2)</f>
        <v>88.2</v>
      </c>
      <c r="H226" s="1">
        <f ca="1">IFERROR(__xludf.DUMMYFUNCTION("""COMPUTED_VALUE"""),166.42)</f>
        <v>166.42</v>
      </c>
      <c r="I226" s="1">
        <f ca="1">IFERROR(__xludf.DUMMYFUNCTION("""COMPUTED_VALUE"""),143.32)</f>
        <v>143.32</v>
      </c>
      <c r="J226" s="1">
        <f ca="1">IFERROR(__xludf.DUMMYFUNCTION("""COMPUTED_VALUE"""),383.54)</f>
        <v>383.54</v>
      </c>
      <c r="K226" s="1">
        <f ca="1">IFERROR(__xludf.DUMMYFUNCTION("""COMPUTED_VALUE"""),38.43)</f>
        <v>38.43</v>
      </c>
      <c r="L226" s="1">
        <f ca="1">IFERROR(__xludf.DUMMYFUNCTION("""COMPUTED_VALUE"""),466.41)</f>
        <v>466.41</v>
      </c>
      <c r="M226" s="1">
        <f ca="1">IFERROR(__xludf.DUMMYFUNCTION("""COMPUTED_VALUE"""),484.67)</f>
        <v>484.67</v>
      </c>
    </row>
    <row r="227" spans="1:13" x14ac:dyDescent="0.25">
      <c r="A227" s="2">
        <f ca="1">IFERROR(__xludf.DUMMYFUNCTION("""COMPUTED_VALUE"""),44158.6666666666)</f>
        <v>44158.666666666599</v>
      </c>
      <c r="B227" s="1">
        <f ca="1">IFERROR(__xludf.DUMMYFUNCTION("""COMPUTED_VALUE"""),113.85)</f>
        <v>113.85</v>
      </c>
      <c r="C227" s="1">
        <f ca="1">IFERROR(__xludf.DUMMYFUNCTION("""COMPUTED_VALUE"""),210.39)</f>
        <v>210.39</v>
      </c>
      <c r="D227" s="1">
        <f ca="1">IFERROR(__xludf.DUMMYFUNCTION("""COMPUTED_VALUE"""),154.97)</f>
        <v>154.97</v>
      </c>
      <c r="E227" s="1">
        <f ca="1">IFERROR(__xludf.DUMMYFUNCTION("""COMPUTED_VALUE"""),13.09)</f>
        <v>13.09</v>
      </c>
      <c r="F227" s="1">
        <f ca="1">IFERROR(__xludf.DUMMYFUNCTION("""COMPUTED_VALUE"""),269.7)</f>
        <v>269.7</v>
      </c>
      <c r="G227" s="1">
        <f ca="1">IFERROR(__xludf.DUMMYFUNCTION("""COMPUTED_VALUE"""),87.11)</f>
        <v>87.11</v>
      </c>
      <c r="H227" s="1">
        <f ca="1">IFERROR(__xludf.DUMMYFUNCTION("""COMPUTED_VALUE"""),163.2)</f>
        <v>163.19999999999999</v>
      </c>
      <c r="I227" s="1">
        <f ca="1">IFERROR(__xludf.DUMMYFUNCTION("""COMPUTED_VALUE"""),143.42)</f>
        <v>143.41999999999999</v>
      </c>
      <c r="J227" s="1">
        <f ca="1">IFERROR(__xludf.DUMMYFUNCTION("""COMPUTED_VALUE"""),381.12)</f>
        <v>381.12</v>
      </c>
      <c r="K227" s="1">
        <f ca="1">IFERROR(__xludf.DUMMYFUNCTION("""COMPUTED_VALUE"""),38.33)</f>
        <v>38.33</v>
      </c>
      <c r="L227" s="1">
        <f ca="1">IFERROR(__xludf.DUMMYFUNCTION("""COMPUTED_VALUE"""),462.92)</f>
        <v>462.92</v>
      </c>
      <c r="M227" s="1">
        <f ca="1">IFERROR(__xludf.DUMMYFUNCTION("""COMPUTED_VALUE"""),488.24)</f>
        <v>488.24</v>
      </c>
    </row>
    <row r="228" spans="1:13" x14ac:dyDescent="0.25">
      <c r="A228" s="2">
        <f ca="1">IFERROR(__xludf.DUMMYFUNCTION("""COMPUTED_VALUE"""),44159.6666666666)</f>
        <v>44159.666666666599</v>
      </c>
      <c r="B228" s="1">
        <f ca="1">IFERROR(__xludf.DUMMYFUNCTION("""COMPUTED_VALUE"""),115.17)</f>
        <v>115.17</v>
      </c>
      <c r="C228" s="1">
        <f ca="1">IFERROR(__xludf.DUMMYFUNCTION("""COMPUTED_VALUE"""),210.11)</f>
        <v>210.11</v>
      </c>
      <c r="D228" s="1">
        <f ca="1">IFERROR(__xludf.DUMMYFUNCTION("""COMPUTED_VALUE"""),154.92)</f>
        <v>154.91999999999999</v>
      </c>
      <c r="E228" s="1">
        <f ca="1">IFERROR(__xludf.DUMMYFUNCTION("""COMPUTED_VALUE"""),13.14)</f>
        <v>13.14</v>
      </c>
      <c r="F228" s="1">
        <f ca="1">IFERROR(__xludf.DUMMYFUNCTION("""COMPUTED_VALUE"""),268.43)</f>
        <v>268.43</v>
      </c>
      <c r="G228" s="1">
        <f ca="1">IFERROR(__xludf.DUMMYFUNCTION("""COMPUTED_VALUE"""),86.74)</f>
        <v>86.74</v>
      </c>
      <c r="H228" s="1">
        <f ca="1">IFERROR(__xludf.DUMMYFUNCTION("""COMPUTED_VALUE"""),173.95)</f>
        <v>173.95</v>
      </c>
      <c r="I228" s="1">
        <f ca="1">IFERROR(__xludf.DUMMYFUNCTION("""COMPUTED_VALUE"""),143.02)</f>
        <v>143.02000000000001</v>
      </c>
      <c r="J228" s="1">
        <f ca="1">IFERROR(__xludf.DUMMYFUNCTION("""COMPUTED_VALUE"""),381.71)</f>
        <v>381.71</v>
      </c>
      <c r="K228" s="1">
        <f ca="1">IFERROR(__xludf.DUMMYFUNCTION("""COMPUTED_VALUE"""),38.7)</f>
        <v>38.700000000000003</v>
      </c>
      <c r="L228" s="1">
        <f ca="1">IFERROR(__xludf.DUMMYFUNCTION("""COMPUTED_VALUE"""),460.61)</f>
        <v>460.61</v>
      </c>
      <c r="M228" s="1">
        <f ca="1">IFERROR(__xludf.DUMMYFUNCTION("""COMPUTED_VALUE"""),476.62)</f>
        <v>476.62</v>
      </c>
    </row>
    <row r="229" spans="1:13" x14ac:dyDescent="0.25">
      <c r="A229" s="2">
        <f ca="1">IFERROR(__xludf.DUMMYFUNCTION("""COMPUTED_VALUE"""),44160.6666666666)</f>
        <v>44160.666666666599</v>
      </c>
      <c r="B229" s="1">
        <f ca="1">IFERROR(__xludf.DUMMYFUNCTION("""COMPUTED_VALUE"""),116.03)</f>
        <v>116.03</v>
      </c>
      <c r="C229" s="1">
        <f ca="1">IFERROR(__xludf.DUMMYFUNCTION("""COMPUTED_VALUE"""),213.86)</f>
        <v>213.86</v>
      </c>
      <c r="D229" s="1">
        <f ca="1">IFERROR(__xludf.DUMMYFUNCTION("""COMPUTED_VALUE"""),155.9)</f>
        <v>155.9</v>
      </c>
      <c r="E229" s="1">
        <f ca="1">IFERROR(__xludf.DUMMYFUNCTION("""COMPUTED_VALUE"""),12.96)</f>
        <v>12.96</v>
      </c>
      <c r="F229" s="1">
        <f ca="1">IFERROR(__xludf.DUMMYFUNCTION("""COMPUTED_VALUE"""),276.92)</f>
        <v>276.92</v>
      </c>
      <c r="G229" s="1">
        <f ca="1">IFERROR(__xludf.DUMMYFUNCTION("""COMPUTED_VALUE"""),88.44)</f>
        <v>88.44</v>
      </c>
      <c r="H229" s="1">
        <f ca="1">IFERROR(__xludf.DUMMYFUNCTION("""COMPUTED_VALUE"""),185.13)</f>
        <v>185.13</v>
      </c>
      <c r="I229" s="1">
        <f ca="1">IFERROR(__xludf.DUMMYFUNCTION("""COMPUTED_VALUE"""),144.03)</f>
        <v>144.03</v>
      </c>
      <c r="J229" s="1">
        <f ca="1">IFERROR(__xludf.DUMMYFUNCTION("""COMPUTED_VALUE"""),384.22)</f>
        <v>384.22</v>
      </c>
      <c r="K229" s="1">
        <f ca="1">IFERROR(__xludf.DUMMYFUNCTION("""COMPUTED_VALUE"""),39.22)</f>
        <v>39.22</v>
      </c>
      <c r="L229" s="1">
        <f ca="1">IFERROR(__xludf.DUMMYFUNCTION("""COMPUTED_VALUE"""),462.7)</f>
        <v>462.7</v>
      </c>
      <c r="M229" s="1">
        <f ca="1">IFERROR(__xludf.DUMMYFUNCTION("""COMPUTED_VALUE"""),482.88)</f>
        <v>482.88</v>
      </c>
    </row>
    <row r="230" spans="1:13" x14ac:dyDescent="0.25">
      <c r="A230" s="2">
        <f ca="1">IFERROR(__xludf.DUMMYFUNCTION("""COMPUTED_VALUE"""),44162.5416666666)</f>
        <v>44162.541666666599</v>
      </c>
      <c r="B230" s="1">
        <f ca="1">IFERROR(__xludf.DUMMYFUNCTION("""COMPUTED_VALUE"""),116.59)</f>
        <v>116.59</v>
      </c>
      <c r="C230" s="1">
        <f ca="1">IFERROR(__xludf.DUMMYFUNCTION("""COMPUTED_VALUE"""),213.87)</f>
        <v>213.87</v>
      </c>
      <c r="D230" s="1">
        <f ca="1">IFERROR(__xludf.DUMMYFUNCTION("""COMPUTED_VALUE"""),159.25)</f>
        <v>159.25</v>
      </c>
      <c r="E230" s="1">
        <f ca="1">IFERROR(__xludf.DUMMYFUNCTION("""COMPUTED_VALUE"""),13.23)</f>
        <v>13.23</v>
      </c>
      <c r="F230" s="1">
        <f ca="1">IFERROR(__xludf.DUMMYFUNCTION("""COMPUTED_VALUE"""),275.59)</f>
        <v>275.58999999999997</v>
      </c>
      <c r="G230" s="1">
        <f ca="1">IFERROR(__xludf.DUMMYFUNCTION("""COMPUTED_VALUE"""),88.57)</f>
        <v>88.57</v>
      </c>
      <c r="H230" s="1">
        <f ca="1">IFERROR(__xludf.DUMMYFUNCTION("""COMPUTED_VALUE"""),191.33)</f>
        <v>191.33</v>
      </c>
      <c r="I230" s="1">
        <f ca="1">IFERROR(__xludf.DUMMYFUNCTION("""COMPUTED_VALUE"""),144.16)</f>
        <v>144.16</v>
      </c>
      <c r="J230" s="1">
        <f ca="1">IFERROR(__xludf.DUMMYFUNCTION("""COMPUTED_VALUE"""),387.75)</f>
        <v>387.75</v>
      </c>
      <c r="K230" s="1">
        <f ca="1">IFERROR(__xludf.DUMMYFUNCTION("""COMPUTED_VALUE"""),39.08)</f>
        <v>39.08</v>
      </c>
      <c r="L230" s="1">
        <f ca="1">IFERROR(__xludf.DUMMYFUNCTION("""COMPUTED_VALUE"""),470.08)</f>
        <v>470.08</v>
      </c>
      <c r="M230" s="1">
        <f ca="1">IFERROR(__xludf.DUMMYFUNCTION("""COMPUTED_VALUE"""),485)</f>
        <v>485</v>
      </c>
    </row>
    <row r="231" spans="1:13" x14ac:dyDescent="0.25">
      <c r="A231" s="2">
        <f ca="1">IFERROR(__xludf.DUMMYFUNCTION("""COMPUTED_VALUE"""),44165.6666666666)</f>
        <v>44165.666666666599</v>
      </c>
      <c r="B231" s="1">
        <f ca="1">IFERROR(__xludf.DUMMYFUNCTION("""COMPUTED_VALUE"""),119.05)</f>
        <v>119.05</v>
      </c>
      <c r="C231" s="1">
        <f ca="1">IFERROR(__xludf.DUMMYFUNCTION("""COMPUTED_VALUE"""),215.23)</f>
        <v>215.23</v>
      </c>
      <c r="D231" s="1">
        <f ca="1">IFERROR(__xludf.DUMMYFUNCTION("""COMPUTED_VALUE"""),159.77)</f>
        <v>159.77000000000001</v>
      </c>
      <c r="E231" s="1">
        <f ca="1">IFERROR(__xludf.DUMMYFUNCTION("""COMPUTED_VALUE"""),13.26)</f>
        <v>13.26</v>
      </c>
      <c r="F231" s="1">
        <f ca="1">IFERROR(__xludf.DUMMYFUNCTION("""COMPUTED_VALUE"""),277.81)</f>
        <v>277.81</v>
      </c>
      <c r="G231" s="1">
        <f ca="1">IFERROR(__xludf.DUMMYFUNCTION("""COMPUTED_VALUE"""),89.66)</f>
        <v>89.66</v>
      </c>
      <c r="H231" s="1">
        <f ca="1">IFERROR(__xludf.DUMMYFUNCTION("""COMPUTED_VALUE"""),195.25)</f>
        <v>195.25</v>
      </c>
      <c r="I231" s="1">
        <f ca="1">IFERROR(__xludf.DUMMYFUNCTION("""COMPUTED_VALUE"""),144.6)</f>
        <v>144.6</v>
      </c>
      <c r="J231" s="1">
        <f ca="1">IFERROR(__xludf.DUMMYFUNCTION("""COMPUTED_VALUE"""),388.39)</f>
        <v>388.39</v>
      </c>
      <c r="K231" s="1">
        <f ca="1">IFERROR(__xludf.DUMMYFUNCTION("""COMPUTED_VALUE"""),39.49)</f>
        <v>39.49</v>
      </c>
      <c r="L231" s="1">
        <f ca="1">IFERROR(__xludf.DUMMYFUNCTION("""COMPUTED_VALUE"""),477.03)</f>
        <v>477.03</v>
      </c>
      <c r="M231" s="1">
        <f ca="1">IFERROR(__xludf.DUMMYFUNCTION("""COMPUTED_VALUE"""),491.36)</f>
        <v>491.36</v>
      </c>
    </row>
    <row r="232" spans="1:13" x14ac:dyDescent="0.25">
      <c r="A232" s="2">
        <f ca="1">IFERROR(__xludf.DUMMYFUNCTION("""COMPUTED_VALUE"""),44166.6666666666)</f>
        <v>44166.666666666599</v>
      </c>
      <c r="B232" s="1">
        <f ca="1">IFERROR(__xludf.DUMMYFUNCTION("""COMPUTED_VALUE"""),122.72)</f>
        <v>122.72</v>
      </c>
      <c r="C232" s="1">
        <f ca="1">IFERROR(__xludf.DUMMYFUNCTION("""COMPUTED_VALUE"""),214.07)</f>
        <v>214.07</v>
      </c>
      <c r="D232" s="1">
        <f ca="1">IFERROR(__xludf.DUMMYFUNCTION("""COMPUTED_VALUE"""),158.4)</f>
        <v>158.4</v>
      </c>
      <c r="E232" s="1">
        <f ca="1">IFERROR(__xludf.DUMMYFUNCTION("""COMPUTED_VALUE"""),13.4)</f>
        <v>13.4</v>
      </c>
      <c r="F232" s="1">
        <f ca="1">IFERROR(__xludf.DUMMYFUNCTION("""COMPUTED_VALUE"""),276.97)</f>
        <v>276.97000000000003</v>
      </c>
      <c r="G232" s="1">
        <f ca="1">IFERROR(__xludf.DUMMYFUNCTION("""COMPUTED_VALUE"""),88.04)</f>
        <v>88.04</v>
      </c>
      <c r="H232" s="1">
        <f ca="1">IFERROR(__xludf.DUMMYFUNCTION("""COMPUTED_VALUE"""),189.2)</f>
        <v>189.2</v>
      </c>
      <c r="I232" s="1">
        <f ca="1">IFERROR(__xludf.DUMMYFUNCTION("""COMPUTED_VALUE"""),144.23)</f>
        <v>144.22999999999999</v>
      </c>
      <c r="J232" s="1">
        <f ca="1">IFERROR(__xludf.DUMMYFUNCTION("""COMPUTED_VALUE"""),391.77)</f>
        <v>391.77</v>
      </c>
      <c r="K232" s="1">
        <f ca="1">IFERROR(__xludf.DUMMYFUNCTION("""COMPUTED_VALUE"""),40.16)</f>
        <v>40.159999999999997</v>
      </c>
      <c r="L232" s="1">
        <f ca="1">IFERROR(__xludf.DUMMYFUNCTION("""COMPUTED_VALUE"""),478.47)</f>
        <v>478.47</v>
      </c>
      <c r="M232" s="1">
        <f ca="1">IFERROR(__xludf.DUMMYFUNCTION("""COMPUTED_VALUE"""),490.7)</f>
        <v>490.7</v>
      </c>
    </row>
    <row r="233" spans="1:13" x14ac:dyDescent="0.25">
      <c r="A233" s="2">
        <f ca="1">IFERROR(__xludf.DUMMYFUNCTION("""COMPUTED_VALUE"""),44167.6666666666)</f>
        <v>44167.666666666599</v>
      </c>
      <c r="B233" s="1">
        <f ca="1">IFERROR(__xludf.DUMMYFUNCTION("""COMPUTED_VALUE"""),123.08)</f>
        <v>123.08</v>
      </c>
      <c r="C233" s="1">
        <f ca="1">IFERROR(__xludf.DUMMYFUNCTION("""COMPUTED_VALUE"""),216.21)</f>
        <v>216.21</v>
      </c>
      <c r="D233" s="1">
        <f ca="1">IFERROR(__xludf.DUMMYFUNCTION("""COMPUTED_VALUE"""),161)</f>
        <v>161</v>
      </c>
      <c r="E233" s="1">
        <f ca="1">IFERROR(__xludf.DUMMYFUNCTION("""COMPUTED_VALUE"""),13.39)</f>
        <v>13.39</v>
      </c>
      <c r="F233" s="1">
        <f ca="1">IFERROR(__xludf.DUMMYFUNCTION("""COMPUTED_VALUE"""),286.55)</f>
        <v>286.55</v>
      </c>
      <c r="G233" s="1">
        <f ca="1">IFERROR(__xludf.DUMMYFUNCTION("""COMPUTED_VALUE"""),89.91)</f>
        <v>89.91</v>
      </c>
      <c r="H233" s="1">
        <f ca="1">IFERROR(__xludf.DUMMYFUNCTION("""COMPUTED_VALUE"""),194.92)</f>
        <v>194.92</v>
      </c>
      <c r="I233" s="1">
        <f ca="1">IFERROR(__xludf.DUMMYFUNCTION("""COMPUTED_VALUE"""),146.07)</f>
        <v>146.07</v>
      </c>
      <c r="J233" s="1">
        <f ca="1">IFERROR(__xludf.DUMMYFUNCTION("""COMPUTED_VALUE"""),387.56)</f>
        <v>387.56</v>
      </c>
      <c r="K233" s="1">
        <f ca="1">IFERROR(__xludf.DUMMYFUNCTION("""COMPUTED_VALUE"""),40.46)</f>
        <v>40.46</v>
      </c>
      <c r="L233" s="1">
        <f ca="1">IFERROR(__xludf.DUMMYFUNCTION("""COMPUTED_VALUE"""),479.15)</f>
        <v>479.15</v>
      </c>
      <c r="M233" s="1">
        <f ca="1">IFERROR(__xludf.DUMMYFUNCTION("""COMPUTED_VALUE"""),504.58)</f>
        <v>504.58</v>
      </c>
    </row>
    <row r="234" spans="1:13" x14ac:dyDescent="0.25">
      <c r="A234" s="2">
        <f ca="1">IFERROR(__xludf.DUMMYFUNCTION("""COMPUTED_VALUE"""),44168.6666666666)</f>
        <v>44168.666666666599</v>
      </c>
      <c r="B234" s="1">
        <f ca="1">IFERROR(__xludf.DUMMYFUNCTION("""COMPUTED_VALUE"""),122.94)</f>
        <v>122.94</v>
      </c>
      <c r="C234" s="1">
        <f ca="1">IFERROR(__xludf.DUMMYFUNCTION("""COMPUTED_VALUE"""),215.37)</f>
        <v>215.37</v>
      </c>
      <c r="D234" s="1">
        <f ca="1">IFERROR(__xludf.DUMMYFUNCTION("""COMPUTED_VALUE"""),160.18)</f>
        <v>160.18</v>
      </c>
      <c r="E234" s="1">
        <f ca="1">IFERROR(__xludf.DUMMYFUNCTION("""COMPUTED_VALUE"""),13.54)</f>
        <v>13.54</v>
      </c>
      <c r="F234" s="1">
        <f ca="1">IFERROR(__xludf.DUMMYFUNCTION("""COMPUTED_VALUE"""),287.52)</f>
        <v>287.52</v>
      </c>
      <c r="G234" s="1">
        <f ca="1">IFERROR(__xludf.DUMMYFUNCTION("""COMPUTED_VALUE"""),91.4)</f>
        <v>91.4</v>
      </c>
      <c r="H234" s="1">
        <f ca="1">IFERROR(__xludf.DUMMYFUNCTION("""COMPUTED_VALUE"""),189.61)</f>
        <v>189.61</v>
      </c>
      <c r="I234" s="1">
        <f ca="1">IFERROR(__xludf.DUMMYFUNCTION("""COMPUTED_VALUE"""),144.62)</f>
        <v>144.62</v>
      </c>
      <c r="J234" s="1">
        <f ca="1">IFERROR(__xludf.DUMMYFUNCTION("""COMPUTED_VALUE"""),383.5)</f>
        <v>383.5</v>
      </c>
      <c r="K234" s="1">
        <f ca="1">IFERROR(__xludf.DUMMYFUNCTION("""COMPUTED_VALUE"""),40.37)</f>
        <v>40.369999999999997</v>
      </c>
      <c r="L234" s="1">
        <f ca="1">IFERROR(__xludf.DUMMYFUNCTION("""COMPUTED_VALUE"""),481.26)</f>
        <v>481.26</v>
      </c>
      <c r="M234" s="1">
        <f ca="1">IFERROR(__xludf.DUMMYFUNCTION("""COMPUTED_VALUE"""),503.38)</f>
        <v>503.38</v>
      </c>
    </row>
    <row r="235" spans="1:13" x14ac:dyDescent="0.25">
      <c r="A235" s="2">
        <f ca="1">IFERROR(__xludf.DUMMYFUNCTION("""COMPUTED_VALUE"""),44169.6666666666)</f>
        <v>44169.666666666599</v>
      </c>
      <c r="B235" s="1">
        <f ca="1">IFERROR(__xludf.DUMMYFUNCTION("""COMPUTED_VALUE"""),122.25)</f>
        <v>122.25</v>
      </c>
      <c r="C235" s="1">
        <f ca="1">IFERROR(__xludf.DUMMYFUNCTION("""COMPUTED_VALUE"""),214.24)</f>
        <v>214.24</v>
      </c>
      <c r="D235" s="1">
        <f ca="1">IFERROR(__xludf.DUMMYFUNCTION("""COMPUTED_VALUE"""),159.34)</f>
        <v>159.34</v>
      </c>
      <c r="E235" s="1">
        <f ca="1">IFERROR(__xludf.DUMMYFUNCTION("""COMPUTED_VALUE"""),13.4)</f>
        <v>13.4</v>
      </c>
      <c r="F235" s="1">
        <f ca="1">IFERROR(__xludf.DUMMYFUNCTION("""COMPUTED_VALUE"""),281.85)</f>
        <v>281.85000000000002</v>
      </c>
      <c r="G235" s="1">
        <f ca="1">IFERROR(__xludf.DUMMYFUNCTION("""COMPUTED_VALUE"""),91.34)</f>
        <v>91.34</v>
      </c>
      <c r="H235" s="1">
        <f ca="1">IFERROR(__xludf.DUMMYFUNCTION("""COMPUTED_VALUE"""),197.79)</f>
        <v>197.79</v>
      </c>
      <c r="I235" s="1">
        <f ca="1">IFERROR(__xludf.DUMMYFUNCTION("""COMPUTED_VALUE"""),144.45)</f>
        <v>144.44999999999999</v>
      </c>
      <c r="J235" s="1">
        <f ca="1">IFERROR(__xludf.DUMMYFUNCTION("""COMPUTED_VALUE"""),374.05)</f>
        <v>374.05</v>
      </c>
      <c r="K235" s="1">
        <f ca="1">IFERROR(__xludf.DUMMYFUNCTION("""COMPUTED_VALUE"""),39.98)</f>
        <v>39.979999999999997</v>
      </c>
      <c r="L235" s="1">
        <f ca="1">IFERROR(__xludf.DUMMYFUNCTION("""COMPUTED_VALUE"""),484.28)</f>
        <v>484.28</v>
      </c>
      <c r="M235" s="1">
        <f ca="1">IFERROR(__xludf.DUMMYFUNCTION("""COMPUTED_VALUE"""),497.52)</f>
        <v>497.52</v>
      </c>
    </row>
    <row r="236" spans="1:13" x14ac:dyDescent="0.25">
      <c r="A236" s="2">
        <f ca="1">IFERROR(__xludf.DUMMYFUNCTION("""COMPUTED_VALUE"""),44172.6666666666)</f>
        <v>44172.666666666599</v>
      </c>
      <c r="B236" s="1">
        <f ca="1">IFERROR(__xludf.DUMMYFUNCTION("""COMPUTED_VALUE"""),123.75)</f>
        <v>123.75</v>
      </c>
      <c r="C236" s="1">
        <f ca="1">IFERROR(__xludf.DUMMYFUNCTION("""COMPUTED_VALUE"""),214.36)</f>
        <v>214.36</v>
      </c>
      <c r="D236" s="1">
        <f ca="1">IFERROR(__xludf.DUMMYFUNCTION("""COMPUTED_VALUE"""),158.13)</f>
        <v>158.13</v>
      </c>
      <c r="E236" s="1">
        <f ca="1">IFERROR(__xludf.DUMMYFUNCTION("""COMPUTED_VALUE"""),13.56)</f>
        <v>13.56</v>
      </c>
      <c r="F236" s="1">
        <f ca="1">IFERROR(__xludf.DUMMYFUNCTION("""COMPUTED_VALUE"""),279.7)</f>
        <v>279.7</v>
      </c>
      <c r="G236" s="1">
        <f ca="1">IFERROR(__xludf.DUMMYFUNCTION("""COMPUTED_VALUE"""),91.4)</f>
        <v>91.4</v>
      </c>
      <c r="H236" s="1">
        <f ca="1">IFERROR(__xludf.DUMMYFUNCTION("""COMPUTED_VALUE"""),199.68)</f>
        <v>199.68</v>
      </c>
      <c r="I236" s="1">
        <f ca="1">IFERROR(__xludf.DUMMYFUNCTION("""COMPUTED_VALUE"""),145.85)</f>
        <v>145.85</v>
      </c>
      <c r="J236" s="1">
        <f ca="1">IFERROR(__xludf.DUMMYFUNCTION("""COMPUTED_VALUE"""),373.43)</f>
        <v>373.43</v>
      </c>
      <c r="K236" s="1">
        <f ca="1">IFERROR(__xludf.DUMMYFUNCTION("""COMPUTED_VALUE"""),41.17)</f>
        <v>41.17</v>
      </c>
      <c r="L236" s="1">
        <f ca="1">IFERROR(__xludf.DUMMYFUNCTION("""COMPUTED_VALUE"""),486)</f>
        <v>486</v>
      </c>
      <c r="M236" s="1">
        <f ca="1">IFERROR(__xludf.DUMMYFUNCTION("""COMPUTED_VALUE"""),498.31)</f>
        <v>498.31</v>
      </c>
    </row>
    <row r="237" spans="1:13" x14ac:dyDescent="0.25">
      <c r="A237" s="2">
        <f ca="1">IFERROR(__xludf.DUMMYFUNCTION("""COMPUTED_VALUE"""),44173.6666666666)</f>
        <v>44173.666666666599</v>
      </c>
      <c r="B237" s="1">
        <f ca="1">IFERROR(__xludf.DUMMYFUNCTION("""COMPUTED_VALUE"""),124.38)</f>
        <v>124.38</v>
      </c>
      <c r="C237" s="1">
        <f ca="1">IFERROR(__xludf.DUMMYFUNCTION("""COMPUTED_VALUE"""),214.29)</f>
        <v>214.29</v>
      </c>
      <c r="D237" s="1">
        <f ca="1">IFERROR(__xludf.DUMMYFUNCTION("""COMPUTED_VALUE"""),157.9)</f>
        <v>157.9</v>
      </c>
      <c r="E237" s="1">
        <f ca="1">IFERROR(__xludf.DUMMYFUNCTION("""COMPUTED_VALUE"""),13.61)</f>
        <v>13.61</v>
      </c>
      <c r="F237" s="1">
        <f ca="1">IFERROR(__xludf.DUMMYFUNCTION("""COMPUTED_VALUE"""),285.58)</f>
        <v>285.58</v>
      </c>
      <c r="G237" s="1">
        <f ca="1">IFERROR(__xludf.DUMMYFUNCTION("""COMPUTED_VALUE"""),90.97)</f>
        <v>90.97</v>
      </c>
      <c r="H237" s="1">
        <f ca="1">IFERROR(__xludf.DUMMYFUNCTION("""COMPUTED_VALUE"""),213.92)</f>
        <v>213.92</v>
      </c>
      <c r="I237" s="1">
        <f ca="1">IFERROR(__xludf.DUMMYFUNCTION("""COMPUTED_VALUE"""),145.37)</f>
        <v>145.37</v>
      </c>
      <c r="J237" s="1">
        <f ca="1">IFERROR(__xludf.DUMMYFUNCTION("""COMPUTED_VALUE"""),373.33)</f>
        <v>373.33</v>
      </c>
      <c r="K237" s="1">
        <f ca="1">IFERROR(__xludf.DUMMYFUNCTION("""COMPUTED_VALUE"""),42.09)</f>
        <v>42.09</v>
      </c>
      <c r="L237" s="1">
        <f ca="1">IFERROR(__xludf.DUMMYFUNCTION("""COMPUTED_VALUE"""),492.25)</f>
        <v>492.25</v>
      </c>
      <c r="M237" s="1">
        <f ca="1">IFERROR(__xludf.DUMMYFUNCTION("""COMPUTED_VALUE"""),515.78)</f>
        <v>515.78</v>
      </c>
    </row>
    <row r="238" spans="1:13" x14ac:dyDescent="0.25">
      <c r="A238" s="2">
        <f ca="1">IFERROR(__xludf.DUMMYFUNCTION("""COMPUTED_VALUE"""),44174.6666666666)</f>
        <v>44174.666666666599</v>
      </c>
      <c r="B238" s="1">
        <f ca="1">IFERROR(__xludf.DUMMYFUNCTION("""COMPUTED_VALUE"""),121.78)</f>
        <v>121.78</v>
      </c>
      <c r="C238" s="1">
        <f ca="1">IFERROR(__xludf.DUMMYFUNCTION("""COMPUTED_VALUE"""),216.01)</f>
        <v>216.01</v>
      </c>
      <c r="D238" s="1">
        <f ca="1">IFERROR(__xludf.DUMMYFUNCTION("""COMPUTED_VALUE"""),158.86)</f>
        <v>158.86000000000001</v>
      </c>
      <c r="E238" s="1">
        <f ca="1">IFERROR(__xludf.DUMMYFUNCTION("""COMPUTED_VALUE"""),13.35)</f>
        <v>13.35</v>
      </c>
      <c r="F238" s="1">
        <f ca="1">IFERROR(__xludf.DUMMYFUNCTION("""COMPUTED_VALUE"""),283.4)</f>
        <v>283.39999999999998</v>
      </c>
      <c r="G238" s="1">
        <f ca="1">IFERROR(__xludf.DUMMYFUNCTION("""COMPUTED_VALUE"""),90.93)</f>
        <v>90.93</v>
      </c>
      <c r="H238" s="1">
        <f ca="1">IFERROR(__xludf.DUMMYFUNCTION("""COMPUTED_VALUE"""),216.63)</f>
        <v>216.63</v>
      </c>
      <c r="I238" s="1">
        <f ca="1">IFERROR(__xludf.DUMMYFUNCTION("""COMPUTED_VALUE"""),145.52)</f>
        <v>145.52000000000001</v>
      </c>
      <c r="J238" s="1">
        <f ca="1">IFERROR(__xludf.DUMMYFUNCTION("""COMPUTED_VALUE"""),377.6)</f>
        <v>377.6</v>
      </c>
      <c r="K238" s="1">
        <f ca="1">IFERROR(__xludf.DUMMYFUNCTION("""COMPUTED_VALUE"""),42.34)</f>
        <v>42.34</v>
      </c>
      <c r="L238" s="1">
        <f ca="1">IFERROR(__xludf.DUMMYFUNCTION("""COMPUTED_VALUE"""),495.28)</f>
        <v>495.28</v>
      </c>
      <c r="M238" s="1">
        <f ca="1">IFERROR(__xludf.DUMMYFUNCTION("""COMPUTED_VALUE"""),512.66)</f>
        <v>512.66</v>
      </c>
    </row>
    <row r="239" spans="1:13" x14ac:dyDescent="0.25">
      <c r="A239" s="2">
        <f ca="1">IFERROR(__xludf.DUMMYFUNCTION("""COMPUTED_VALUE"""),44175.6666666666)</f>
        <v>44175.666666666599</v>
      </c>
      <c r="B239" s="1">
        <f ca="1">IFERROR(__xludf.DUMMYFUNCTION("""COMPUTED_VALUE"""),123.24)</f>
        <v>123.24</v>
      </c>
      <c r="C239" s="1">
        <f ca="1">IFERROR(__xludf.DUMMYFUNCTION("""COMPUTED_VALUE"""),211.8)</f>
        <v>211.8</v>
      </c>
      <c r="D239" s="1">
        <f ca="1">IFERROR(__xludf.DUMMYFUNCTION("""COMPUTED_VALUE"""),155.21)</f>
        <v>155.21</v>
      </c>
      <c r="E239" s="1">
        <f ca="1">IFERROR(__xludf.DUMMYFUNCTION("""COMPUTED_VALUE"""),12.93)</f>
        <v>12.93</v>
      </c>
      <c r="F239" s="1">
        <f ca="1">IFERROR(__xludf.DUMMYFUNCTION("""COMPUTED_VALUE"""),277.92)</f>
        <v>277.92</v>
      </c>
      <c r="G239" s="1">
        <f ca="1">IFERROR(__xludf.DUMMYFUNCTION("""COMPUTED_VALUE"""),89.21)</f>
        <v>89.21</v>
      </c>
      <c r="H239" s="1">
        <f ca="1">IFERROR(__xludf.DUMMYFUNCTION("""COMPUTED_VALUE"""),201.49)</f>
        <v>201.49</v>
      </c>
      <c r="I239" s="1">
        <f ca="1">IFERROR(__xludf.DUMMYFUNCTION("""COMPUTED_VALUE"""),145.69)</f>
        <v>145.69</v>
      </c>
      <c r="J239" s="1">
        <f ca="1">IFERROR(__xludf.DUMMYFUNCTION("""COMPUTED_VALUE"""),374.29)</f>
        <v>374.29</v>
      </c>
      <c r="K239" s="1">
        <f ca="1">IFERROR(__xludf.DUMMYFUNCTION("""COMPUTED_VALUE"""),41.62)</f>
        <v>41.62</v>
      </c>
      <c r="L239" s="1">
        <f ca="1">IFERROR(__xludf.DUMMYFUNCTION("""COMPUTED_VALUE"""),483.74)</f>
        <v>483.74</v>
      </c>
      <c r="M239" s="1">
        <f ca="1">IFERROR(__xludf.DUMMYFUNCTION("""COMPUTED_VALUE"""),493.6)</f>
        <v>493.6</v>
      </c>
    </row>
    <row r="240" spans="1:13" x14ac:dyDescent="0.25">
      <c r="A240" s="2">
        <f ca="1">IFERROR(__xludf.DUMMYFUNCTION("""COMPUTED_VALUE"""),44176.6666666666)</f>
        <v>44176.666666666599</v>
      </c>
      <c r="B240" s="1">
        <f ca="1">IFERROR(__xludf.DUMMYFUNCTION("""COMPUTED_VALUE"""),122.41)</f>
        <v>122.41</v>
      </c>
      <c r="C240" s="1">
        <f ca="1">IFERROR(__xludf.DUMMYFUNCTION("""COMPUTED_VALUE"""),210.52)</f>
        <v>210.52</v>
      </c>
      <c r="D240" s="1">
        <f ca="1">IFERROR(__xludf.DUMMYFUNCTION("""COMPUTED_VALUE"""),155.07)</f>
        <v>155.07</v>
      </c>
      <c r="E240" s="1">
        <f ca="1">IFERROR(__xludf.DUMMYFUNCTION("""COMPUTED_VALUE"""),12.97)</f>
        <v>12.97</v>
      </c>
      <c r="F240" s="1">
        <f ca="1">IFERROR(__xludf.DUMMYFUNCTION("""COMPUTED_VALUE"""),277.12)</f>
        <v>277.12</v>
      </c>
      <c r="G240" s="1">
        <f ca="1">IFERROR(__xludf.DUMMYFUNCTION("""COMPUTED_VALUE"""),88.77)</f>
        <v>88.77</v>
      </c>
      <c r="H240" s="1">
        <f ca="1">IFERROR(__xludf.DUMMYFUNCTION("""COMPUTED_VALUE"""),209.02)</f>
        <v>209.02</v>
      </c>
      <c r="I240" s="1">
        <f ca="1">IFERROR(__xludf.DUMMYFUNCTION("""COMPUTED_VALUE"""),144.67)</f>
        <v>144.66999999999999</v>
      </c>
      <c r="J240" s="1">
        <f ca="1">IFERROR(__xludf.DUMMYFUNCTION("""COMPUTED_VALUE"""),372.79)</f>
        <v>372.79</v>
      </c>
      <c r="K240" s="1">
        <f ca="1">IFERROR(__xludf.DUMMYFUNCTION("""COMPUTED_VALUE"""),41)</f>
        <v>41</v>
      </c>
      <c r="L240" s="1">
        <f ca="1">IFERROR(__xludf.DUMMYFUNCTION("""COMPUTED_VALUE"""),476.87)</f>
        <v>476.87</v>
      </c>
      <c r="M240" s="1">
        <f ca="1">IFERROR(__xludf.DUMMYFUNCTION("""COMPUTED_VALUE"""),501.09)</f>
        <v>501.09</v>
      </c>
    </row>
    <row r="241" spans="1:13" x14ac:dyDescent="0.25">
      <c r="A241" s="2">
        <f ca="1">IFERROR(__xludf.DUMMYFUNCTION("""COMPUTED_VALUE"""),44179.6666666666)</f>
        <v>44179.666666666599</v>
      </c>
      <c r="B241" s="1">
        <f ca="1">IFERROR(__xludf.DUMMYFUNCTION("""COMPUTED_VALUE"""),121.78)</f>
        <v>121.78</v>
      </c>
      <c r="C241" s="1">
        <f ca="1">IFERROR(__xludf.DUMMYFUNCTION("""COMPUTED_VALUE"""),213.26)</f>
        <v>213.26</v>
      </c>
      <c r="D241" s="1">
        <f ca="1">IFERROR(__xludf.DUMMYFUNCTION("""COMPUTED_VALUE"""),155.82)</f>
        <v>155.82</v>
      </c>
      <c r="E241" s="1">
        <f ca="1">IFERROR(__xludf.DUMMYFUNCTION("""COMPUTED_VALUE"""),13.01)</f>
        <v>13.01</v>
      </c>
      <c r="F241" s="1">
        <f ca="1">IFERROR(__xludf.DUMMYFUNCTION("""COMPUTED_VALUE"""),273.55)</f>
        <v>273.55</v>
      </c>
      <c r="G241" s="1">
        <f ca="1">IFERROR(__xludf.DUMMYFUNCTION("""COMPUTED_VALUE"""),89.09)</f>
        <v>89.09</v>
      </c>
      <c r="H241" s="1">
        <f ca="1">IFERROR(__xludf.DUMMYFUNCTION("""COMPUTED_VALUE"""),203.33)</f>
        <v>203.33</v>
      </c>
      <c r="I241" s="1">
        <f ca="1">IFERROR(__xludf.DUMMYFUNCTION("""COMPUTED_VALUE"""),144.97)</f>
        <v>144.97</v>
      </c>
      <c r="J241" s="1">
        <f ca="1">IFERROR(__xludf.DUMMYFUNCTION("""COMPUTED_VALUE"""),375.1)</f>
        <v>375.1</v>
      </c>
      <c r="K241" s="1">
        <f ca="1">IFERROR(__xludf.DUMMYFUNCTION("""COMPUTED_VALUE"""),40.58)</f>
        <v>40.58</v>
      </c>
      <c r="L241" s="1">
        <f ca="1">IFERROR(__xludf.DUMMYFUNCTION("""COMPUTED_VALUE"""),475.91)</f>
        <v>475.91</v>
      </c>
      <c r="M241" s="1">
        <f ca="1">IFERROR(__xludf.DUMMYFUNCTION("""COMPUTED_VALUE"""),503.22)</f>
        <v>503.22</v>
      </c>
    </row>
    <row r="242" spans="1:13" x14ac:dyDescent="0.25">
      <c r="A242" s="2">
        <f ca="1">IFERROR(__xludf.DUMMYFUNCTION("""COMPUTED_VALUE"""),44180.6666666666)</f>
        <v>44180.666666666599</v>
      </c>
      <c r="B242" s="1">
        <f ca="1">IFERROR(__xludf.DUMMYFUNCTION("""COMPUTED_VALUE"""),127.88)</f>
        <v>127.88</v>
      </c>
      <c r="C242" s="1">
        <f ca="1">IFERROR(__xludf.DUMMYFUNCTION("""COMPUTED_VALUE"""),214.2)</f>
        <v>214.2</v>
      </c>
      <c r="D242" s="1">
        <f ca="1">IFERROR(__xludf.DUMMYFUNCTION("""COMPUTED_VALUE"""),157.85)</f>
        <v>157.85</v>
      </c>
      <c r="E242" s="1">
        <f ca="1">IFERROR(__xludf.DUMMYFUNCTION("""COMPUTED_VALUE"""),13.31)</f>
        <v>13.31</v>
      </c>
      <c r="F242" s="1">
        <f ca="1">IFERROR(__xludf.DUMMYFUNCTION("""COMPUTED_VALUE"""),274.19)</f>
        <v>274.19</v>
      </c>
      <c r="G242" s="1">
        <f ca="1">IFERROR(__xludf.DUMMYFUNCTION("""COMPUTED_VALUE"""),88)</f>
        <v>88</v>
      </c>
      <c r="H242" s="1">
        <f ca="1">IFERROR(__xludf.DUMMYFUNCTION("""COMPUTED_VALUE"""),213.28)</f>
        <v>213.28</v>
      </c>
      <c r="I242" s="1">
        <f ca="1">IFERROR(__xludf.DUMMYFUNCTION("""COMPUTED_VALUE"""),144.23)</f>
        <v>144.22999999999999</v>
      </c>
      <c r="J242" s="1">
        <f ca="1">IFERROR(__xludf.DUMMYFUNCTION("""COMPUTED_VALUE"""),374.38)</f>
        <v>374.38</v>
      </c>
      <c r="K242" s="1">
        <f ca="1">IFERROR(__xludf.DUMMYFUNCTION("""COMPUTED_VALUE"""),41.18)</f>
        <v>41.18</v>
      </c>
      <c r="L242" s="1">
        <f ca="1">IFERROR(__xludf.DUMMYFUNCTION("""COMPUTED_VALUE"""),486.42)</f>
        <v>486.42</v>
      </c>
      <c r="M242" s="1">
        <f ca="1">IFERROR(__xludf.DUMMYFUNCTION("""COMPUTED_VALUE"""),522.42)</f>
        <v>522.41999999999996</v>
      </c>
    </row>
    <row r="243" spans="1:13" x14ac:dyDescent="0.25">
      <c r="A243" s="2">
        <f ca="1">IFERROR(__xludf.DUMMYFUNCTION("""COMPUTED_VALUE"""),44181.6666666666)</f>
        <v>44181.666666666599</v>
      </c>
      <c r="B243" s="1">
        <f ca="1">IFERROR(__xludf.DUMMYFUNCTION("""COMPUTED_VALUE"""),127.81)</f>
        <v>127.81</v>
      </c>
      <c r="C243" s="1">
        <f ca="1">IFERROR(__xludf.DUMMYFUNCTION("""COMPUTED_VALUE"""),214.13)</f>
        <v>214.13</v>
      </c>
      <c r="D243" s="1">
        <f ca="1">IFERROR(__xludf.DUMMYFUNCTION("""COMPUTED_VALUE"""),158.26)</f>
        <v>158.26</v>
      </c>
      <c r="E243" s="1">
        <f ca="1">IFERROR(__xludf.DUMMYFUNCTION("""COMPUTED_VALUE"""),13.36)</f>
        <v>13.36</v>
      </c>
      <c r="F243" s="1">
        <f ca="1">IFERROR(__xludf.DUMMYFUNCTION("""COMPUTED_VALUE"""),275.55)</f>
        <v>275.55</v>
      </c>
      <c r="G243" s="1">
        <f ca="1">IFERROR(__xludf.DUMMYFUNCTION("""COMPUTED_VALUE"""),88.39)</f>
        <v>88.39</v>
      </c>
      <c r="H243" s="1">
        <f ca="1">IFERROR(__xludf.DUMMYFUNCTION("""COMPUTED_VALUE"""),211.08)</f>
        <v>211.08</v>
      </c>
      <c r="I243" s="1">
        <f ca="1">IFERROR(__xludf.DUMMYFUNCTION("""COMPUTED_VALUE"""),144.77)</f>
        <v>144.77000000000001</v>
      </c>
      <c r="J243" s="1">
        <f ca="1">IFERROR(__xludf.DUMMYFUNCTION("""COMPUTED_VALUE"""),371.88)</f>
        <v>371.88</v>
      </c>
      <c r="K243" s="1">
        <f ca="1">IFERROR(__xludf.DUMMYFUNCTION("""COMPUTED_VALUE"""),41.81)</f>
        <v>41.81</v>
      </c>
      <c r="L243" s="1">
        <f ca="1">IFERROR(__xludf.DUMMYFUNCTION("""COMPUTED_VALUE"""),482.64)</f>
        <v>482.64</v>
      </c>
      <c r="M243" s="1">
        <f ca="1">IFERROR(__xludf.DUMMYFUNCTION("""COMPUTED_VALUE"""),519.78)</f>
        <v>519.78</v>
      </c>
    </row>
    <row r="244" spans="1:13" x14ac:dyDescent="0.25">
      <c r="A244" s="2">
        <f ca="1">IFERROR(__xludf.DUMMYFUNCTION("""COMPUTED_VALUE"""),44182.6666666666)</f>
        <v>44182.666666666599</v>
      </c>
      <c r="B244" s="1">
        <f ca="1">IFERROR(__xludf.DUMMYFUNCTION("""COMPUTED_VALUE"""),128.7)</f>
        <v>128.69999999999999</v>
      </c>
      <c r="C244" s="1">
        <f ca="1">IFERROR(__xludf.DUMMYFUNCTION("""COMPUTED_VALUE"""),219.28)</f>
        <v>219.28</v>
      </c>
      <c r="D244" s="1">
        <f ca="1">IFERROR(__xludf.DUMMYFUNCTION("""COMPUTED_VALUE"""),162.05)</f>
        <v>162.05000000000001</v>
      </c>
      <c r="E244" s="1">
        <f ca="1">IFERROR(__xludf.DUMMYFUNCTION("""COMPUTED_VALUE"""),13.24)</f>
        <v>13.24</v>
      </c>
      <c r="F244" s="1">
        <f ca="1">IFERROR(__xludf.DUMMYFUNCTION("""COMPUTED_VALUE"""),275.67)</f>
        <v>275.67</v>
      </c>
      <c r="G244" s="1">
        <f ca="1">IFERROR(__xludf.DUMMYFUNCTION("""COMPUTED_VALUE"""),88.15)</f>
        <v>88.15</v>
      </c>
      <c r="H244" s="1">
        <f ca="1">IFERROR(__xludf.DUMMYFUNCTION("""COMPUTED_VALUE"""),207.59)</f>
        <v>207.59</v>
      </c>
      <c r="I244" s="1">
        <f ca="1">IFERROR(__xludf.DUMMYFUNCTION("""COMPUTED_VALUE"""),144.89)</f>
        <v>144.88999999999999</v>
      </c>
      <c r="J244" s="1">
        <f ca="1">IFERROR(__xludf.DUMMYFUNCTION("""COMPUTED_VALUE"""),369.44)</f>
        <v>369.44</v>
      </c>
      <c r="K244" s="1">
        <f ca="1">IFERROR(__xludf.DUMMYFUNCTION("""COMPUTED_VALUE"""),42.49)</f>
        <v>42.49</v>
      </c>
      <c r="L244" s="1">
        <f ca="1">IFERROR(__xludf.DUMMYFUNCTION("""COMPUTED_VALUE"""),489.9)</f>
        <v>489.9</v>
      </c>
      <c r="M244" s="1">
        <f ca="1">IFERROR(__xludf.DUMMYFUNCTION("""COMPUTED_VALUE"""),524.83)</f>
        <v>524.83000000000004</v>
      </c>
    </row>
    <row r="245" spans="1:13" x14ac:dyDescent="0.25">
      <c r="A245" s="2">
        <f ca="1">IFERROR(__xludf.DUMMYFUNCTION("""COMPUTED_VALUE"""),44183.6666666666)</f>
        <v>44183.666666666599</v>
      </c>
      <c r="B245" s="1">
        <f ca="1">IFERROR(__xludf.DUMMYFUNCTION("""COMPUTED_VALUE"""),126.66)</f>
        <v>126.66</v>
      </c>
      <c r="C245" s="1">
        <f ca="1">IFERROR(__xludf.DUMMYFUNCTION("""COMPUTED_VALUE"""),219.42)</f>
        <v>219.42</v>
      </c>
      <c r="D245" s="1">
        <f ca="1">IFERROR(__xludf.DUMMYFUNCTION("""COMPUTED_VALUE"""),161.8)</f>
        <v>161.80000000000001</v>
      </c>
      <c r="E245" s="1">
        <f ca="1">IFERROR(__xludf.DUMMYFUNCTION("""COMPUTED_VALUE"""),13.34)</f>
        <v>13.34</v>
      </c>
      <c r="F245" s="1">
        <f ca="1">IFERROR(__xludf.DUMMYFUNCTION("""COMPUTED_VALUE"""),274.48)</f>
        <v>274.48</v>
      </c>
      <c r="G245" s="1">
        <f ca="1">IFERROR(__xludf.DUMMYFUNCTION("""COMPUTED_VALUE"""),87.4)</f>
        <v>87.4</v>
      </c>
      <c r="H245" s="1">
        <f ca="1">IFERROR(__xludf.DUMMYFUNCTION("""COMPUTED_VALUE"""),218.63)</f>
        <v>218.63</v>
      </c>
      <c r="I245" s="1">
        <f ca="1">IFERROR(__xludf.DUMMYFUNCTION("""COMPUTED_VALUE"""),145.71)</f>
        <v>145.71</v>
      </c>
      <c r="J245" s="1">
        <f ca="1">IFERROR(__xludf.DUMMYFUNCTION("""COMPUTED_VALUE"""),370.29)</f>
        <v>370.29</v>
      </c>
      <c r="K245" s="1">
        <f ca="1">IFERROR(__xludf.DUMMYFUNCTION("""COMPUTED_VALUE"""),42.61)</f>
        <v>42.61</v>
      </c>
      <c r="L245" s="1">
        <f ca="1">IFERROR(__xludf.DUMMYFUNCTION("""COMPUTED_VALUE"""),495.36)</f>
        <v>495.36</v>
      </c>
      <c r="M245" s="1">
        <f ca="1">IFERROR(__xludf.DUMMYFUNCTION("""COMPUTED_VALUE"""),532.9)</f>
        <v>532.9</v>
      </c>
    </row>
    <row r="246" spans="1:13" x14ac:dyDescent="0.25">
      <c r="A246" s="2">
        <f ca="1">IFERROR(__xludf.DUMMYFUNCTION("""COMPUTED_VALUE"""),44186.6666666666)</f>
        <v>44186.666666666599</v>
      </c>
      <c r="B246" s="1">
        <f ca="1">IFERROR(__xludf.DUMMYFUNCTION("""COMPUTED_VALUE"""),128.23)</f>
        <v>128.22999999999999</v>
      </c>
      <c r="C246" s="1">
        <f ca="1">IFERROR(__xludf.DUMMYFUNCTION("""COMPUTED_VALUE"""),218.59)</f>
        <v>218.59</v>
      </c>
      <c r="D246" s="1">
        <f ca="1">IFERROR(__xludf.DUMMYFUNCTION("""COMPUTED_VALUE"""),160.08)</f>
        <v>160.08000000000001</v>
      </c>
      <c r="E246" s="1">
        <f ca="1">IFERROR(__xludf.DUMMYFUNCTION("""COMPUTED_VALUE"""),13.27)</f>
        <v>13.27</v>
      </c>
      <c r="F246" s="1">
        <f ca="1">IFERROR(__xludf.DUMMYFUNCTION("""COMPUTED_VALUE"""),276.4)</f>
        <v>276.39999999999998</v>
      </c>
      <c r="G246" s="1">
        <f ca="1">IFERROR(__xludf.DUMMYFUNCTION("""COMPUTED_VALUE"""),86.55)</f>
        <v>86.55</v>
      </c>
      <c r="H246" s="1">
        <f ca="1">IFERROR(__xludf.DUMMYFUNCTION("""COMPUTED_VALUE"""),231.67)</f>
        <v>231.67</v>
      </c>
      <c r="I246" s="1">
        <f ca="1">IFERROR(__xludf.DUMMYFUNCTION("""COMPUTED_VALUE"""),146.93)</f>
        <v>146.93</v>
      </c>
      <c r="J246" s="1">
        <f ca="1">IFERROR(__xludf.DUMMYFUNCTION("""COMPUTED_VALUE"""),367)</f>
        <v>367</v>
      </c>
      <c r="K246" s="1">
        <f ca="1">IFERROR(__xludf.DUMMYFUNCTION("""COMPUTED_VALUE"""),43.46)</f>
        <v>43.46</v>
      </c>
      <c r="L246" s="1">
        <f ca="1">IFERROR(__xludf.DUMMYFUNCTION("""COMPUTED_VALUE"""),502.95)</f>
        <v>502.95</v>
      </c>
      <c r="M246" s="1">
        <f ca="1">IFERROR(__xludf.DUMMYFUNCTION("""COMPUTED_VALUE"""),534.45)</f>
        <v>534.45000000000005</v>
      </c>
    </row>
    <row r="247" spans="1:13" x14ac:dyDescent="0.25">
      <c r="A247" s="2">
        <f ca="1">IFERROR(__xludf.DUMMYFUNCTION("""COMPUTED_VALUE"""),44187.6666666666)</f>
        <v>44187.666666666599</v>
      </c>
      <c r="B247" s="1">
        <f ca="1">IFERROR(__xludf.DUMMYFUNCTION("""COMPUTED_VALUE"""),131.88)</f>
        <v>131.88</v>
      </c>
      <c r="C247" s="1">
        <f ca="1">IFERROR(__xludf.DUMMYFUNCTION("""COMPUTED_VALUE"""),222.59)</f>
        <v>222.59</v>
      </c>
      <c r="D247" s="1">
        <f ca="1">IFERROR(__xludf.DUMMYFUNCTION("""COMPUTED_VALUE"""),160.31)</f>
        <v>160.31</v>
      </c>
      <c r="E247" s="1">
        <f ca="1">IFERROR(__xludf.DUMMYFUNCTION("""COMPUTED_VALUE"""),13.33)</f>
        <v>13.33</v>
      </c>
      <c r="F247" s="1">
        <f ca="1">IFERROR(__xludf.DUMMYFUNCTION("""COMPUTED_VALUE"""),272.79)</f>
        <v>272.79000000000002</v>
      </c>
      <c r="G247" s="1">
        <f ca="1">IFERROR(__xludf.DUMMYFUNCTION("""COMPUTED_VALUE"""),86.97)</f>
        <v>86.97</v>
      </c>
      <c r="H247" s="1">
        <f ca="1">IFERROR(__xludf.DUMMYFUNCTION("""COMPUTED_VALUE"""),216.62)</f>
        <v>216.62</v>
      </c>
      <c r="I247" s="1">
        <f ca="1">IFERROR(__xludf.DUMMYFUNCTION("""COMPUTED_VALUE"""),145.4)</f>
        <v>145.4</v>
      </c>
      <c r="J247" s="1">
        <f ca="1">IFERROR(__xludf.DUMMYFUNCTION("""COMPUTED_VALUE"""),364.97)</f>
        <v>364.97</v>
      </c>
      <c r="K247" s="1">
        <f ca="1">IFERROR(__xludf.DUMMYFUNCTION("""COMPUTED_VALUE"""),42.89)</f>
        <v>42.89</v>
      </c>
      <c r="L247" s="1">
        <f ca="1">IFERROR(__xludf.DUMMYFUNCTION("""COMPUTED_VALUE"""),498.39)</f>
        <v>498.39</v>
      </c>
      <c r="M247" s="1">
        <f ca="1">IFERROR(__xludf.DUMMYFUNCTION("""COMPUTED_VALUE"""),528.91)</f>
        <v>528.91</v>
      </c>
    </row>
    <row r="248" spans="1:13" x14ac:dyDescent="0.25">
      <c r="A248" s="2">
        <f ca="1">IFERROR(__xludf.DUMMYFUNCTION("""COMPUTED_VALUE"""),44188.6666666666)</f>
        <v>44188.666666666599</v>
      </c>
      <c r="B248" s="1">
        <f ca="1">IFERROR(__xludf.DUMMYFUNCTION("""COMPUTED_VALUE"""),130.96)</f>
        <v>130.96</v>
      </c>
      <c r="C248" s="1">
        <f ca="1">IFERROR(__xludf.DUMMYFUNCTION("""COMPUTED_VALUE"""),223.94)</f>
        <v>223.94</v>
      </c>
      <c r="D248" s="1">
        <f ca="1">IFERROR(__xludf.DUMMYFUNCTION("""COMPUTED_VALUE"""),160.33)</f>
        <v>160.33000000000001</v>
      </c>
      <c r="E248" s="1">
        <f ca="1">IFERROR(__xludf.DUMMYFUNCTION("""COMPUTED_VALUE"""),13.28)</f>
        <v>13.28</v>
      </c>
      <c r="F248" s="1">
        <f ca="1">IFERROR(__xludf.DUMMYFUNCTION("""COMPUTED_VALUE"""),267.09)</f>
        <v>267.08999999999997</v>
      </c>
      <c r="G248" s="1">
        <f ca="1">IFERROR(__xludf.DUMMYFUNCTION("""COMPUTED_VALUE"""),86.18)</f>
        <v>86.18</v>
      </c>
      <c r="H248" s="1">
        <f ca="1">IFERROR(__xludf.DUMMYFUNCTION("""COMPUTED_VALUE"""),213.45)</f>
        <v>213.45</v>
      </c>
      <c r="I248" s="1">
        <f ca="1">IFERROR(__xludf.DUMMYFUNCTION("""COMPUTED_VALUE"""),144.02)</f>
        <v>144.02000000000001</v>
      </c>
      <c r="J248" s="1">
        <f ca="1">IFERROR(__xludf.DUMMYFUNCTION("""COMPUTED_VALUE"""),362.03)</f>
        <v>362.03</v>
      </c>
      <c r="K248" s="1">
        <f ca="1">IFERROR(__xludf.DUMMYFUNCTION("""COMPUTED_VALUE"""),43.31)</f>
        <v>43.31</v>
      </c>
      <c r="L248" s="1">
        <f ca="1">IFERROR(__xludf.DUMMYFUNCTION("""COMPUTED_VALUE"""),504.17)</f>
        <v>504.17</v>
      </c>
      <c r="M248" s="1">
        <f ca="1">IFERROR(__xludf.DUMMYFUNCTION("""COMPUTED_VALUE"""),527.33)</f>
        <v>527.33000000000004</v>
      </c>
    </row>
    <row r="249" spans="1:13" x14ac:dyDescent="0.25">
      <c r="A249" s="2">
        <f ca="1">IFERROR(__xludf.DUMMYFUNCTION("""COMPUTED_VALUE"""),44189.5416666666)</f>
        <v>44189.541666666599</v>
      </c>
      <c r="B249" s="1">
        <f ca="1">IFERROR(__xludf.DUMMYFUNCTION("""COMPUTED_VALUE"""),131.97)</f>
        <v>131.97</v>
      </c>
      <c r="C249" s="1">
        <f ca="1">IFERROR(__xludf.DUMMYFUNCTION("""COMPUTED_VALUE"""),221.02)</f>
        <v>221.02</v>
      </c>
      <c r="D249" s="1">
        <f ca="1">IFERROR(__xludf.DUMMYFUNCTION("""COMPUTED_VALUE"""),159.26)</f>
        <v>159.26</v>
      </c>
      <c r="E249" s="1">
        <f ca="1">IFERROR(__xludf.DUMMYFUNCTION("""COMPUTED_VALUE"""),13.01)</f>
        <v>13.01</v>
      </c>
      <c r="F249" s="1">
        <f ca="1">IFERROR(__xludf.DUMMYFUNCTION("""COMPUTED_VALUE"""),268.11)</f>
        <v>268.11</v>
      </c>
      <c r="G249" s="1">
        <f ca="1">IFERROR(__xludf.DUMMYFUNCTION("""COMPUTED_VALUE"""),86.62)</f>
        <v>86.62</v>
      </c>
      <c r="H249" s="1">
        <f ca="1">IFERROR(__xludf.DUMMYFUNCTION("""COMPUTED_VALUE"""),215.33)</f>
        <v>215.33</v>
      </c>
      <c r="I249" s="1">
        <f ca="1">IFERROR(__xludf.DUMMYFUNCTION("""COMPUTED_VALUE"""),144.41)</f>
        <v>144.41</v>
      </c>
      <c r="J249" s="1">
        <f ca="1">IFERROR(__xludf.DUMMYFUNCTION("""COMPUTED_VALUE"""),361.89)</f>
        <v>361.89</v>
      </c>
      <c r="K249" s="1">
        <f ca="1">IFERROR(__xludf.DUMMYFUNCTION("""COMPUTED_VALUE"""),42.55)</f>
        <v>42.55</v>
      </c>
      <c r="L249" s="1">
        <f ca="1">IFERROR(__xludf.DUMMYFUNCTION("""COMPUTED_VALUE"""),496.91)</f>
        <v>496.91</v>
      </c>
      <c r="M249" s="1">
        <f ca="1">IFERROR(__xludf.DUMMYFUNCTION("""COMPUTED_VALUE"""),514.48)</f>
        <v>514.48</v>
      </c>
    </row>
    <row r="250" spans="1:13" x14ac:dyDescent="0.25">
      <c r="A250" s="2">
        <f ca="1">IFERROR(__xludf.DUMMYFUNCTION("""COMPUTED_VALUE"""),44193.6666666666)</f>
        <v>44193.666666666599</v>
      </c>
      <c r="B250" s="1">
        <f ca="1">IFERROR(__xludf.DUMMYFUNCTION("""COMPUTED_VALUE"""),136.69)</f>
        <v>136.69</v>
      </c>
      <c r="C250" s="1">
        <f ca="1">IFERROR(__xludf.DUMMYFUNCTION("""COMPUTED_VALUE"""),222.75)</f>
        <v>222.75</v>
      </c>
      <c r="D250" s="1">
        <f ca="1">IFERROR(__xludf.DUMMYFUNCTION("""COMPUTED_VALUE"""),158.63)</f>
        <v>158.63</v>
      </c>
      <c r="E250" s="1">
        <f ca="1">IFERROR(__xludf.DUMMYFUNCTION("""COMPUTED_VALUE"""),12.99)</f>
        <v>12.99</v>
      </c>
      <c r="F250" s="1">
        <f ca="1">IFERROR(__xludf.DUMMYFUNCTION("""COMPUTED_VALUE"""),267.4)</f>
        <v>267.39999999999998</v>
      </c>
      <c r="G250" s="1">
        <f ca="1">IFERROR(__xludf.DUMMYFUNCTION("""COMPUTED_VALUE"""),86.94)</f>
        <v>86.94</v>
      </c>
      <c r="H250" s="1">
        <f ca="1">IFERROR(__xludf.DUMMYFUNCTION("""COMPUTED_VALUE"""),220.59)</f>
        <v>220.59</v>
      </c>
      <c r="I250" s="1">
        <f ca="1">IFERROR(__xludf.DUMMYFUNCTION("""COMPUTED_VALUE"""),145.06)</f>
        <v>145.06</v>
      </c>
      <c r="J250" s="1">
        <f ca="1">IFERROR(__xludf.DUMMYFUNCTION("""COMPUTED_VALUE"""),364.58)</f>
        <v>364.58</v>
      </c>
      <c r="K250" s="1">
        <f ca="1">IFERROR(__xludf.DUMMYFUNCTION("""COMPUTED_VALUE"""),43.15)</f>
        <v>43.15</v>
      </c>
      <c r="L250" s="1">
        <f ca="1">IFERROR(__xludf.DUMMYFUNCTION("""COMPUTED_VALUE"""),499.86)</f>
        <v>499.86</v>
      </c>
      <c r="M250" s="1">
        <f ca="1">IFERROR(__xludf.DUMMYFUNCTION("""COMPUTED_VALUE"""),513.97)</f>
        <v>513.97</v>
      </c>
    </row>
    <row r="251" spans="1:13" x14ac:dyDescent="0.25">
      <c r="A251" s="2">
        <f ca="1">IFERROR(__xludf.DUMMYFUNCTION("""COMPUTED_VALUE"""),44194.6666666666)</f>
        <v>44194.666666666599</v>
      </c>
      <c r="B251" s="1">
        <f ca="1">IFERROR(__xludf.DUMMYFUNCTION("""COMPUTED_VALUE"""),134.87)</f>
        <v>134.87</v>
      </c>
      <c r="C251" s="1">
        <f ca="1">IFERROR(__xludf.DUMMYFUNCTION("""COMPUTED_VALUE"""),224.96)</f>
        <v>224.96</v>
      </c>
      <c r="D251" s="1">
        <f ca="1">IFERROR(__xludf.DUMMYFUNCTION("""COMPUTED_VALUE"""),164.2)</f>
        <v>164.2</v>
      </c>
      <c r="E251" s="1">
        <f ca="1">IFERROR(__xludf.DUMMYFUNCTION("""COMPUTED_VALUE"""),12.9)</f>
        <v>12.9</v>
      </c>
      <c r="F251" s="1">
        <f ca="1">IFERROR(__xludf.DUMMYFUNCTION("""COMPUTED_VALUE"""),277)</f>
        <v>277</v>
      </c>
      <c r="G251" s="1">
        <f ca="1">IFERROR(__xludf.DUMMYFUNCTION("""COMPUTED_VALUE"""),88.8)</f>
        <v>88.8</v>
      </c>
      <c r="H251" s="1">
        <f ca="1">IFERROR(__xludf.DUMMYFUNCTION("""COMPUTED_VALUE"""),221.23)</f>
        <v>221.23</v>
      </c>
      <c r="I251" s="1">
        <f ca="1">IFERROR(__xludf.DUMMYFUNCTION("""COMPUTED_VALUE"""),146.91)</f>
        <v>146.91</v>
      </c>
      <c r="J251" s="1">
        <f ca="1">IFERROR(__xludf.DUMMYFUNCTION("""COMPUTED_VALUE"""),371.06)</f>
        <v>371.06</v>
      </c>
      <c r="K251" s="1">
        <f ca="1">IFERROR(__xludf.DUMMYFUNCTION("""COMPUTED_VALUE"""),43.19)</f>
        <v>43.19</v>
      </c>
      <c r="L251" s="1">
        <f ca="1">IFERROR(__xludf.DUMMYFUNCTION("""COMPUTED_VALUE"""),498.95)</f>
        <v>498.95</v>
      </c>
      <c r="M251" s="1">
        <f ca="1">IFERROR(__xludf.DUMMYFUNCTION("""COMPUTED_VALUE"""),519.12)</f>
        <v>519.12</v>
      </c>
    </row>
    <row r="252" spans="1:13" x14ac:dyDescent="0.25">
      <c r="A252" s="2">
        <f ca="1">IFERROR(__xludf.DUMMYFUNCTION("""COMPUTED_VALUE"""),44195.6666666666)</f>
        <v>44195.666666666599</v>
      </c>
      <c r="B252" s="1">
        <f ca="1">IFERROR(__xludf.DUMMYFUNCTION("""COMPUTED_VALUE"""),133.72)</f>
        <v>133.72</v>
      </c>
      <c r="C252" s="1">
        <f ca="1">IFERROR(__xludf.DUMMYFUNCTION("""COMPUTED_VALUE"""),224.15)</f>
        <v>224.15</v>
      </c>
      <c r="D252" s="1">
        <f ca="1">IFERROR(__xludf.DUMMYFUNCTION("""COMPUTED_VALUE"""),166.1)</f>
        <v>166.1</v>
      </c>
      <c r="E252" s="1">
        <f ca="1">IFERROR(__xludf.DUMMYFUNCTION("""COMPUTED_VALUE"""),12.94)</f>
        <v>12.94</v>
      </c>
      <c r="F252" s="1">
        <f ca="1">IFERROR(__xludf.DUMMYFUNCTION("""COMPUTED_VALUE"""),276.78)</f>
        <v>276.77999999999997</v>
      </c>
      <c r="G252" s="1">
        <f ca="1">IFERROR(__xludf.DUMMYFUNCTION("""COMPUTED_VALUE"""),87.94)</f>
        <v>87.94</v>
      </c>
      <c r="H252" s="1">
        <f ca="1">IFERROR(__xludf.DUMMYFUNCTION("""COMPUTED_VALUE"""),222)</f>
        <v>222</v>
      </c>
      <c r="I252" s="1">
        <f ca="1">IFERROR(__xludf.DUMMYFUNCTION("""COMPUTED_VALUE"""),147.42)</f>
        <v>147.41999999999999</v>
      </c>
      <c r="J252" s="1">
        <f ca="1">IFERROR(__xludf.DUMMYFUNCTION("""COMPUTED_VALUE"""),372.72)</f>
        <v>372.72</v>
      </c>
      <c r="K252" s="1">
        <f ca="1">IFERROR(__xludf.DUMMYFUNCTION("""COMPUTED_VALUE"""),42.9)</f>
        <v>42.9</v>
      </c>
      <c r="L252" s="1">
        <f ca="1">IFERROR(__xludf.DUMMYFUNCTION("""COMPUTED_VALUE"""),502.11)</f>
        <v>502.11</v>
      </c>
      <c r="M252" s="1">
        <f ca="1">IFERROR(__xludf.DUMMYFUNCTION("""COMPUTED_VALUE"""),530.87)</f>
        <v>530.87</v>
      </c>
    </row>
    <row r="253" spans="1:13" x14ac:dyDescent="0.25">
      <c r="A253" s="2">
        <f ca="1">IFERROR(__xludf.DUMMYFUNCTION("""COMPUTED_VALUE"""),44196.6666666666)</f>
        <v>44196.666666666599</v>
      </c>
      <c r="B253" s="1">
        <f ca="1">IFERROR(__xludf.DUMMYFUNCTION("""COMPUTED_VALUE"""),132.69)</f>
        <v>132.69</v>
      </c>
      <c r="C253" s="1">
        <f ca="1">IFERROR(__xludf.DUMMYFUNCTION("""COMPUTED_VALUE"""),221.68)</f>
        <v>221.68</v>
      </c>
      <c r="D253" s="1">
        <f ca="1">IFERROR(__xludf.DUMMYFUNCTION("""COMPUTED_VALUE"""),164.29)</f>
        <v>164.29</v>
      </c>
      <c r="E253" s="1">
        <f ca="1">IFERROR(__xludf.DUMMYFUNCTION("""COMPUTED_VALUE"""),13.15)</f>
        <v>13.15</v>
      </c>
      <c r="F253" s="1">
        <f ca="1">IFERROR(__xludf.DUMMYFUNCTION("""COMPUTED_VALUE"""),271.87)</f>
        <v>271.87</v>
      </c>
      <c r="G253" s="1">
        <f ca="1">IFERROR(__xludf.DUMMYFUNCTION("""COMPUTED_VALUE"""),86.98)</f>
        <v>86.98</v>
      </c>
      <c r="H253" s="1">
        <f ca="1">IFERROR(__xludf.DUMMYFUNCTION("""COMPUTED_VALUE"""),231.59)</f>
        <v>231.59</v>
      </c>
      <c r="I253" s="1">
        <f ca="1">IFERROR(__xludf.DUMMYFUNCTION("""COMPUTED_VALUE"""),147.31)</f>
        <v>147.31</v>
      </c>
      <c r="J253" s="1">
        <f ca="1">IFERROR(__xludf.DUMMYFUNCTION("""COMPUTED_VALUE"""),374.45)</f>
        <v>374.45</v>
      </c>
      <c r="K253" s="1">
        <f ca="1">IFERROR(__xludf.DUMMYFUNCTION("""COMPUTED_VALUE"""),43.48)</f>
        <v>43.48</v>
      </c>
      <c r="L253" s="1">
        <f ca="1">IFERROR(__xludf.DUMMYFUNCTION("""COMPUTED_VALUE"""),497.45)</f>
        <v>497.45</v>
      </c>
      <c r="M253" s="1">
        <f ca="1">IFERROR(__xludf.DUMMYFUNCTION("""COMPUTED_VALUE"""),524.59)</f>
        <v>524.59</v>
      </c>
    </row>
    <row r="254" spans="1:13" x14ac:dyDescent="0.25">
      <c r="A254" s="2">
        <f ca="1">IFERROR(__xludf.DUMMYFUNCTION("""COMPUTED_VALUE"""),44200.6666666666)</f>
        <v>44200.666666666599</v>
      </c>
      <c r="B254" s="1">
        <f ca="1">IFERROR(__xludf.DUMMYFUNCTION("""COMPUTED_VALUE"""),129.41)</f>
        <v>129.41</v>
      </c>
      <c r="C254" s="1">
        <f ca="1">IFERROR(__xludf.DUMMYFUNCTION("""COMPUTED_VALUE"""),222.42)</f>
        <v>222.42</v>
      </c>
      <c r="D254" s="1">
        <f ca="1">IFERROR(__xludf.DUMMYFUNCTION("""COMPUTED_VALUE"""),162.85)</f>
        <v>162.85</v>
      </c>
      <c r="E254" s="1">
        <f ca="1">IFERROR(__xludf.DUMMYFUNCTION("""COMPUTED_VALUE"""),13.06)</f>
        <v>13.06</v>
      </c>
      <c r="F254" s="1">
        <f ca="1">IFERROR(__xludf.DUMMYFUNCTION("""COMPUTED_VALUE"""),273.16)</f>
        <v>273.16000000000003</v>
      </c>
      <c r="G254" s="1">
        <f ca="1">IFERROR(__xludf.DUMMYFUNCTION("""COMPUTED_VALUE"""),87.59)</f>
        <v>87.59</v>
      </c>
      <c r="H254" s="1">
        <f ca="1">IFERROR(__xludf.DUMMYFUNCTION("""COMPUTED_VALUE"""),235.22)</f>
        <v>235.22</v>
      </c>
      <c r="I254" s="1">
        <f ca="1">IFERROR(__xludf.DUMMYFUNCTION("""COMPUTED_VALUE"""),148.3)</f>
        <v>148.30000000000001</v>
      </c>
      <c r="J254" s="1">
        <f ca="1">IFERROR(__xludf.DUMMYFUNCTION("""COMPUTED_VALUE"""),376.78)</f>
        <v>376.78</v>
      </c>
      <c r="K254" s="1">
        <f ca="1">IFERROR(__xludf.DUMMYFUNCTION("""COMPUTED_VALUE"""),43.79)</f>
        <v>43.79</v>
      </c>
      <c r="L254" s="1">
        <f ca="1">IFERROR(__xludf.DUMMYFUNCTION("""COMPUTED_VALUE"""),500.12)</f>
        <v>500.12</v>
      </c>
      <c r="M254" s="1">
        <f ca="1">IFERROR(__xludf.DUMMYFUNCTION("""COMPUTED_VALUE"""),540.73)</f>
        <v>540.73</v>
      </c>
    </row>
    <row r="255" spans="1:13" x14ac:dyDescent="0.25">
      <c r="A255" s="2">
        <f ca="1">IFERROR(__xludf.DUMMYFUNCTION("""COMPUTED_VALUE"""),44201.6666666666)</f>
        <v>44201.666666666599</v>
      </c>
      <c r="B255" s="1">
        <f ca="1">IFERROR(__xludf.DUMMYFUNCTION("""COMPUTED_VALUE"""),131.01)</f>
        <v>131.01</v>
      </c>
      <c r="C255" s="1">
        <f ca="1">IFERROR(__xludf.DUMMYFUNCTION("""COMPUTED_VALUE"""),217.69)</f>
        <v>217.69</v>
      </c>
      <c r="D255" s="1">
        <f ca="1">IFERROR(__xludf.DUMMYFUNCTION("""COMPUTED_VALUE"""),159.33)</f>
        <v>159.33000000000001</v>
      </c>
      <c r="E255" s="1">
        <f ca="1">IFERROR(__xludf.DUMMYFUNCTION("""COMPUTED_VALUE"""),13.11)</f>
        <v>13.11</v>
      </c>
      <c r="F255" s="1">
        <f ca="1">IFERROR(__xludf.DUMMYFUNCTION("""COMPUTED_VALUE"""),268.94)</f>
        <v>268.94</v>
      </c>
      <c r="G255" s="1">
        <f ca="1">IFERROR(__xludf.DUMMYFUNCTION("""COMPUTED_VALUE"""),86.41)</f>
        <v>86.41</v>
      </c>
      <c r="H255" s="1">
        <f ca="1">IFERROR(__xludf.DUMMYFUNCTION("""COMPUTED_VALUE"""),243.26)</f>
        <v>243.26</v>
      </c>
      <c r="I255" s="1">
        <f ca="1">IFERROR(__xludf.DUMMYFUNCTION("""COMPUTED_VALUE"""),144.27)</f>
        <v>144.27000000000001</v>
      </c>
      <c r="J255" s="1">
        <f ca="1">IFERROR(__xludf.DUMMYFUNCTION("""COMPUTED_VALUE"""),380.15)</f>
        <v>380.15</v>
      </c>
      <c r="K255" s="1">
        <f ca="1">IFERROR(__xludf.DUMMYFUNCTION("""COMPUTED_VALUE"""),42.52)</f>
        <v>42.52</v>
      </c>
      <c r="L255" s="1">
        <f ca="1">IFERROR(__xludf.DUMMYFUNCTION("""COMPUTED_VALUE"""),485.34)</f>
        <v>485.34</v>
      </c>
      <c r="M255" s="1">
        <f ca="1">IFERROR(__xludf.DUMMYFUNCTION("""COMPUTED_VALUE"""),522.86)</f>
        <v>522.86</v>
      </c>
    </row>
    <row r="256" spans="1:13" x14ac:dyDescent="0.25">
      <c r="A256" s="2">
        <f ca="1">IFERROR(__xludf.DUMMYFUNCTION("""COMPUTED_VALUE"""),44202.6666666666)</f>
        <v>44202.666666666599</v>
      </c>
      <c r="B256" s="1">
        <f ca="1">IFERROR(__xludf.DUMMYFUNCTION("""COMPUTED_VALUE"""),126.6)</f>
        <v>126.6</v>
      </c>
      <c r="C256" s="1">
        <f ca="1">IFERROR(__xludf.DUMMYFUNCTION("""COMPUTED_VALUE"""),217.9)</f>
        <v>217.9</v>
      </c>
      <c r="D256" s="1">
        <f ca="1">IFERROR(__xludf.DUMMYFUNCTION("""COMPUTED_VALUE"""),160.93)</f>
        <v>160.93</v>
      </c>
      <c r="E256" s="1">
        <f ca="1">IFERROR(__xludf.DUMMYFUNCTION("""COMPUTED_VALUE"""),13.4)</f>
        <v>13.4</v>
      </c>
      <c r="F256" s="1">
        <f ca="1">IFERROR(__xludf.DUMMYFUNCTION("""COMPUTED_VALUE"""),270.97)</f>
        <v>270.97000000000003</v>
      </c>
      <c r="G256" s="1">
        <f ca="1">IFERROR(__xludf.DUMMYFUNCTION("""COMPUTED_VALUE"""),87.05)</f>
        <v>87.05</v>
      </c>
      <c r="H256" s="1">
        <f ca="1">IFERROR(__xludf.DUMMYFUNCTION("""COMPUTED_VALUE"""),245.04)</f>
        <v>245.04</v>
      </c>
      <c r="I256" s="1">
        <f ca="1">IFERROR(__xludf.DUMMYFUNCTION("""COMPUTED_VALUE"""),144.7)</f>
        <v>144.69999999999999</v>
      </c>
      <c r="J256" s="1">
        <f ca="1">IFERROR(__xludf.DUMMYFUNCTION("""COMPUTED_VALUE"""),375.74)</f>
        <v>375.74</v>
      </c>
      <c r="K256" s="1">
        <f ca="1">IFERROR(__xludf.DUMMYFUNCTION("""COMPUTED_VALUE"""),42.81)</f>
        <v>42.81</v>
      </c>
      <c r="L256" s="1">
        <f ca="1">IFERROR(__xludf.DUMMYFUNCTION("""COMPUTED_VALUE"""),485.69)</f>
        <v>485.69</v>
      </c>
      <c r="M256" s="1">
        <f ca="1">IFERROR(__xludf.DUMMYFUNCTION("""COMPUTED_VALUE"""),520.8)</f>
        <v>520.79999999999995</v>
      </c>
    </row>
    <row r="257" spans="1:13" x14ac:dyDescent="0.25">
      <c r="A257" s="2">
        <f ca="1">IFERROR(__xludf.DUMMYFUNCTION("""COMPUTED_VALUE"""),44203.6666666666)</f>
        <v>44203.666666666599</v>
      </c>
      <c r="B257" s="1">
        <f ca="1">IFERROR(__xludf.DUMMYFUNCTION("""COMPUTED_VALUE"""),130.92)</f>
        <v>130.91999999999999</v>
      </c>
      <c r="C257" s="1">
        <f ca="1">IFERROR(__xludf.DUMMYFUNCTION("""COMPUTED_VALUE"""),212.25)</f>
        <v>212.25</v>
      </c>
      <c r="D257" s="1">
        <f ca="1">IFERROR(__xludf.DUMMYFUNCTION("""COMPUTED_VALUE"""),156.92)</f>
        <v>156.91999999999999</v>
      </c>
      <c r="E257" s="1">
        <f ca="1">IFERROR(__xludf.DUMMYFUNCTION("""COMPUTED_VALUE"""),12.61)</f>
        <v>12.61</v>
      </c>
      <c r="F257" s="1">
        <f ca="1">IFERROR(__xludf.DUMMYFUNCTION("""COMPUTED_VALUE"""),263.31)</f>
        <v>263.31</v>
      </c>
      <c r="G257" s="1">
        <f ca="1">IFERROR(__xludf.DUMMYFUNCTION("""COMPUTED_VALUE"""),86.76)</f>
        <v>86.76</v>
      </c>
      <c r="H257" s="1">
        <f ca="1">IFERROR(__xludf.DUMMYFUNCTION("""COMPUTED_VALUE"""),251.99)</f>
        <v>251.99</v>
      </c>
      <c r="I257" s="1">
        <f ca="1">IFERROR(__xludf.DUMMYFUNCTION("""COMPUTED_VALUE"""),142.93)</f>
        <v>142.93</v>
      </c>
      <c r="J257" s="1">
        <f ca="1">IFERROR(__xludf.DUMMYFUNCTION("""COMPUTED_VALUE"""),370.02)</f>
        <v>370.02</v>
      </c>
      <c r="K257" s="1">
        <f ca="1">IFERROR(__xludf.DUMMYFUNCTION("""COMPUTED_VALUE"""),42.55)</f>
        <v>42.55</v>
      </c>
      <c r="L257" s="1">
        <f ca="1">IFERROR(__xludf.DUMMYFUNCTION("""COMPUTED_VALUE"""),466.31)</f>
        <v>466.31</v>
      </c>
      <c r="M257" s="1">
        <f ca="1">IFERROR(__xludf.DUMMYFUNCTION("""COMPUTED_VALUE"""),500.49)</f>
        <v>500.49</v>
      </c>
    </row>
    <row r="258" spans="1:13" x14ac:dyDescent="0.25">
      <c r="A258" s="2">
        <f ca="1">IFERROR(__xludf.DUMMYFUNCTION("""COMPUTED_VALUE"""),44204.6666666666)</f>
        <v>44204.666666666599</v>
      </c>
      <c r="B258" s="1">
        <f ca="1">IFERROR(__xludf.DUMMYFUNCTION("""COMPUTED_VALUE"""),132.05)</f>
        <v>132.05000000000001</v>
      </c>
      <c r="C258" s="1">
        <f ca="1">IFERROR(__xludf.DUMMYFUNCTION("""COMPUTED_VALUE"""),218.29)</f>
        <v>218.29</v>
      </c>
      <c r="D258" s="1">
        <f ca="1">IFERROR(__xludf.DUMMYFUNCTION("""COMPUTED_VALUE"""),158.11)</f>
        <v>158.11000000000001</v>
      </c>
      <c r="E258" s="1">
        <f ca="1">IFERROR(__xludf.DUMMYFUNCTION("""COMPUTED_VALUE"""),13.34)</f>
        <v>13.34</v>
      </c>
      <c r="F258" s="1">
        <f ca="1">IFERROR(__xludf.DUMMYFUNCTION("""COMPUTED_VALUE"""),268.74)</f>
        <v>268.74</v>
      </c>
      <c r="G258" s="1">
        <f ca="1">IFERROR(__xludf.DUMMYFUNCTION("""COMPUTED_VALUE"""),89.36)</f>
        <v>89.36</v>
      </c>
      <c r="H258" s="1">
        <f ca="1">IFERROR(__xludf.DUMMYFUNCTION("""COMPUTED_VALUE"""),272.01)</f>
        <v>272.01</v>
      </c>
      <c r="I258" s="1">
        <f ca="1">IFERROR(__xludf.DUMMYFUNCTION("""COMPUTED_VALUE"""),142.47)</f>
        <v>142.47</v>
      </c>
      <c r="J258" s="1">
        <f ca="1">IFERROR(__xludf.DUMMYFUNCTION("""COMPUTED_VALUE"""),367.92)</f>
        <v>367.92</v>
      </c>
      <c r="K258" s="1">
        <f ca="1">IFERROR(__xludf.DUMMYFUNCTION("""COMPUTED_VALUE"""),44.34)</f>
        <v>44.34</v>
      </c>
      <c r="L258" s="1">
        <f ca="1">IFERROR(__xludf.DUMMYFUNCTION("""COMPUTED_VALUE"""),477.74)</f>
        <v>477.74</v>
      </c>
      <c r="M258" s="1">
        <f ca="1">IFERROR(__xludf.DUMMYFUNCTION("""COMPUTED_VALUE"""),508.89)</f>
        <v>508.89</v>
      </c>
    </row>
    <row r="259" spans="1:13" x14ac:dyDescent="0.25">
      <c r="A259" s="2">
        <f ca="1">IFERROR(__xludf.DUMMYFUNCTION("""COMPUTED_VALUE"""),44207.6666666666)</f>
        <v>44207.666666666599</v>
      </c>
      <c r="B259" s="1">
        <f ca="1">IFERROR(__xludf.DUMMYFUNCTION("""COMPUTED_VALUE"""),128.98)</f>
        <v>128.97999999999999</v>
      </c>
      <c r="C259" s="1">
        <f ca="1">IFERROR(__xludf.DUMMYFUNCTION("""COMPUTED_VALUE"""),219.62)</f>
        <v>219.62</v>
      </c>
      <c r="D259" s="1">
        <f ca="1">IFERROR(__xludf.DUMMYFUNCTION("""COMPUTED_VALUE"""),159.14)</f>
        <v>159.13999999999999</v>
      </c>
      <c r="E259" s="1">
        <f ca="1">IFERROR(__xludf.DUMMYFUNCTION("""COMPUTED_VALUE"""),13.28)</f>
        <v>13.28</v>
      </c>
      <c r="F259" s="1">
        <f ca="1">IFERROR(__xludf.DUMMYFUNCTION("""COMPUTED_VALUE"""),267.57)</f>
        <v>267.57</v>
      </c>
      <c r="G259" s="1">
        <f ca="1">IFERROR(__xludf.DUMMYFUNCTION("""COMPUTED_VALUE"""),90.36)</f>
        <v>90.36</v>
      </c>
      <c r="H259" s="1">
        <f ca="1">IFERROR(__xludf.DUMMYFUNCTION("""COMPUTED_VALUE"""),293.34)</f>
        <v>293.33999999999997</v>
      </c>
      <c r="I259" s="1">
        <f ca="1">IFERROR(__xludf.DUMMYFUNCTION("""COMPUTED_VALUE"""),144.18)</f>
        <v>144.18</v>
      </c>
      <c r="J259" s="1">
        <f ca="1">IFERROR(__xludf.DUMMYFUNCTION("""COMPUTED_VALUE"""),369.94)</f>
        <v>369.94</v>
      </c>
      <c r="K259" s="1">
        <f ca="1">IFERROR(__xludf.DUMMYFUNCTION("""COMPUTED_VALUE"""),44.56)</f>
        <v>44.56</v>
      </c>
      <c r="L259" s="1">
        <f ca="1">IFERROR(__xludf.DUMMYFUNCTION("""COMPUTED_VALUE"""),485.1)</f>
        <v>485.1</v>
      </c>
      <c r="M259" s="1">
        <f ca="1">IFERROR(__xludf.DUMMYFUNCTION("""COMPUTED_VALUE"""),510.4)</f>
        <v>510.4</v>
      </c>
    </row>
    <row r="260" spans="1:13" x14ac:dyDescent="0.25">
      <c r="A260" s="2">
        <f ca="1">IFERROR(__xludf.DUMMYFUNCTION("""COMPUTED_VALUE"""),44208.6666666666)</f>
        <v>44208.666666666599</v>
      </c>
      <c r="B260" s="1">
        <f ca="1">IFERROR(__xludf.DUMMYFUNCTION("""COMPUTED_VALUE"""),128.8)</f>
        <v>128.80000000000001</v>
      </c>
      <c r="C260" s="1">
        <f ca="1">IFERROR(__xludf.DUMMYFUNCTION("""COMPUTED_VALUE"""),217.49)</f>
        <v>217.49</v>
      </c>
      <c r="D260" s="1">
        <f ca="1">IFERROR(__xludf.DUMMYFUNCTION("""COMPUTED_VALUE"""),155.71)</f>
        <v>155.71</v>
      </c>
      <c r="E260" s="1">
        <f ca="1">IFERROR(__xludf.DUMMYFUNCTION("""COMPUTED_VALUE"""),13.62)</f>
        <v>13.62</v>
      </c>
      <c r="F260" s="1">
        <f ca="1">IFERROR(__xludf.DUMMYFUNCTION("""COMPUTED_VALUE"""),256.84)</f>
        <v>256.83999999999997</v>
      </c>
      <c r="G260" s="1">
        <f ca="1">IFERROR(__xludf.DUMMYFUNCTION("""COMPUTED_VALUE"""),88.34)</f>
        <v>88.34</v>
      </c>
      <c r="H260" s="1">
        <f ca="1">IFERROR(__xludf.DUMMYFUNCTION("""COMPUTED_VALUE"""),270.4)</f>
        <v>270.39999999999998</v>
      </c>
      <c r="I260" s="1">
        <f ca="1">IFERROR(__xludf.DUMMYFUNCTION("""COMPUTED_VALUE"""),142.09)</f>
        <v>142.09</v>
      </c>
      <c r="J260" s="1">
        <f ca="1">IFERROR(__xludf.DUMMYFUNCTION("""COMPUTED_VALUE"""),364.01)</f>
        <v>364.01</v>
      </c>
      <c r="K260" s="1">
        <f ca="1">IFERROR(__xludf.DUMMYFUNCTION("""COMPUTED_VALUE"""),44.58)</f>
        <v>44.58</v>
      </c>
      <c r="L260" s="1">
        <f ca="1">IFERROR(__xludf.DUMMYFUNCTION("""COMPUTED_VALUE"""),474.24)</f>
        <v>474.24</v>
      </c>
      <c r="M260" s="1">
        <f ca="1">IFERROR(__xludf.DUMMYFUNCTION("""COMPUTED_VALUE"""),499.1)</f>
        <v>499.1</v>
      </c>
    </row>
    <row r="261" spans="1:13" x14ac:dyDescent="0.25">
      <c r="A261" s="2">
        <f ca="1">IFERROR(__xludf.DUMMYFUNCTION("""COMPUTED_VALUE"""),44209.6666666666)</f>
        <v>44209.666666666599</v>
      </c>
      <c r="B261" s="1">
        <f ca="1">IFERROR(__xludf.DUMMYFUNCTION("""COMPUTED_VALUE"""),130.89)</f>
        <v>130.88999999999999</v>
      </c>
      <c r="C261" s="1">
        <f ca="1">IFERROR(__xludf.DUMMYFUNCTION("""COMPUTED_VALUE"""),214.93)</f>
        <v>214.93</v>
      </c>
      <c r="D261" s="1">
        <f ca="1">IFERROR(__xludf.DUMMYFUNCTION("""COMPUTED_VALUE"""),156.04)</f>
        <v>156.04</v>
      </c>
      <c r="E261" s="1">
        <f ca="1">IFERROR(__xludf.DUMMYFUNCTION("""COMPUTED_VALUE"""),13.48)</f>
        <v>13.48</v>
      </c>
      <c r="F261" s="1">
        <f ca="1">IFERROR(__xludf.DUMMYFUNCTION("""COMPUTED_VALUE"""),251.09)</f>
        <v>251.09</v>
      </c>
      <c r="G261" s="1">
        <f ca="1">IFERROR(__xludf.DUMMYFUNCTION("""COMPUTED_VALUE"""),87.33)</f>
        <v>87.33</v>
      </c>
      <c r="H261" s="1">
        <f ca="1">IFERROR(__xludf.DUMMYFUNCTION("""COMPUTED_VALUE"""),283.15)</f>
        <v>283.14999999999998</v>
      </c>
      <c r="I261" s="1">
        <f ca="1">IFERROR(__xludf.DUMMYFUNCTION("""COMPUTED_VALUE"""),141.43)</f>
        <v>141.43</v>
      </c>
      <c r="J261" s="1">
        <f ca="1">IFERROR(__xludf.DUMMYFUNCTION("""COMPUTED_VALUE"""),364.2)</f>
        <v>364.2</v>
      </c>
      <c r="K261" s="1">
        <f ca="1">IFERROR(__xludf.DUMMYFUNCTION("""COMPUTED_VALUE"""),44.94)</f>
        <v>44.94</v>
      </c>
      <c r="L261" s="1">
        <f ca="1">IFERROR(__xludf.DUMMYFUNCTION("""COMPUTED_VALUE"""),471.65)</f>
        <v>471.65</v>
      </c>
      <c r="M261" s="1">
        <f ca="1">IFERROR(__xludf.DUMMYFUNCTION("""COMPUTED_VALUE"""),494.25)</f>
        <v>494.25</v>
      </c>
    </row>
    <row r="262" spans="1:13" x14ac:dyDescent="0.25">
      <c r="A262" s="2">
        <f ca="1">IFERROR(__xludf.DUMMYFUNCTION("""COMPUTED_VALUE"""),44210.6666666666)</f>
        <v>44210.666666666599</v>
      </c>
      <c r="B262" s="1">
        <f ca="1">IFERROR(__xludf.DUMMYFUNCTION("""COMPUTED_VALUE"""),128.91)</f>
        <v>128.91</v>
      </c>
      <c r="C262" s="1">
        <f ca="1">IFERROR(__xludf.DUMMYFUNCTION("""COMPUTED_VALUE"""),216.34)</f>
        <v>216.34</v>
      </c>
      <c r="D262" s="1">
        <f ca="1">IFERROR(__xludf.DUMMYFUNCTION("""COMPUTED_VALUE"""),158.29)</f>
        <v>158.29</v>
      </c>
      <c r="E262" s="1">
        <f ca="1">IFERROR(__xludf.DUMMYFUNCTION("""COMPUTED_VALUE"""),13.53)</f>
        <v>13.53</v>
      </c>
      <c r="F262" s="1">
        <f ca="1">IFERROR(__xludf.DUMMYFUNCTION("""COMPUTED_VALUE"""),251.64)</f>
        <v>251.64</v>
      </c>
      <c r="G262" s="1">
        <f ca="1">IFERROR(__xludf.DUMMYFUNCTION("""COMPUTED_VALUE"""),87.72)</f>
        <v>87.72</v>
      </c>
      <c r="H262" s="1">
        <f ca="1">IFERROR(__xludf.DUMMYFUNCTION("""COMPUTED_VALUE"""),284.8)</f>
        <v>284.8</v>
      </c>
      <c r="I262" s="1">
        <f ca="1">IFERROR(__xludf.DUMMYFUNCTION("""COMPUTED_VALUE"""),142.59)</f>
        <v>142.59</v>
      </c>
      <c r="J262" s="1">
        <f ca="1">IFERROR(__xludf.DUMMYFUNCTION("""COMPUTED_VALUE"""),366.95)</f>
        <v>366.95</v>
      </c>
      <c r="K262" s="1">
        <f ca="1">IFERROR(__xludf.DUMMYFUNCTION("""COMPUTED_VALUE"""),45.12)</f>
        <v>45.12</v>
      </c>
      <c r="L262" s="1">
        <f ca="1">IFERROR(__xludf.DUMMYFUNCTION("""COMPUTED_VALUE"""),472.05)</f>
        <v>472.05</v>
      </c>
      <c r="M262" s="1">
        <f ca="1">IFERROR(__xludf.DUMMYFUNCTION("""COMPUTED_VALUE"""),507.79)</f>
        <v>507.79</v>
      </c>
    </row>
    <row r="263" spans="1:13" x14ac:dyDescent="0.25">
      <c r="A263" s="2">
        <f ca="1">IFERROR(__xludf.DUMMYFUNCTION("""COMPUTED_VALUE"""),44211.6666666666)</f>
        <v>44211.666666666599</v>
      </c>
      <c r="B263" s="1">
        <f ca="1">IFERROR(__xludf.DUMMYFUNCTION("""COMPUTED_VALUE"""),127.14)</f>
        <v>127.14</v>
      </c>
      <c r="C263" s="1">
        <f ca="1">IFERROR(__xludf.DUMMYFUNCTION("""COMPUTED_VALUE"""),213.02)</f>
        <v>213.02</v>
      </c>
      <c r="D263" s="1">
        <f ca="1">IFERROR(__xludf.DUMMYFUNCTION("""COMPUTED_VALUE"""),156.37)</f>
        <v>156.37</v>
      </c>
      <c r="E263" s="1">
        <f ca="1">IFERROR(__xludf.DUMMYFUNCTION("""COMPUTED_VALUE"""),13.2)</f>
        <v>13.2</v>
      </c>
      <c r="F263" s="1">
        <f ca="1">IFERROR(__xludf.DUMMYFUNCTION("""COMPUTED_VALUE"""),245.64)</f>
        <v>245.64</v>
      </c>
      <c r="G263" s="1">
        <f ca="1">IFERROR(__xludf.DUMMYFUNCTION("""COMPUTED_VALUE"""),87.01)</f>
        <v>87.01</v>
      </c>
      <c r="H263" s="1">
        <f ca="1">IFERROR(__xludf.DUMMYFUNCTION("""COMPUTED_VALUE"""),281.67)</f>
        <v>281.67</v>
      </c>
      <c r="I263" s="1">
        <f ca="1">IFERROR(__xludf.DUMMYFUNCTION("""COMPUTED_VALUE"""),141.76)</f>
        <v>141.76</v>
      </c>
      <c r="J263" s="1">
        <f ca="1">IFERROR(__xludf.DUMMYFUNCTION("""COMPUTED_VALUE"""),362.35)</f>
        <v>362.35</v>
      </c>
      <c r="K263" s="1">
        <f ca="1">IFERROR(__xludf.DUMMYFUNCTION("""COMPUTED_VALUE"""),45.21)</f>
        <v>45.21</v>
      </c>
      <c r="L263" s="1">
        <f ca="1">IFERROR(__xludf.DUMMYFUNCTION("""COMPUTED_VALUE"""),463.27)</f>
        <v>463.27</v>
      </c>
      <c r="M263" s="1">
        <f ca="1">IFERROR(__xludf.DUMMYFUNCTION("""COMPUTED_VALUE"""),500.86)</f>
        <v>500.86</v>
      </c>
    </row>
    <row r="264" spans="1:13" x14ac:dyDescent="0.25">
      <c r="A264" s="2">
        <f ca="1">IFERROR(__xludf.DUMMYFUNCTION("""COMPUTED_VALUE"""),44215.6666666666)</f>
        <v>44215.666666666599</v>
      </c>
      <c r="B264" s="1">
        <f ca="1">IFERROR(__xludf.DUMMYFUNCTION("""COMPUTED_VALUE"""),127.83)</f>
        <v>127.83</v>
      </c>
      <c r="C264" s="1">
        <f ca="1">IFERROR(__xludf.DUMMYFUNCTION("""COMPUTED_VALUE"""),212.65)</f>
        <v>212.65</v>
      </c>
      <c r="D264" s="1">
        <f ca="1">IFERROR(__xludf.DUMMYFUNCTION("""COMPUTED_VALUE"""),155.21)</f>
        <v>155.21</v>
      </c>
      <c r="E264" s="1">
        <f ca="1">IFERROR(__xludf.DUMMYFUNCTION("""COMPUTED_VALUE"""),12.86)</f>
        <v>12.86</v>
      </c>
      <c r="F264" s="1">
        <f ca="1">IFERROR(__xludf.DUMMYFUNCTION("""COMPUTED_VALUE"""),251.36)</f>
        <v>251.36</v>
      </c>
      <c r="G264" s="1">
        <f ca="1">IFERROR(__xludf.DUMMYFUNCTION("""COMPUTED_VALUE"""),86.81)</f>
        <v>86.81</v>
      </c>
      <c r="H264" s="1">
        <f ca="1">IFERROR(__xludf.DUMMYFUNCTION("""COMPUTED_VALUE"""),275.39)</f>
        <v>275.39</v>
      </c>
      <c r="I264" s="1">
        <f ca="1">IFERROR(__xludf.DUMMYFUNCTION("""COMPUTED_VALUE"""),141.39)</f>
        <v>141.38999999999999</v>
      </c>
      <c r="J264" s="1">
        <f ca="1">IFERROR(__xludf.DUMMYFUNCTION("""COMPUTED_VALUE"""),362.16)</f>
        <v>362.16</v>
      </c>
      <c r="K264" s="1">
        <f ca="1">IFERROR(__xludf.DUMMYFUNCTION("""COMPUTED_VALUE"""),44.59)</f>
        <v>44.59</v>
      </c>
      <c r="L264" s="1">
        <f ca="1">IFERROR(__xludf.DUMMYFUNCTION("""COMPUTED_VALUE"""),458.08)</f>
        <v>458.08</v>
      </c>
      <c r="M264" s="1">
        <f ca="1">IFERROR(__xludf.DUMMYFUNCTION("""COMPUTED_VALUE"""),497.98)</f>
        <v>497.98</v>
      </c>
    </row>
    <row r="265" spans="1:13" x14ac:dyDescent="0.25">
      <c r="A265" s="2">
        <f ca="1">IFERROR(__xludf.DUMMYFUNCTION("""COMPUTED_VALUE"""),44216.6666666666)</f>
        <v>44216.666666666599</v>
      </c>
      <c r="B265" s="1">
        <f ca="1">IFERROR(__xludf.DUMMYFUNCTION("""COMPUTED_VALUE"""),132.03)</f>
        <v>132.03</v>
      </c>
      <c r="C265" s="1">
        <f ca="1">IFERROR(__xludf.DUMMYFUNCTION("""COMPUTED_VALUE"""),216.44)</f>
        <v>216.44</v>
      </c>
      <c r="D265" s="1">
        <f ca="1">IFERROR(__xludf.DUMMYFUNCTION("""COMPUTED_VALUE"""),156.04)</f>
        <v>156.04</v>
      </c>
      <c r="E265" s="1">
        <f ca="1">IFERROR(__xludf.DUMMYFUNCTION("""COMPUTED_VALUE"""),13.03)</f>
        <v>13.03</v>
      </c>
      <c r="F265" s="1">
        <f ca="1">IFERROR(__xludf.DUMMYFUNCTION("""COMPUTED_VALUE"""),261.1)</f>
        <v>261.10000000000002</v>
      </c>
      <c r="G265" s="1">
        <f ca="1">IFERROR(__xludf.DUMMYFUNCTION("""COMPUTED_VALUE"""),89.54)</f>
        <v>89.54</v>
      </c>
      <c r="H265" s="1">
        <f ca="1">IFERROR(__xludf.DUMMYFUNCTION("""COMPUTED_VALUE"""),281.52)</f>
        <v>281.52</v>
      </c>
      <c r="I265" s="1">
        <f ca="1">IFERROR(__xludf.DUMMYFUNCTION("""COMPUTED_VALUE"""),142.06)</f>
        <v>142.06</v>
      </c>
      <c r="J265" s="1">
        <f ca="1">IFERROR(__xludf.DUMMYFUNCTION("""COMPUTED_VALUE"""),354.47)</f>
        <v>354.47</v>
      </c>
      <c r="K265" s="1">
        <f ca="1">IFERROR(__xludf.DUMMYFUNCTION("""COMPUTED_VALUE"""),45.93)</f>
        <v>45.93</v>
      </c>
      <c r="L265" s="1">
        <f ca="1">IFERROR(__xludf.DUMMYFUNCTION("""COMPUTED_VALUE"""),456.5)</f>
        <v>456.5</v>
      </c>
      <c r="M265" s="1">
        <f ca="1">IFERROR(__xludf.DUMMYFUNCTION("""COMPUTED_VALUE"""),501.77)</f>
        <v>501.77</v>
      </c>
    </row>
    <row r="266" spans="1:13" x14ac:dyDescent="0.25">
      <c r="A266" s="2">
        <f ca="1">IFERROR(__xludf.DUMMYFUNCTION("""COMPUTED_VALUE"""),44217.6666666666)</f>
        <v>44217.666666666599</v>
      </c>
      <c r="B266" s="1">
        <f ca="1">IFERROR(__xludf.DUMMYFUNCTION("""COMPUTED_VALUE"""),136.87)</f>
        <v>136.87</v>
      </c>
      <c r="C266" s="1">
        <f ca="1">IFERROR(__xludf.DUMMYFUNCTION("""COMPUTED_VALUE"""),224.34)</f>
        <v>224.34</v>
      </c>
      <c r="D266" s="1">
        <f ca="1">IFERROR(__xludf.DUMMYFUNCTION("""COMPUTED_VALUE"""),163.17)</f>
        <v>163.16999999999999</v>
      </c>
      <c r="E266" s="1">
        <f ca="1">IFERROR(__xludf.DUMMYFUNCTION("""COMPUTED_VALUE"""),13.37)</f>
        <v>13.37</v>
      </c>
      <c r="F266" s="1">
        <f ca="1">IFERROR(__xludf.DUMMYFUNCTION("""COMPUTED_VALUE"""),267.48)</f>
        <v>267.48</v>
      </c>
      <c r="G266" s="1">
        <f ca="1">IFERROR(__xludf.DUMMYFUNCTION("""COMPUTED_VALUE"""),94.35)</f>
        <v>94.35</v>
      </c>
      <c r="H266" s="1">
        <f ca="1">IFERROR(__xludf.DUMMYFUNCTION("""COMPUTED_VALUE"""),283.48)</f>
        <v>283.48</v>
      </c>
      <c r="I266" s="1">
        <f ca="1">IFERROR(__xludf.DUMMYFUNCTION("""COMPUTED_VALUE"""),141.33)</f>
        <v>141.33000000000001</v>
      </c>
      <c r="J266" s="1">
        <f ca="1">IFERROR(__xludf.DUMMYFUNCTION("""COMPUTED_VALUE"""),361.3)</f>
        <v>361.3</v>
      </c>
      <c r="K266" s="1">
        <f ca="1">IFERROR(__xludf.DUMMYFUNCTION("""COMPUTED_VALUE"""),46.19)</f>
        <v>46.19</v>
      </c>
      <c r="L266" s="1">
        <f ca="1">IFERROR(__xludf.DUMMYFUNCTION("""COMPUTED_VALUE"""),469.73)</f>
        <v>469.73</v>
      </c>
      <c r="M266" s="1">
        <f ca="1">IFERROR(__xludf.DUMMYFUNCTION("""COMPUTED_VALUE"""),586.34)</f>
        <v>586.34</v>
      </c>
    </row>
    <row r="267" spans="1:13" x14ac:dyDescent="0.25">
      <c r="A267" s="2">
        <f ca="1">IFERROR(__xludf.DUMMYFUNCTION("""COMPUTED_VALUE"""),44218.6666666666)</f>
        <v>44218.666666666599</v>
      </c>
      <c r="B267" s="1">
        <f ca="1">IFERROR(__xludf.DUMMYFUNCTION("""COMPUTED_VALUE"""),139.07)</f>
        <v>139.07</v>
      </c>
      <c r="C267" s="1">
        <f ca="1">IFERROR(__xludf.DUMMYFUNCTION("""COMPUTED_VALUE"""),224.97)</f>
        <v>224.97</v>
      </c>
      <c r="D267" s="1">
        <f ca="1">IFERROR(__xludf.DUMMYFUNCTION("""COMPUTED_VALUE"""),165.35)</f>
        <v>165.35</v>
      </c>
      <c r="E267" s="1">
        <f ca="1">IFERROR(__xludf.DUMMYFUNCTION("""COMPUTED_VALUE"""),13.87)</f>
        <v>13.87</v>
      </c>
      <c r="F267" s="1">
        <f ca="1">IFERROR(__xludf.DUMMYFUNCTION("""COMPUTED_VALUE"""),272.87)</f>
        <v>272.87</v>
      </c>
      <c r="G267" s="1">
        <f ca="1">IFERROR(__xludf.DUMMYFUNCTION("""COMPUTED_VALUE"""),94.56)</f>
        <v>94.56</v>
      </c>
      <c r="H267" s="1">
        <f ca="1">IFERROR(__xludf.DUMMYFUNCTION("""COMPUTED_VALUE"""),281.66)</f>
        <v>281.66000000000003</v>
      </c>
      <c r="I267" s="1">
        <f ca="1">IFERROR(__xludf.DUMMYFUNCTION("""COMPUTED_VALUE"""),139.61)</f>
        <v>139.61000000000001</v>
      </c>
      <c r="J267" s="1">
        <f ca="1">IFERROR(__xludf.DUMMYFUNCTION("""COMPUTED_VALUE"""),362.8)</f>
        <v>362.8</v>
      </c>
      <c r="K267" s="1">
        <f ca="1">IFERROR(__xludf.DUMMYFUNCTION("""COMPUTED_VALUE"""),46.68)</f>
        <v>46.68</v>
      </c>
      <c r="L267" s="1">
        <f ca="1">IFERROR(__xludf.DUMMYFUNCTION("""COMPUTED_VALUE"""),472.02)</f>
        <v>472.02</v>
      </c>
      <c r="M267" s="1">
        <f ca="1">IFERROR(__xludf.DUMMYFUNCTION("""COMPUTED_VALUE"""),579.84)</f>
        <v>579.84</v>
      </c>
    </row>
    <row r="268" spans="1:13" x14ac:dyDescent="0.25">
      <c r="A268" s="2">
        <f ca="1">IFERROR(__xludf.DUMMYFUNCTION("""COMPUTED_VALUE"""),44221.6666666666)</f>
        <v>44221.666666666599</v>
      </c>
      <c r="B268" s="1">
        <f ca="1">IFERROR(__xludf.DUMMYFUNCTION("""COMPUTED_VALUE"""),142.92)</f>
        <v>142.91999999999999</v>
      </c>
      <c r="C268" s="1">
        <f ca="1">IFERROR(__xludf.DUMMYFUNCTION("""COMPUTED_VALUE"""),225.95)</f>
        <v>225.95</v>
      </c>
      <c r="D268" s="1">
        <f ca="1">IFERROR(__xludf.DUMMYFUNCTION("""COMPUTED_VALUE"""),164.61)</f>
        <v>164.61</v>
      </c>
      <c r="E268" s="1">
        <f ca="1">IFERROR(__xludf.DUMMYFUNCTION("""COMPUTED_VALUE"""),13.71)</f>
        <v>13.71</v>
      </c>
      <c r="F268" s="1">
        <f ca="1">IFERROR(__xludf.DUMMYFUNCTION("""COMPUTED_VALUE"""),274.5)</f>
        <v>274.5</v>
      </c>
      <c r="G268" s="1">
        <f ca="1">IFERROR(__xludf.DUMMYFUNCTION("""COMPUTED_VALUE"""),95.05)</f>
        <v>95.05</v>
      </c>
      <c r="H268" s="1">
        <f ca="1">IFERROR(__xludf.DUMMYFUNCTION("""COMPUTED_VALUE"""),282.21)</f>
        <v>282.20999999999998</v>
      </c>
      <c r="I268" s="1">
        <f ca="1">IFERROR(__xludf.DUMMYFUNCTION("""COMPUTED_VALUE"""),138.59)</f>
        <v>138.59</v>
      </c>
      <c r="J268" s="1">
        <f ca="1">IFERROR(__xludf.DUMMYFUNCTION("""COMPUTED_VALUE"""),362.3)</f>
        <v>362.3</v>
      </c>
      <c r="K268" s="1">
        <f ca="1">IFERROR(__xludf.DUMMYFUNCTION("""COMPUTED_VALUE"""),46.5)</f>
        <v>46.5</v>
      </c>
      <c r="L268" s="1">
        <f ca="1">IFERROR(__xludf.DUMMYFUNCTION("""COMPUTED_VALUE"""),472.44)</f>
        <v>472.44</v>
      </c>
      <c r="M268" s="1">
        <f ca="1">IFERROR(__xludf.DUMMYFUNCTION("""COMPUTED_VALUE"""),565.17)</f>
        <v>565.16999999999996</v>
      </c>
    </row>
    <row r="269" spans="1:13" x14ac:dyDescent="0.25">
      <c r="A269" s="2">
        <f ca="1">IFERROR(__xludf.DUMMYFUNCTION("""COMPUTED_VALUE"""),44222.6666666666)</f>
        <v>44222.666666666599</v>
      </c>
      <c r="B269" s="1">
        <f ca="1">IFERROR(__xludf.DUMMYFUNCTION("""COMPUTED_VALUE"""),143.16)</f>
        <v>143.16</v>
      </c>
      <c r="C269" s="1">
        <f ca="1">IFERROR(__xludf.DUMMYFUNCTION("""COMPUTED_VALUE"""),229.53)</f>
        <v>229.53</v>
      </c>
      <c r="D269" s="1">
        <f ca="1">IFERROR(__xludf.DUMMYFUNCTION("""COMPUTED_VALUE"""),164.7)</f>
        <v>164.7</v>
      </c>
      <c r="E269" s="1">
        <f ca="1">IFERROR(__xludf.DUMMYFUNCTION("""COMPUTED_VALUE"""),13.65)</f>
        <v>13.65</v>
      </c>
      <c r="F269" s="1">
        <f ca="1">IFERROR(__xludf.DUMMYFUNCTION("""COMPUTED_VALUE"""),278.01)</f>
        <v>278.01</v>
      </c>
      <c r="G269" s="1">
        <f ca="1">IFERROR(__xludf.DUMMYFUNCTION("""COMPUTED_VALUE"""),94.97)</f>
        <v>94.97</v>
      </c>
      <c r="H269" s="1">
        <f ca="1">IFERROR(__xludf.DUMMYFUNCTION("""COMPUTED_VALUE"""),293.6)</f>
        <v>293.60000000000002</v>
      </c>
      <c r="I269" s="1">
        <f ca="1">IFERROR(__xludf.DUMMYFUNCTION("""COMPUTED_VALUE"""),140.18)</f>
        <v>140.18</v>
      </c>
      <c r="J269" s="1">
        <f ca="1">IFERROR(__xludf.DUMMYFUNCTION("""COMPUTED_VALUE"""),361.88)</f>
        <v>361.88</v>
      </c>
      <c r="K269" s="1">
        <f ca="1">IFERROR(__xludf.DUMMYFUNCTION("""COMPUTED_VALUE"""),46.48)</f>
        <v>46.48</v>
      </c>
      <c r="L269" s="1">
        <f ca="1">IFERROR(__xludf.DUMMYFUNCTION("""COMPUTED_VALUE"""),473.44)</f>
        <v>473.44</v>
      </c>
      <c r="M269" s="1">
        <f ca="1">IFERROR(__xludf.DUMMYFUNCTION("""COMPUTED_VALUE"""),556.78)</f>
        <v>556.78</v>
      </c>
    </row>
    <row r="270" spans="1:13" x14ac:dyDescent="0.25">
      <c r="A270" s="2">
        <f ca="1">IFERROR(__xludf.DUMMYFUNCTION("""COMPUTED_VALUE"""),44223.6666666666)</f>
        <v>44223.666666666599</v>
      </c>
      <c r="B270" s="1">
        <f ca="1">IFERROR(__xludf.DUMMYFUNCTION("""COMPUTED_VALUE"""),142.06)</f>
        <v>142.06</v>
      </c>
      <c r="C270" s="1">
        <f ca="1">IFERROR(__xludf.DUMMYFUNCTION("""COMPUTED_VALUE"""),232.33)</f>
        <v>232.33</v>
      </c>
      <c r="D270" s="1">
        <f ca="1">IFERROR(__xludf.DUMMYFUNCTION("""COMPUTED_VALUE"""),166.31)</f>
        <v>166.31</v>
      </c>
      <c r="E270" s="1">
        <f ca="1">IFERROR(__xludf.DUMMYFUNCTION("""COMPUTED_VALUE"""),13.44)</f>
        <v>13.44</v>
      </c>
      <c r="F270" s="1">
        <f ca="1">IFERROR(__xludf.DUMMYFUNCTION("""COMPUTED_VALUE"""),282.05)</f>
        <v>282.05</v>
      </c>
      <c r="G270" s="1">
        <f ca="1">IFERROR(__xludf.DUMMYFUNCTION("""COMPUTED_VALUE"""),95.86)</f>
        <v>95.86</v>
      </c>
      <c r="H270" s="1">
        <f ca="1">IFERROR(__xludf.DUMMYFUNCTION("""COMPUTED_VALUE"""),294.36)</f>
        <v>294.36</v>
      </c>
      <c r="I270" s="1">
        <f ca="1">IFERROR(__xludf.DUMMYFUNCTION("""COMPUTED_VALUE"""),141.8)</f>
        <v>141.80000000000001</v>
      </c>
      <c r="J270" s="1">
        <f ca="1">IFERROR(__xludf.DUMMYFUNCTION("""COMPUTED_VALUE"""),364.98)</f>
        <v>364.98</v>
      </c>
      <c r="K270" s="1">
        <f ca="1">IFERROR(__xludf.DUMMYFUNCTION("""COMPUTED_VALUE"""),46.39)</f>
        <v>46.39</v>
      </c>
      <c r="L270" s="1">
        <f ca="1">IFERROR(__xludf.DUMMYFUNCTION("""COMPUTED_VALUE"""),476.28)</f>
        <v>476.28</v>
      </c>
      <c r="M270" s="1">
        <f ca="1">IFERROR(__xludf.DUMMYFUNCTION("""COMPUTED_VALUE"""),561.93)</f>
        <v>561.92999999999995</v>
      </c>
    </row>
    <row r="271" spans="1:13" x14ac:dyDescent="0.25">
      <c r="A271" s="2">
        <f ca="1">IFERROR(__xludf.DUMMYFUNCTION("""COMPUTED_VALUE"""),44224.6666666666)</f>
        <v>44224.666666666599</v>
      </c>
      <c r="B271" s="1">
        <f ca="1">IFERROR(__xludf.DUMMYFUNCTION("""COMPUTED_VALUE"""),137.09)</f>
        <v>137.09</v>
      </c>
      <c r="C271" s="1">
        <f ca="1">IFERROR(__xludf.DUMMYFUNCTION("""COMPUTED_VALUE"""),232.9)</f>
        <v>232.9</v>
      </c>
      <c r="D271" s="1">
        <f ca="1">IFERROR(__xludf.DUMMYFUNCTION("""COMPUTED_VALUE"""),161.63)</f>
        <v>161.63</v>
      </c>
      <c r="E271" s="1">
        <f ca="1">IFERROR(__xludf.DUMMYFUNCTION("""COMPUTED_VALUE"""),12.92)</f>
        <v>12.92</v>
      </c>
      <c r="F271" s="1">
        <f ca="1">IFERROR(__xludf.DUMMYFUNCTION("""COMPUTED_VALUE"""),272.14)</f>
        <v>272.14</v>
      </c>
      <c r="G271" s="1">
        <f ca="1">IFERROR(__xludf.DUMMYFUNCTION("""COMPUTED_VALUE"""),91.54)</f>
        <v>91.54</v>
      </c>
      <c r="H271" s="1">
        <f ca="1">IFERROR(__xludf.DUMMYFUNCTION("""COMPUTED_VALUE"""),288.05)</f>
        <v>288.05</v>
      </c>
      <c r="I271" s="1">
        <f ca="1">IFERROR(__xludf.DUMMYFUNCTION("""COMPUTED_VALUE"""),138.04)</f>
        <v>138.04</v>
      </c>
      <c r="J271" s="1">
        <f ca="1">IFERROR(__xludf.DUMMYFUNCTION("""COMPUTED_VALUE"""),356.39)</f>
        <v>356.39</v>
      </c>
      <c r="K271" s="1">
        <f ca="1">IFERROR(__xludf.DUMMYFUNCTION("""COMPUTED_VALUE"""),44.47)</f>
        <v>44.47</v>
      </c>
      <c r="L271" s="1">
        <f ca="1">IFERROR(__xludf.DUMMYFUNCTION("""COMPUTED_VALUE"""),460)</f>
        <v>460</v>
      </c>
      <c r="M271" s="1">
        <f ca="1">IFERROR(__xludf.DUMMYFUNCTION("""COMPUTED_VALUE"""),523.28)</f>
        <v>523.28</v>
      </c>
    </row>
    <row r="272" spans="1:13" x14ac:dyDescent="0.25">
      <c r="A272" s="2">
        <f ca="1">IFERROR(__xludf.DUMMYFUNCTION("""COMPUTED_VALUE"""),44225.6666666666)</f>
        <v>44225.666666666599</v>
      </c>
      <c r="B272" s="1">
        <f ca="1">IFERROR(__xludf.DUMMYFUNCTION("""COMPUTED_VALUE"""),131.96)</f>
        <v>131.96</v>
      </c>
      <c r="C272" s="1">
        <f ca="1">IFERROR(__xludf.DUMMYFUNCTION("""COMPUTED_VALUE"""),238.93)</f>
        <v>238.93</v>
      </c>
      <c r="D272" s="1">
        <f ca="1">IFERROR(__xludf.DUMMYFUNCTION("""COMPUTED_VALUE"""),161.88)</f>
        <v>161.88</v>
      </c>
      <c r="E272" s="1">
        <f ca="1">IFERROR(__xludf.DUMMYFUNCTION("""COMPUTED_VALUE"""),13.05)</f>
        <v>13.05</v>
      </c>
      <c r="F272" s="1">
        <f ca="1">IFERROR(__xludf.DUMMYFUNCTION("""COMPUTED_VALUE"""),265)</f>
        <v>265</v>
      </c>
      <c r="G272" s="1">
        <f ca="1">IFERROR(__xludf.DUMMYFUNCTION("""COMPUTED_VALUE"""),93.16)</f>
        <v>93.16</v>
      </c>
      <c r="H272" s="1">
        <f ca="1">IFERROR(__xludf.DUMMYFUNCTION("""COMPUTED_VALUE"""),278.48)</f>
        <v>278.48</v>
      </c>
      <c r="I272" s="1">
        <f ca="1">IFERROR(__xludf.DUMMYFUNCTION("""COMPUTED_VALUE"""),139.19)</f>
        <v>139.19</v>
      </c>
      <c r="J272" s="1">
        <f ca="1">IFERROR(__xludf.DUMMYFUNCTION("""COMPUTED_VALUE"""),357.06)</f>
        <v>357.06</v>
      </c>
      <c r="K272" s="1">
        <f ca="1">IFERROR(__xludf.DUMMYFUNCTION("""COMPUTED_VALUE"""),45.17)</f>
        <v>45.17</v>
      </c>
      <c r="L272" s="1">
        <f ca="1">IFERROR(__xludf.DUMMYFUNCTION("""COMPUTED_VALUE"""),465.67)</f>
        <v>465.67</v>
      </c>
      <c r="M272" s="1">
        <f ca="1">IFERROR(__xludf.DUMMYFUNCTION("""COMPUTED_VALUE"""),538.6)</f>
        <v>538.6</v>
      </c>
    </row>
    <row r="273" spans="1:13" x14ac:dyDescent="0.25">
      <c r="A273" s="2">
        <f ca="1">IFERROR(__xludf.DUMMYFUNCTION("""COMPUTED_VALUE"""),44228.6666666666)</f>
        <v>44228.666666666599</v>
      </c>
      <c r="B273" s="1">
        <f ca="1">IFERROR(__xludf.DUMMYFUNCTION("""COMPUTED_VALUE"""),134.14)</f>
        <v>134.13999999999999</v>
      </c>
      <c r="C273" s="1">
        <f ca="1">IFERROR(__xludf.DUMMYFUNCTION("""COMPUTED_VALUE"""),231.96)</f>
        <v>231.96</v>
      </c>
      <c r="D273" s="1">
        <f ca="1">IFERROR(__xludf.DUMMYFUNCTION("""COMPUTED_VALUE"""),160.31)</f>
        <v>160.31</v>
      </c>
      <c r="E273" s="1">
        <f ca="1">IFERROR(__xludf.DUMMYFUNCTION("""COMPUTED_VALUE"""),12.99)</f>
        <v>12.99</v>
      </c>
      <c r="F273" s="1">
        <f ca="1">IFERROR(__xludf.DUMMYFUNCTION("""COMPUTED_VALUE"""),258.33)</f>
        <v>258.33</v>
      </c>
      <c r="G273" s="1">
        <f ca="1">IFERROR(__xludf.DUMMYFUNCTION("""COMPUTED_VALUE"""),91.79)</f>
        <v>91.79</v>
      </c>
      <c r="H273" s="1">
        <f ca="1">IFERROR(__xludf.DUMMYFUNCTION("""COMPUTED_VALUE"""),264.51)</f>
        <v>264.51</v>
      </c>
      <c r="I273" s="1">
        <f ca="1">IFERROR(__xludf.DUMMYFUNCTION("""COMPUTED_VALUE"""),136.57)</f>
        <v>136.57</v>
      </c>
      <c r="J273" s="1">
        <f ca="1">IFERROR(__xludf.DUMMYFUNCTION("""COMPUTED_VALUE"""),352.43)</f>
        <v>352.43</v>
      </c>
      <c r="K273" s="1">
        <f ca="1">IFERROR(__xludf.DUMMYFUNCTION("""COMPUTED_VALUE"""),45.05)</f>
        <v>45.05</v>
      </c>
      <c r="L273" s="1">
        <f ca="1">IFERROR(__xludf.DUMMYFUNCTION("""COMPUTED_VALUE"""),458.77)</f>
        <v>458.77</v>
      </c>
      <c r="M273" s="1">
        <f ca="1">IFERROR(__xludf.DUMMYFUNCTION("""COMPUTED_VALUE"""),532.39)</f>
        <v>532.39</v>
      </c>
    </row>
    <row r="274" spans="1:13" x14ac:dyDescent="0.25">
      <c r="A274" s="2">
        <f ca="1">IFERROR(__xludf.DUMMYFUNCTION("""COMPUTED_VALUE"""),44229.6666666666)</f>
        <v>44229.666666666599</v>
      </c>
      <c r="B274" s="1">
        <f ca="1">IFERROR(__xludf.DUMMYFUNCTION("""COMPUTED_VALUE"""),134.99)</f>
        <v>134.99</v>
      </c>
      <c r="C274" s="1">
        <f ca="1">IFERROR(__xludf.DUMMYFUNCTION("""COMPUTED_VALUE"""),239.65)</f>
        <v>239.65</v>
      </c>
      <c r="D274" s="1">
        <f ca="1">IFERROR(__xludf.DUMMYFUNCTION("""COMPUTED_VALUE"""),167.14)</f>
        <v>167.14</v>
      </c>
      <c r="E274" s="1">
        <f ca="1">IFERROR(__xludf.DUMMYFUNCTION("""COMPUTED_VALUE"""),13.24)</f>
        <v>13.24</v>
      </c>
      <c r="F274" s="1">
        <f ca="1">IFERROR(__xludf.DUMMYFUNCTION("""COMPUTED_VALUE"""),262.01)</f>
        <v>262.01</v>
      </c>
      <c r="G274" s="1">
        <f ca="1">IFERROR(__xludf.DUMMYFUNCTION("""COMPUTED_VALUE"""),95.07)</f>
        <v>95.07</v>
      </c>
      <c r="H274" s="1">
        <f ca="1">IFERROR(__xludf.DUMMYFUNCTION("""COMPUTED_VALUE"""),279.94)</f>
        <v>279.94</v>
      </c>
      <c r="I274" s="1">
        <f ca="1">IFERROR(__xludf.DUMMYFUNCTION("""COMPUTED_VALUE"""),136.98)</f>
        <v>136.97999999999999</v>
      </c>
      <c r="J274" s="1">
        <f ca="1">IFERROR(__xludf.DUMMYFUNCTION("""COMPUTED_VALUE"""),350.52)</f>
        <v>350.52</v>
      </c>
      <c r="K274" s="1">
        <f ca="1">IFERROR(__xludf.DUMMYFUNCTION("""COMPUTED_VALUE"""),46.67)</f>
        <v>46.67</v>
      </c>
      <c r="L274" s="1">
        <f ca="1">IFERROR(__xludf.DUMMYFUNCTION("""COMPUTED_VALUE"""),470)</f>
        <v>470</v>
      </c>
      <c r="M274" s="1">
        <f ca="1">IFERROR(__xludf.DUMMYFUNCTION("""COMPUTED_VALUE"""),539.04)</f>
        <v>539.04</v>
      </c>
    </row>
    <row r="275" spans="1:13" x14ac:dyDescent="0.25">
      <c r="A275" s="2">
        <f ca="1">IFERROR(__xludf.DUMMYFUNCTION("""COMPUTED_VALUE"""),44230.6666666666)</f>
        <v>44230.666666666599</v>
      </c>
      <c r="B275" s="1">
        <f ca="1">IFERROR(__xludf.DUMMYFUNCTION("""COMPUTED_VALUE"""),133.94)</f>
        <v>133.94</v>
      </c>
      <c r="C275" s="1">
        <f ca="1">IFERROR(__xludf.DUMMYFUNCTION("""COMPUTED_VALUE"""),239.51)</f>
        <v>239.51</v>
      </c>
      <c r="D275" s="1">
        <f ca="1">IFERROR(__xludf.DUMMYFUNCTION("""COMPUTED_VALUE"""),169)</f>
        <v>169</v>
      </c>
      <c r="E275" s="1">
        <f ca="1">IFERROR(__xludf.DUMMYFUNCTION("""COMPUTED_VALUE"""),13.56)</f>
        <v>13.56</v>
      </c>
      <c r="F275" s="1">
        <f ca="1">IFERROR(__xludf.DUMMYFUNCTION("""COMPUTED_VALUE"""),267.08)</f>
        <v>267.08</v>
      </c>
      <c r="G275" s="1">
        <f ca="1">IFERROR(__xludf.DUMMYFUNCTION("""COMPUTED_VALUE"""),96.38)</f>
        <v>96.38</v>
      </c>
      <c r="H275" s="1">
        <f ca="1">IFERROR(__xludf.DUMMYFUNCTION("""COMPUTED_VALUE"""),290.93)</f>
        <v>290.93</v>
      </c>
      <c r="I275" s="1">
        <f ca="1">IFERROR(__xludf.DUMMYFUNCTION("""COMPUTED_VALUE"""),138.38)</f>
        <v>138.38</v>
      </c>
      <c r="J275" s="1">
        <f ca="1">IFERROR(__xludf.DUMMYFUNCTION("""COMPUTED_VALUE"""),355.58)</f>
        <v>355.58</v>
      </c>
      <c r="K275" s="1">
        <f ca="1">IFERROR(__xludf.DUMMYFUNCTION("""COMPUTED_VALUE"""),47.69)</f>
        <v>47.69</v>
      </c>
      <c r="L275" s="1">
        <f ca="1">IFERROR(__xludf.DUMMYFUNCTION("""COMPUTED_VALUE"""),484.93)</f>
        <v>484.93</v>
      </c>
      <c r="M275" s="1">
        <f ca="1">IFERROR(__xludf.DUMMYFUNCTION("""COMPUTED_VALUE"""),548.16)</f>
        <v>548.16</v>
      </c>
    </row>
    <row r="276" spans="1:13" x14ac:dyDescent="0.25">
      <c r="A276" s="2">
        <f ca="1">IFERROR(__xludf.DUMMYFUNCTION("""COMPUTED_VALUE"""),44231.6666666666)</f>
        <v>44231.666666666599</v>
      </c>
      <c r="B276" s="1">
        <f ca="1">IFERROR(__xludf.DUMMYFUNCTION("""COMPUTED_VALUE"""),137.39)</f>
        <v>137.38999999999999</v>
      </c>
      <c r="C276" s="1">
        <f ca="1">IFERROR(__xludf.DUMMYFUNCTION("""COMPUTED_VALUE"""),243)</f>
        <v>243</v>
      </c>
      <c r="D276" s="1">
        <f ca="1">IFERROR(__xludf.DUMMYFUNCTION("""COMPUTED_VALUE"""),165.63)</f>
        <v>165.63</v>
      </c>
      <c r="E276" s="1">
        <f ca="1">IFERROR(__xludf.DUMMYFUNCTION("""COMPUTED_VALUE"""),13.53)</f>
        <v>13.53</v>
      </c>
      <c r="F276" s="1">
        <f ca="1">IFERROR(__xludf.DUMMYFUNCTION("""COMPUTED_VALUE"""),266.65)</f>
        <v>266.64999999999998</v>
      </c>
      <c r="G276" s="1">
        <f ca="1">IFERROR(__xludf.DUMMYFUNCTION("""COMPUTED_VALUE"""),103.5)</f>
        <v>103.5</v>
      </c>
      <c r="H276" s="1">
        <f ca="1">IFERROR(__xludf.DUMMYFUNCTION("""COMPUTED_VALUE"""),284.9)</f>
        <v>284.89999999999998</v>
      </c>
      <c r="I276" s="1">
        <f ca="1">IFERROR(__xludf.DUMMYFUNCTION("""COMPUTED_VALUE"""),138.02)</f>
        <v>138.02000000000001</v>
      </c>
      <c r="J276" s="1">
        <f ca="1">IFERROR(__xludf.DUMMYFUNCTION("""COMPUTED_VALUE"""),355.21)</f>
        <v>355.21</v>
      </c>
      <c r="K276" s="1">
        <f ca="1">IFERROR(__xludf.DUMMYFUNCTION("""COMPUTED_VALUE"""),46.52)</f>
        <v>46.52</v>
      </c>
      <c r="L276" s="1">
        <f ca="1">IFERROR(__xludf.DUMMYFUNCTION("""COMPUTED_VALUE"""),481.92)</f>
        <v>481.92</v>
      </c>
      <c r="M276" s="1">
        <f ca="1">IFERROR(__xludf.DUMMYFUNCTION("""COMPUTED_VALUE"""),539.45)</f>
        <v>539.45000000000005</v>
      </c>
    </row>
    <row r="277" spans="1:13" x14ac:dyDescent="0.25">
      <c r="A277" s="2">
        <f ca="1">IFERROR(__xludf.DUMMYFUNCTION("""COMPUTED_VALUE"""),44232.6666666666)</f>
        <v>44232.666666666599</v>
      </c>
      <c r="B277" s="1">
        <f ca="1">IFERROR(__xludf.DUMMYFUNCTION("""COMPUTED_VALUE"""),136.76)</f>
        <v>136.76</v>
      </c>
      <c r="C277" s="1">
        <f ca="1">IFERROR(__xludf.DUMMYFUNCTION("""COMPUTED_VALUE"""),242.01)</f>
        <v>242.01</v>
      </c>
      <c r="D277" s="1">
        <f ca="1">IFERROR(__xludf.DUMMYFUNCTION("""COMPUTED_VALUE"""),166.55)</f>
        <v>166.55</v>
      </c>
      <c r="E277" s="1">
        <f ca="1">IFERROR(__xludf.DUMMYFUNCTION("""COMPUTED_VALUE"""),13.66)</f>
        <v>13.66</v>
      </c>
      <c r="F277" s="1">
        <f ca="1">IFERROR(__xludf.DUMMYFUNCTION("""COMPUTED_VALUE"""),266.49)</f>
        <v>266.49</v>
      </c>
      <c r="G277" s="1">
        <f ca="1">IFERROR(__xludf.DUMMYFUNCTION("""COMPUTED_VALUE"""),103.12)</f>
        <v>103.12</v>
      </c>
      <c r="H277" s="1">
        <f ca="1">IFERROR(__xludf.DUMMYFUNCTION("""COMPUTED_VALUE"""),283.33)</f>
        <v>283.33</v>
      </c>
      <c r="I277" s="1">
        <f ca="1">IFERROR(__xludf.DUMMYFUNCTION("""COMPUTED_VALUE"""),139.68)</f>
        <v>139.68</v>
      </c>
      <c r="J277" s="1">
        <f ca="1">IFERROR(__xludf.DUMMYFUNCTION("""COMPUTED_VALUE"""),355.85)</f>
        <v>355.85</v>
      </c>
      <c r="K277" s="1">
        <f ca="1">IFERROR(__xludf.DUMMYFUNCTION("""COMPUTED_VALUE"""),47.06)</f>
        <v>47.06</v>
      </c>
      <c r="L277" s="1">
        <f ca="1">IFERROR(__xludf.DUMMYFUNCTION("""COMPUTED_VALUE"""),489.38)</f>
        <v>489.38</v>
      </c>
      <c r="M277" s="1">
        <f ca="1">IFERROR(__xludf.DUMMYFUNCTION("""COMPUTED_VALUE"""),552.16)</f>
        <v>552.16</v>
      </c>
    </row>
    <row r="278" spans="1:13" x14ac:dyDescent="0.25">
      <c r="A278" s="2">
        <f ca="1">IFERROR(__xludf.DUMMYFUNCTION("""COMPUTED_VALUE"""),44235.6666666666)</f>
        <v>44235.666666666599</v>
      </c>
      <c r="B278" s="1">
        <f ca="1">IFERROR(__xludf.DUMMYFUNCTION("""COMPUTED_VALUE"""),136.91)</f>
        <v>136.91</v>
      </c>
      <c r="C278" s="1">
        <f ca="1">IFERROR(__xludf.DUMMYFUNCTION("""COMPUTED_VALUE"""),242.2)</f>
        <v>242.2</v>
      </c>
      <c r="D278" s="1">
        <f ca="1">IFERROR(__xludf.DUMMYFUNCTION("""COMPUTED_VALUE"""),167.61)</f>
        <v>167.61</v>
      </c>
      <c r="E278" s="1">
        <f ca="1">IFERROR(__xludf.DUMMYFUNCTION("""COMPUTED_VALUE"""),13.59)</f>
        <v>13.59</v>
      </c>
      <c r="F278" s="1">
        <f ca="1">IFERROR(__xludf.DUMMYFUNCTION("""COMPUTED_VALUE"""),268.1)</f>
        <v>268.10000000000002</v>
      </c>
      <c r="G278" s="1">
        <f ca="1">IFERROR(__xludf.DUMMYFUNCTION("""COMPUTED_VALUE"""),104.9)</f>
        <v>104.9</v>
      </c>
      <c r="H278" s="1">
        <f ca="1">IFERROR(__xludf.DUMMYFUNCTION("""COMPUTED_VALUE"""),284.08)</f>
        <v>284.08</v>
      </c>
      <c r="I278" s="1">
        <f ca="1">IFERROR(__xludf.DUMMYFUNCTION("""COMPUTED_VALUE"""),140.96)</f>
        <v>140.96</v>
      </c>
      <c r="J278" s="1">
        <f ca="1">IFERROR(__xludf.DUMMYFUNCTION("""COMPUTED_VALUE"""),355.17)</f>
        <v>355.17</v>
      </c>
      <c r="K278" s="1">
        <f ca="1">IFERROR(__xludf.DUMMYFUNCTION("""COMPUTED_VALUE"""),46.6)</f>
        <v>46.6</v>
      </c>
      <c r="L278" s="1">
        <f ca="1">IFERROR(__xludf.DUMMYFUNCTION("""COMPUTED_VALUE"""),492.12)</f>
        <v>492.12</v>
      </c>
      <c r="M278" s="1">
        <f ca="1">IFERROR(__xludf.DUMMYFUNCTION("""COMPUTED_VALUE"""),550.79)</f>
        <v>550.79</v>
      </c>
    </row>
    <row r="279" spans="1:13" x14ac:dyDescent="0.25">
      <c r="A279" s="2">
        <f ca="1">IFERROR(__xludf.DUMMYFUNCTION("""COMPUTED_VALUE"""),44236.6666666666)</f>
        <v>44236.666666666599</v>
      </c>
      <c r="B279" s="1">
        <f ca="1">IFERROR(__xludf.DUMMYFUNCTION("""COMPUTED_VALUE"""),136.01)</f>
        <v>136.01</v>
      </c>
      <c r="C279" s="1">
        <f ca="1">IFERROR(__xludf.DUMMYFUNCTION("""COMPUTED_VALUE"""),242.47)</f>
        <v>242.47</v>
      </c>
      <c r="D279" s="1">
        <f ca="1">IFERROR(__xludf.DUMMYFUNCTION("""COMPUTED_VALUE"""),166.15)</f>
        <v>166.15</v>
      </c>
      <c r="E279" s="1">
        <f ca="1">IFERROR(__xludf.DUMMYFUNCTION("""COMPUTED_VALUE"""),14.44)</f>
        <v>14.44</v>
      </c>
      <c r="F279" s="1">
        <f ca="1">IFERROR(__xludf.DUMMYFUNCTION("""COMPUTED_VALUE"""),266.58)</f>
        <v>266.58</v>
      </c>
      <c r="G279" s="1">
        <f ca="1">IFERROR(__xludf.DUMMYFUNCTION("""COMPUTED_VALUE"""),104.65)</f>
        <v>104.65</v>
      </c>
      <c r="H279" s="1">
        <f ca="1">IFERROR(__xludf.DUMMYFUNCTION("""COMPUTED_VALUE"""),287.81)</f>
        <v>287.81</v>
      </c>
      <c r="I279" s="1">
        <f ca="1">IFERROR(__xludf.DUMMYFUNCTION("""COMPUTED_VALUE"""),140.4)</f>
        <v>140.4</v>
      </c>
      <c r="J279" s="1">
        <f ca="1">IFERROR(__xludf.DUMMYFUNCTION("""COMPUTED_VALUE"""),359.83)</f>
        <v>359.83</v>
      </c>
      <c r="K279" s="1">
        <f ca="1">IFERROR(__xludf.DUMMYFUNCTION("""COMPUTED_VALUE"""),47.27)</f>
        <v>47.27</v>
      </c>
      <c r="L279" s="1">
        <f ca="1">IFERROR(__xludf.DUMMYFUNCTION("""COMPUTED_VALUE"""),493.76)</f>
        <v>493.76</v>
      </c>
      <c r="M279" s="1">
        <f ca="1">IFERROR(__xludf.DUMMYFUNCTION("""COMPUTED_VALUE"""),547.92)</f>
        <v>547.91999999999996</v>
      </c>
    </row>
    <row r="280" spans="1:13" x14ac:dyDescent="0.25">
      <c r="A280" s="2">
        <f ca="1">IFERROR(__xludf.DUMMYFUNCTION("""COMPUTED_VALUE"""),44237.6666666666)</f>
        <v>44237.666666666599</v>
      </c>
      <c r="B280" s="1">
        <f ca="1">IFERROR(__xludf.DUMMYFUNCTION("""COMPUTED_VALUE"""),135.39)</f>
        <v>135.38999999999999</v>
      </c>
      <c r="C280" s="1">
        <f ca="1">IFERROR(__xludf.DUMMYFUNCTION("""COMPUTED_VALUE"""),243.77)</f>
        <v>243.77</v>
      </c>
      <c r="D280" s="1">
        <f ca="1">IFERROR(__xludf.DUMMYFUNCTION("""COMPUTED_VALUE"""),165.25)</f>
        <v>165.25</v>
      </c>
      <c r="E280" s="1">
        <f ca="1">IFERROR(__xludf.DUMMYFUNCTION("""COMPUTED_VALUE"""),14.26)</f>
        <v>14.26</v>
      </c>
      <c r="F280" s="1">
        <f ca="1">IFERROR(__xludf.DUMMYFUNCTION("""COMPUTED_VALUE"""),269.45)</f>
        <v>269.45</v>
      </c>
      <c r="G280" s="1">
        <f ca="1">IFERROR(__xludf.DUMMYFUNCTION("""COMPUTED_VALUE"""),104.18)</f>
        <v>104.18</v>
      </c>
      <c r="H280" s="1">
        <f ca="1">IFERROR(__xludf.DUMMYFUNCTION("""COMPUTED_VALUE"""),283.15)</f>
        <v>283.14999999999998</v>
      </c>
      <c r="I280" s="1">
        <f ca="1">IFERROR(__xludf.DUMMYFUNCTION("""COMPUTED_VALUE"""),139.6)</f>
        <v>139.6</v>
      </c>
      <c r="J280" s="1">
        <f ca="1">IFERROR(__xludf.DUMMYFUNCTION("""COMPUTED_VALUE"""),359.56)</f>
        <v>359.56</v>
      </c>
      <c r="K280" s="1">
        <f ca="1">IFERROR(__xludf.DUMMYFUNCTION("""COMPUTED_VALUE"""),47.46)</f>
        <v>47.46</v>
      </c>
      <c r="L280" s="1">
        <f ca="1">IFERROR(__xludf.DUMMYFUNCTION("""COMPUTED_VALUE"""),496.05)</f>
        <v>496.05</v>
      </c>
      <c r="M280" s="1">
        <f ca="1">IFERROR(__xludf.DUMMYFUNCTION("""COMPUTED_VALUE"""),559.07)</f>
        <v>559.07000000000005</v>
      </c>
    </row>
    <row r="281" spans="1:13" x14ac:dyDescent="0.25">
      <c r="A281" s="2">
        <f ca="1">IFERROR(__xludf.DUMMYFUNCTION("""COMPUTED_VALUE"""),44238.6666666666)</f>
        <v>44238.666666666599</v>
      </c>
      <c r="B281" s="1">
        <f ca="1">IFERROR(__xludf.DUMMYFUNCTION("""COMPUTED_VALUE"""),135.13)</f>
        <v>135.13</v>
      </c>
      <c r="C281" s="1">
        <f ca="1">IFERROR(__xludf.DUMMYFUNCTION("""COMPUTED_VALUE"""),242.82)</f>
        <v>242.82</v>
      </c>
      <c r="D281" s="1">
        <f ca="1">IFERROR(__xludf.DUMMYFUNCTION("""COMPUTED_VALUE"""),164.33)</f>
        <v>164.33</v>
      </c>
      <c r="E281" s="1">
        <f ca="1">IFERROR(__xludf.DUMMYFUNCTION("""COMPUTED_VALUE"""),14.76)</f>
        <v>14.76</v>
      </c>
      <c r="F281" s="1">
        <f ca="1">IFERROR(__xludf.DUMMYFUNCTION("""COMPUTED_VALUE"""),271.87)</f>
        <v>271.87</v>
      </c>
      <c r="G281" s="1">
        <f ca="1">IFERROR(__xludf.DUMMYFUNCTION("""COMPUTED_VALUE"""),104.77)</f>
        <v>104.77</v>
      </c>
      <c r="H281" s="1">
        <f ca="1">IFERROR(__xludf.DUMMYFUNCTION("""COMPUTED_VALUE"""),268.27)</f>
        <v>268.27</v>
      </c>
      <c r="I281" s="1">
        <f ca="1">IFERROR(__xludf.DUMMYFUNCTION("""COMPUTED_VALUE"""),137.7)</f>
        <v>137.69999999999999</v>
      </c>
      <c r="J281" s="1">
        <f ca="1">IFERROR(__xludf.DUMMYFUNCTION("""COMPUTED_VALUE"""),356.12)</f>
        <v>356.12</v>
      </c>
      <c r="K281" s="1">
        <f ca="1">IFERROR(__xludf.DUMMYFUNCTION("""COMPUTED_VALUE"""),47.01)</f>
        <v>47.01</v>
      </c>
      <c r="L281" s="1">
        <f ca="1">IFERROR(__xludf.DUMMYFUNCTION("""COMPUTED_VALUE"""),492.67)</f>
        <v>492.67</v>
      </c>
      <c r="M281" s="1">
        <f ca="1">IFERROR(__xludf.DUMMYFUNCTION("""COMPUTED_VALUE"""),563.59)</f>
        <v>563.59</v>
      </c>
    </row>
    <row r="282" spans="1:13" x14ac:dyDescent="0.25">
      <c r="A282" s="2">
        <f ca="1">IFERROR(__xludf.DUMMYFUNCTION("""COMPUTED_VALUE"""),44239.6666666666)</f>
        <v>44239.666666666599</v>
      </c>
      <c r="B282" s="1">
        <f ca="1">IFERROR(__xludf.DUMMYFUNCTION("""COMPUTED_VALUE"""),135.37)</f>
        <v>135.37</v>
      </c>
      <c r="C282" s="1">
        <f ca="1">IFERROR(__xludf.DUMMYFUNCTION("""COMPUTED_VALUE"""),244.49)</f>
        <v>244.49</v>
      </c>
      <c r="D282" s="1">
        <f ca="1">IFERROR(__xludf.DUMMYFUNCTION("""COMPUTED_VALUE"""),163.11)</f>
        <v>163.11000000000001</v>
      </c>
      <c r="E282" s="1">
        <f ca="1">IFERROR(__xludf.DUMMYFUNCTION("""COMPUTED_VALUE"""),15.25)</f>
        <v>15.25</v>
      </c>
      <c r="F282" s="1">
        <f ca="1">IFERROR(__xludf.DUMMYFUNCTION("""COMPUTED_VALUE"""),270.39)</f>
        <v>270.39</v>
      </c>
      <c r="G282" s="1">
        <f ca="1">IFERROR(__xludf.DUMMYFUNCTION("""COMPUTED_VALUE"""),104.79)</f>
        <v>104.79</v>
      </c>
      <c r="H282" s="1">
        <f ca="1">IFERROR(__xludf.DUMMYFUNCTION("""COMPUTED_VALUE"""),270.55)</f>
        <v>270.55</v>
      </c>
      <c r="I282" s="1">
        <f ca="1">IFERROR(__xludf.DUMMYFUNCTION("""COMPUTED_VALUE"""),134.97)</f>
        <v>134.97</v>
      </c>
      <c r="J282" s="1">
        <f ca="1">IFERROR(__xludf.DUMMYFUNCTION("""COMPUTED_VALUE"""),352.2)</f>
        <v>352.2</v>
      </c>
      <c r="K282" s="1">
        <f ca="1">IFERROR(__xludf.DUMMYFUNCTION("""COMPUTED_VALUE"""),47.84)</f>
        <v>47.84</v>
      </c>
      <c r="L282" s="1">
        <f ca="1">IFERROR(__xludf.DUMMYFUNCTION("""COMPUTED_VALUE"""),496.62)</f>
        <v>496.62</v>
      </c>
      <c r="M282" s="1">
        <f ca="1">IFERROR(__xludf.DUMMYFUNCTION("""COMPUTED_VALUE"""),557.59)</f>
        <v>557.59</v>
      </c>
    </row>
    <row r="283" spans="1:13" x14ac:dyDescent="0.25">
      <c r="A283" s="2">
        <f ca="1">IFERROR(__xludf.DUMMYFUNCTION("""COMPUTED_VALUE"""),44243.6666666666)</f>
        <v>44243.666666666599</v>
      </c>
      <c r="B283" s="1">
        <f ca="1">IFERROR(__xludf.DUMMYFUNCTION("""COMPUTED_VALUE"""),133.19)</f>
        <v>133.19</v>
      </c>
      <c r="C283" s="1">
        <f ca="1">IFERROR(__xludf.DUMMYFUNCTION("""COMPUTED_VALUE"""),244.99)</f>
        <v>244.99</v>
      </c>
      <c r="D283" s="1">
        <f ca="1">IFERROR(__xludf.DUMMYFUNCTION("""COMPUTED_VALUE"""),163.89)</f>
        <v>163.89</v>
      </c>
      <c r="E283" s="1">
        <f ca="1">IFERROR(__xludf.DUMMYFUNCTION("""COMPUTED_VALUE"""),14.96)</f>
        <v>14.96</v>
      </c>
      <c r="F283" s="1">
        <f ca="1">IFERROR(__xludf.DUMMYFUNCTION("""COMPUTED_VALUE"""),270.5)</f>
        <v>270.5</v>
      </c>
      <c r="G283" s="1">
        <f ca="1">IFERROR(__xludf.DUMMYFUNCTION("""COMPUTED_VALUE"""),105.21)</f>
        <v>105.21</v>
      </c>
      <c r="H283" s="1">
        <f ca="1">IFERROR(__xludf.DUMMYFUNCTION("""COMPUTED_VALUE"""),272.04)</f>
        <v>272.04000000000002</v>
      </c>
      <c r="I283" s="1">
        <f ca="1">IFERROR(__xludf.DUMMYFUNCTION("""COMPUTED_VALUE"""),133.87)</f>
        <v>133.87</v>
      </c>
      <c r="J283" s="1">
        <f ca="1">IFERROR(__xludf.DUMMYFUNCTION("""COMPUTED_VALUE"""),352.75)</f>
        <v>352.75</v>
      </c>
      <c r="K283" s="1">
        <f ca="1">IFERROR(__xludf.DUMMYFUNCTION("""COMPUTED_VALUE"""),48.63)</f>
        <v>48.63</v>
      </c>
      <c r="L283" s="1">
        <f ca="1">IFERROR(__xludf.DUMMYFUNCTION("""COMPUTED_VALUE"""),498.84)</f>
        <v>498.84</v>
      </c>
      <c r="M283" s="1">
        <f ca="1">IFERROR(__xludf.DUMMYFUNCTION("""COMPUTED_VALUE"""),556.52)</f>
        <v>556.52</v>
      </c>
    </row>
    <row r="284" spans="1:13" x14ac:dyDescent="0.25">
      <c r="A284" s="2">
        <f ca="1">IFERROR(__xludf.DUMMYFUNCTION("""COMPUTED_VALUE"""),44244.6666666666)</f>
        <v>44244.666666666599</v>
      </c>
      <c r="B284" s="1">
        <f ca="1">IFERROR(__xludf.DUMMYFUNCTION("""COMPUTED_VALUE"""),130.84)</f>
        <v>130.84</v>
      </c>
      <c r="C284" s="1">
        <f ca="1">IFERROR(__xludf.DUMMYFUNCTION("""COMPUTED_VALUE"""),243.7)</f>
        <v>243.7</v>
      </c>
      <c r="D284" s="1">
        <f ca="1">IFERROR(__xludf.DUMMYFUNCTION("""COMPUTED_VALUE"""),163.45)</f>
        <v>163.44999999999999</v>
      </c>
      <c r="E284" s="1">
        <f ca="1">IFERROR(__xludf.DUMMYFUNCTION("""COMPUTED_VALUE"""),15.33)</f>
        <v>15.33</v>
      </c>
      <c r="F284" s="1">
        <f ca="1">IFERROR(__xludf.DUMMYFUNCTION("""COMPUTED_VALUE"""),273.97)</f>
        <v>273.97000000000003</v>
      </c>
      <c r="G284" s="1">
        <f ca="1">IFERROR(__xludf.DUMMYFUNCTION("""COMPUTED_VALUE"""),106.1)</f>
        <v>106.1</v>
      </c>
      <c r="H284" s="1">
        <f ca="1">IFERROR(__xludf.DUMMYFUNCTION("""COMPUTED_VALUE"""),265.41)</f>
        <v>265.41000000000003</v>
      </c>
      <c r="I284" s="1">
        <f ca="1">IFERROR(__xludf.DUMMYFUNCTION("""COMPUTED_VALUE"""),134.38)</f>
        <v>134.38</v>
      </c>
      <c r="J284" s="1">
        <f ca="1">IFERROR(__xludf.DUMMYFUNCTION("""COMPUTED_VALUE"""),354)</f>
        <v>354</v>
      </c>
      <c r="K284" s="1">
        <f ca="1">IFERROR(__xludf.DUMMYFUNCTION("""COMPUTED_VALUE"""),48.91)</f>
        <v>48.91</v>
      </c>
      <c r="L284" s="1">
        <f ca="1">IFERROR(__xludf.DUMMYFUNCTION("""COMPUTED_VALUE"""),501.64)</f>
        <v>501.64</v>
      </c>
      <c r="M284" s="1">
        <f ca="1">IFERROR(__xludf.DUMMYFUNCTION("""COMPUTED_VALUE"""),557.28)</f>
        <v>557.28</v>
      </c>
    </row>
    <row r="285" spans="1:13" x14ac:dyDescent="0.25">
      <c r="A285" s="2">
        <f ca="1">IFERROR(__xludf.DUMMYFUNCTION("""COMPUTED_VALUE"""),44245.6666666666)</f>
        <v>44245.666666666599</v>
      </c>
      <c r="B285" s="1">
        <f ca="1">IFERROR(__xludf.DUMMYFUNCTION("""COMPUTED_VALUE"""),129.71)</f>
        <v>129.71</v>
      </c>
      <c r="C285" s="1">
        <f ca="1">IFERROR(__xludf.DUMMYFUNCTION("""COMPUTED_VALUE"""),244.2)</f>
        <v>244.2</v>
      </c>
      <c r="D285" s="1">
        <f ca="1">IFERROR(__xludf.DUMMYFUNCTION("""COMPUTED_VALUE"""),165.43)</f>
        <v>165.43</v>
      </c>
      <c r="E285" s="1">
        <f ca="1">IFERROR(__xludf.DUMMYFUNCTION("""COMPUTED_VALUE"""),14.91)</f>
        <v>14.91</v>
      </c>
      <c r="F285" s="1">
        <f ca="1">IFERROR(__xludf.DUMMYFUNCTION("""COMPUTED_VALUE"""),273.57)</f>
        <v>273.57</v>
      </c>
      <c r="G285" s="1">
        <f ca="1">IFERROR(__xludf.DUMMYFUNCTION("""COMPUTED_VALUE"""),106.42)</f>
        <v>106.42</v>
      </c>
      <c r="H285" s="1">
        <f ca="1">IFERROR(__xludf.DUMMYFUNCTION("""COMPUTED_VALUE"""),266.05)</f>
        <v>266.05</v>
      </c>
      <c r="I285" s="1">
        <f ca="1">IFERROR(__xludf.DUMMYFUNCTION("""COMPUTED_VALUE"""),134.46)</f>
        <v>134.46</v>
      </c>
      <c r="J285" s="1">
        <f ca="1">IFERROR(__xludf.DUMMYFUNCTION("""COMPUTED_VALUE"""),358.04)</f>
        <v>358.04</v>
      </c>
      <c r="K285" s="1">
        <f ca="1">IFERROR(__xludf.DUMMYFUNCTION("""COMPUTED_VALUE"""),48.25)</f>
        <v>48.25</v>
      </c>
      <c r="L285" s="1">
        <f ca="1">IFERROR(__xludf.DUMMYFUNCTION("""COMPUTED_VALUE"""),491.23)</f>
        <v>491.23</v>
      </c>
      <c r="M285" s="1">
        <f ca="1">IFERROR(__xludf.DUMMYFUNCTION("""COMPUTED_VALUE"""),551.34)</f>
        <v>551.34</v>
      </c>
    </row>
    <row r="286" spans="1:13" x14ac:dyDescent="0.25">
      <c r="A286" s="2">
        <f ca="1">IFERROR(__xludf.DUMMYFUNCTION("""COMPUTED_VALUE"""),44246.6666666666)</f>
        <v>44246.666666666599</v>
      </c>
      <c r="B286" s="1">
        <f ca="1">IFERROR(__xludf.DUMMYFUNCTION("""COMPUTED_VALUE"""),129.87)</f>
        <v>129.87</v>
      </c>
      <c r="C286" s="1">
        <f ca="1">IFERROR(__xludf.DUMMYFUNCTION("""COMPUTED_VALUE"""),243.79)</f>
        <v>243.79</v>
      </c>
      <c r="D286" s="1">
        <f ca="1">IFERROR(__xludf.DUMMYFUNCTION("""COMPUTED_VALUE"""),166.41)</f>
        <v>166.41</v>
      </c>
      <c r="E286" s="1">
        <f ca="1">IFERROR(__xludf.DUMMYFUNCTION("""COMPUTED_VALUE"""),14.83)</f>
        <v>14.83</v>
      </c>
      <c r="F286" s="1">
        <f ca="1">IFERROR(__xludf.DUMMYFUNCTION("""COMPUTED_VALUE"""),269.39)</f>
        <v>269.39</v>
      </c>
      <c r="G286" s="1">
        <f ca="1">IFERROR(__xludf.DUMMYFUNCTION("""COMPUTED_VALUE"""),105.86)</f>
        <v>105.86</v>
      </c>
      <c r="H286" s="1">
        <f ca="1">IFERROR(__xludf.DUMMYFUNCTION("""COMPUTED_VALUE"""),262.46)</f>
        <v>262.45999999999998</v>
      </c>
      <c r="I286" s="1">
        <f ca="1">IFERROR(__xludf.DUMMYFUNCTION("""COMPUTED_VALUE"""),135.37)</f>
        <v>135.37</v>
      </c>
      <c r="J286" s="1">
        <f ca="1">IFERROR(__xludf.DUMMYFUNCTION("""COMPUTED_VALUE"""),356.92)</f>
        <v>356.92</v>
      </c>
      <c r="K286" s="1">
        <f ca="1">IFERROR(__xludf.DUMMYFUNCTION("""COMPUTED_VALUE"""),48.33)</f>
        <v>48.33</v>
      </c>
      <c r="L286" s="1">
        <f ca="1">IFERROR(__xludf.DUMMYFUNCTION("""COMPUTED_VALUE"""),488.37)</f>
        <v>488.37</v>
      </c>
      <c r="M286" s="1">
        <f ca="1">IFERROR(__xludf.DUMMYFUNCTION("""COMPUTED_VALUE"""),548.22)</f>
        <v>548.22</v>
      </c>
    </row>
    <row r="287" spans="1:13" x14ac:dyDescent="0.25">
      <c r="A287" s="2">
        <f ca="1">IFERROR(__xludf.DUMMYFUNCTION("""COMPUTED_VALUE"""),44249.6666666666)</f>
        <v>44249.666666666599</v>
      </c>
      <c r="B287" s="1">
        <f ca="1">IFERROR(__xludf.DUMMYFUNCTION("""COMPUTED_VALUE"""),126)</f>
        <v>126</v>
      </c>
      <c r="C287" s="1">
        <f ca="1">IFERROR(__xludf.DUMMYFUNCTION("""COMPUTED_VALUE"""),240.97)</f>
        <v>240.97</v>
      </c>
      <c r="D287" s="1">
        <f ca="1">IFERROR(__xludf.DUMMYFUNCTION("""COMPUTED_VALUE"""),162.5)</f>
        <v>162.5</v>
      </c>
      <c r="E287" s="1">
        <f ca="1">IFERROR(__xludf.DUMMYFUNCTION("""COMPUTED_VALUE"""),14.93)</f>
        <v>14.93</v>
      </c>
      <c r="F287" s="1">
        <f ca="1">IFERROR(__xludf.DUMMYFUNCTION("""COMPUTED_VALUE"""),261.56)</f>
        <v>261.56</v>
      </c>
      <c r="G287" s="1">
        <f ca="1">IFERROR(__xludf.DUMMYFUNCTION("""COMPUTED_VALUE"""),105.06)</f>
        <v>105.06</v>
      </c>
      <c r="H287" s="1">
        <f ca="1">IFERROR(__xludf.DUMMYFUNCTION("""COMPUTED_VALUE"""),260.43)</f>
        <v>260.43</v>
      </c>
      <c r="I287" s="1">
        <f ca="1">IFERROR(__xludf.DUMMYFUNCTION("""COMPUTED_VALUE"""),132.51)</f>
        <v>132.51</v>
      </c>
      <c r="J287" s="1">
        <f ca="1">IFERROR(__xludf.DUMMYFUNCTION("""COMPUTED_VALUE"""),354.77)</f>
        <v>354.77</v>
      </c>
      <c r="K287" s="1">
        <f ca="1">IFERROR(__xludf.DUMMYFUNCTION("""COMPUTED_VALUE"""),49)</f>
        <v>49</v>
      </c>
      <c r="L287" s="1">
        <f ca="1">IFERROR(__xludf.DUMMYFUNCTION("""COMPUTED_VALUE"""),479.12)</f>
        <v>479.12</v>
      </c>
      <c r="M287" s="1">
        <f ca="1">IFERROR(__xludf.DUMMYFUNCTION("""COMPUTED_VALUE"""),540.22)</f>
        <v>540.22</v>
      </c>
    </row>
    <row r="288" spans="1:13" x14ac:dyDescent="0.25">
      <c r="A288" s="2">
        <f ca="1">IFERROR(__xludf.DUMMYFUNCTION("""COMPUTED_VALUE"""),44250.6666666666)</f>
        <v>44250.666666666599</v>
      </c>
      <c r="B288" s="1">
        <f ca="1">IFERROR(__xludf.DUMMYFUNCTION("""COMPUTED_VALUE"""),125.86)</f>
        <v>125.86</v>
      </c>
      <c r="C288" s="1">
        <f ca="1">IFERROR(__xludf.DUMMYFUNCTION("""COMPUTED_VALUE"""),234.51)</f>
        <v>234.51</v>
      </c>
      <c r="D288" s="1">
        <f ca="1">IFERROR(__xludf.DUMMYFUNCTION("""COMPUTED_VALUE"""),159.04)</f>
        <v>159.04</v>
      </c>
      <c r="E288" s="1">
        <f ca="1">IFERROR(__xludf.DUMMYFUNCTION("""COMPUTED_VALUE"""),14.36)</f>
        <v>14.36</v>
      </c>
      <c r="F288" s="1">
        <f ca="1">IFERROR(__xludf.DUMMYFUNCTION("""COMPUTED_VALUE"""),260.33)</f>
        <v>260.33</v>
      </c>
      <c r="G288" s="1">
        <f ca="1">IFERROR(__xludf.DUMMYFUNCTION("""COMPUTED_VALUE"""),103.24)</f>
        <v>103.24</v>
      </c>
      <c r="H288" s="1">
        <f ca="1">IFERROR(__xludf.DUMMYFUNCTION("""COMPUTED_VALUE"""),238.17)</f>
        <v>238.17</v>
      </c>
      <c r="I288" s="1">
        <f ca="1">IFERROR(__xludf.DUMMYFUNCTION("""COMPUTED_VALUE"""),131.99)</f>
        <v>131.99</v>
      </c>
      <c r="J288" s="1">
        <f ca="1">IFERROR(__xludf.DUMMYFUNCTION("""COMPUTED_VALUE"""),350.21)</f>
        <v>350.21</v>
      </c>
      <c r="K288" s="1">
        <f ca="1">IFERROR(__xludf.DUMMYFUNCTION("""COMPUTED_VALUE"""),47.64)</f>
        <v>47.64</v>
      </c>
      <c r="L288" s="1">
        <f ca="1">IFERROR(__xludf.DUMMYFUNCTION("""COMPUTED_VALUE"""),467.33)</f>
        <v>467.33</v>
      </c>
      <c r="M288" s="1">
        <f ca="1">IFERROR(__xludf.DUMMYFUNCTION("""COMPUTED_VALUE"""),533.78)</f>
        <v>533.78</v>
      </c>
    </row>
    <row r="289" spans="1:13" x14ac:dyDescent="0.25">
      <c r="A289" s="2">
        <f ca="1">IFERROR(__xludf.DUMMYFUNCTION("""COMPUTED_VALUE"""),44251.6666666666)</f>
        <v>44251.666666666599</v>
      </c>
      <c r="B289" s="1">
        <f ca="1">IFERROR(__xludf.DUMMYFUNCTION("""COMPUTED_VALUE"""),125.35)</f>
        <v>125.35</v>
      </c>
      <c r="C289" s="1">
        <f ca="1">IFERROR(__xludf.DUMMYFUNCTION("""COMPUTED_VALUE"""),233.27)</f>
        <v>233.27</v>
      </c>
      <c r="D289" s="1">
        <f ca="1">IFERROR(__xludf.DUMMYFUNCTION("""COMPUTED_VALUE"""),159.73)</f>
        <v>159.72999999999999</v>
      </c>
      <c r="E289" s="1">
        <f ca="1">IFERROR(__xludf.DUMMYFUNCTION("""COMPUTED_VALUE"""),14.14)</f>
        <v>14.14</v>
      </c>
      <c r="F289" s="1">
        <f ca="1">IFERROR(__xludf.DUMMYFUNCTION("""COMPUTED_VALUE"""),265.86)</f>
        <v>265.86</v>
      </c>
      <c r="G289" s="1">
        <f ca="1">IFERROR(__xludf.DUMMYFUNCTION("""COMPUTED_VALUE"""),103.54)</f>
        <v>103.54</v>
      </c>
      <c r="H289" s="1">
        <f ca="1">IFERROR(__xludf.DUMMYFUNCTION("""COMPUTED_VALUE"""),232.95)</f>
        <v>232.95</v>
      </c>
      <c r="I289" s="1">
        <f ca="1">IFERROR(__xludf.DUMMYFUNCTION("""COMPUTED_VALUE"""),132.78)</f>
        <v>132.78</v>
      </c>
      <c r="J289" s="1">
        <f ca="1">IFERROR(__xludf.DUMMYFUNCTION("""COMPUTED_VALUE"""),342.15)</f>
        <v>342.15</v>
      </c>
      <c r="K289" s="1">
        <f ca="1">IFERROR(__xludf.DUMMYFUNCTION("""COMPUTED_VALUE"""),47.19)</f>
        <v>47.19</v>
      </c>
      <c r="L289" s="1">
        <f ca="1">IFERROR(__xludf.DUMMYFUNCTION("""COMPUTED_VALUE"""),467.8)</f>
        <v>467.8</v>
      </c>
      <c r="M289" s="1">
        <f ca="1">IFERROR(__xludf.DUMMYFUNCTION("""COMPUTED_VALUE"""),546.15)</f>
        <v>546.15</v>
      </c>
    </row>
    <row r="290" spans="1:13" x14ac:dyDescent="0.25">
      <c r="A290" s="2">
        <f ca="1">IFERROR(__xludf.DUMMYFUNCTION("""COMPUTED_VALUE"""),44252.6666666666)</f>
        <v>44252.666666666599</v>
      </c>
      <c r="B290" s="1">
        <f ca="1">IFERROR(__xludf.DUMMYFUNCTION("""COMPUTED_VALUE"""),120.99)</f>
        <v>120.99</v>
      </c>
      <c r="C290" s="1">
        <f ca="1">IFERROR(__xludf.DUMMYFUNCTION("""COMPUTED_VALUE"""),234.55)</f>
        <v>234.55</v>
      </c>
      <c r="D290" s="1">
        <f ca="1">IFERROR(__xludf.DUMMYFUNCTION("""COMPUTED_VALUE"""),157.98)</f>
        <v>157.97999999999999</v>
      </c>
      <c r="E290" s="1">
        <f ca="1">IFERROR(__xludf.DUMMYFUNCTION("""COMPUTED_VALUE"""),14.5)</f>
        <v>14.5</v>
      </c>
      <c r="F290" s="1">
        <f ca="1">IFERROR(__xludf.DUMMYFUNCTION("""COMPUTED_VALUE"""),264.31)</f>
        <v>264.31</v>
      </c>
      <c r="G290" s="1">
        <f ca="1">IFERROR(__xludf.DUMMYFUNCTION("""COMPUTED_VALUE"""),104.76)</f>
        <v>104.76</v>
      </c>
      <c r="H290" s="1">
        <f ca="1">IFERROR(__xludf.DUMMYFUNCTION("""COMPUTED_VALUE"""),247.34)</f>
        <v>247.34</v>
      </c>
      <c r="I290" s="1">
        <f ca="1">IFERROR(__xludf.DUMMYFUNCTION("""COMPUTED_VALUE"""),132.09)</f>
        <v>132.09</v>
      </c>
      <c r="J290" s="1">
        <f ca="1">IFERROR(__xludf.DUMMYFUNCTION("""COMPUTED_VALUE"""),340.7)</f>
        <v>340.7</v>
      </c>
      <c r="K290" s="1">
        <f ca="1">IFERROR(__xludf.DUMMYFUNCTION("""COMPUTED_VALUE"""),48.09)</f>
        <v>48.09</v>
      </c>
      <c r="L290" s="1">
        <f ca="1">IFERROR(__xludf.DUMMYFUNCTION("""COMPUTED_VALUE"""),476.62)</f>
        <v>476.62</v>
      </c>
      <c r="M290" s="1">
        <f ca="1">IFERROR(__xludf.DUMMYFUNCTION("""COMPUTED_VALUE"""),553.41)</f>
        <v>553.41</v>
      </c>
    </row>
    <row r="291" spans="1:13" x14ac:dyDescent="0.25">
      <c r="A291" s="2">
        <f ca="1">IFERROR(__xludf.DUMMYFUNCTION("""COMPUTED_VALUE"""),44253.6666666666)</f>
        <v>44253.666666666599</v>
      </c>
      <c r="B291" s="1">
        <f ca="1">IFERROR(__xludf.DUMMYFUNCTION("""COMPUTED_VALUE"""),121.26)</f>
        <v>121.26</v>
      </c>
      <c r="C291" s="1">
        <f ca="1">IFERROR(__xludf.DUMMYFUNCTION("""COMPUTED_VALUE"""),228.99)</f>
        <v>228.99</v>
      </c>
      <c r="D291" s="1">
        <f ca="1">IFERROR(__xludf.DUMMYFUNCTION("""COMPUTED_VALUE"""),152.86)</f>
        <v>152.86000000000001</v>
      </c>
      <c r="E291" s="1">
        <f ca="1">IFERROR(__xludf.DUMMYFUNCTION("""COMPUTED_VALUE"""),13.31)</f>
        <v>13.31</v>
      </c>
      <c r="F291" s="1">
        <f ca="1">IFERROR(__xludf.DUMMYFUNCTION("""COMPUTED_VALUE"""),254.69)</f>
        <v>254.69</v>
      </c>
      <c r="G291" s="1">
        <f ca="1">IFERROR(__xludf.DUMMYFUNCTION("""COMPUTED_VALUE"""),101.57)</f>
        <v>101.57</v>
      </c>
      <c r="H291" s="1">
        <f ca="1">IFERROR(__xludf.DUMMYFUNCTION("""COMPUTED_VALUE"""),227.41)</f>
        <v>227.41</v>
      </c>
      <c r="I291" s="1">
        <f ca="1">IFERROR(__xludf.DUMMYFUNCTION("""COMPUTED_VALUE"""),130)</f>
        <v>130</v>
      </c>
      <c r="J291" s="1">
        <f ca="1">IFERROR(__xludf.DUMMYFUNCTION("""COMPUTED_VALUE"""),333.9)</f>
        <v>333.9</v>
      </c>
      <c r="K291" s="1">
        <f ca="1">IFERROR(__xludf.DUMMYFUNCTION("""COMPUTED_VALUE"""),45.72)</f>
        <v>45.72</v>
      </c>
      <c r="L291" s="1">
        <f ca="1">IFERROR(__xludf.DUMMYFUNCTION("""COMPUTED_VALUE"""),459.16)</f>
        <v>459.16</v>
      </c>
      <c r="M291" s="1">
        <f ca="1">IFERROR(__xludf.DUMMYFUNCTION("""COMPUTED_VALUE"""),546.7)</f>
        <v>546.70000000000005</v>
      </c>
    </row>
    <row r="292" spans="1:13" x14ac:dyDescent="0.25">
      <c r="A292" s="2">
        <f ca="1">IFERROR(__xludf.DUMMYFUNCTION("""COMPUTED_VALUE"""),44256.6666666666)</f>
        <v>44256.666666666599</v>
      </c>
      <c r="B292" s="1">
        <f ca="1">IFERROR(__xludf.DUMMYFUNCTION("""COMPUTED_VALUE"""),127.79)</f>
        <v>127.79</v>
      </c>
      <c r="C292" s="1">
        <f ca="1">IFERROR(__xludf.DUMMYFUNCTION("""COMPUTED_VALUE"""),232.38)</f>
        <v>232.38</v>
      </c>
      <c r="D292" s="1">
        <f ca="1">IFERROR(__xludf.DUMMYFUNCTION("""COMPUTED_VALUE"""),154.65)</f>
        <v>154.65</v>
      </c>
      <c r="E292" s="1">
        <f ca="1">IFERROR(__xludf.DUMMYFUNCTION("""COMPUTED_VALUE"""),13.71)</f>
        <v>13.71</v>
      </c>
      <c r="F292" s="1">
        <f ca="1">IFERROR(__xludf.DUMMYFUNCTION("""COMPUTED_VALUE"""),257.62)</f>
        <v>257.62</v>
      </c>
      <c r="G292" s="1">
        <f ca="1">IFERROR(__xludf.DUMMYFUNCTION("""COMPUTED_VALUE"""),101.84)</f>
        <v>101.84</v>
      </c>
      <c r="H292" s="1">
        <f ca="1">IFERROR(__xludf.DUMMYFUNCTION("""COMPUTED_VALUE"""),225.17)</f>
        <v>225.17</v>
      </c>
      <c r="I292" s="1">
        <f ca="1">IFERROR(__xludf.DUMMYFUNCTION("""COMPUTED_VALUE"""),129.19)</f>
        <v>129.19</v>
      </c>
      <c r="J292" s="1">
        <f ca="1">IFERROR(__xludf.DUMMYFUNCTION("""COMPUTED_VALUE"""),331)</f>
        <v>331</v>
      </c>
      <c r="K292" s="1">
        <f ca="1">IFERROR(__xludf.DUMMYFUNCTION("""COMPUTED_VALUE"""),46.99)</f>
        <v>46.99</v>
      </c>
      <c r="L292" s="1">
        <f ca="1">IFERROR(__xludf.DUMMYFUNCTION("""COMPUTED_VALUE"""),459.67)</f>
        <v>459.67</v>
      </c>
      <c r="M292" s="1">
        <f ca="1">IFERROR(__xludf.DUMMYFUNCTION("""COMPUTED_VALUE"""),538.85)</f>
        <v>538.85</v>
      </c>
    </row>
    <row r="293" spans="1:13" x14ac:dyDescent="0.25">
      <c r="A293" s="2">
        <f ca="1">IFERROR(__xludf.DUMMYFUNCTION("""COMPUTED_VALUE"""),44257.6666666666)</f>
        <v>44257.666666666599</v>
      </c>
      <c r="B293" s="1">
        <f ca="1">IFERROR(__xludf.DUMMYFUNCTION("""COMPUTED_VALUE"""),125.12)</f>
        <v>125.12</v>
      </c>
      <c r="C293" s="1">
        <f ca="1">IFERROR(__xludf.DUMMYFUNCTION("""COMPUTED_VALUE"""),236.94)</f>
        <v>236.94</v>
      </c>
      <c r="D293" s="1">
        <f ca="1">IFERROR(__xludf.DUMMYFUNCTION("""COMPUTED_VALUE"""),157.31)</f>
        <v>157.31</v>
      </c>
      <c r="E293" s="1">
        <f ca="1">IFERROR(__xludf.DUMMYFUNCTION("""COMPUTED_VALUE"""),13.84)</f>
        <v>13.84</v>
      </c>
      <c r="F293" s="1">
        <f ca="1">IFERROR(__xludf.DUMMYFUNCTION("""COMPUTED_VALUE"""),264.91)</f>
        <v>264.91000000000003</v>
      </c>
      <c r="G293" s="1">
        <f ca="1">IFERROR(__xludf.DUMMYFUNCTION("""COMPUTED_VALUE"""),104.08)</f>
        <v>104.08</v>
      </c>
      <c r="H293" s="1">
        <f ca="1">IFERROR(__xludf.DUMMYFUNCTION("""COMPUTED_VALUE"""),239.48)</f>
        <v>239.48</v>
      </c>
      <c r="I293" s="1">
        <f ca="1">IFERROR(__xludf.DUMMYFUNCTION("""COMPUTED_VALUE"""),130.62)</f>
        <v>130.62</v>
      </c>
      <c r="J293" s="1">
        <f ca="1">IFERROR(__xludf.DUMMYFUNCTION("""COMPUTED_VALUE"""),331.77)</f>
        <v>331.77</v>
      </c>
      <c r="K293" s="1">
        <f ca="1">IFERROR(__xludf.DUMMYFUNCTION("""COMPUTED_VALUE"""),48.96)</f>
        <v>48.96</v>
      </c>
      <c r="L293" s="1">
        <f ca="1">IFERROR(__xludf.DUMMYFUNCTION("""COMPUTED_VALUE"""),469.57)</f>
        <v>469.57</v>
      </c>
      <c r="M293" s="1">
        <f ca="1">IFERROR(__xludf.DUMMYFUNCTION("""COMPUTED_VALUE"""),550.64)</f>
        <v>550.64</v>
      </c>
    </row>
    <row r="294" spans="1:13" x14ac:dyDescent="0.25">
      <c r="A294" s="2">
        <f ca="1">IFERROR(__xludf.DUMMYFUNCTION("""COMPUTED_VALUE"""),44258.6666666666)</f>
        <v>44258.666666666599</v>
      </c>
      <c r="B294" s="1">
        <f ca="1">IFERROR(__xludf.DUMMYFUNCTION("""COMPUTED_VALUE"""),122.06)</f>
        <v>122.06</v>
      </c>
      <c r="C294" s="1">
        <f ca="1">IFERROR(__xludf.DUMMYFUNCTION("""COMPUTED_VALUE"""),233.87)</f>
        <v>233.87</v>
      </c>
      <c r="D294" s="1">
        <f ca="1">IFERROR(__xludf.DUMMYFUNCTION("""COMPUTED_VALUE"""),154.73)</f>
        <v>154.72999999999999</v>
      </c>
      <c r="E294" s="1">
        <f ca="1">IFERROR(__xludf.DUMMYFUNCTION("""COMPUTED_VALUE"""),13.41)</f>
        <v>13.41</v>
      </c>
      <c r="F294" s="1">
        <f ca="1">IFERROR(__xludf.DUMMYFUNCTION("""COMPUTED_VALUE"""),259)</f>
        <v>259</v>
      </c>
      <c r="G294" s="1">
        <f ca="1">IFERROR(__xludf.DUMMYFUNCTION("""COMPUTED_VALUE"""),103.79)</f>
        <v>103.79</v>
      </c>
      <c r="H294" s="1">
        <f ca="1">IFERROR(__xludf.DUMMYFUNCTION("""COMPUTED_VALUE"""),228.81)</f>
        <v>228.81</v>
      </c>
      <c r="I294" s="1">
        <f ca="1">IFERROR(__xludf.DUMMYFUNCTION("""COMPUTED_VALUE"""),131.07)</f>
        <v>131.07</v>
      </c>
      <c r="J294" s="1">
        <f ca="1">IFERROR(__xludf.DUMMYFUNCTION("""COMPUTED_VALUE"""),328.46)</f>
        <v>328.46</v>
      </c>
      <c r="K294" s="1">
        <f ca="1">IFERROR(__xludf.DUMMYFUNCTION("""COMPUTED_VALUE"""),48.05)</f>
        <v>48.05</v>
      </c>
      <c r="L294" s="1">
        <f ca="1">IFERROR(__xludf.DUMMYFUNCTION("""COMPUTED_VALUE"""),466.59)</f>
        <v>466.59</v>
      </c>
      <c r="M294" s="1">
        <f ca="1">IFERROR(__xludf.DUMMYFUNCTION("""COMPUTED_VALUE"""),547.82)</f>
        <v>547.82000000000005</v>
      </c>
    </row>
    <row r="295" spans="1:13" x14ac:dyDescent="0.25">
      <c r="A295" s="2">
        <f ca="1">IFERROR(__xludf.DUMMYFUNCTION("""COMPUTED_VALUE"""),44259.6666666666)</f>
        <v>44259.666666666599</v>
      </c>
      <c r="B295" s="1">
        <f ca="1">IFERROR(__xludf.DUMMYFUNCTION("""COMPUTED_VALUE"""),120.13)</f>
        <v>120.13</v>
      </c>
      <c r="C295" s="1">
        <f ca="1">IFERROR(__xludf.DUMMYFUNCTION("""COMPUTED_VALUE"""),227.56)</f>
        <v>227.56</v>
      </c>
      <c r="D295" s="1">
        <f ca="1">IFERROR(__xludf.DUMMYFUNCTION("""COMPUTED_VALUE"""),150.25)</f>
        <v>150.25</v>
      </c>
      <c r="E295" s="1">
        <f ca="1">IFERROR(__xludf.DUMMYFUNCTION("""COMPUTED_VALUE"""),12.8)</f>
        <v>12.8</v>
      </c>
      <c r="F295" s="1">
        <f ca="1">IFERROR(__xludf.DUMMYFUNCTION("""COMPUTED_VALUE"""),255.41)</f>
        <v>255.41</v>
      </c>
      <c r="G295" s="1">
        <f ca="1">IFERROR(__xludf.DUMMYFUNCTION("""COMPUTED_VALUE"""),101.34)</f>
        <v>101.34</v>
      </c>
      <c r="H295" s="1">
        <f ca="1">IFERROR(__xludf.DUMMYFUNCTION("""COMPUTED_VALUE"""),217.73)</f>
        <v>217.73</v>
      </c>
      <c r="I295" s="1">
        <f ca="1">IFERROR(__xludf.DUMMYFUNCTION("""COMPUTED_VALUE"""),129.14)</f>
        <v>129.13999999999999</v>
      </c>
      <c r="J295" s="1">
        <f ca="1">IFERROR(__xludf.DUMMYFUNCTION("""COMPUTED_VALUE"""),323.92)</f>
        <v>323.92</v>
      </c>
      <c r="K295" s="1">
        <f ca="1">IFERROR(__xludf.DUMMYFUNCTION("""COMPUTED_VALUE"""),46.31)</f>
        <v>46.31</v>
      </c>
      <c r="L295" s="1">
        <f ca="1">IFERROR(__xludf.DUMMYFUNCTION("""COMPUTED_VALUE"""),448.45)</f>
        <v>448.45</v>
      </c>
      <c r="M295" s="1">
        <f ca="1">IFERROR(__xludf.DUMMYFUNCTION("""COMPUTED_VALUE"""),520.7)</f>
        <v>520.70000000000005</v>
      </c>
    </row>
    <row r="296" spans="1:13" x14ac:dyDescent="0.25">
      <c r="A296" s="2">
        <f ca="1">IFERROR(__xludf.DUMMYFUNCTION("""COMPUTED_VALUE"""),44260.6666666666)</f>
        <v>44260.666666666599</v>
      </c>
      <c r="B296" s="1">
        <f ca="1">IFERROR(__xludf.DUMMYFUNCTION("""COMPUTED_VALUE"""),121.42)</f>
        <v>121.42</v>
      </c>
      <c r="C296" s="1">
        <f ca="1">IFERROR(__xludf.DUMMYFUNCTION("""COMPUTED_VALUE"""),226.73)</f>
        <v>226.73</v>
      </c>
      <c r="D296" s="1">
        <f ca="1">IFERROR(__xludf.DUMMYFUNCTION("""COMPUTED_VALUE"""),148.88)</f>
        <v>148.88</v>
      </c>
      <c r="E296" s="1">
        <f ca="1">IFERROR(__xludf.DUMMYFUNCTION("""COMPUTED_VALUE"""),12.37)</f>
        <v>12.37</v>
      </c>
      <c r="F296" s="1">
        <f ca="1">IFERROR(__xludf.DUMMYFUNCTION("""COMPUTED_VALUE"""),257.64)</f>
        <v>257.64</v>
      </c>
      <c r="G296" s="1">
        <f ca="1">IFERROR(__xludf.DUMMYFUNCTION("""COMPUTED_VALUE"""),102.45)</f>
        <v>102.45</v>
      </c>
      <c r="H296" s="1">
        <f ca="1">IFERROR(__xludf.DUMMYFUNCTION("""COMPUTED_VALUE"""),207.15)</f>
        <v>207.15</v>
      </c>
      <c r="I296" s="1">
        <f ca="1">IFERROR(__xludf.DUMMYFUNCTION("""COMPUTED_VALUE"""),128.83)</f>
        <v>128.83000000000001</v>
      </c>
      <c r="J296" s="1">
        <f ca="1">IFERROR(__xludf.DUMMYFUNCTION("""COMPUTED_VALUE"""),319.04)</f>
        <v>319.04000000000002</v>
      </c>
      <c r="K296" s="1">
        <f ca="1">IFERROR(__xludf.DUMMYFUNCTION("""COMPUTED_VALUE"""),44.36)</f>
        <v>44.36</v>
      </c>
      <c r="L296" s="1">
        <f ca="1">IFERROR(__xludf.DUMMYFUNCTION("""COMPUTED_VALUE"""),439.06)</f>
        <v>439.06</v>
      </c>
      <c r="M296" s="1">
        <f ca="1">IFERROR(__xludf.DUMMYFUNCTION("""COMPUTED_VALUE"""),511.29)</f>
        <v>511.29</v>
      </c>
    </row>
    <row r="297" spans="1:13" x14ac:dyDescent="0.25">
      <c r="A297" s="2">
        <f ca="1">IFERROR(__xludf.DUMMYFUNCTION("""COMPUTED_VALUE"""),44263.6666666666)</f>
        <v>44263.666666666599</v>
      </c>
      <c r="B297" s="1">
        <f ca="1">IFERROR(__xludf.DUMMYFUNCTION("""COMPUTED_VALUE"""),116.36)</f>
        <v>116.36</v>
      </c>
      <c r="C297" s="1">
        <f ca="1">IFERROR(__xludf.DUMMYFUNCTION("""COMPUTED_VALUE"""),231.6)</f>
        <v>231.6</v>
      </c>
      <c r="D297" s="1">
        <f ca="1">IFERROR(__xludf.DUMMYFUNCTION("""COMPUTED_VALUE"""),150.02)</f>
        <v>150.02000000000001</v>
      </c>
      <c r="E297" s="1">
        <f ca="1">IFERROR(__xludf.DUMMYFUNCTION("""COMPUTED_VALUE"""),12.46)</f>
        <v>12.46</v>
      </c>
      <c r="F297" s="1">
        <f ca="1">IFERROR(__xludf.DUMMYFUNCTION("""COMPUTED_VALUE"""),264.28)</f>
        <v>264.27999999999997</v>
      </c>
      <c r="G297" s="1">
        <f ca="1">IFERROR(__xludf.DUMMYFUNCTION("""COMPUTED_VALUE"""),105.43)</f>
        <v>105.43</v>
      </c>
      <c r="H297" s="1">
        <f ca="1">IFERROR(__xludf.DUMMYFUNCTION("""COMPUTED_VALUE"""),199.32)</f>
        <v>199.32</v>
      </c>
      <c r="I297" s="1">
        <f ca="1">IFERROR(__xludf.DUMMYFUNCTION("""COMPUTED_VALUE"""),133.03)</f>
        <v>133.03</v>
      </c>
      <c r="J297" s="1">
        <f ca="1">IFERROR(__xludf.DUMMYFUNCTION("""COMPUTED_VALUE"""),317.32)</f>
        <v>317.32</v>
      </c>
      <c r="K297" s="1">
        <f ca="1">IFERROR(__xludf.DUMMYFUNCTION("""COMPUTED_VALUE"""),45.01)</f>
        <v>45.01</v>
      </c>
      <c r="L297" s="1">
        <f ca="1">IFERROR(__xludf.DUMMYFUNCTION("""COMPUTED_VALUE"""),440.83)</f>
        <v>440.83</v>
      </c>
      <c r="M297" s="1">
        <f ca="1">IFERROR(__xludf.DUMMYFUNCTION("""COMPUTED_VALUE"""),516.39)</f>
        <v>516.39</v>
      </c>
    </row>
    <row r="298" spans="1:13" x14ac:dyDescent="0.25">
      <c r="A298" s="2">
        <f ca="1">IFERROR(__xludf.DUMMYFUNCTION("""COMPUTED_VALUE"""),44264.6666666666)</f>
        <v>44264.666666666599</v>
      </c>
      <c r="B298" s="1">
        <f ca="1">IFERROR(__xludf.DUMMYFUNCTION("""COMPUTED_VALUE"""),121.09)</f>
        <v>121.09</v>
      </c>
      <c r="C298" s="1">
        <f ca="1">IFERROR(__xludf.DUMMYFUNCTION("""COMPUTED_VALUE"""),227.39)</f>
        <v>227.39</v>
      </c>
      <c r="D298" s="1">
        <f ca="1">IFERROR(__xludf.DUMMYFUNCTION("""COMPUTED_VALUE"""),147.6)</f>
        <v>147.6</v>
      </c>
      <c r="E298" s="1">
        <f ca="1">IFERROR(__xludf.DUMMYFUNCTION("""COMPUTED_VALUE"""),11.59)</f>
        <v>11.59</v>
      </c>
      <c r="F298" s="1">
        <f ca="1">IFERROR(__xludf.DUMMYFUNCTION("""COMPUTED_VALUE"""),255.31)</f>
        <v>255.31</v>
      </c>
      <c r="G298" s="1">
        <f ca="1">IFERROR(__xludf.DUMMYFUNCTION("""COMPUTED_VALUE"""),101.21)</f>
        <v>101.21</v>
      </c>
      <c r="H298" s="1">
        <f ca="1">IFERROR(__xludf.DUMMYFUNCTION("""COMPUTED_VALUE"""),187.67)</f>
        <v>187.67</v>
      </c>
      <c r="I298" s="1">
        <f ca="1">IFERROR(__xludf.DUMMYFUNCTION("""COMPUTED_VALUE"""),132.13)</f>
        <v>132.13</v>
      </c>
      <c r="J298" s="1">
        <f ca="1">IFERROR(__xludf.DUMMYFUNCTION("""COMPUTED_VALUE"""),311.42)</f>
        <v>311.42</v>
      </c>
      <c r="K298" s="1">
        <f ca="1">IFERROR(__xludf.DUMMYFUNCTION("""COMPUTED_VALUE"""),42.13)</f>
        <v>42.13</v>
      </c>
      <c r="L298" s="1">
        <f ca="1">IFERROR(__xludf.DUMMYFUNCTION("""COMPUTED_VALUE"""),421.2)</f>
        <v>421.2</v>
      </c>
      <c r="M298" s="1">
        <f ca="1">IFERROR(__xludf.DUMMYFUNCTION("""COMPUTED_VALUE"""),493.33)</f>
        <v>493.33</v>
      </c>
    </row>
    <row r="299" spans="1:13" x14ac:dyDescent="0.25">
      <c r="A299" s="2">
        <f ca="1">IFERROR(__xludf.DUMMYFUNCTION("""COMPUTED_VALUE"""),44265.6666666666)</f>
        <v>44265.666666666599</v>
      </c>
      <c r="B299" s="1">
        <f ca="1">IFERROR(__xludf.DUMMYFUNCTION("""COMPUTED_VALUE"""),119.98)</f>
        <v>119.98</v>
      </c>
      <c r="C299" s="1">
        <f ca="1">IFERROR(__xludf.DUMMYFUNCTION("""COMPUTED_VALUE"""),233.78)</f>
        <v>233.78</v>
      </c>
      <c r="D299" s="1">
        <f ca="1">IFERROR(__xludf.DUMMYFUNCTION("""COMPUTED_VALUE"""),153.14)</f>
        <v>153.13999999999999</v>
      </c>
      <c r="E299" s="1">
        <f ca="1">IFERROR(__xludf.DUMMYFUNCTION("""COMPUTED_VALUE"""),12.52)</f>
        <v>12.52</v>
      </c>
      <c r="F299" s="1">
        <f ca="1">IFERROR(__xludf.DUMMYFUNCTION("""COMPUTED_VALUE"""),265.74)</f>
        <v>265.74</v>
      </c>
      <c r="G299" s="1">
        <f ca="1">IFERROR(__xludf.DUMMYFUNCTION("""COMPUTED_VALUE"""),102.64)</f>
        <v>102.64</v>
      </c>
      <c r="H299" s="1">
        <f ca="1">IFERROR(__xludf.DUMMYFUNCTION("""COMPUTED_VALUE"""),224.53)</f>
        <v>224.53</v>
      </c>
      <c r="I299" s="1">
        <f ca="1">IFERROR(__xludf.DUMMYFUNCTION("""COMPUTED_VALUE"""),132.25)</f>
        <v>132.25</v>
      </c>
      <c r="J299" s="1">
        <f ca="1">IFERROR(__xludf.DUMMYFUNCTION("""COMPUTED_VALUE"""),318.78)</f>
        <v>318.77999999999997</v>
      </c>
      <c r="K299" s="1">
        <f ca="1">IFERROR(__xludf.DUMMYFUNCTION("""COMPUTED_VALUE"""),44.36)</f>
        <v>44.36</v>
      </c>
      <c r="L299" s="1">
        <f ca="1">IFERROR(__xludf.DUMMYFUNCTION("""COMPUTED_VALUE"""),439.18)</f>
        <v>439.18</v>
      </c>
      <c r="M299" s="1">
        <f ca="1">IFERROR(__xludf.DUMMYFUNCTION("""COMPUTED_VALUE"""),506.44)</f>
        <v>506.44</v>
      </c>
    </row>
    <row r="300" spans="1:13" x14ac:dyDescent="0.25">
      <c r="A300" s="2">
        <f ca="1">IFERROR(__xludf.DUMMYFUNCTION("""COMPUTED_VALUE"""),44266.6666666666)</f>
        <v>44266.666666666599</v>
      </c>
      <c r="B300" s="1">
        <f ca="1">IFERROR(__xludf.DUMMYFUNCTION("""COMPUTED_VALUE"""),121.96)</f>
        <v>121.96</v>
      </c>
      <c r="C300" s="1">
        <f ca="1">IFERROR(__xludf.DUMMYFUNCTION("""COMPUTED_VALUE"""),232.42)</f>
        <v>232.42</v>
      </c>
      <c r="D300" s="1">
        <f ca="1">IFERROR(__xludf.DUMMYFUNCTION("""COMPUTED_VALUE"""),152.88)</f>
        <v>152.88</v>
      </c>
      <c r="E300" s="1">
        <f ca="1">IFERROR(__xludf.DUMMYFUNCTION("""COMPUTED_VALUE"""),12.47)</f>
        <v>12.47</v>
      </c>
      <c r="F300" s="1">
        <f ca="1">IFERROR(__xludf.DUMMYFUNCTION("""COMPUTED_VALUE"""),264.9)</f>
        <v>264.89999999999998</v>
      </c>
      <c r="G300" s="1">
        <f ca="1">IFERROR(__xludf.DUMMYFUNCTION("""COMPUTED_VALUE"""),102.75)</f>
        <v>102.75</v>
      </c>
      <c r="H300" s="1">
        <f ca="1">IFERROR(__xludf.DUMMYFUNCTION("""COMPUTED_VALUE"""),222.69)</f>
        <v>222.69</v>
      </c>
      <c r="I300" s="1">
        <f ca="1">IFERROR(__xludf.DUMMYFUNCTION("""COMPUTED_VALUE"""),133.58)</f>
        <v>133.58000000000001</v>
      </c>
      <c r="J300" s="1">
        <f ca="1">IFERROR(__xludf.DUMMYFUNCTION("""COMPUTED_VALUE"""),323.83)</f>
        <v>323.83</v>
      </c>
      <c r="K300" s="1">
        <f ca="1">IFERROR(__xludf.DUMMYFUNCTION("""COMPUTED_VALUE"""),43.76)</f>
        <v>43.76</v>
      </c>
      <c r="L300" s="1">
        <f ca="1">IFERROR(__xludf.DUMMYFUNCTION("""COMPUTED_VALUE"""),437.01)</f>
        <v>437.01</v>
      </c>
      <c r="M300" s="1">
        <f ca="1">IFERROR(__xludf.DUMMYFUNCTION("""COMPUTED_VALUE"""),504.54)</f>
        <v>504.54</v>
      </c>
    </row>
    <row r="301" spans="1:13" x14ac:dyDescent="0.25">
      <c r="A301" s="2">
        <f ca="1">IFERROR(__xludf.DUMMYFUNCTION("""COMPUTED_VALUE"""),44267.6666666666)</f>
        <v>44267.666666666599</v>
      </c>
      <c r="B301" s="1">
        <f ca="1">IFERROR(__xludf.DUMMYFUNCTION("""COMPUTED_VALUE"""),121.03)</f>
        <v>121.03</v>
      </c>
      <c r="C301" s="1">
        <f ca="1">IFERROR(__xludf.DUMMYFUNCTION("""COMPUTED_VALUE"""),237.13)</f>
        <v>237.13</v>
      </c>
      <c r="D301" s="1">
        <f ca="1">IFERROR(__xludf.DUMMYFUNCTION("""COMPUTED_VALUE"""),155.68)</f>
        <v>155.68</v>
      </c>
      <c r="E301" s="1">
        <f ca="1">IFERROR(__xludf.DUMMYFUNCTION("""COMPUTED_VALUE"""),12.99)</f>
        <v>12.99</v>
      </c>
      <c r="F301" s="1">
        <f ca="1">IFERROR(__xludf.DUMMYFUNCTION("""COMPUTED_VALUE"""),273.88)</f>
        <v>273.88</v>
      </c>
      <c r="G301" s="1">
        <f ca="1">IFERROR(__xludf.DUMMYFUNCTION("""COMPUTED_VALUE"""),105.74)</f>
        <v>105.74</v>
      </c>
      <c r="H301" s="1">
        <f ca="1">IFERROR(__xludf.DUMMYFUNCTION("""COMPUTED_VALUE"""),233.2)</f>
        <v>233.2</v>
      </c>
      <c r="I301" s="1">
        <f ca="1">IFERROR(__xludf.DUMMYFUNCTION("""COMPUTED_VALUE"""),133.22)</f>
        <v>133.22</v>
      </c>
      <c r="J301" s="1">
        <f ca="1">IFERROR(__xludf.DUMMYFUNCTION("""COMPUTED_VALUE"""),328.65)</f>
        <v>328.65</v>
      </c>
      <c r="K301" s="1">
        <f ca="1">IFERROR(__xludf.DUMMYFUNCTION("""COMPUTED_VALUE"""),45.37)</f>
        <v>45.37</v>
      </c>
      <c r="L301" s="1">
        <f ca="1">IFERROR(__xludf.DUMMYFUNCTION("""COMPUTED_VALUE"""),451.06)</f>
        <v>451.06</v>
      </c>
      <c r="M301" s="1">
        <f ca="1">IFERROR(__xludf.DUMMYFUNCTION("""COMPUTED_VALUE"""),523.06)</f>
        <v>523.05999999999995</v>
      </c>
    </row>
    <row r="302" spans="1:13" x14ac:dyDescent="0.25">
      <c r="A302" s="2">
        <f ca="1">IFERROR(__xludf.DUMMYFUNCTION("""COMPUTED_VALUE"""),44270.6666666666)</f>
        <v>44270.666666666599</v>
      </c>
      <c r="B302" s="1">
        <f ca="1">IFERROR(__xludf.DUMMYFUNCTION("""COMPUTED_VALUE"""),123.99)</f>
        <v>123.99</v>
      </c>
      <c r="C302" s="1">
        <f ca="1">IFERROR(__xludf.DUMMYFUNCTION("""COMPUTED_VALUE"""),235.75)</f>
        <v>235.75</v>
      </c>
      <c r="D302" s="1">
        <f ca="1">IFERROR(__xludf.DUMMYFUNCTION("""COMPUTED_VALUE"""),154.47)</f>
        <v>154.47</v>
      </c>
      <c r="E302" s="1">
        <f ca="1">IFERROR(__xludf.DUMMYFUNCTION("""COMPUTED_VALUE"""),12.86)</f>
        <v>12.86</v>
      </c>
      <c r="F302" s="1">
        <f ca="1">IFERROR(__xludf.DUMMYFUNCTION("""COMPUTED_VALUE"""),268.4)</f>
        <v>268.39999999999998</v>
      </c>
      <c r="G302" s="1">
        <f ca="1">IFERROR(__xludf.DUMMYFUNCTION("""COMPUTED_VALUE"""),103.1)</f>
        <v>103.1</v>
      </c>
      <c r="H302" s="1">
        <f ca="1">IFERROR(__xludf.DUMMYFUNCTION("""COMPUTED_VALUE"""),231.24)</f>
        <v>231.24</v>
      </c>
      <c r="I302" s="1">
        <f ca="1">IFERROR(__xludf.DUMMYFUNCTION("""COMPUTED_VALUE"""),133.04)</f>
        <v>133.04</v>
      </c>
      <c r="J302" s="1">
        <f ca="1">IFERROR(__xludf.DUMMYFUNCTION("""COMPUTED_VALUE"""),331.14)</f>
        <v>331.14</v>
      </c>
      <c r="K302" s="1">
        <f ca="1">IFERROR(__xludf.DUMMYFUNCTION("""COMPUTED_VALUE"""),45.12)</f>
        <v>45.12</v>
      </c>
      <c r="L302" s="1">
        <f ca="1">IFERROR(__xludf.DUMMYFUNCTION("""COMPUTED_VALUE"""),444.3)</f>
        <v>444.3</v>
      </c>
      <c r="M302" s="1">
        <f ca="1">IFERROR(__xludf.DUMMYFUNCTION("""COMPUTED_VALUE"""),518.02)</f>
        <v>518.02</v>
      </c>
    </row>
    <row r="303" spans="1:13" x14ac:dyDescent="0.25">
      <c r="A303" s="2">
        <f ca="1">IFERROR(__xludf.DUMMYFUNCTION("""COMPUTED_VALUE"""),44271.6666666666)</f>
        <v>44271.666666666599</v>
      </c>
      <c r="B303" s="1">
        <f ca="1">IFERROR(__xludf.DUMMYFUNCTION("""COMPUTED_VALUE"""),125.57)</f>
        <v>125.57</v>
      </c>
      <c r="C303" s="1">
        <f ca="1">IFERROR(__xludf.DUMMYFUNCTION("""COMPUTED_VALUE"""),234.81)</f>
        <v>234.81</v>
      </c>
      <c r="D303" s="1">
        <f ca="1">IFERROR(__xludf.DUMMYFUNCTION("""COMPUTED_VALUE"""),154.08)</f>
        <v>154.08000000000001</v>
      </c>
      <c r="E303" s="1">
        <f ca="1">IFERROR(__xludf.DUMMYFUNCTION("""COMPUTED_VALUE"""),13.19)</f>
        <v>13.19</v>
      </c>
      <c r="F303" s="1">
        <f ca="1">IFERROR(__xludf.DUMMYFUNCTION("""COMPUTED_VALUE"""),273.75)</f>
        <v>273.75</v>
      </c>
      <c r="G303" s="1">
        <f ca="1">IFERROR(__xludf.DUMMYFUNCTION("""COMPUTED_VALUE"""),103.32)</f>
        <v>103.32</v>
      </c>
      <c r="H303" s="1">
        <f ca="1">IFERROR(__xludf.DUMMYFUNCTION("""COMPUTED_VALUE"""),235.98)</f>
        <v>235.98</v>
      </c>
      <c r="I303" s="1">
        <f ca="1">IFERROR(__xludf.DUMMYFUNCTION("""COMPUTED_VALUE"""),133.03)</f>
        <v>133.03</v>
      </c>
      <c r="J303" s="1">
        <f ca="1">IFERROR(__xludf.DUMMYFUNCTION("""COMPUTED_VALUE"""),330.51)</f>
        <v>330.51</v>
      </c>
      <c r="K303" s="1">
        <f ca="1">IFERROR(__xludf.DUMMYFUNCTION("""COMPUTED_VALUE"""),47.08)</f>
        <v>47.08</v>
      </c>
      <c r="L303" s="1">
        <f ca="1">IFERROR(__xludf.DUMMYFUNCTION("""COMPUTED_VALUE"""),447.59)</f>
        <v>447.59</v>
      </c>
      <c r="M303" s="1">
        <f ca="1">IFERROR(__xludf.DUMMYFUNCTION("""COMPUTED_VALUE"""),520.25)</f>
        <v>520.25</v>
      </c>
    </row>
    <row r="304" spans="1:13" x14ac:dyDescent="0.25">
      <c r="A304" s="2">
        <f ca="1">IFERROR(__xludf.DUMMYFUNCTION("""COMPUTED_VALUE"""),44272.6666666666)</f>
        <v>44272.666666666599</v>
      </c>
      <c r="B304" s="1">
        <f ca="1">IFERROR(__xludf.DUMMYFUNCTION("""COMPUTED_VALUE"""),124.76)</f>
        <v>124.76</v>
      </c>
      <c r="C304" s="1">
        <f ca="1">IFERROR(__xludf.DUMMYFUNCTION("""COMPUTED_VALUE"""),237.71)</f>
        <v>237.71</v>
      </c>
      <c r="D304" s="1">
        <f ca="1">IFERROR(__xludf.DUMMYFUNCTION("""COMPUTED_VALUE"""),154.59)</f>
        <v>154.59</v>
      </c>
      <c r="E304" s="1">
        <f ca="1">IFERROR(__xludf.DUMMYFUNCTION("""COMPUTED_VALUE"""),13.29)</f>
        <v>13.29</v>
      </c>
      <c r="F304" s="1">
        <f ca="1">IFERROR(__xludf.DUMMYFUNCTION("""COMPUTED_VALUE"""),279.28)</f>
        <v>279.27999999999997</v>
      </c>
      <c r="G304" s="1">
        <f ca="1">IFERROR(__xludf.DUMMYFUNCTION("""COMPUTED_VALUE"""),104.63)</f>
        <v>104.63</v>
      </c>
      <c r="H304" s="1">
        <f ca="1">IFERROR(__xludf.DUMMYFUNCTION("""COMPUTED_VALUE"""),225.63)</f>
        <v>225.63</v>
      </c>
      <c r="I304" s="1">
        <f ca="1">IFERROR(__xludf.DUMMYFUNCTION("""COMPUTED_VALUE"""),134.01)</f>
        <v>134.01</v>
      </c>
      <c r="J304" s="1">
        <f ca="1">IFERROR(__xludf.DUMMYFUNCTION("""COMPUTED_VALUE"""),327.25)</f>
        <v>327.25</v>
      </c>
      <c r="K304" s="1">
        <f ca="1">IFERROR(__xludf.DUMMYFUNCTION("""COMPUTED_VALUE"""),47.82)</f>
        <v>47.82</v>
      </c>
      <c r="L304" s="1">
        <f ca="1">IFERROR(__xludf.DUMMYFUNCTION("""COMPUTED_VALUE"""),450.54)</f>
        <v>450.54</v>
      </c>
      <c r="M304" s="1">
        <f ca="1">IFERROR(__xludf.DUMMYFUNCTION("""COMPUTED_VALUE"""),524.03)</f>
        <v>524.03</v>
      </c>
    </row>
    <row r="305" spans="1:13" x14ac:dyDescent="0.25">
      <c r="A305" s="2">
        <f ca="1">IFERROR(__xludf.DUMMYFUNCTION("""COMPUTED_VALUE"""),44273.6666666666)</f>
        <v>44273.666666666599</v>
      </c>
      <c r="B305" s="1">
        <f ca="1">IFERROR(__xludf.DUMMYFUNCTION("""COMPUTED_VALUE"""),120.53)</f>
        <v>120.53</v>
      </c>
      <c r="C305" s="1">
        <f ca="1">IFERROR(__xludf.DUMMYFUNCTION("""COMPUTED_VALUE"""),237.04)</f>
        <v>237.04</v>
      </c>
      <c r="D305" s="1">
        <f ca="1">IFERROR(__xludf.DUMMYFUNCTION("""COMPUTED_VALUE"""),156.79)</f>
        <v>156.79</v>
      </c>
      <c r="E305" s="1">
        <f ca="1">IFERROR(__xludf.DUMMYFUNCTION("""COMPUTED_VALUE"""),13.34)</f>
        <v>13.34</v>
      </c>
      <c r="F305" s="1">
        <f ca="1">IFERROR(__xludf.DUMMYFUNCTION("""COMPUTED_VALUE"""),284.01)</f>
        <v>284.01</v>
      </c>
      <c r="G305" s="1">
        <f ca="1">IFERROR(__xludf.DUMMYFUNCTION("""COMPUTED_VALUE"""),104.55)</f>
        <v>104.55</v>
      </c>
      <c r="H305" s="1">
        <f ca="1">IFERROR(__xludf.DUMMYFUNCTION("""COMPUTED_VALUE"""),233.94)</f>
        <v>233.94</v>
      </c>
      <c r="I305" s="1">
        <f ca="1">IFERROR(__xludf.DUMMYFUNCTION("""COMPUTED_VALUE"""),133.62)</f>
        <v>133.62</v>
      </c>
      <c r="J305" s="1">
        <f ca="1">IFERROR(__xludf.DUMMYFUNCTION("""COMPUTED_VALUE"""),329.19)</f>
        <v>329.19</v>
      </c>
      <c r="K305" s="1">
        <f ca="1">IFERROR(__xludf.DUMMYFUNCTION("""COMPUTED_VALUE"""),48.36)</f>
        <v>48.36</v>
      </c>
      <c r="L305" s="1">
        <f ca="1">IFERROR(__xludf.DUMMYFUNCTION("""COMPUTED_VALUE"""),451.01)</f>
        <v>451.01</v>
      </c>
      <c r="M305" s="1">
        <f ca="1">IFERROR(__xludf.DUMMYFUNCTION("""COMPUTED_VALUE"""),524.44)</f>
        <v>524.44000000000005</v>
      </c>
    </row>
    <row r="306" spans="1:13" x14ac:dyDescent="0.25">
      <c r="A306" s="2">
        <f ca="1">IFERROR(__xludf.DUMMYFUNCTION("""COMPUTED_VALUE"""),44274.6666666666)</f>
        <v>44274.666666666599</v>
      </c>
      <c r="B306" s="1">
        <f ca="1">IFERROR(__xludf.DUMMYFUNCTION("""COMPUTED_VALUE"""),119.99)</f>
        <v>119.99</v>
      </c>
      <c r="C306" s="1">
        <f ca="1">IFERROR(__xludf.DUMMYFUNCTION("""COMPUTED_VALUE"""),230.72)</f>
        <v>230.72</v>
      </c>
      <c r="D306" s="1">
        <f ca="1">IFERROR(__xludf.DUMMYFUNCTION("""COMPUTED_VALUE"""),151.4)</f>
        <v>151.4</v>
      </c>
      <c r="E306" s="1">
        <f ca="1">IFERROR(__xludf.DUMMYFUNCTION("""COMPUTED_VALUE"""),12.72)</f>
        <v>12.72</v>
      </c>
      <c r="F306" s="1">
        <f ca="1">IFERROR(__xludf.DUMMYFUNCTION("""COMPUTED_VALUE"""),278.62)</f>
        <v>278.62</v>
      </c>
      <c r="G306" s="1">
        <f ca="1">IFERROR(__xludf.DUMMYFUNCTION("""COMPUTED_VALUE"""),101.81)</f>
        <v>101.81</v>
      </c>
      <c r="H306" s="1">
        <f ca="1">IFERROR(__xludf.DUMMYFUNCTION("""COMPUTED_VALUE"""),217.72)</f>
        <v>217.72</v>
      </c>
      <c r="I306" s="1">
        <f ca="1">IFERROR(__xludf.DUMMYFUNCTION("""COMPUTED_VALUE"""),132.53)</f>
        <v>132.53</v>
      </c>
      <c r="J306" s="1">
        <f ca="1">IFERROR(__xludf.DUMMYFUNCTION("""COMPUTED_VALUE"""),322.98)</f>
        <v>322.98</v>
      </c>
      <c r="K306" s="1">
        <f ca="1">IFERROR(__xludf.DUMMYFUNCTION("""COMPUTED_VALUE"""),46.42)</f>
        <v>46.42</v>
      </c>
      <c r="L306" s="1">
        <f ca="1">IFERROR(__xludf.DUMMYFUNCTION("""COMPUTED_VALUE"""),439.18)</f>
        <v>439.18</v>
      </c>
      <c r="M306" s="1">
        <f ca="1">IFERROR(__xludf.DUMMYFUNCTION("""COMPUTED_VALUE"""),504.79)</f>
        <v>504.79</v>
      </c>
    </row>
    <row r="307" spans="1:13" x14ac:dyDescent="0.25">
      <c r="A307" s="2">
        <f ca="1">IFERROR(__xludf.DUMMYFUNCTION("""COMPUTED_VALUE"""),44277.6666666666)</f>
        <v>44277.666666666599</v>
      </c>
      <c r="B307" s="1">
        <f ca="1">IFERROR(__xludf.DUMMYFUNCTION("""COMPUTED_VALUE"""),123.39)</f>
        <v>123.39</v>
      </c>
      <c r="C307" s="1">
        <f ca="1">IFERROR(__xludf.DUMMYFUNCTION("""COMPUTED_VALUE"""),230.35)</f>
        <v>230.35</v>
      </c>
      <c r="D307" s="1">
        <f ca="1">IFERROR(__xludf.DUMMYFUNCTION("""COMPUTED_VALUE"""),153.75)</f>
        <v>153.75</v>
      </c>
      <c r="E307" s="1">
        <f ca="1">IFERROR(__xludf.DUMMYFUNCTION("""COMPUTED_VALUE"""),12.85)</f>
        <v>12.85</v>
      </c>
      <c r="F307" s="1">
        <f ca="1">IFERROR(__xludf.DUMMYFUNCTION("""COMPUTED_VALUE"""),290.11)</f>
        <v>290.11</v>
      </c>
      <c r="G307" s="1">
        <f ca="1">IFERROR(__xludf.DUMMYFUNCTION("""COMPUTED_VALUE"""),102.16)</f>
        <v>102.16</v>
      </c>
      <c r="H307" s="1">
        <f ca="1">IFERROR(__xludf.DUMMYFUNCTION("""COMPUTED_VALUE"""),218.29)</f>
        <v>218.29</v>
      </c>
      <c r="I307" s="1">
        <f ca="1">IFERROR(__xludf.DUMMYFUNCTION("""COMPUTED_VALUE"""),134.5)</f>
        <v>134.5</v>
      </c>
      <c r="J307" s="1">
        <f ca="1">IFERROR(__xludf.DUMMYFUNCTION("""COMPUTED_VALUE"""),328.91)</f>
        <v>328.91</v>
      </c>
      <c r="K307" s="1">
        <f ca="1">IFERROR(__xludf.DUMMYFUNCTION("""COMPUTED_VALUE"""),47.45)</f>
        <v>47.45</v>
      </c>
      <c r="L307" s="1">
        <f ca="1">IFERROR(__xludf.DUMMYFUNCTION("""COMPUTED_VALUE"""),441.5)</f>
        <v>441.5</v>
      </c>
      <c r="M307" s="1">
        <f ca="1">IFERROR(__xludf.DUMMYFUNCTION("""COMPUTED_VALUE"""),512.18)</f>
        <v>512.17999999999995</v>
      </c>
    </row>
    <row r="308" spans="1:13" x14ac:dyDescent="0.25">
      <c r="A308" s="2">
        <f ca="1">IFERROR(__xludf.DUMMYFUNCTION("""COMPUTED_VALUE"""),44278.6666666666)</f>
        <v>44278.666666666599</v>
      </c>
      <c r="B308" s="1">
        <f ca="1">IFERROR(__xludf.DUMMYFUNCTION("""COMPUTED_VALUE"""),122.54)</f>
        <v>122.54</v>
      </c>
      <c r="C308" s="1">
        <f ca="1">IFERROR(__xludf.DUMMYFUNCTION("""COMPUTED_VALUE"""),235.99)</f>
        <v>235.99</v>
      </c>
      <c r="D308" s="1">
        <f ca="1">IFERROR(__xludf.DUMMYFUNCTION("""COMPUTED_VALUE"""),155.54)</f>
        <v>155.54</v>
      </c>
      <c r="E308" s="1">
        <f ca="1">IFERROR(__xludf.DUMMYFUNCTION("""COMPUTED_VALUE"""),13.19)</f>
        <v>13.19</v>
      </c>
      <c r="F308" s="1">
        <f ca="1">IFERROR(__xludf.DUMMYFUNCTION("""COMPUTED_VALUE"""),293.54)</f>
        <v>293.54000000000002</v>
      </c>
      <c r="G308" s="1">
        <f ca="1">IFERROR(__xludf.DUMMYFUNCTION("""COMPUTED_VALUE"""),101.93)</f>
        <v>101.93</v>
      </c>
      <c r="H308" s="1">
        <f ca="1">IFERROR(__xludf.DUMMYFUNCTION("""COMPUTED_VALUE"""),223.33)</f>
        <v>223.33</v>
      </c>
      <c r="I308" s="1">
        <f ca="1">IFERROR(__xludf.DUMMYFUNCTION("""COMPUTED_VALUE"""),137.8)</f>
        <v>137.80000000000001</v>
      </c>
      <c r="J308" s="1">
        <f ca="1">IFERROR(__xludf.DUMMYFUNCTION("""COMPUTED_VALUE"""),334.49)</f>
        <v>334.49</v>
      </c>
      <c r="K308" s="1">
        <f ca="1">IFERROR(__xludf.DUMMYFUNCTION("""COMPUTED_VALUE"""),47.53)</f>
        <v>47.53</v>
      </c>
      <c r="L308" s="1">
        <f ca="1">IFERROR(__xludf.DUMMYFUNCTION("""COMPUTED_VALUE"""),452.41)</f>
        <v>452.41</v>
      </c>
      <c r="M308" s="1">
        <f ca="1">IFERROR(__xludf.DUMMYFUNCTION("""COMPUTED_VALUE"""),523.11)</f>
        <v>523.11</v>
      </c>
    </row>
    <row r="309" spans="1:13" x14ac:dyDescent="0.25">
      <c r="A309" s="2">
        <f ca="1">IFERROR(__xludf.DUMMYFUNCTION("""COMPUTED_VALUE"""),44279.6666666666)</f>
        <v>44279.666666666599</v>
      </c>
      <c r="B309" s="1">
        <f ca="1">IFERROR(__xludf.DUMMYFUNCTION("""COMPUTED_VALUE"""),120.09)</f>
        <v>120.09</v>
      </c>
      <c r="C309" s="1">
        <f ca="1">IFERROR(__xludf.DUMMYFUNCTION("""COMPUTED_VALUE"""),237.58)</f>
        <v>237.58</v>
      </c>
      <c r="D309" s="1">
        <f ca="1">IFERROR(__xludf.DUMMYFUNCTION("""COMPUTED_VALUE"""),156.88)</f>
        <v>156.88</v>
      </c>
      <c r="E309" s="1">
        <f ca="1">IFERROR(__xludf.DUMMYFUNCTION("""COMPUTED_VALUE"""),13.07)</f>
        <v>13.07</v>
      </c>
      <c r="F309" s="1">
        <f ca="1">IFERROR(__xludf.DUMMYFUNCTION("""COMPUTED_VALUE"""),290.63)</f>
        <v>290.63</v>
      </c>
      <c r="G309" s="1">
        <f ca="1">IFERROR(__xludf.DUMMYFUNCTION("""COMPUTED_VALUE"""),102.65)</f>
        <v>102.65</v>
      </c>
      <c r="H309" s="1">
        <f ca="1">IFERROR(__xludf.DUMMYFUNCTION("""COMPUTED_VALUE"""),220.72)</f>
        <v>220.72</v>
      </c>
      <c r="I309" s="1">
        <f ca="1">IFERROR(__xludf.DUMMYFUNCTION("""COMPUTED_VALUE"""),139.46)</f>
        <v>139.46</v>
      </c>
      <c r="J309" s="1">
        <f ca="1">IFERROR(__xludf.DUMMYFUNCTION("""COMPUTED_VALUE"""),340.34)</f>
        <v>340.34</v>
      </c>
      <c r="K309" s="1">
        <f ca="1">IFERROR(__xludf.DUMMYFUNCTION("""COMPUTED_VALUE"""),46.41)</f>
        <v>46.41</v>
      </c>
      <c r="L309" s="1">
        <f ca="1">IFERROR(__xludf.DUMMYFUNCTION("""COMPUTED_VALUE"""),460.2)</f>
        <v>460.2</v>
      </c>
      <c r="M309" s="1">
        <f ca="1">IFERROR(__xludf.DUMMYFUNCTION("""COMPUTED_VALUE"""),535.09)</f>
        <v>535.09</v>
      </c>
    </row>
    <row r="310" spans="1:13" x14ac:dyDescent="0.25">
      <c r="A310" s="2">
        <f ca="1">IFERROR(__xludf.DUMMYFUNCTION("""COMPUTED_VALUE"""),44280.6666666666)</f>
        <v>44280.666666666599</v>
      </c>
      <c r="B310" s="1">
        <f ca="1">IFERROR(__xludf.DUMMYFUNCTION("""COMPUTED_VALUE"""),120.59)</f>
        <v>120.59</v>
      </c>
      <c r="C310" s="1">
        <f ca="1">IFERROR(__xludf.DUMMYFUNCTION("""COMPUTED_VALUE"""),235.46)</f>
        <v>235.46</v>
      </c>
      <c r="D310" s="1">
        <f ca="1">IFERROR(__xludf.DUMMYFUNCTION("""COMPUTED_VALUE"""),154.35)</f>
        <v>154.35</v>
      </c>
      <c r="E310" s="1">
        <f ca="1">IFERROR(__xludf.DUMMYFUNCTION("""COMPUTED_VALUE"""),12.64)</f>
        <v>12.64</v>
      </c>
      <c r="F310" s="1">
        <f ca="1">IFERROR(__xludf.DUMMYFUNCTION("""COMPUTED_VALUE"""),282.14)</f>
        <v>282.14</v>
      </c>
      <c r="G310" s="1">
        <f ca="1">IFERROR(__xludf.DUMMYFUNCTION("""COMPUTED_VALUE"""),102.25)</f>
        <v>102.25</v>
      </c>
      <c r="H310" s="1">
        <f ca="1">IFERROR(__xludf.DUMMYFUNCTION("""COMPUTED_VALUE"""),210.09)</f>
        <v>210.09</v>
      </c>
      <c r="I310" s="1">
        <f ca="1">IFERROR(__xludf.DUMMYFUNCTION("""COMPUTED_VALUE"""),138.81)</f>
        <v>138.81</v>
      </c>
      <c r="J310" s="1">
        <f ca="1">IFERROR(__xludf.DUMMYFUNCTION("""COMPUTED_VALUE"""),338.04)</f>
        <v>338.04</v>
      </c>
      <c r="K310" s="1">
        <f ca="1">IFERROR(__xludf.DUMMYFUNCTION("""COMPUTED_VALUE"""),45.73)</f>
        <v>45.73</v>
      </c>
      <c r="L310" s="1">
        <f ca="1">IFERROR(__xludf.DUMMYFUNCTION("""COMPUTED_VALUE"""),451.51)</f>
        <v>451.51</v>
      </c>
      <c r="M310" s="1">
        <f ca="1">IFERROR(__xludf.DUMMYFUNCTION("""COMPUTED_VALUE"""),520.81)</f>
        <v>520.80999999999995</v>
      </c>
    </row>
    <row r="311" spans="1:13" x14ac:dyDescent="0.25">
      <c r="A311" s="2">
        <f ca="1">IFERROR(__xludf.DUMMYFUNCTION("""COMPUTED_VALUE"""),44281.6666666666)</f>
        <v>44281.666666666599</v>
      </c>
      <c r="B311" s="1">
        <f ca="1">IFERROR(__xludf.DUMMYFUNCTION("""COMPUTED_VALUE"""),121.21)</f>
        <v>121.21</v>
      </c>
      <c r="C311" s="1">
        <f ca="1">IFERROR(__xludf.DUMMYFUNCTION("""COMPUTED_VALUE"""),232.34)</f>
        <v>232.34</v>
      </c>
      <c r="D311" s="1">
        <f ca="1">IFERROR(__xludf.DUMMYFUNCTION("""COMPUTED_VALUE"""),152.31)</f>
        <v>152.31</v>
      </c>
      <c r="E311" s="1">
        <f ca="1">IFERROR(__xludf.DUMMYFUNCTION("""COMPUTED_VALUE"""),12.54)</f>
        <v>12.54</v>
      </c>
      <c r="F311" s="1">
        <f ca="1">IFERROR(__xludf.DUMMYFUNCTION("""COMPUTED_VALUE"""),278.74)</f>
        <v>278.74</v>
      </c>
      <c r="G311" s="1">
        <f ca="1">IFERROR(__xludf.DUMMYFUNCTION("""COMPUTED_VALUE"""),102.22)</f>
        <v>102.22</v>
      </c>
      <c r="H311" s="1">
        <f ca="1">IFERROR(__xludf.DUMMYFUNCTION("""COMPUTED_VALUE"""),213.46)</f>
        <v>213.46</v>
      </c>
      <c r="I311" s="1">
        <f ca="1">IFERROR(__xludf.DUMMYFUNCTION("""COMPUTED_VALUE"""),139.63)</f>
        <v>139.63</v>
      </c>
      <c r="J311" s="1">
        <f ca="1">IFERROR(__xludf.DUMMYFUNCTION("""COMPUTED_VALUE"""),346.34)</f>
        <v>346.34</v>
      </c>
      <c r="K311" s="1">
        <f ca="1">IFERROR(__xludf.DUMMYFUNCTION("""COMPUTED_VALUE"""),46.17)</f>
        <v>46.17</v>
      </c>
      <c r="L311" s="1">
        <f ca="1">IFERROR(__xludf.DUMMYFUNCTION("""COMPUTED_VALUE"""),450.99)</f>
        <v>450.99</v>
      </c>
      <c r="M311" s="1">
        <f ca="1">IFERROR(__xludf.DUMMYFUNCTION("""COMPUTED_VALUE"""),502.86)</f>
        <v>502.86</v>
      </c>
    </row>
    <row r="312" spans="1:13" x14ac:dyDescent="0.25">
      <c r="A312" s="2">
        <f ca="1">IFERROR(__xludf.DUMMYFUNCTION("""COMPUTED_VALUE"""),44284.6666666666)</f>
        <v>44284.666666666599</v>
      </c>
      <c r="B312" s="1">
        <f ca="1">IFERROR(__xludf.DUMMYFUNCTION("""COMPUTED_VALUE"""),121.39)</f>
        <v>121.39</v>
      </c>
      <c r="C312" s="1">
        <f ca="1">IFERROR(__xludf.DUMMYFUNCTION("""COMPUTED_VALUE"""),236.48)</f>
        <v>236.48</v>
      </c>
      <c r="D312" s="1">
        <f ca="1">IFERROR(__xludf.DUMMYFUNCTION("""COMPUTED_VALUE"""),152.6)</f>
        <v>152.6</v>
      </c>
      <c r="E312" s="1">
        <f ca="1">IFERROR(__xludf.DUMMYFUNCTION("""COMPUTED_VALUE"""),12.84)</f>
        <v>12.84</v>
      </c>
      <c r="F312" s="1">
        <f ca="1">IFERROR(__xludf.DUMMYFUNCTION("""COMPUTED_VALUE"""),283.02)</f>
        <v>283.02</v>
      </c>
      <c r="G312" s="1">
        <f ca="1">IFERROR(__xludf.DUMMYFUNCTION("""COMPUTED_VALUE"""),101.78)</f>
        <v>101.78</v>
      </c>
      <c r="H312" s="1">
        <f ca="1">IFERROR(__xludf.DUMMYFUNCTION("""COMPUTED_VALUE"""),206.24)</f>
        <v>206.24</v>
      </c>
      <c r="I312" s="1">
        <f ca="1">IFERROR(__xludf.DUMMYFUNCTION("""COMPUTED_VALUE"""),142.7)</f>
        <v>142.69999999999999</v>
      </c>
      <c r="J312" s="1">
        <f ca="1">IFERROR(__xludf.DUMMYFUNCTION("""COMPUTED_VALUE"""),352.02)</f>
        <v>352.02</v>
      </c>
      <c r="K312" s="1">
        <f ca="1">IFERROR(__xludf.DUMMYFUNCTION("""COMPUTED_VALUE"""),48.2)</f>
        <v>48.2</v>
      </c>
      <c r="L312" s="1">
        <f ca="1">IFERROR(__xludf.DUMMYFUNCTION("""COMPUTED_VALUE"""),469.09)</f>
        <v>469.09</v>
      </c>
      <c r="M312" s="1">
        <f ca="1">IFERROR(__xludf.DUMMYFUNCTION("""COMPUTED_VALUE"""),508.05)</f>
        <v>508.05</v>
      </c>
    </row>
    <row r="313" spans="1:13" x14ac:dyDescent="0.25">
      <c r="A313" s="2">
        <f ca="1">IFERROR(__xludf.DUMMYFUNCTION("""COMPUTED_VALUE"""),44285.6666666666)</f>
        <v>44285.666666666599</v>
      </c>
      <c r="B313" s="1">
        <f ca="1">IFERROR(__xludf.DUMMYFUNCTION("""COMPUTED_VALUE"""),119.9)</f>
        <v>119.9</v>
      </c>
      <c r="C313" s="1">
        <f ca="1">IFERROR(__xludf.DUMMYFUNCTION("""COMPUTED_VALUE"""),235.24)</f>
        <v>235.24</v>
      </c>
      <c r="D313" s="1">
        <f ca="1">IFERROR(__xludf.DUMMYFUNCTION("""COMPUTED_VALUE"""),153.79)</f>
        <v>153.79</v>
      </c>
      <c r="E313" s="1">
        <f ca="1">IFERROR(__xludf.DUMMYFUNCTION("""COMPUTED_VALUE"""),12.95)</f>
        <v>12.95</v>
      </c>
      <c r="F313" s="1">
        <f ca="1">IFERROR(__xludf.DUMMYFUNCTION("""COMPUTED_VALUE"""),290.82)</f>
        <v>290.82</v>
      </c>
      <c r="G313" s="1">
        <f ca="1">IFERROR(__xludf.DUMMYFUNCTION("""COMPUTED_VALUE"""),102.8)</f>
        <v>102.8</v>
      </c>
      <c r="H313" s="1">
        <f ca="1">IFERROR(__xludf.DUMMYFUNCTION("""COMPUTED_VALUE"""),203.76)</f>
        <v>203.76</v>
      </c>
      <c r="I313" s="1">
        <f ca="1">IFERROR(__xludf.DUMMYFUNCTION("""COMPUTED_VALUE"""),144.81)</f>
        <v>144.81</v>
      </c>
      <c r="J313" s="1">
        <f ca="1">IFERROR(__xludf.DUMMYFUNCTION("""COMPUTED_VALUE"""),356.15)</f>
        <v>356.15</v>
      </c>
      <c r="K313" s="1">
        <f ca="1">IFERROR(__xludf.DUMMYFUNCTION("""COMPUTED_VALUE"""),47.26)</f>
        <v>47.26</v>
      </c>
      <c r="L313" s="1">
        <f ca="1">IFERROR(__xludf.DUMMYFUNCTION("""COMPUTED_VALUE"""),469.32)</f>
        <v>469.32</v>
      </c>
      <c r="M313" s="1">
        <f ca="1">IFERROR(__xludf.DUMMYFUNCTION("""COMPUTED_VALUE"""),513.95)</f>
        <v>513.95000000000005</v>
      </c>
    </row>
    <row r="314" spans="1:13" x14ac:dyDescent="0.25">
      <c r="A314" s="2">
        <f ca="1">IFERROR(__xludf.DUMMYFUNCTION("""COMPUTED_VALUE"""),44286.6666666666)</f>
        <v>44286.666666666599</v>
      </c>
      <c r="B314" s="1">
        <f ca="1">IFERROR(__xludf.DUMMYFUNCTION("""COMPUTED_VALUE"""),122.15)</f>
        <v>122.15</v>
      </c>
      <c r="C314" s="1">
        <f ca="1">IFERROR(__xludf.DUMMYFUNCTION("""COMPUTED_VALUE"""),231.85)</f>
        <v>231.85</v>
      </c>
      <c r="D314" s="1">
        <f ca="1">IFERROR(__xludf.DUMMYFUNCTION("""COMPUTED_VALUE"""),152.76)</f>
        <v>152.76</v>
      </c>
      <c r="E314" s="1">
        <f ca="1">IFERROR(__xludf.DUMMYFUNCTION("""COMPUTED_VALUE"""),12.87)</f>
        <v>12.87</v>
      </c>
      <c r="F314" s="1">
        <f ca="1">IFERROR(__xludf.DUMMYFUNCTION("""COMPUTED_VALUE"""),288)</f>
        <v>288</v>
      </c>
      <c r="G314" s="1">
        <f ca="1">IFERROR(__xludf.DUMMYFUNCTION("""COMPUTED_VALUE"""),102.78)</f>
        <v>102.78</v>
      </c>
      <c r="H314" s="1">
        <f ca="1">IFERROR(__xludf.DUMMYFUNCTION("""COMPUTED_VALUE"""),211.87)</f>
        <v>211.87</v>
      </c>
      <c r="I314" s="1">
        <f ca="1">IFERROR(__xludf.DUMMYFUNCTION("""COMPUTED_VALUE"""),142.54)</f>
        <v>142.54</v>
      </c>
      <c r="J314" s="1">
        <f ca="1">IFERROR(__xludf.DUMMYFUNCTION("""COMPUTED_VALUE"""),349.75)</f>
        <v>349.75</v>
      </c>
      <c r="K314" s="1">
        <f ca="1">IFERROR(__xludf.DUMMYFUNCTION("""COMPUTED_VALUE"""),45.62)</f>
        <v>45.62</v>
      </c>
      <c r="L314" s="1">
        <f ca="1">IFERROR(__xludf.DUMMYFUNCTION("""COMPUTED_VALUE"""),465.46)</f>
        <v>465.46</v>
      </c>
      <c r="M314" s="1">
        <f ca="1">IFERROR(__xludf.DUMMYFUNCTION("""COMPUTED_VALUE"""),513.39)</f>
        <v>513.39</v>
      </c>
    </row>
    <row r="315" spans="1:13" x14ac:dyDescent="0.25">
      <c r="A315" s="2">
        <f ca="1">IFERROR(__xludf.DUMMYFUNCTION("""COMPUTED_VALUE"""),44287.6666666666)</f>
        <v>44287.666666666599</v>
      </c>
      <c r="B315" s="1">
        <f ca="1">IFERROR(__xludf.DUMMYFUNCTION("""COMPUTED_VALUE"""),123)</f>
        <v>123</v>
      </c>
      <c r="C315" s="1">
        <f ca="1">IFERROR(__xludf.DUMMYFUNCTION("""COMPUTED_VALUE"""),235.77)</f>
        <v>235.77</v>
      </c>
      <c r="D315" s="1">
        <f ca="1">IFERROR(__xludf.DUMMYFUNCTION("""COMPUTED_VALUE"""),154.7)</f>
        <v>154.69999999999999</v>
      </c>
      <c r="E315" s="1">
        <f ca="1">IFERROR(__xludf.DUMMYFUNCTION("""COMPUTED_VALUE"""),13.35)</f>
        <v>13.35</v>
      </c>
      <c r="F315" s="1">
        <f ca="1">IFERROR(__xludf.DUMMYFUNCTION("""COMPUTED_VALUE"""),294.53)</f>
        <v>294.52999999999997</v>
      </c>
      <c r="G315" s="1">
        <f ca="1">IFERROR(__xludf.DUMMYFUNCTION("""COMPUTED_VALUE"""),103.43)</f>
        <v>103.43</v>
      </c>
      <c r="H315" s="1">
        <f ca="1">IFERROR(__xludf.DUMMYFUNCTION("""COMPUTED_VALUE"""),222.64)</f>
        <v>222.64</v>
      </c>
      <c r="I315" s="1">
        <f ca="1">IFERROR(__xludf.DUMMYFUNCTION("""COMPUTED_VALUE"""),141.45)</f>
        <v>141.44999999999999</v>
      </c>
      <c r="J315" s="1">
        <f ca="1">IFERROR(__xludf.DUMMYFUNCTION("""COMPUTED_VALUE"""),352.48)</f>
        <v>352.48</v>
      </c>
      <c r="K315" s="1">
        <f ca="1">IFERROR(__xludf.DUMMYFUNCTION("""COMPUTED_VALUE"""),46.37)</f>
        <v>46.37</v>
      </c>
      <c r="L315" s="1">
        <f ca="1">IFERROR(__xludf.DUMMYFUNCTION("""COMPUTED_VALUE"""),475.37)</f>
        <v>475.37</v>
      </c>
      <c r="M315" s="1">
        <f ca="1">IFERROR(__xludf.DUMMYFUNCTION("""COMPUTED_VALUE"""),521.66)</f>
        <v>521.66</v>
      </c>
    </row>
    <row r="316" spans="1:13" x14ac:dyDescent="0.25">
      <c r="A316" s="2">
        <f ca="1">IFERROR(__xludf.DUMMYFUNCTION("""COMPUTED_VALUE"""),44291.6666666666)</f>
        <v>44291.666666666599</v>
      </c>
      <c r="B316" s="1">
        <f ca="1">IFERROR(__xludf.DUMMYFUNCTION("""COMPUTED_VALUE"""),125.9)</f>
        <v>125.9</v>
      </c>
      <c r="C316" s="1">
        <f ca="1">IFERROR(__xludf.DUMMYFUNCTION("""COMPUTED_VALUE"""),242.35)</f>
        <v>242.35</v>
      </c>
      <c r="D316" s="1">
        <f ca="1">IFERROR(__xludf.DUMMYFUNCTION("""COMPUTED_VALUE"""),158.05)</f>
        <v>158.05000000000001</v>
      </c>
      <c r="E316" s="1">
        <f ca="1">IFERROR(__xludf.DUMMYFUNCTION("""COMPUTED_VALUE"""),13.81)</f>
        <v>13.81</v>
      </c>
      <c r="F316" s="1">
        <f ca="1">IFERROR(__xludf.DUMMYFUNCTION("""COMPUTED_VALUE"""),298.66)</f>
        <v>298.66000000000003</v>
      </c>
      <c r="G316" s="1">
        <f ca="1">IFERROR(__xludf.DUMMYFUNCTION("""COMPUTED_VALUE"""),106.89)</f>
        <v>106.89</v>
      </c>
      <c r="H316" s="1">
        <f ca="1">IFERROR(__xludf.DUMMYFUNCTION("""COMPUTED_VALUE"""),220.58)</f>
        <v>220.58</v>
      </c>
      <c r="I316" s="1">
        <f ca="1">IFERROR(__xludf.DUMMYFUNCTION("""COMPUTED_VALUE"""),141.28)</f>
        <v>141.28</v>
      </c>
      <c r="J316" s="1">
        <f ca="1">IFERROR(__xludf.DUMMYFUNCTION("""COMPUTED_VALUE"""),354.94)</f>
        <v>354.94</v>
      </c>
      <c r="K316" s="1">
        <f ca="1">IFERROR(__xludf.DUMMYFUNCTION("""COMPUTED_VALUE"""),47.6)</f>
        <v>47.6</v>
      </c>
      <c r="L316" s="1">
        <f ca="1">IFERROR(__xludf.DUMMYFUNCTION("""COMPUTED_VALUE"""),483.34)</f>
        <v>483.34</v>
      </c>
      <c r="M316" s="1">
        <f ca="1">IFERROR(__xludf.DUMMYFUNCTION("""COMPUTED_VALUE"""),539.42)</f>
        <v>539.41999999999996</v>
      </c>
    </row>
    <row r="317" spans="1:13" x14ac:dyDescent="0.25">
      <c r="A317" s="2">
        <f ca="1">IFERROR(__xludf.DUMMYFUNCTION("""COMPUTED_VALUE"""),44292.6666666666)</f>
        <v>44292.666666666599</v>
      </c>
      <c r="B317" s="1">
        <f ca="1">IFERROR(__xludf.DUMMYFUNCTION("""COMPUTED_VALUE"""),126.21)</f>
        <v>126.21</v>
      </c>
      <c r="C317" s="1">
        <f ca="1">IFERROR(__xludf.DUMMYFUNCTION("""COMPUTED_VALUE"""),249.07)</f>
        <v>249.07</v>
      </c>
      <c r="D317" s="1">
        <f ca="1">IFERROR(__xludf.DUMMYFUNCTION("""COMPUTED_VALUE"""),161.34)</f>
        <v>161.34</v>
      </c>
      <c r="E317" s="1">
        <f ca="1">IFERROR(__xludf.DUMMYFUNCTION("""COMPUTED_VALUE"""),13.99)</f>
        <v>13.99</v>
      </c>
      <c r="F317" s="1">
        <f ca="1">IFERROR(__xludf.DUMMYFUNCTION("""COMPUTED_VALUE"""),308.91)</f>
        <v>308.91000000000003</v>
      </c>
      <c r="G317" s="1">
        <f ca="1">IFERROR(__xludf.DUMMYFUNCTION("""COMPUTED_VALUE"""),111.28)</f>
        <v>111.28</v>
      </c>
      <c r="H317" s="1">
        <f ca="1">IFERROR(__xludf.DUMMYFUNCTION("""COMPUTED_VALUE"""),230.35)</f>
        <v>230.35</v>
      </c>
      <c r="I317" s="1">
        <f ca="1">IFERROR(__xludf.DUMMYFUNCTION("""COMPUTED_VALUE"""),143.16)</f>
        <v>143.16</v>
      </c>
      <c r="J317" s="1">
        <f ca="1">IFERROR(__xludf.DUMMYFUNCTION("""COMPUTED_VALUE"""),360.82)</f>
        <v>360.82</v>
      </c>
      <c r="K317" s="1">
        <f ca="1">IFERROR(__xludf.DUMMYFUNCTION("""COMPUTED_VALUE"""),48.85)</f>
        <v>48.85</v>
      </c>
      <c r="L317" s="1">
        <f ca="1">IFERROR(__xludf.DUMMYFUNCTION("""COMPUTED_VALUE"""),491.62)</f>
        <v>491.62</v>
      </c>
      <c r="M317" s="1">
        <f ca="1">IFERROR(__xludf.DUMMYFUNCTION("""COMPUTED_VALUE"""),540.67)</f>
        <v>540.66999999999996</v>
      </c>
    </row>
    <row r="318" spans="1:13" x14ac:dyDescent="0.25">
      <c r="A318" s="2">
        <f ca="1">IFERROR(__xludf.DUMMYFUNCTION("""COMPUTED_VALUE"""),44293.6666666666)</f>
        <v>44293.666666666599</v>
      </c>
      <c r="B318" s="1">
        <f ca="1">IFERROR(__xludf.DUMMYFUNCTION("""COMPUTED_VALUE"""),127.9)</f>
        <v>127.9</v>
      </c>
      <c r="C318" s="1">
        <f ca="1">IFERROR(__xludf.DUMMYFUNCTION("""COMPUTED_VALUE"""),247.86)</f>
        <v>247.86</v>
      </c>
      <c r="D318" s="1">
        <f ca="1">IFERROR(__xludf.DUMMYFUNCTION("""COMPUTED_VALUE"""),161.19)</f>
        <v>161.19</v>
      </c>
      <c r="E318" s="1">
        <f ca="1">IFERROR(__xludf.DUMMYFUNCTION("""COMPUTED_VALUE"""),13.86)</f>
        <v>13.86</v>
      </c>
      <c r="F318" s="1">
        <f ca="1">IFERROR(__xludf.DUMMYFUNCTION("""COMPUTED_VALUE"""),306.26)</f>
        <v>306.26</v>
      </c>
      <c r="G318" s="1">
        <f ca="1">IFERROR(__xludf.DUMMYFUNCTION("""COMPUTED_VALUE"""),111.24)</f>
        <v>111.24</v>
      </c>
      <c r="H318" s="1">
        <f ca="1">IFERROR(__xludf.DUMMYFUNCTION("""COMPUTED_VALUE"""),230.54)</f>
        <v>230.54</v>
      </c>
      <c r="I318" s="1">
        <f ca="1">IFERROR(__xludf.DUMMYFUNCTION("""COMPUTED_VALUE"""),143.67)</f>
        <v>143.66999999999999</v>
      </c>
      <c r="J318" s="1">
        <f ca="1">IFERROR(__xludf.DUMMYFUNCTION("""COMPUTED_VALUE"""),360.12)</f>
        <v>360.12</v>
      </c>
      <c r="K318" s="1">
        <f ca="1">IFERROR(__xludf.DUMMYFUNCTION("""COMPUTED_VALUE"""),48.39)</f>
        <v>48.39</v>
      </c>
      <c r="L318" s="1">
        <f ca="1">IFERROR(__xludf.DUMMYFUNCTION("""COMPUTED_VALUE"""),491.34)</f>
        <v>491.34</v>
      </c>
      <c r="M318" s="1">
        <f ca="1">IFERROR(__xludf.DUMMYFUNCTION("""COMPUTED_VALUE"""),544.53)</f>
        <v>544.53</v>
      </c>
    </row>
    <row r="319" spans="1:13" x14ac:dyDescent="0.25">
      <c r="A319" s="2">
        <f ca="1">IFERROR(__xludf.DUMMYFUNCTION("""COMPUTED_VALUE"""),44294.6666666666)</f>
        <v>44294.666666666599</v>
      </c>
      <c r="B319" s="1">
        <f ca="1">IFERROR(__xludf.DUMMYFUNCTION("""COMPUTED_VALUE"""),130.36)</f>
        <v>130.36000000000001</v>
      </c>
      <c r="C319" s="1">
        <f ca="1">IFERROR(__xludf.DUMMYFUNCTION("""COMPUTED_VALUE"""),249.9)</f>
        <v>249.9</v>
      </c>
      <c r="D319" s="1">
        <f ca="1">IFERROR(__xludf.DUMMYFUNCTION("""COMPUTED_VALUE"""),163.97)</f>
        <v>163.97</v>
      </c>
      <c r="E319" s="1">
        <f ca="1">IFERROR(__xludf.DUMMYFUNCTION("""COMPUTED_VALUE"""),14.14)</f>
        <v>14.14</v>
      </c>
      <c r="F319" s="1">
        <f ca="1">IFERROR(__xludf.DUMMYFUNCTION("""COMPUTED_VALUE"""),313.09)</f>
        <v>313.08999999999997</v>
      </c>
      <c r="G319" s="1">
        <f ca="1">IFERROR(__xludf.DUMMYFUNCTION("""COMPUTED_VALUE"""),112.48)</f>
        <v>112.48</v>
      </c>
      <c r="H319" s="1">
        <f ca="1">IFERROR(__xludf.DUMMYFUNCTION("""COMPUTED_VALUE"""),223.66)</f>
        <v>223.66</v>
      </c>
      <c r="I319" s="1">
        <f ca="1">IFERROR(__xludf.DUMMYFUNCTION("""COMPUTED_VALUE"""),143.41)</f>
        <v>143.41</v>
      </c>
      <c r="J319" s="1">
        <f ca="1">IFERROR(__xludf.DUMMYFUNCTION("""COMPUTED_VALUE"""),358.81)</f>
        <v>358.81</v>
      </c>
      <c r="K319" s="1">
        <f ca="1">IFERROR(__xludf.DUMMYFUNCTION("""COMPUTED_VALUE"""),48.25)</f>
        <v>48.25</v>
      </c>
      <c r="L319" s="1">
        <f ca="1">IFERROR(__xludf.DUMMYFUNCTION("""COMPUTED_VALUE"""),493.41)</f>
        <v>493.41</v>
      </c>
      <c r="M319" s="1">
        <f ca="1">IFERROR(__xludf.DUMMYFUNCTION("""COMPUTED_VALUE"""),546.99)</f>
        <v>546.99</v>
      </c>
    </row>
    <row r="320" spans="1:13" x14ac:dyDescent="0.25">
      <c r="A320" s="2">
        <f ca="1">IFERROR(__xludf.DUMMYFUNCTION("""COMPUTED_VALUE"""),44295.6666666666)</f>
        <v>44295.666666666599</v>
      </c>
      <c r="B320" s="1">
        <f ca="1">IFERROR(__xludf.DUMMYFUNCTION("""COMPUTED_VALUE"""),133)</f>
        <v>133</v>
      </c>
      <c r="C320" s="1">
        <f ca="1">IFERROR(__xludf.DUMMYFUNCTION("""COMPUTED_VALUE"""),253.25)</f>
        <v>253.25</v>
      </c>
      <c r="D320" s="1">
        <f ca="1">IFERROR(__xludf.DUMMYFUNCTION("""COMPUTED_VALUE"""),164.97)</f>
        <v>164.97</v>
      </c>
      <c r="E320" s="1">
        <f ca="1">IFERROR(__xludf.DUMMYFUNCTION("""COMPUTED_VALUE"""),14.32)</f>
        <v>14.32</v>
      </c>
      <c r="F320" s="1">
        <f ca="1">IFERROR(__xludf.DUMMYFUNCTION("""COMPUTED_VALUE"""),313.02)</f>
        <v>313.02</v>
      </c>
      <c r="G320" s="1">
        <f ca="1">IFERROR(__xludf.DUMMYFUNCTION("""COMPUTED_VALUE"""),113.27)</f>
        <v>113.27</v>
      </c>
      <c r="H320" s="1">
        <f ca="1">IFERROR(__xludf.DUMMYFUNCTION("""COMPUTED_VALUE"""),227.93)</f>
        <v>227.93</v>
      </c>
      <c r="I320" s="1">
        <f ca="1">IFERROR(__xludf.DUMMYFUNCTION("""COMPUTED_VALUE"""),142.54)</f>
        <v>142.54</v>
      </c>
      <c r="J320" s="1">
        <f ca="1">IFERROR(__xludf.DUMMYFUNCTION("""COMPUTED_VALUE"""),361.22)</f>
        <v>361.22</v>
      </c>
      <c r="K320" s="1">
        <f ca="1">IFERROR(__xludf.DUMMYFUNCTION("""COMPUTED_VALUE"""),48.55)</f>
        <v>48.55</v>
      </c>
      <c r="L320" s="1">
        <f ca="1">IFERROR(__xludf.DUMMYFUNCTION("""COMPUTED_VALUE"""),499.84)</f>
        <v>499.84</v>
      </c>
      <c r="M320" s="1">
        <f ca="1">IFERROR(__xludf.DUMMYFUNCTION("""COMPUTED_VALUE"""),554.58)</f>
        <v>554.58000000000004</v>
      </c>
    </row>
    <row r="321" spans="1:13" x14ac:dyDescent="0.25">
      <c r="A321" s="2">
        <f ca="1">IFERROR(__xludf.DUMMYFUNCTION("""COMPUTED_VALUE"""),44298.6666666666)</f>
        <v>44298.666666666599</v>
      </c>
      <c r="B321" s="1">
        <f ca="1">IFERROR(__xludf.DUMMYFUNCTION("""COMPUTED_VALUE"""),131.24)</f>
        <v>131.24</v>
      </c>
      <c r="C321" s="1">
        <f ca="1">IFERROR(__xludf.DUMMYFUNCTION("""COMPUTED_VALUE"""),255.85)</f>
        <v>255.85</v>
      </c>
      <c r="D321" s="1">
        <f ca="1">IFERROR(__xludf.DUMMYFUNCTION("""COMPUTED_VALUE"""),168.61)</f>
        <v>168.61</v>
      </c>
      <c r="E321" s="1">
        <f ca="1">IFERROR(__xludf.DUMMYFUNCTION("""COMPUTED_VALUE"""),14.4)</f>
        <v>14.4</v>
      </c>
      <c r="F321" s="1">
        <f ca="1">IFERROR(__xludf.DUMMYFUNCTION("""COMPUTED_VALUE"""),312.46)</f>
        <v>312.45999999999998</v>
      </c>
      <c r="G321" s="1">
        <f ca="1">IFERROR(__xludf.DUMMYFUNCTION("""COMPUTED_VALUE"""),114.29)</f>
        <v>114.29</v>
      </c>
      <c r="H321" s="1">
        <f ca="1">IFERROR(__xludf.DUMMYFUNCTION("""COMPUTED_VALUE"""),225.67)</f>
        <v>225.67</v>
      </c>
      <c r="I321" s="1">
        <f ca="1">IFERROR(__xludf.DUMMYFUNCTION("""COMPUTED_VALUE"""),142.57)</f>
        <v>142.57</v>
      </c>
      <c r="J321" s="1">
        <f ca="1">IFERROR(__xludf.DUMMYFUNCTION("""COMPUTED_VALUE"""),363.21)</f>
        <v>363.21</v>
      </c>
      <c r="K321" s="1">
        <f ca="1">IFERROR(__xludf.DUMMYFUNCTION("""COMPUTED_VALUE"""),48.51)</f>
        <v>48.51</v>
      </c>
      <c r="L321" s="1">
        <f ca="1">IFERROR(__xludf.DUMMYFUNCTION("""COMPUTED_VALUE"""),504.04)</f>
        <v>504.04</v>
      </c>
      <c r="M321" s="1">
        <f ca="1">IFERROR(__xludf.DUMMYFUNCTION("""COMPUTED_VALUE"""),555.31)</f>
        <v>555.30999999999995</v>
      </c>
    </row>
    <row r="322" spans="1:13" x14ac:dyDescent="0.25">
      <c r="A322" s="2">
        <f ca="1">IFERROR(__xludf.DUMMYFUNCTION("""COMPUTED_VALUE"""),44299.6666666666)</f>
        <v>44299.666666666599</v>
      </c>
      <c r="B322" s="1">
        <f ca="1">IFERROR(__xludf.DUMMYFUNCTION("""COMPUTED_VALUE"""),134.43)</f>
        <v>134.43</v>
      </c>
      <c r="C322" s="1">
        <f ca="1">IFERROR(__xludf.DUMMYFUNCTION("""COMPUTED_VALUE"""),255.91)</f>
        <v>255.91</v>
      </c>
      <c r="D322" s="1">
        <f ca="1">IFERROR(__xludf.DUMMYFUNCTION("""COMPUTED_VALUE"""),168.97)</f>
        <v>168.97</v>
      </c>
      <c r="E322" s="1">
        <f ca="1">IFERROR(__xludf.DUMMYFUNCTION("""COMPUTED_VALUE"""),15.21)</f>
        <v>15.21</v>
      </c>
      <c r="F322" s="1">
        <f ca="1">IFERROR(__xludf.DUMMYFUNCTION("""COMPUTED_VALUE"""),311.54)</f>
        <v>311.54000000000002</v>
      </c>
      <c r="G322" s="1">
        <f ca="1">IFERROR(__xludf.DUMMYFUNCTION("""COMPUTED_VALUE"""),112.74)</f>
        <v>112.74</v>
      </c>
      <c r="H322" s="1">
        <f ca="1">IFERROR(__xludf.DUMMYFUNCTION("""COMPUTED_VALUE"""),233.99)</f>
        <v>233.99</v>
      </c>
      <c r="I322" s="1">
        <f ca="1">IFERROR(__xludf.DUMMYFUNCTION("""COMPUTED_VALUE"""),143.02)</f>
        <v>143.02000000000001</v>
      </c>
      <c r="J322" s="1">
        <f ca="1">IFERROR(__xludf.DUMMYFUNCTION("""COMPUTED_VALUE"""),364.81)</f>
        <v>364.81</v>
      </c>
      <c r="K322" s="1">
        <f ca="1">IFERROR(__xludf.DUMMYFUNCTION("""COMPUTED_VALUE"""),48.37)</f>
        <v>48.37</v>
      </c>
      <c r="L322" s="1">
        <f ca="1">IFERROR(__xludf.DUMMYFUNCTION("""COMPUTED_VALUE"""),506.03)</f>
        <v>506.03</v>
      </c>
      <c r="M322" s="1">
        <f ca="1">IFERROR(__xludf.DUMMYFUNCTION("""COMPUTED_VALUE"""),552.78)</f>
        <v>552.78</v>
      </c>
    </row>
    <row r="323" spans="1:13" x14ac:dyDescent="0.25">
      <c r="A323" s="2">
        <f ca="1">IFERROR(__xludf.DUMMYFUNCTION("""COMPUTED_VALUE"""),44300.6666666666)</f>
        <v>44300.666666666599</v>
      </c>
      <c r="B323" s="1">
        <f ca="1">IFERROR(__xludf.DUMMYFUNCTION("""COMPUTED_VALUE"""),132.03)</f>
        <v>132.03</v>
      </c>
      <c r="C323" s="1">
        <f ca="1">IFERROR(__xludf.DUMMYFUNCTION("""COMPUTED_VALUE"""),258.49)</f>
        <v>258.49</v>
      </c>
      <c r="D323" s="1">
        <f ca="1">IFERROR(__xludf.DUMMYFUNCTION("""COMPUTED_VALUE"""),170)</f>
        <v>170</v>
      </c>
      <c r="E323" s="1">
        <f ca="1">IFERROR(__xludf.DUMMYFUNCTION("""COMPUTED_VALUE"""),15.68)</f>
        <v>15.68</v>
      </c>
      <c r="F323" s="1">
        <f ca="1">IFERROR(__xludf.DUMMYFUNCTION("""COMPUTED_VALUE"""),309.76)</f>
        <v>309.76</v>
      </c>
      <c r="G323" s="1">
        <f ca="1">IFERROR(__xludf.DUMMYFUNCTION("""COMPUTED_VALUE"""),113.36)</f>
        <v>113.36</v>
      </c>
      <c r="H323" s="1">
        <f ca="1">IFERROR(__xludf.DUMMYFUNCTION("""COMPUTED_VALUE"""),254.11)</f>
        <v>254.11</v>
      </c>
      <c r="I323" s="1">
        <f ca="1">IFERROR(__xludf.DUMMYFUNCTION("""COMPUTED_VALUE"""),143.05)</f>
        <v>143.05000000000001</v>
      </c>
      <c r="J323" s="1">
        <f ca="1">IFERROR(__xludf.DUMMYFUNCTION("""COMPUTED_VALUE"""),365.21)</f>
        <v>365.21</v>
      </c>
      <c r="K323" s="1">
        <f ca="1">IFERROR(__xludf.DUMMYFUNCTION("""COMPUTED_VALUE"""),48.5)</f>
        <v>48.5</v>
      </c>
      <c r="L323" s="1">
        <f ca="1">IFERROR(__xludf.DUMMYFUNCTION("""COMPUTED_VALUE"""),514.86)</f>
        <v>514.86</v>
      </c>
      <c r="M323" s="1">
        <f ca="1">IFERROR(__xludf.DUMMYFUNCTION("""COMPUTED_VALUE"""),553.73)</f>
        <v>553.73</v>
      </c>
    </row>
    <row r="324" spans="1:13" x14ac:dyDescent="0.25">
      <c r="A324" s="2">
        <f ca="1">IFERROR(__xludf.DUMMYFUNCTION("""COMPUTED_VALUE"""),44301.6666666666)</f>
        <v>44301.666666666599</v>
      </c>
      <c r="B324" s="1">
        <f ca="1">IFERROR(__xludf.DUMMYFUNCTION("""COMPUTED_VALUE"""),134.5)</f>
        <v>134.5</v>
      </c>
      <c r="C324" s="1">
        <f ca="1">IFERROR(__xludf.DUMMYFUNCTION("""COMPUTED_VALUE"""),255.59)</f>
        <v>255.59</v>
      </c>
      <c r="D324" s="1">
        <f ca="1">IFERROR(__xludf.DUMMYFUNCTION("""COMPUTED_VALUE"""),166.65)</f>
        <v>166.65</v>
      </c>
      <c r="E324" s="1">
        <f ca="1">IFERROR(__xludf.DUMMYFUNCTION("""COMPUTED_VALUE"""),15.28)</f>
        <v>15.28</v>
      </c>
      <c r="F324" s="1">
        <f ca="1">IFERROR(__xludf.DUMMYFUNCTION("""COMPUTED_VALUE"""),302.82)</f>
        <v>302.82</v>
      </c>
      <c r="G324" s="1">
        <f ca="1">IFERROR(__xludf.DUMMYFUNCTION("""COMPUTED_VALUE"""),112.74)</f>
        <v>112.74</v>
      </c>
      <c r="H324" s="1">
        <f ca="1">IFERROR(__xludf.DUMMYFUNCTION("""COMPUTED_VALUE"""),244.08)</f>
        <v>244.08</v>
      </c>
      <c r="I324" s="1">
        <f ca="1">IFERROR(__xludf.DUMMYFUNCTION("""COMPUTED_VALUE"""),142.11)</f>
        <v>142.11000000000001</v>
      </c>
      <c r="J324" s="1">
        <f ca="1">IFERROR(__xludf.DUMMYFUNCTION("""COMPUTED_VALUE"""),363.17)</f>
        <v>363.17</v>
      </c>
      <c r="K324" s="1">
        <f ca="1">IFERROR(__xludf.DUMMYFUNCTION("""COMPUTED_VALUE"""),47.73)</f>
        <v>47.73</v>
      </c>
      <c r="L324" s="1">
        <f ca="1">IFERROR(__xludf.DUMMYFUNCTION("""COMPUTED_VALUE"""),510.63)</f>
        <v>510.63</v>
      </c>
      <c r="M324" s="1">
        <f ca="1">IFERROR(__xludf.DUMMYFUNCTION("""COMPUTED_VALUE"""),540.02)</f>
        <v>540.02</v>
      </c>
    </row>
    <row r="325" spans="1:13" x14ac:dyDescent="0.25">
      <c r="A325" s="2">
        <f ca="1">IFERROR(__xludf.DUMMYFUNCTION("""COMPUTED_VALUE"""),44302.6666666666)</f>
        <v>44302.666666666599</v>
      </c>
      <c r="B325" s="1">
        <f ca="1">IFERROR(__xludf.DUMMYFUNCTION("""COMPUTED_VALUE"""),134.16)</f>
        <v>134.16</v>
      </c>
      <c r="C325" s="1">
        <f ca="1">IFERROR(__xludf.DUMMYFUNCTION("""COMPUTED_VALUE"""),259.5)</f>
        <v>259.5</v>
      </c>
      <c r="D325" s="1">
        <f ca="1">IFERROR(__xludf.DUMMYFUNCTION("""COMPUTED_VALUE"""),168.95)</f>
        <v>168.95</v>
      </c>
      <c r="E325" s="1">
        <f ca="1">IFERROR(__xludf.DUMMYFUNCTION("""COMPUTED_VALUE"""),16.14)</f>
        <v>16.14</v>
      </c>
      <c r="F325" s="1">
        <f ca="1">IFERROR(__xludf.DUMMYFUNCTION("""COMPUTED_VALUE"""),307.82)</f>
        <v>307.82</v>
      </c>
      <c r="G325" s="1">
        <f ca="1">IFERROR(__xludf.DUMMYFUNCTION("""COMPUTED_VALUE"""),114.83)</f>
        <v>114.83</v>
      </c>
      <c r="H325" s="1">
        <f ca="1">IFERROR(__xludf.DUMMYFUNCTION("""COMPUTED_VALUE"""),246.28)</f>
        <v>246.28</v>
      </c>
      <c r="I325" s="1">
        <f ca="1">IFERROR(__xludf.DUMMYFUNCTION("""COMPUTED_VALUE"""),142.31)</f>
        <v>142.31</v>
      </c>
      <c r="J325" s="1">
        <f ca="1">IFERROR(__xludf.DUMMYFUNCTION("""COMPUTED_VALUE"""),368.8)</f>
        <v>368.8</v>
      </c>
      <c r="K325" s="1">
        <f ca="1">IFERROR(__xludf.DUMMYFUNCTION("""COMPUTED_VALUE"""),48)</f>
        <v>48</v>
      </c>
      <c r="L325" s="1">
        <f ca="1">IFERROR(__xludf.DUMMYFUNCTION("""COMPUTED_VALUE"""),523.25)</f>
        <v>523.25</v>
      </c>
      <c r="M325" s="1">
        <f ca="1">IFERROR(__xludf.DUMMYFUNCTION("""COMPUTED_VALUE"""),549.22)</f>
        <v>549.22</v>
      </c>
    </row>
    <row r="326" spans="1:13" x14ac:dyDescent="0.25">
      <c r="A326" s="2">
        <f ca="1">IFERROR(__xludf.DUMMYFUNCTION("""COMPUTED_VALUE"""),44305.6666666666)</f>
        <v>44305.666666666599</v>
      </c>
      <c r="B326" s="1">
        <f ca="1">IFERROR(__xludf.DUMMYFUNCTION("""COMPUTED_VALUE"""),134.84)</f>
        <v>134.84</v>
      </c>
      <c r="C326" s="1">
        <f ca="1">IFERROR(__xludf.DUMMYFUNCTION("""COMPUTED_VALUE"""),260.74)</f>
        <v>260.74</v>
      </c>
      <c r="D326" s="1">
        <f ca="1">IFERROR(__xludf.DUMMYFUNCTION("""COMPUTED_VALUE"""),169.97)</f>
        <v>169.97</v>
      </c>
      <c r="E326" s="1">
        <f ca="1">IFERROR(__xludf.DUMMYFUNCTION("""COMPUTED_VALUE"""),15.91)</f>
        <v>15.91</v>
      </c>
      <c r="F326" s="1">
        <f ca="1">IFERROR(__xludf.DUMMYFUNCTION("""COMPUTED_VALUE"""),306.18)</f>
        <v>306.18</v>
      </c>
      <c r="G326" s="1">
        <f ca="1">IFERROR(__xludf.DUMMYFUNCTION("""COMPUTED_VALUE"""),114.89)</f>
        <v>114.89</v>
      </c>
      <c r="H326" s="1">
        <f ca="1">IFERROR(__xludf.DUMMYFUNCTION("""COMPUTED_VALUE"""),246.59)</f>
        <v>246.59</v>
      </c>
      <c r="I326" s="1">
        <f ca="1">IFERROR(__xludf.DUMMYFUNCTION("""COMPUTED_VALUE"""),144.16)</f>
        <v>144.16</v>
      </c>
      <c r="J326" s="1">
        <f ca="1">IFERROR(__xludf.DUMMYFUNCTION("""COMPUTED_VALUE"""),370.72)</f>
        <v>370.72</v>
      </c>
      <c r="K326" s="1">
        <f ca="1">IFERROR(__xludf.DUMMYFUNCTION("""COMPUTED_VALUE"""),47.88)</f>
        <v>47.88</v>
      </c>
      <c r="L326" s="1">
        <f ca="1">IFERROR(__xludf.DUMMYFUNCTION("""COMPUTED_VALUE"""),525.08)</f>
        <v>525.08000000000004</v>
      </c>
      <c r="M326" s="1">
        <f ca="1">IFERROR(__xludf.DUMMYFUNCTION("""COMPUTED_VALUE"""),546.54)</f>
        <v>546.54</v>
      </c>
    </row>
    <row r="327" spans="1:13" x14ac:dyDescent="0.25">
      <c r="A327" s="2">
        <f ca="1">IFERROR(__xludf.DUMMYFUNCTION("""COMPUTED_VALUE"""),44306.6666666666)</f>
        <v>44306.666666666599</v>
      </c>
      <c r="B327" s="1">
        <f ca="1">IFERROR(__xludf.DUMMYFUNCTION("""COMPUTED_VALUE"""),133.11)</f>
        <v>133.11000000000001</v>
      </c>
      <c r="C327" s="1">
        <f ca="1">IFERROR(__xludf.DUMMYFUNCTION("""COMPUTED_VALUE"""),258.74)</f>
        <v>258.74</v>
      </c>
      <c r="D327" s="1">
        <f ca="1">IFERROR(__xludf.DUMMYFUNCTION("""COMPUTED_VALUE"""),168.6)</f>
        <v>168.6</v>
      </c>
      <c r="E327" s="1">
        <f ca="1">IFERROR(__xludf.DUMMYFUNCTION("""COMPUTED_VALUE"""),15.36)</f>
        <v>15.36</v>
      </c>
      <c r="F327" s="1">
        <f ca="1">IFERROR(__xludf.DUMMYFUNCTION("""COMPUTED_VALUE"""),302.24)</f>
        <v>302.24</v>
      </c>
      <c r="G327" s="1">
        <f ca="1">IFERROR(__xludf.DUMMYFUNCTION("""COMPUTED_VALUE"""),115.12)</f>
        <v>115.12</v>
      </c>
      <c r="H327" s="1">
        <f ca="1">IFERROR(__xludf.DUMMYFUNCTION("""COMPUTED_VALUE"""),238.21)</f>
        <v>238.21</v>
      </c>
      <c r="I327" s="1">
        <f ca="1">IFERROR(__xludf.DUMMYFUNCTION("""COMPUTED_VALUE"""),144.75)</f>
        <v>144.75</v>
      </c>
      <c r="J327" s="1">
        <f ca="1">IFERROR(__xludf.DUMMYFUNCTION("""COMPUTED_VALUE"""),369.55)</f>
        <v>369.55</v>
      </c>
      <c r="K327" s="1">
        <f ca="1">IFERROR(__xludf.DUMMYFUNCTION("""COMPUTED_VALUE"""),46.2)</f>
        <v>46.2</v>
      </c>
      <c r="L327" s="1">
        <f ca="1">IFERROR(__xludf.DUMMYFUNCTION("""COMPUTED_VALUE"""),516.17)</f>
        <v>516.16999999999996</v>
      </c>
      <c r="M327" s="1">
        <f ca="1">IFERROR(__xludf.DUMMYFUNCTION("""COMPUTED_VALUE"""),554.44)</f>
        <v>554.44000000000005</v>
      </c>
    </row>
    <row r="328" spans="1:13" x14ac:dyDescent="0.25">
      <c r="A328" s="2">
        <f ca="1">IFERROR(__xludf.DUMMYFUNCTION("""COMPUTED_VALUE"""),44307.6666666666)</f>
        <v>44307.666666666599</v>
      </c>
      <c r="B328" s="1">
        <f ca="1">IFERROR(__xludf.DUMMYFUNCTION("""COMPUTED_VALUE"""),133.5)</f>
        <v>133.5</v>
      </c>
      <c r="C328" s="1">
        <f ca="1">IFERROR(__xludf.DUMMYFUNCTION("""COMPUTED_VALUE"""),258.26)</f>
        <v>258.26</v>
      </c>
      <c r="D328" s="1">
        <f ca="1">IFERROR(__xludf.DUMMYFUNCTION("""COMPUTED_VALUE"""),166.73)</f>
        <v>166.73</v>
      </c>
      <c r="E328" s="1">
        <f ca="1">IFERROR(__xludf.DUMMYFUNCTION("""COMPUTED_VALUE"""),15.17)</f>
        <v>15.17</v>
      </c>
      <c r="F328" s="1">
        <f ca="1">IFERROR(__xludf.DUMMYFUNCTION("""COMPUTED_VALUE"""),302.65)</f>
        <v>302.64999999999998</v>
      </c>
      <c r="G328" s="1">
        <f ca="1">IFERROR(__xludf.DUMMYFUNCTION("""COMPUTED_VALUE"""),114.68)</f>
        <v>114.68</v>
      </c>
      <c r="H328" s="1">
        <f ca="1">IFERROR(__xludf.DUMMYFUNCTION("""COMPUTED_VALUE"""),239.66)</f>
        <v>239.66</v>
      </c>
      <c r="I328" s="1">
        <f ca="1">IFERROR(__xludf.DUMMYFUNCTION("""COMPUTED_VALUE"""),145.71)</f>
        <v>145.71</v>
      </c>
      <c r="J328" s="1">
        <f ca="1">IFERROR(__xludf.DUMMYFUNCTION("""COMPUTED_VALUE"""),371.73)</f>
        <v>371.73</v>
      </c>
      <c r="K328" s="1">
        <f ca="1">IFERROR(__xludf.DUMMYFUNCTION("""COMPUTED_VALUE"""),45.73)</f>
        <v>45.73</v>
      </c>
      <c r="L328" s="1">
        <f ca="1">IFERROR(__xludf.DUMMYFUNCTION("""COMPUTED_VALUE"""),514.21)</f>
        <v>514.21</v>
      </c>
      <c r="M328" s="1">
        <f ca="1">IFERROR(__xludf.DUMMYFUNCTION("""COMPUTED_VALUE"""),549.57)</f>
        <v>549.57000000000005</v>
      </c>
    </row>
    <row r="329" spans="1:13" x14ac:dyDescent="0.25">
      <c r="A329" s="2">
        <f ca="1">IFERROR(__xludf.DUMMYFUNCTION("""COMPUTED_VALUE"""),44308.6666666666)</f>
        <v>44308.666666666599</v>
      </c>
      <c r="B329" s="1">
        <f ca="1">IFERROR(__xludf.DUMMYFUNCTION("""COMPUTED_VALUE"""),131.94)</f>
        <v>131.94</v>
      </c>
      <c r="C329" s="1">
        <f ca="1">IFERROR(__xludf.DUMMYFUNCTION("""COMPUTED_VALUE"""),260.58)</f>
        <v>260.58</v>
      </c>
      <c r="D329" s="1">
        <f ca="1">IFERROR(__xludf.DUMMYFUNCTION("""COMPUTED_VALUE"""),168.1)</f>
        <v>168.1</v>
      </c>
      <c r="E329" s="1">
        <f ca="1">IFERROR(__xludf.DUMMYFUNCTION("""COMPUTED_VALUE"""),15.36)</f>
        <v>15.36</v>
      </c>
      <c r="F329" s="1">
        <f ca="1">IFERROR(__xludf.DUMMYFUNCTION("""COMPUTED_VALUE"""),301.47)</f>
        <v>301.47000000000003</v>
      </c>
      <c r="G329" s="1">
        <f ca="1">IFERROR(__xludf.DUMMYFUNCTION("""COMPUTED_VALUE"""),114.66)</f>
        <v>114.66</v>
      </c>
      <c r="H329" s="1">
        <f ca="1">IFERROR(__xludf.DUMMYFUNCTION("""COMPUTED_VALUE"""),248.04)</f>
        <v>248.04</v>
      </c>
      <c r="I329" s="1">
        <f ca="1">IFERROR(__xludf.DUMMYFUNCTION("""COMPUTED_VALUE"""),146.98)</f>
        <v>146.97999999999999</v>
      </c>
      <c r="J329" s="1">
        <f ca="1">IFERROR(__xludf.DUMMYFUNCTION("""COMPUTED_VALUE"""),374.09)</f>
        <v>374.09</v>
      </c>
      <c r="K329" s="1">
        <f ca="1">IFERROR(__xludf.DUMMYFUNCTION("""COMPUTED_VALUE"""),45.98)</f>
        <v>45.98</v>
      </c>
      <c r="L329" s="1">
        <f ca="1">IFERROR(__xludf.DUMMYFUNCTION("""COMPUTED_VALUE"""),512.34)</f>
        <v>512.34</v>
      </c>
      <c r="M329" s="1">
        <f ca="1">IFERROR(__xludf.DUMMYFUNCTION("""COMPUTED_VALUE"""),508.9)</f>
        <v>508.9</v>
      </c>
    </row>
    <row r="330" spans="1:13" x14ac:dyDescent="0.25">
      <c r="A330" s="2">
        <f ca="1">IFERROR(__xludf.DUMMYFUNCTION("""COMPUTED_VALUE"""),44309.6666666666)</f>
        <v>44309.666666666599</v>
      </c>
      <c r="B330" s="1">
        <f ca="1">IFERROR(__xludf.DUMMYFUNCTION("""COMPUTED_VALUE"""),134.32)</f>
        <v>134.32</v>
      </c>
      <c r="C330" s="1">
        <f ca="1">IFERROR(__xludf.DUMMYFUNCTION("""COMPUTED_VALUE"""),257.17)</f>
        <v>257.17</v>
      </c>
      <c r="D330" s="1">
        <f ca="1">IFERROR(__xludf.DUMMYFUNCTION("""COMPUTED_VALUE"""),165.45)</f>
        <v>165.45</v>
      </c>
      <c r="E330" s="1">
        <f ca="1">IFERROR(__xludf.DUMMYFUNCTION("""COMPUTED_VALUE"""),14.85)</f>
        <v>14.85</v>
      </c>
      <c r="F330" s="1">
        <f ca="1">IFERROR(__xludf.DUMMYFUNCTION("""COMPUTED_VALUE"""),296.52)</f>
        <v>296.52</v>
      </c>
      <c r="G330" s="1">
        <f ca="1">IFERROR(__xludf.DUMMYFUNCTION("""COMPUTED_VALUE"""),113.4)</f>
        <v>113.4</v>
      </c>
      <c r="H330" s="1">
        <f ca="1">IFERROR(__xludf.DUMMYFUNCTION("""COMPUTED_VALUE"""),239.9)</f>
        <v>239.9</v>
      </c>
      <c r="I330" s="1">
        <f ca="1">IFERROR(__xludf.DUMMYFUNCTION("""COMPUTED_VALUE"""),146.07)</f>
        <v>146.07</v>
      </c>
      <c r="J330" s="1">
        <f ca="1">IFERROR(__xludf.DUMMYFUNCTION("""COMPUTED_VALUE"""),371.26)</f>
        <v>371.26</v>
      </c>
      <c r="K330" s="1">
        <f ca="1">IFERROR(__xludf.DUMMYFUNCTION("""COMPUTED_VALUE"""),45.51)</f>
        <v>45.51</v>
      </c>
      <c r="L330" s="1">
        <f ca="1">IFERROR(__xludf.DUMMYFUNCTION("""COMPUTED_VALUE"""),507.29)</f>
        <v>507.29</v>
      </c>
      <c r="M330" s="1">
        <f ca="1">IFERROR(__xludf.DUMMYFUNCTION("""COMPUTED_VALUE"""),508.78)</f>
        <v>508.78</v>
      </c>
    </row>
    <row r="331" spans="1:13" x14ac:dyDescent="0.25">
      <c r="A331" s="2">
        <f ca="1">IFERROR(__xludf.DUMMYFUNCTION("""COMPUTED_VALUE"""),44312.6666666666)</f>
        <v>44312.666666666599</v>
      </c>
      <c r="B331" s="1">
        <f ca="1">IFERROR(__xludf.DUMMYFUNCTION("""COMPUTED_VALUE"""),134.72)</f>
        <v>134.72</v>
      </c>
      <c r="C331" s="1">
        <f ca="1">IFERROR(__xludf.DUMMYFUNCTION("""COMPUTED_VALUE"""),261.15)</f>
        <v>261.14999999999998</v>
      </c>
      <c r="D331" s="1">
        <f ca="1">IFERROR(__xludf.DUMMYFUNCTION("""COMPUTED_VALUE"""),167.04)</f>
        <v>167.04</v>
      </c>
      <c r="E331" s="1">
        <f ca="1">IFERROR(__xludf.DUMMYFUNCTION("""COMPUTED_VALUE"""),15.27)</f>
        <v>15.27</v>
      </c>
      <c r="F331" s="1">
        <f ca="1">IFERROR(__xludf.DUMMYFUNCTION("""COMPUTED_VALUE"""),301.13)</f>
        <v>301.13</v>
      </c>
      <c r="G331" s="1">
        <f ca="1">IFERROR(__xludf.DUMMYFUNCTION("""COMPUTED_VALUE"""),115.77)</f>
        <v>115.77</v>
      </c>
      <c r="H331" s="1">
        <f ca="1">IFERROR(__xludf.DUMMYFUNCTION("""COMPUTED_VALUE"""),243.13)</f>
        <v>243.13</v>
      </c>
      <c r="I331" s="1">
        <f ca="1">IFERROR(__xludf.DUMMYFUNCTION("""COMPUTED_VALUE"""),145.83)</f>
        <v>145.83000000000001</v>
      </c>
      <c r="J331" s="1">
        <f ca="1">IFERROR(__xludf.DUMMYFUNCTION("""COMPUTED_VALUE"""),373.28)</f>
        <v>373.28</v>
      </c>
      <c r="K331" s="1">
        <f ca="1">IFERROR(__xludf.DUMMYFUNCTION("""COMPUTED_VALUE"""),46.61)</f>
        <v>46.61</v>
      </c>
      <c r="L331" s="1">
        <f ca="1">IFERROR(__xludf.DUMMYFUNCTION("""COMPUTED_VALUE"""),515.84)</f>
        <v>515.84</v>
      </c>
      <c r="M331" s="1">
        <f ca="1">IFERROR(__xludf.DUMMYFUNCTION("""COMPUTED_VALUE"""),505.55)</f>
        <v>505.55</v>
      </c>
    </row>
    <row r="332" spans="1:13" x14ac:dyDescent="0.25">
      <c r="A332" s="2">
        <f ca="1">IFERROR(__xludf.DUMMYFUNCTION("""COMPUTED_VALUE"""),44313.6666666666)</f>
        <v>44313.666666666599</v>
      </c>
      <c r="B332" s="1">
        <f ca="1">IFERROR(__xludf.DUMMYFUNCTION("""COMPUTED_VALUE"""),134.39)</f>
        <v>134.38999999999999</v>
      </c>
      <c r="C332" s="1">
        <f ca="1">IFERROR(__xludf.DUMMYFUNCTION("""COMPUTED_VALUE"""),261.55)</f>
        <v>261.55</v>
      </c>
      <c r="D332" s="1">
        <f ca="1">IFERROR(__xludf.DUMMYFUNCTION("""COMPUTED_VALUE"""),170.45)</f>
        <v>170.45</v>
      </c>
      <c r="E332" s="1">
        <f ca="1">IFERROR(__xludf.DUMMYFUNCTION("""COMPUTED_VALUE"""),15.48)</f>
        <v>15.48</v>
      </c>
      <c r="F332" s="1">
        <f ca="1">IFERROR(__xludf.DUMMYFUNCTION("""COMPUTED_VALUE"""),303.04)</f>
        <v>303.04000000000002</v>
      </c>
      <c r="G332" s="1">
        <f ca="1">IFERROR(__xludf.DUMMYFUNCTION("""COMPUTED_VALUE"""),116.34)</f>
        <v>116.34</v>
      </c>
      <c r="H332" s="1">
        <f ca="1">IFERROR(__xludf.DUMMYFUNCTION("""COMPUTED_VALUE"""),246.07)</f>
        <v>246.07</v>
      </c>
      <c r="I332" s="1">
        <f ca="1">IFERROR(__xludf.DUMMYFUNCTION("""COMPUTED_VALUE"""),143.36)</f>
        <v>143.36000000000001</v>
      </c>
      <c r="J332" s="1">
        <f ca="1">IFERROR(__xludf.DUMMYFUNCTION("""COMPUTED_VALUE"""),368.52)</f>
        <v>368.52</v>
      </c>
      <c r="K332" s="1">
        <f ca="1">IFERROR(__xludf.DUMMYFUNCTION("""COMPUTED_VALUE"""),47.19)</f>
        <v>47.19</v>
      </c>
      <c r="L332" s="1">
        <f ca="1">IFERROR(__xludf.DUMMYFUNCTION("""COMPUTED_VALUE"""),515.7)</f>
        <v>515.70000000000005</v>
      </c>
      <c r="M332" s="1">
        <f ca="1">IFERROR(__xludf.DUMMYFUNCTION("""COMPUTED_VALUE"""),510.3)</f>
        <v>510.3</v>
      </c>
    </row>
    <row r="333" spans="1:13" x14ac:dyDescent="0.25">
      <c r="A333" s="2">
        <f ca="1">IFERROR(__xludf.DUMMYFUNCTION("""COMPUTED_VALUE"""),44314.6666666666)</f>
        <v>44314.666666666599</v>
      </c>
      <c r="B333" s="1">
        <f ca="1">IFERROR(__xludf.DUMMYFUNCTION("""COMPUTED_VALUE"""),133.58)</f>
        <v>133.58000000000001</v>
      </c>
      <c r="C333" s="1">
        <f ca="1">IFERROR(__xludf.DUMMYFUNCTION("""COMPUTED_VALUE"""),261.97)</f>
        <v>261.97000000000003</v>
      </c>
      <c r="D333" s="1">
        <f ca="1">IFERROR(__xludf.DUMMYFUNCTION("""COMPUTED_VALUE"""),170.87)</f>
        <v>170.87</v>
      </c>
      <c r="E333" s="1">
        <f ca="1">IFERROR(__xludf.DUMMYFUNCTION("""COMPUTED_VALUE"""),15.38)</f>
        <v>15.38</v>
      </c>
      <c r="F333" s="1">
        <f ca="1">IFERROR(__xludf.DUMMYFUNCTION("""COMPUTED_VALUE"""),303.57)</f>
        <v>303.57</v>
      </c>
      <c r="G333" s="1">
        <f ca="1">IFERROR(__xludf.DUMMYFUNCTION("""COMPUTED_VALUE"""),115.36)</f>
        <v>115.36</v>
      </c>
      <c r="H333" s="1">
        <f ca="1">IFERROR(__xludf.DUMMYFUNCTION("""COMPUTED_VALUE"""),234.91)</f>
        <v>234.91</v>
      </c>
      <c r="I333" s="1">
        <f ca="1">IFERROR(__xludf.DUMMYFUNCTION("""COMPUTED_VALUE"""),142.89)</f>
        <v>142.88999999999999</v>
      </c>
      <c r="J333" s="1">
        <f ca="1">IFERROR(__xludf.DUMMYFUNCTION("""COMPUTED_VALUE"""),370.21)</f>
        <v>370.21</v>
      </c>
      <c r="K333" s="1">
        <f ca="1">IFERROR(__xludf.DUMMYFUNCTION("""COMPUTED_VALUE"""),46.64)</f>
        <v>46.64</v>
      </c>
      <c r="L333" s="1">
        <f ca="1">IFERROR(__xludf.DUMMYFUNCTION("""COMPUTED_VALUE"""),517.32)</f>
        <v>517.32000000000005</v>
      </c>
      <c r="M333" s="1">
        <f ca="1">IFERROR(__xludf.DUMMYFUNCTION("""COMPUTED_VALUE"""),505.55)</f>
        <v>505.55</v>
      </c>
    </row>
    <row r="334" spans="1:13" x14ac:dyDescent="0.25">
      <c r="A334" s="2">
        <f ca="1">IFERROR(__xludf.DUMMYFUNCTION("""COMPUTED_VALUE"""),44315.6666666666)</f>
        <v>44315.666666666599</v>
      </c>
      <c r="B334" s="1">
        <f ca="1">IFERROR(__xludf.DUMMYFUNCTION("""COMPUTED_VALUE"""),133.48)</f>
        <v>133.47999999999999</v>
      </c>
      <c r="C334" s="1">
        <f ca="1">IFERROR(__xludf.DUMMYFUNCTION("""COMPUTED_VALUE"""),254.56)</f>
        <v>254.56</v>
      </c>
      <c r="D334" s="1">
        <f ca="1">IFERROR(__xludf.DUMMYFUNCTION("""COMPUTED_VALUE"""),172.93)</f>
        <v>172.93</v>
      </c>
      <c r="E334" s="1">
        <f ca="1">IFERROR(__xludf.DUMMYFUNCTION("""COMPUTED_VALUE"""),15.28)</f>
        <v>15.28</v>
      </c>
      <c r="F334" s="1">
        <f ca="1">IFERROR(__xludf.DUMMYFUNCTION("""COMPUTED_VALUE"""),307.1)</f>
        <v>307.10000000000002</v>
      </c>
      <c r="G334" s="1">
        <f ca="1">IFERROR(__xludf.DUMMYFUNCTION("""COMPUTED_VALUE"""),119)</f>
        <v>119</v>
      </c>
      <c r="H334" s="1">
        <f ca="1">IFERROR(__xludf.DUMMYFUNCTION("""COMPUTED_VALUE"""),231.47)</f>
        <v>231.47</v>
      </c>
      <c r="I334" s="1">
        <f ca="1">IFERROR(__xludf.DUMMYFUNCTION("""COMPUTED_VALUE"""),141.83)</f>
        <v>141.83000000000001</v>
      </c>
      <c r="J334" s="1">
        <f ca="1">IFERROR(__xludf.DUMMYFUNCTION("""COMPUTED_VALUE"""),369.59)</f>
        <v>369.59</v>
      </c>
      <c r="K334" s="1">
        <f ca="1">IFERROR(__xludf.DUMMYFUNCTION("""COMPUTED_VALUE"""),45.92)</f>
        <v>45.92</v>
      </c>
      <c r="L334" s="1">
        <f ca="1">IFERROR(__xludf.DUMMYFUNCTION("""COMPUTED_VALUE"""),515.48)</f>
        <v>515.48</v>
      </c>
      <c r="M334" s="1">
        <f ca="1">IFERROR(__xludf.DUMMYFUNCTION("""COMPUTED_VALUE"""),506.52)</f>
        <v>506.52</v>
      </c>
    </row>
    <row r="335" spans="1:13" x14ac:dyDescent="0.25">
      <c r="A335" s="2">
        <f ca="1">IFERROR(__xludf.DUMMYFUNCTION("""COMPUTED_VALUE"""),44316.6666666666)</f>
        <v>44316.666666666599</v>
      </c>
      <c r="B335" s="1">
        <f ca="1">IFERROR(__xludf.DUMMYFUNCTION("""COMPUTED_VALUE"""),131.46)</f>
        <v>131.46</v>
      </c>
      <c r="C335" s="1">
        <f ca="1">IFERROR(__xludf.DUMMYFUNCTION("""COMPUTED_VALUE"""),252.51)</f>
        <v>252.51</v>
      </c>
      <c r="D335" s="1">
        <f ca="1">IFERROR(__xludf.DUMMYFUNCTION("""COMPUTED_VALUE"""),173.57)</f>
        <v>173.57</v>
      </c>
      <c r="E335" s="1">
        <f ca="1">IFERROR(__xludf.DUMMYFUNCTION("""COMPUTED_VALUE"""),15.32)</f>
        <v>15.32</v>
      </c>
      <c r="F335" s="1">
        <f ca="1">IFERROR(__xludf.DUMMYFUNCTION("""COMPUTED_VALUE"""),329.51)</f>
        <v>329.51</v>
      </c>
      <c r="G335" s="1">
        <f ca="1">IFERROR(__xludf.DUMMYFUNCTION("""COMPUTED_VALUE"""),121.49)</f>
        <v>121.49</v>
      </c>
      <c r="H335" s="1">
        <f ca="1">IFERROR(__xludf.DUMMYFUNCTION("""COMPUTED_VALUE"""),225.67)</f>
        <v>225.67</v>
      </c>
      <c r="I335" s="1">
        <f ca="1">IFERROR(__xludf.DUMMYFUNCTION("""COMPUTED_VALUE"""),143.94)</f>
        <v>143.94</v>
      </c>
      <c r="J335" s="1">
        <f ca="1">IFERROR(__xludf.DUMMYFUNCTION("""COMPUTED_VALUE"""),373.54)</f>
        <v>373.54</v>
      </c>
      <c r="K335" s="1">
        <f ca="1">IFERROR(__xludf.DUMMYFUNCTION("""COMPUTED_VALUE"""),46.63)</f>
        <v>46.63</v>
      </c>
      <c r="L335" s="1">
        <f ca="1">IFERROR(__xludf.DUMMYFUNCTION("""COMPUTED_VALUE"""),516.09)</f>
        <v>516.09</v>
      </c>
      <c r="M335" s="1">
        <f ca="1">IFERROR(__xludf.DUMMYFUNCTION("""COMPUTED_VALUE"""),509)</f>
        <v>509</v>
      </c>
    </row>
    <row r="336" spans="1:13" x14ac:dyDescent="0.25">
      <c r="A336" s="2">
        <f ca="1">IFERROR(__xludf.DUMMYFUNCTION("""COMPUTED_VALUE"""),44319.6666666666)</f>
        <v>44319.666666666599</v>
      </c>
      <c r="B336" s="1">
        <f ca="1">IFERROR(__xludf.DUMMYFUNCTION("""COMPUTED_VALUE"""),132.54)</f>
        <v>132.54</v>
      </c>
      <c r="C336" s="1">
        <f ca="1">IFERROR(__xludf.DUMMYFUNCTION("""COMPUTED_VALUE"""),252.18)</f>
        <v>252.18</v>
      </c>
      <c r="D336" s="1">
        <f ca="1">IFERROR(__xludf.DUMMYFUNCTION("""COMPUTED_VALUE"""),173.37)</f>
        <v>173.37</v>
      </c>
      <c r="E336" s="1">
        <f ca="1">IFERROR(__xludf.DUMMYFUNCTION("""COMPUTED_VALUE"""),15.01)</f>
        <v>15.01</v>
      </c>
      <c r="F336" s="1">
        <f ca="1">IFERROR(__xludf.DUMMYFUNCTION("""COMPUTED_VALUE"""),325.08)</f>
        <v>325.08</v>
      </c>
      <c r="G336" s="1">
        <f ca="1">IFERROR(__xludf.DUMMYFUNCTION("""COMPUTED_VALUE"""),120.51)</f>
        <v>120.51</v>
      </c>
      <c r="H336" s="1">
        <f ca="1">IFERROR(__xludf.DUMMYFUNCTION("""COMPUTED_VALUE"""),236.48)</f>
        <v>236.48</v>
      </c>
      <c r="I336" s="1">
        <f ca="1">IFERROR(__xludf.DUMMYFUNCTION("""COMPUTED_VALUE"""),144.16)</f>
        <v>144.16</v>
      </c>
      <c r="J336" s="1">
        <f ca="1">IFERROR(__xludf.DUMMYFUNCTION("""COMPUTED_VALUE"""),372.09)</f>
        <v>372.09</v>
      </c>
      <c r="K336" s="1">
        <f ca="1">IFERROR(__xludf.DUMMYFUNCTION("""COMPUTED_VALUE"""),45.62)</f>
        <v>45.62</v>
      </c>
      <c r="L336" s="1">
        <f ca="1">IFERROR(__xludf.DUMMYFUNCTION("""COMPUTED_VALUE"""),508.34)</f>
        <v>508.34</v>
      </c>
      <c r="M336" s="1">
        <f ca="1">IFERROR(__xludf.DUMMYFUNCTION("""COMPUTED_VALUE"""),513.47)</f>
        <v>513.47</v>
      </c>
    </row>
    <row r="337" spans="1:13" x14ac:dyDescent="0.25">
      <c r="A337" s="2">
        <f ca="1">IFERROR(__xludf.DUMMYFUNCTION("""COMPUTED_VALUE"""),44320.6666666666)</f>
        <v>44320.666666666599</v>
      </c>
      <c r="B337" s="1">
        <f ca="1">IFERROR(__xludf.DUMMYFUNCTION("""COMPUTED_VALUE"""),127.85)</f>
        <v>127.85</v>
      </c>
      <c r="C337" s="1">
        <f ca="1">IFERROR(__xludf.DUMMYFUNCTION("""COMPUTED_VALUE"""),251.86)</f>
        <v>251.86</v>
      </c>
      <c r="D337" s="1">
        <f ca="1">IFERROR(__xludf.DUMMYFUNCTION("""COMPUTED_VALUE"""),169.32)</f>
        <v>169.32</v>
      </c>
      <c r="E337" s="1">
        <f ca="1">IFERROR(__xludf.DUMMYFUNCTION("""COMPUTED_VALUE"""),14.84)</f>
        <v>14.84</v>
      </c>
      <c r="F337" s="1">
        <f ca="1">IFERROR(__xludf.DUMMYFUNCTION("""COMPUTED_VALUE"""),322.58)</f>
        <v>322.58</v>
      </c>
      <c r="G337" s="1">
        <f ca="1">IFERROR(__xludf.DUMMYFUNCTION("""COMPUTED_VALUE"""),119.76)</f>
        <v>119.76</v>
      </c>
      <c r="H337" s="1">
        <f ca="1">IFERROR(__xludf.DUMMYFUNCTION("""COMPUTED_VALUE"""),228.3)</f>
        <v>228.3</v>
      </c>
      <c r="I337" s="1">
        <f ca="1">IFERROR(__xludf.DUMMYFUNCTION("""COMPUTED_VALUE"""),145.79)</f>
        <v>145.79</v>
      </c>
      <c r="J337" s="1">
        <f ca="1">IFERROR(__xludf.DUMMYFUNCTION("""COMPUTED_VALUE"""),379.32)</f>
        <v>379.32</v>
      </c>
      <c r="K337" s="1">
        <f ca="1">IFERROR(__xludf.DUMMYFUNCTION("""COMPUTED_VALUE"""),45.01)</f>
        <v>45.01</v>
      </c>
      <c r="L337" s="1">
        <f ca="1">IFERROR(__xludf.DUMMYFUNCTION("""COMPUTED_VALUE"""),503.46)</f>
        <v>503.46</v>
      </c>
      <c r="M337" s="1">
        <f ca="1">IFERROR(__xludf.DUMMYFUNCTION("""COMPUTED_VALUE"""),509.11)</f>
        <v>509.11</v>
      </c>
    </row>
    <row r="338" spans="1:13" x14ac:dyDescent="0.25">
      <c r="A338" s="2">
        <f ca="1">IFERROR(__xludf.DUMMYFUNCTION("""COMPUTED_VALUE"""),44321.6666666666)</f>
        <v>44321.666666666599</v>
      </c>
      <c r="B338" s="1">
        <f ca="1">IFERROR(__xludf.DUMMYFUNCTION("""COMPUTED_VALUE"""),128.1)</f>
        <v>128.1</v>
      </c>
      <c r="C338" s="1">
        <f ca="1">IFERROR(__xludf.DUMMYFUNCTION("""COMPUTED_VALUE"""),247.79)</f>
        <v>247.79</v>
      </c>
      <c r="D338" s="1">
        <f ca="1">IFERROR(__xludf.DUMMYFUNCTION("""COMPUTED_VALUE"""),165.59)</f>
        <v>165.59</v>
      </c>
      <c r="E338" s="1">
        <f ca="1">IFERROR(__xludf.DUMMYFUNCTION("""COMPUTED_VALUE"""),14.35)</f>
        <v>14.35</v>
      </c>
      <c r="F338" s="1">
        <f ca="1">IFERROR(__xludf.DUMMYFUNCTION("""COMPUTED_VALUE"""),318.36)</f>
        <v>318.36</v>
      </c>
      <c r="G338" s="1">
        <f ca="1">IFERROR(__xludf.DUMMYFUNCTION("""COMPUTED_VALUE"""),117.71)</f>
        <v>117.71</v>
      </c>
      <c r="H338" s="1">
        <f ca="1">IFERROR(__xludf.DUMMYFUNCTION("""COMPUTED_VALUE"""),224.53)</f>
        <v>224.53</v>
      </c>
      <c r="I338" s="1">
        <f ca="1">IFERROR(__xludf.DUMMYFUNCTION("""COMPUTED_VALUE"""),143.96)</f>
        <v>143.96</v>
      </c>
      <c r="J338" s="1">
        <f ca="1">IFERROR(__xludf.DUMMYFUNCTION("""COMPUTED_VALUE"""),375.29)</f>
        <v>375.29</v>
      </c>
      <c r="K338" s="1">
        <f ca="1">IFERROR(__xludf.DUMMYFUNCTION("""COMPUTED_VALUE"""),44.45)</f>
        <v>44.45</v>
      </c>
      <c r="L338" s="1">
        <f ca="1">IFERROR(__xludf.DUMMYFUNCTION("""COMPUTED_VALUE"""),490.7)</f>
        <v>490.7</v>
      </c>
      <c r="M338" s="1">
        <f ca="1">IFERROR(__xludf.DUMMYFUNCTION("""COMPUTED_VALUE"""),503.18)</f>
        <v>503.18</v>
      </c>
    </row>
    <row r="339" spans="1:13" x14ac:dyDescent="0.25">
      <c r="A339" s="2">
        <f ca="1">IFERROR(__xludf.DUMMYFUNCTION("""COMPUTED_VALUE"""),44322.6666666666)</f>
        <v>44322.666666666599</v>
      </c>
      <c r="B339" s="1">
        <f ca="1">IFERROR(__xludf.DUMMYFUNCTION("""COMPUTED_VALUE"""),129.74)</f>
        <v>129.74</v>
      </c>
      <c r="C339" s="1">
        <f ca="1">IFERROR(__xludf.DUMMYFUNCTION("""COMPUTED_VALUE"""),246.47)</f>
        <v>246.47</v>
      </c>
      <c r="D339" s="1">
        <f ca="1">IFERROR(__xludf.DUMMYFUNCTION("""COMPUTED_VALUE"""),163.53)</f>
        <v>163.53</v>
      </c>
      <c r="E339" s="1">
        <f ca="1">IFERROR(__xludf.DUMMYFUNCTION("""COMPUTED_VALUE"""),14.46)</f>
        <v>14.46</v>
      </c>
      <c r="F339" s="1">
        <f ca="1">IFERROR(__xludf.DUMMYFUNCTION("""COMPUTED_VALUE"""),315.02)</f>
        <v>315.02</v>
      </c>
      <c r="G339" s="1">
        <f ca="1">IFERROR(__xludf.DUMMYFUNCTION("""COMPUTED_VALUE"""),117.84)</f>
        <v>117.84</v>
      </c>
      <c r="H339" s="1">
        <f ca="1">IFERROR(__xludf.DUMMYFUNCTION("""COMPUTED_VALUE"""),223.65)</f>
        <v>223.65</v>
      </c>
      <c r="I339" s="1">
        <f ca="1">IFERROR(__xludf.DUMMYFUNCTION("""COMPUTED_VALUE"""),143.89)</f>
        <v>143.88999999999999</v>
      </c>
      <c r="J339" s="1">
        <f ca="1">IFERROR(__xludf.DUMMYFUNCTION("""COMPUTED_VALUE"""),372.5)</f>
        <v>372.5</v>
      </c>
      <c r="K339" s="1">
        <f ca="1">IFERROR(__xludf.DUMMYFUNCTION("""COMPUTED_VALUE"""),44.38)</f>
        <v>44.38</v>
      </c>
      <c r="L339" s="1">
        <f ca="1">IFERROR(__xludf.DUMMYFUNCTION("""COMPUTED_VALUE"""),486.69)</f>
        <v>486.69</v>
      </c>
      <c r="M339" s="1">
        <f ca="1">IFERROR(__xludf.DUMMYFUNCTION("""COMPUTED_VALUE"""),496.08)</f>
        <v>496.08</v>
      </c>
    </row>
    <row r="340" spans="1:13" x14ac:dyDescent="0.25">
      <c r="A340" s="2">
        <f ca="1">IFERROR(__xludf.DUMMYFUNCTION("""COMPUTED_VALUE"""),44323.6666666666)</f>
        <v>44323.666666666599</v>
      </c>
      <c r="B340" s="1">
        <f ca="1">IFERROR(__xludf.DUMMYFUNCTION("""COMPUTED_VALUE"""),130.21)</f>
        <v>130.21</v>
      </c>
      <c r="C340" s="1">
        <f ca="1">IFERROR(__xludf.DUMMYFUNCTION("""COMPUTED_VALUE"""),249.73)</f>
        <v>249.73</v>
      </c>
      <c r="D340" s="1">
        <f ca="1">IFERROR(__xludf.DUMMYFUNCTION("""COMPUTED_VALUE"""),165.32)</f>
        <v>165.32</v>
      </c>
      <c r="E340" s="1">
        <f ca="1">IFERROR(__xludf.DUMMYFUNCTION("""COMPUTED_VALUE"""),14.52)</f>
        <v>14.52</v>
      </c>
      <c r="F340" s="1">
        <f ca="1">IFERROR(__xludf.DUMMYFUNCTION("""COMPUTED_VALUE"""),320.02)</f>
        <v>320.02</v>
      </c>
      <c r="G340" s="1">
        <f ca="1">IFERROR(__xludf.DUMMYFUNCTION("""COMPUTED_VALUE"""),119.07)</f>
        <v>119.07</v>
      </c>
      <c r="H340" s="1">
        <f ca="1">IFERROR(__xludf.DUMMYFUNCTION("""COMPUTED_VALUE"""),221.18)</f>
        <v>221.18</v>
      </c>
      <c r="I340" s="1">
        <f ca="1">IFERROR(__xludf.DUMMYFUNCTION("""COMPUTED_VALUE"""),145.56)</f>
        <v>145.56</v>
      </c>
      <c r="J340" s="1">
        <f ca="1">IFERROR(__xludf.DUMMYFUNCTION("""COMPUTED_VALUE"""),382.76)</f>
        <v>382.76</v>
      </c>
      <c r="K340" s="1">
        <f ca="1">IFERROR(__xludf.DUMMYFUNCTION("""COMPUTED_VALUE"""),44.86)</f>
        <v>44.86</v>
      </c>
      <c r="L340" s="1">
        <f ca="1">IFERROR(__xludf.DUMMYFUNCTION("""COMPUTED_VALUE"""),483.61)</f>
        <v>483.61</v>
      </c>
      <c r="M340" s="1">
        <f ca="1">IFERROR(__xludf.DUMMYFUNCTION("""COMPUTED_VALUE"""),499.55)</f>
        <v>499.55</v>
      </c>
    </row>
    <row r="341" spans="1:13" x14ac:dyDescent="0.25">
      <c r="A341" s="2">
        <f ca="1">IFERROR(__xludf.DUMMYFUNCTION("""COMPUTED_VALUE"""),44326.6666666666)</f>
        <v>44326.666666666599</v>
      </c>
      <c r="B341" s="1">
        <f ca="1">IFERROR(__xludf.DUMMYFUNCTION("""COMPUTED_VALUE"""),126.85)</f>
        <v>126.85</v>
      </c>
      <c r="C341" s="1">
        <f ca="1">IFERROR(__xludf.DUMMYFUNCTION("""COMPUTED_VALUE"""),252.46)</f>
        <v>252.46</v>
      </c>
      <c r="D341" s="1">
        <f ca="1">IFERROR(__xludf.DUMMYFUNCTION("""COMPUTED_VALUE"""),164.58)</f>
        <v>164.58</v>
      </c>
      <c r="E341" s="1">
        <f ca="1">IFERROR(__xludf.DUMMYFUNCTION("""COMPUTED_VALUE"""),14.81)</f>
        <v>14.81</v>
      </c>
      <c r="F341" s="1">
        <f ca="1">IFERROR(__xludf.DUMMYFUNCTION("""COMPUTED_VALUE"""),319.08)</f>
        <v>319.08</v>
      </c>
      <c r="G341" s="1">
        <f ca="1">IFERROR(__xludf.DUMMYFUNCTION("""COMPUTED_VALUE"""),119.93)</f>
        <v>119.93</v>
      </c>
      <c r="H341" s="1">
        <f ca="1">IFERROR(__xludf.DUMMYFUNCTION("""COMPUTED_VALUE"""),224.12)</f>
        <v>224.12</v>
      </c>
      <c r="I341" s="1">
        <f ca="1">IFERROR(__xludf.DUMMYFUNCTION("""COMPUTED_VALUE"""),145.56)</f>
        <v>145.56</v>
      </c>
      <c r="J341" s="1">
        <f ca="1">IFERROR(__xludf.DUMMYFUNCTION("""COMPUTED_VALUE"""),384.32)</f>
        <v>384.32</v>
      </c>
      <c r="K341" s="1">
        <f ca="1">IFERROR(__xludf.DUMMYFUNCTION("""COMPUTED_VALUE"""),45.26)</f>
        <v>45.26</v>
      </c>
      <c r="L341" s="1">
        <f ca="1">IFERROR(__xludf.DUMMYFUNCTION("""COMPUTED_VALUE"""),488.73)</f>
        <v>488.73</v>
      </c>
      <c r="M341" s="1">
        <f ca="1">IFERROR(__xludf.DUMMYFUNCTION("""COMPUTED_VALUE"""),503.84)</f>
        <v>503.84</v>
      </c>
    </row>
    <row r="342" spans="1:13" x14ac:dyDescent="0.25">
      <c r="A342" s="2">
        <f ca="1">IFERROR(__xludf.DUMMYFUNCTION("""COMPUTED_VALUE"""),44327.6666666666)</f>
        <v>44327.666666666599</v>
      </c>
      <c r="B342" s="1">
        <f ca="1">IFERROR(__xludf.DUMMYFUNCTION("""COMPUTED_VALUE"""),125.91)</f>
        <v>125.91</v>
      </c>
      <c r="C342" s="1">
        <f ca="1">IFERROR(__xludf.DUMMYFUNCTION("""COMPUTED_VALUE"""),247.18)</f>
        <v>247.18</v>
      </c>
      <c r="D342" s="1">
        <f ca="1">IFERROR(__xludf.DUMMYFUNCTION("""COMPUTED_VALUE"""),159.52)</f>
        <v>159.52000000000001</v>
      </c>
      <c r="E342" s="1">
        <f ca="1">IFERROR(__xludf.DUMMYFUNCTION("""COMPUTED_VALUE"""),14.27)</f>
        <v>14.27</v>
      </c>
      <c r="F342" s="1">
        <f ca="1">IFERROR(__xludf.DUMMYFUNCTION("""COMPUTED_VALUE"""),305.97)</f>
        <v>305.97000000000003</v>
      </c>
      <c r="G342" s="1">
        <f ca="1">IFERROR(__xludf.DUMMYFUNCTION("""COMPUTED_VALUE"""),117.08)</f>
        <v>117.08</v>
      </c>
      <c r="H342" s="1">
        <f ca="1">IFERROR(__xludf.DUMMYFUNCTION("""COMPUTED_VALUE"""),209.68)</f>
        <v>209.68</v>
      </c>
      <c r="I342" s="1">
        <f ca="1">IFERROR(__xludf.DUMMYFUNCTION("""COMPUTED_VALUE"""),146.72)</f>
        <v>146.72</v>
      </c>
      <c r="J342" s="1">
        <f ca="1">IFERROR(__xludf.DUMMYFUNCTION("""COMPUTED_VALUE"""),381.48)</f>
        <v>381.48</v>
      </c>
      <c r="K342" s="1">
        <f ca="1">IFERROR(__xludf.DUMMYFUNCTION("""COMPUTED_VALUE"""),43.61)</f>
        <v>43.61</v>
      </c>
      <c r="L342" s="1">
        <f ca="1">IFERROR(__xludf.DUMMYFUNCTION("""COMPUTED_VALUE"""),479.38)</f>
        <v>479.38</v>
      </c>
      <c r="M342" s="1">
        <f ca="1">IFERROR(__xludf.DUMMYFUNCTION("""COMPUTED_VALUE"""),486.69)</f>
        <v>486.69</v>
      </c>
    </row>
    <row r="343" spans="1:13" x14ac:dyDescent="0.25">
      <c r="A343" s="2">
        <f ca="1">IFERROR(__xludf.DUMMYFUNCTION("""COMPUTED_VALUE"""),44328.6666666666)</f>
        <v>44328.666666666599</v>
      </c>
      <c r="B343" s="1">
        <f ca="1">IFERROR(__xludf.DUMMYFUNCTION("""COMPUTED_VALUE"""),122.77)</f>
        <v>122.77</v>
      </c>
      <c r="C343" s="1">
        <f ca="1">IFERROR(__xludf.DUMMYFUNCTION("""COMPUTED_VALUE"""),246.23)</f>
        <v>246.23</v>
      </c>
      <c r="D343" s="1">
        <f ca="1">IFERROR(__xludf.DUMMYFUNCTION("""COMPUTED_VALUE"""),161.2)</f>
        <v>161.19999999999999</v>
      </c>
      <c r="E343" s="1">
        <f ca="1">IFERROR(__xludf.DUMMYFUNCTION("""COMPUTED_VALUE"""),14.31)</f>
        <v>14.31</v>
      </c>
      <c r="F343" s="1">
        <f ca="1">IFERROR(__xludf.DUMMYFUNCTION("""COMPUTED_VALUE"""),306.53)</f>
        <v>306.52999999999997</v>
      </c>
      <c r="G343" s="1">
        <f ca="1">IFERROR(__xludf.DUMMYFUNCTION("""COMPUTED_VALUE"""),115.44)</f>
        <v>115.44</v>
      </c>
      <c r="H343" s="1">
        <f ca="1">IFERROR(__xludf.DUMMYFUNCTION("""COMPUTED_VALUE"""),205.73)</f>
        <v>205.73</v>
      </c>
      <c r="I343" s="1">
        <f ca="1">IFERROR(__xludf.DUMMYFUNCTION("""COMPUTED_VALUE"""),145.65)</f>
        <v>145.65</v>
      </c>
      <c r="J343" s="1">
        <f ca="1">IFERROR(__xludf.DUMMYFUNCTION("""COMPUTED_VALUE"""),378.18)</f>
        <v>378.18</v>
      </c>
      <c r="K343" s="1">
        <f ca="1">IFERROR(__xludf.DUMMYFUNCTION("""COMPUTED_VALUE"""),44.01)</f>
        <v>44.01</v>
      </c>
      <c r="L343" s="1">
        <f ca="1">IFERROR(__xludf.DUMMYFUNCTION("""COMPUTED_VALUE"""),485.19)</f>
        <v>485.19</v>
      </c>
      <c r="M343" s="1">
        <f ca="1">IFERROR(__xludf.DUMMYFUNCTION("""COMPUTED_VALUE"""),495.08)</f>
        <v>495.08</v>
      </c>
    </row>
    <row r="344" spans="1:13" x14ac:dyDescent="0.25">
      <c r="A344" s="2">
        <f ca="1">IFERROR(__xludf.DUMMYFUNCTION("""COMPUTED_VALUE"""),44329.6666666666)</f>
        <v>44329.666666666599</v>
      </c>
      <c r="B344" s="1">
        <f ca="1">IFERROR(__xludf.DUMMYFUNCTION("""COMPUTED_VALUE"""),124.97)</f>
        <v>124.97</v>
      </c>
      <c r="C344" s="1">
        <f ca="1">IFERROR(__xludf.DUMMYFUNCTION("""COMPUTED_VALUE"""),239)</f>
        <v>239</v>
      </c>
      <c r="D344" s="1">
        <f ca="1">IFERROR(__xludf.DUMMYFUNCTION("""COMPUTED_VALUE"""),157.6)</f>
        <v>157.6</v>
      </c>
      <c r="E344" s="1">
        <f ca="1">IFERROR(__xludf.DUMMYFUNCTION("""COMPUTED_VALUE"""),13.76)</f>
        <v>13.76</v>
      </c>
      <c r="F344" s="1">
        <f ca="1">IFERROR(__xludf.DUMMYFUNCTION("""COMPUTED_VALUE"""),302.55)</f>
        <v>302.55</v>
      </c>
      <c r="G344" s="1">
        <f ca="1">IFERROR(__xludf.DUMMYFUNCTION("""COMPUTED_VALUE"""),111.95)</f>
        <v>111.95</v>
      </c>
      <c r="H344" s="1">
        <f ca="1">IFERROR(__xludf.DUMMYFUNCTION("""COMPUTED_VALUE"""),196.63)</f>
        <v>196.63</v>
      </c>
      <c r="I344" s="1">
        <f ca="1">IFERROR(__xludf.DUMMYFUNCTION("""COMPUTED_VALUE"""),144.23)</f>
        <v>144.22999999999999</v>
      </c>
      <c r="J344" s="1">
        <f ca="1">IFERROR(__xludf.DUMMYFUNCTION("""COMPUTED_VALUE"""),372.2)</f>
        <v>372.2</v>
      </c>
      <c r="K344" s="1">
        <f ca="1">IFERROR(__xludf.DUMMYFUNCTION("""COMPUTED_VALUE"""),42.24)</f>
        <v>42.24</v>
      </c>
      <c r="L344" s="1">
        <f ca="1">IFERROR(__xludf.DUMMYFUNCTION("""COMPUTED_VALUE"""),472.09)</f>
        <v>472.09</v>
      </c>
      <c r="M344" s="1">
        <f ca="1">IFERROR(__xludf.DUMMYFUNCTION("""COMPUTED_VALUE"""),484.98)</f>
        <v>484.98</v>
      </c>
    </row>
    <row r="345" spans="1:13" x14ac:dyDescent="0.25">
      <c r="A345" s="2">
        <f ca="1">IFERROR(__xludf.DUMMYFUNCTION("""COMPUTED_VALUE"""),44330.6666666666)</f>
        <v>44330.666666666599</v>
      </c>
      <c r="B345" s="1">
        <f ca="1">IFERROR(__xludf.DUMMYFUNCTION("""COMPUTED_VALUE"""),127.45)</f>
        <v>127.45</v>
      </c>
      <c r="C345" s="1">
        <f ca="1">IFERROR(__xludf.DUMMYFUNCTION("""COMPUTED_VALUE"""),243.03)</f>
        <v>243.03</v>
      </c>
      <c r="D345" s="1">
        <f ca="1">IFERROR(__xludf.DUMMYFUNCTION("""COMPUTED_VALUE"""),158.07)</f>
        <v>158.07</v>
      </c>
      <c r="E345" s="1">
        <f ca="1">IFERROR(__xludf.DUMMYFUNCTION("""COMPUTED_VALUE"""),13.67)</f>
        <v>13.67</v>
      </c>
      <c r="F345" s="1">
        <f ca="1">IFERROR(__xludf.DUMMYFUNCTION("""COMPUTED_VALUE"""),305.26)</f>
        <v>305.26</v>
      </c>
      <c r="G345" s="1">
        <f ca="1">IFERROR(__xludf.DUMMYFUNCTION("""COMPUTED_VALUE"""),113.1)</f>
        <v>113.1</v>
      </c>
      <c r="H345" s="1">
        <f ca="1">IFERROR(__xludf.DUMMYFUNCTION("""COMPUTED_VALUE"""),190.56)</f>
        <v>190.56</v>
      </c>
      <c r="I345" s="1">
        <f ca="1">IFERROR(__xludf.DUMMYFUNCTION("""COMPUTED_VALUE"""),146.37)</f>
        <v>146.37</v>
      </c>
      <c r="J345" s="1">
        <f ca="1">IFERROR(__xludf.DUMMYFUNCTION("""COMPUTED_VALUE"""),379.53)</f>
        <v>379.53</v>
      </c>
      <c r="K345" s="1">
        <f ca="1">IFERROR(__xludf.DUMMYFUNCTION("""COMPUTED_VALUE"""),43.06)</f>
        <v>43.06</v>
      </c>
      <c r="L345" s="1">
        <f ca="1">IFERROR(__xludf.DUMMYFUNCTION("""COMPUTED_VALUE"""),474.16)</f>
        <v>474.16</v>
      </c>
      <c r="M345" s="1">
        <f ca="1">IFERROR(__xludf.DUMMYFUNCTION("""COMPUTED_VALUE"""),486.66)</f>
        <v>486.66</v>
      </c>
    </row>
    <row r="346" spans="1:13" x14ac:dyDescent="0.25">
      <c r="A346" s="2">
        <f ca="1">IFERROR(__xludf.DUMMYFUNCTION("""COMPUTED_VALUE"""),44333.6666666666)</f>
        <v>44333.666666666599</v>
      </c>
      <c r="B346" s="1">
        <f ca="1">IFERROR(__xludf.DUMMYFUNCTION("""COMPUTED_VALUE"""),126.27)</f>
        <v>126.27</v>
      </c>
      <c r="C346" s="1">
        <f ca="1">IFERROR(__xludf.DUMMYFUNCTION("""COMPUTED_VALUE"""),248.15)</f>
        <v>248.15</v>
      </c>
      <c r="D346" s="1">
        <f ca="1">IFERROR(__xludf.DUMMYFUNCTION("""COMPUTED_VALUE"""),161.15)</f>
        <v>161.15</v>
      </c>
      <c r="E346" s="1">
        <f ca="1">IFERROR(__xludf.DUMMYFUNCTION("""COMPUTED_VALUE"""),14.24)</f>
        <v>14.24</v>
      </c>
      <c r="F346" s="1">
        <f ca="1">IFERROR(__xludf.DUMMYFUNCTION("""COMPUTED_VALUE"""),315.94)</f>
        <v>315.94</v>
      </c>
      <c r="G346" s="1">
        <f ca="1">IFERROR(__xludf.DUMMYFUNCTION("""COMPUTED_VALUE"""),115.81)</f>
        <v>115.81</v>
      </c>
      <c r="H346" s="1">
        <f ca="1">IFERROR(__xludf.DUMMYFUNCTION("""COMPUTED_VALUE"""),196.58)</f>
        <v>196.58</v>
      </c>
      <c r="I346" s="1">
        <f ca="1">IFERROR(__xludf.DUMMYFUNCTION("""COMPUTED_VALUE"""),146.59)</f>
        <v>146.59</v>
      </c>
      <c r="J346" s="1">
        <f ca="1">IFERROR(__xludf.DUMMYFUNCTION("""COMPUTED_VALUE"""),384.42)</f>
        <v>384.42</v>
      </c>
      <c r="K346" s="1">
        <f ca="1">IFERROR(__xludf.DUMMYFUNCTION("""COMPUTED_VALUE"""),44.16)</f>
        <v>44.16</v>
      </c>
      <c r="L346" s="1">
        <f ca="1">IFERROR(__xludf.DUMMYFUNCTION("""COMPUTED_VALUE"""),486.56)</f>
        <v>486.56</v>
      </c>
      <c r="M346" s="1">
        <f ca="1">IFERROR(__xludf.DUMMYFUNCTION("""COMPUTED_VALUE"""),493.37)</f>
        <v>493.37</v>
      </c>
    </row>
    <row r="347" spans="1:13" x14ac:dyDescent="0.25">
      <c r="A347" s="2">
        <f ca="1">IFERROR(__xludf.DUMMYFUNCTION("""COMPUTED_VALUE"""),44334.6666666666)</f>
        <v>44334.666666666599</v>
      </c>
      <c r="B347" s="1">
        <f ca="1">IFERROR(__xludf.DUMMYFUNCTION("""COMPUTED_VALUE"""),124.85)</f>
        <v>124.85</v>
      </c>
      <c r="C347" s="1">
        <f ca="1">IFERROR(__xludf.DUMMYFUNCTION("""COMPUTED_VALUE"""),245.18)</f>
        <v>245.18</v>
      </c>
      <c r="D347" s="1">
        <f ca="1">IFERROR(__xludf.DUMMYFUNCTION("""COMPUTED_VALUE"""),163.52)</f>
        <v>163.52000000000001</v>
      </c>
      <c r="E347" s="1">
        <f ca="1">IFERROR(__xludf.DUMMYFUNCTION("""COMPUTED_VALUE"""),14.17)</f>
        <v>14.17</v>
      </c>
      <c r="F347" s="1">
        <f ca="1">IFERROR(__xludf.DUMMYFUNCTION("""COMPUTED_VALUE"""),315.46)</f>
        <v>315.45999999999998</v>
      </c>
      <c r="G347" s="1">
        <f ca="1">IFERROR(__xludf.DUMMYFUNCTION("""COMPUTED_VALUE"""),116.07)</f>
        <v>116.07</v>
      </c>
      <c r="H347" s="1">
        <f ca="1">IFERROR(__xludf.DUMMYFUNCTION("""COMPUTED_VALUE"""),192.28)</f>
        <v>192.28</v>
      </c>
      <c r="I347" s="1">
        <f ca="1">IFERROR(__xludf.DUMMYFUNCTION("""COMPUTED_VALUE"""),146.17)</f>
        <v>146.16999999999999</v>
      </c>
      <c r="J347" s="1">
        <f ca="1">IFERROR(__xludf.DUMMYFUNCTION("""COMPUTED_VALUE"""),383.96)</f>
        <v>383.96</v>
      </c>
      <c r="K347" s="1">
        <f ca="1">IFERROR(__xludf.DUMMYFUNCTION("""COMPUTED_VALUE"""),43.99)</f>
        <v>43.99</v>
      </c>
      <c r="L347" s="1">
        <f ca="1">IFERROR(__xludf.DUMMYFUNCTION("""COMPUTED_VALUE"""),482.74)</f>
        <v>482.74</v>
      </c>
      <c r="M347" s="1">
        <f ca="1">IFERROR(__xludf.DUMMYFUNCTION("""COMPUTED_VALUE"""),488.94)</f>
        <v>488.94</v>
      </c>
    </row>
    <row r="348" spans="1:13" x14ac:dyDescent="0.25">
      <c r="A348" s="2">
        <f ca="1">IFERROR(__xludf.DUMMYFUNCTION("""COMPUTED_VALUE"""),44335.6666666666)</f>
        <v>44335.666666666599</v>
      </c>
      <c r="B348" s="1">
        <f ca="1">IFERROR(__xludf.DUMMYFUNCTION("""COMPUTED_VALUE"""),124.69)</f>
        <v>124.69</v>
      </c>
      <c r="C348" s="1">
        <f ca="1">IFERROR(__xludf.DUMMYFUNCTION("""COMPUTED_VALUE"""),243.08)</f>
        <v>243.08</v>
      </c>
      <c r="D348" s="1">
        <f ca="1">IFERROR(__xludf.DUMMYFUNCTION("""COMPUTED_VALUE"""),161.61)</f>
        <v>161.61000000000001</v>
      </c>
      <c r="E348" s="1">
        <f ca="1">IFERROR(__xludf.DUMMYFUNCTION("""COMPUTED_VALUE"""),14.02)</f>
        <v>14.02</v>
      </c>
      <c r="F348" s="1">
        <f ca="1">IFERROR(__xludf.DUMMYFUNCTION("""COMPUTED_VALUE"""),309.96)</f>
        <v>309.95999999999998</v>
      </c>
      <c r="G348" s="1">
        <f ca="1">IFERROR(__xludf.DUMMYFUNCTION("""COMPUTED_VALUE"""),115.17)</f>
        <v>115.17</v>
      </c>
      <c r="H348" s="1">
        <f ca="1">IFERROR(__xludf.DUMMYFUNCTION("""COMPUTED_VALUE"""),192.62)</f>
        <v>192.62</v>
      </c>
      <c r="I348" s="1">
        <f ca="1">IFERROR(__xludf.DUMMYFUNCTION("""COMPUTED_VALUE"""),145.51)</f>
        <v>145.51</v>
      </c>
      <c r="J348" s="1">
        <f ca="1">IFERROR(__xludf.DUMMYFUNCTION("""COMPUTED_VALUE"""),382.81)</f>
        <v>382.81</v>
      </c>
      <c r="K348" s="1">
        <f ca="1">IFERROR(__xludf.DUMMYFUNCTION("""COMPUTED_VALUE"""),43.37)</f>
        <v>43.37</v>
      </c>
      <c r="L348" s="1">
        <f ca="1">IFERROR(__xludf.DUMMYFUNCTION("""COMPUTED_VALUE"""),480.62)</f>
        <v>480.62</v>
      </c>
      <c r="M348" s="1">
        <f ca="1">IFERROR(__xludf.DUMMYFUNCTION("""COMPUTED_VALUE"""),486.28)</f>
        <v>486.28</v>
      </c>
    </row>
    <row r="349" spans="1:13" x14ac:dyDescent="0.25">
      <c r="A349" s="2">
        <f ca="1">IFERROR(__xludf.DUMMYFUNCTION("""COMPUTED_VALUE"""),44336.6666666666)</f>
        <v>44336.666666666599</v>
      </c>
      <c r="B349" s="1">
        <f ca="1">IFERROR(__xludf.DUMMYFUNCTION("""COMPUTED_VALUE"""),127.31)</f>
        <v>127.31</v>
      </c>
      <c r="C349" s="1">
        <f ca="1">IFERROR(__xludf.DUMMYFUNCTION("""COMPUTED_VALUE"""),243.12)</f>
        <v>243.12</v>
      </c>
      <c r="D349" s="1">
        <f ca="1">IFERROR(__xludf.DUMMYFUNCTION("""COMPUTED_VALUE"""),161.59)</f>
        <v>161.59</v>
      </c>
      <c r="E349" s="1">
        <f ca="1">IFERROR(__xludf.DUMMYFUNCTION("""COMPUTED_VALUE"""),14.07)</f>
        <v>14.07</v>
      </c>
      <c r="F349" s="1">
        <f ca="1">IFERROR(__xludf.DUMMYFUNCTION("""COMPUTED_VALUE"""),313.59)</f>
        <v>313.58999999999997</v>
      </c>
      <c r="G349" s="1">
        <f ca="1">IFERROR(__xludf.DUMMYFUNCTION("""COMPUTED_VALUE"""),115.44)</f>
        <v>115.44</v>
      </c>
      <c r="H349" s="1">
        <f ca="1">IFERROR(__xludf.DUMMYFUNCTION("""COMPUTED_VALUE"""),187.82)</f>
        <v>187.82</v>
      </c>
      <c r="I349" s="1">
        <f ca="1">IFERROR(__xludf.DUMMYFUNCTION("""COMPUTED_VALUE"""),145.43)</f>
        <v>145.43</v>
      </c>
      <c r="J349" s="1">
        <f ca="1">IFERROR(__xludf.DUMMYFUNCTION("""COMPUTED_VALUE"""),379.66)</f>
        <v>379.66</v>
      </c>
      <c r="K349" s="1">
        <f ca="1">IFERROR(__xludf.DUMMYFUNCTION("""COMPUTED_VALUE"""),44.17)</f>
        <v>44.17</v>
      </c>
      <c r="L349" s="1">
        <f ca="1">IFERROR(__xludf.DUMMYFUNCTION("""COMPUTED_VALUE"""),480.47)</f>
        <v>480.47</v>
      </c>
      <c r="M349" s="1">
        <f ca="1">IFERROR(__xludf.DUMMYFUNCTION("""COMPUTED_VALUE"""),487.7)</f>
        <v>487.7</v>
      </c>
    </row>
    <row r="350" spans="1:13" x14ac:dyDescent="0.25">
      <c r="A350" s="2">
        <f ca="1">IFERROR(__xludf.DUMMYFUNCTION("""COMPUTED_VALUE"""),44337.6666666666)</f>
        <v>44337.666666666599</v>
      </c>
      <c r="B350" s="1">
        <f ca="1">IFERROR(__xludf.DUMMYFUNCTION("""COMPUTED_VALUE"""),125.43)</f>
        <v>125.43</v>
      </c>
      <c r="C350" s="1">
        <f ca="1">IFERROR(__xludf.DUMMYFUNCTION("""COMPUTED_VALUE"""),246.48)</f>
        <v>246.48</v>
      </c>
      <c r="D350" s="1">
        <f ca="1">IFERROR(__xludf.DUMMYFUNCTION("""COMPUTED_VALUE"""),162.38)</f>
        <v>162.38</v>
      </c>
      <c r="E350" s="1">
        <f ca="1">IFERROR(__xludf.DUMMYFUNCTION("""COMPUTED_VALUE"""),14.61)</f>
        <v>14.61</v>
      </c>
      <c r="F350" s="1">
        <f ca="1">IFERROR(__xludf.DUMMYFUNCTION("""COMPUTED_VALUE"""),318.61)</f>
        <v>318.61</v>
      </c>
      <c r="G350" s="1">
        <f ca="1">IFERROR(__xludf.DUMMYFUNCTION("""COMPUTED_VALUE"""),117.8)</f>
        <v>117.8</v>
      </c>
      <c r="H350" s="1">
        <f ca="1">IFERROR(__xludf.DUMMYFUNCTION("""COMPUTED_VALUE"""),195.59)</f>
        <v>195.59</v>
      </c>
      <c r="I350" s="1">
        <f ca="1">IFERROR(__xludf.DUMMYFUNCTION("""COMPUTED_VALUE"""),147.23)</f>
        <v>147.22999999999999</v>
      </c>
      <c r="J350" s="1">
        <f ca="1">IFERROR(__xludf.DUMMYFUNCTION("""COMPUTED_VALUE"""),383.58)</f>
        <v>383.58</v>
      </c>
      <c r="K350" s="1">
        <f ca="1">IFERROR(__xludf.DUMMYFUNCTION("""COMPUTED_VALUE"""),45.5)</f>
        <v>45.5</v>
      </c>
      <c r="L350" s="1">
        <f ca="1">IFERROR(__xludf.DUMMYFUNCTION("""COMPUTED_VALUE"""),491.67)</f>
        <v>491.67</v>
      </c>
      <c r="M350" s="1">
        <f ca="1">IFERROR(__xludf.DUMMYFUNCTION("""COMPUTED_VALUE"""),501.67)</f>
        <v>501.67</v>
      </c>
    </row>
    <row r="351" spans="1:13" x14ac:dyDescent="0.25">
      <c r="A351" s="2">
        <f ca="1">IFERROR(__xludf.DUMMYFUNCTION("""COMPUTED_VALUE"""),44340.6666666666)</f>
        <v>44340.666666666599</v>
      </c>
      <c r="B351" s="1">
        <f ca="1">IFERROR(__xludf.DUMMYFUNCTION("""COMPUTED_VALUE"""),127.1)</f>
        <v>127.1</v>
      </c>
      <c r="C351" s="1">
        <f ca="1">IFERROR(__xludf.DUMMYFUNCTION("""COMPUTED_VALUE"""),245.17)</f>
        <v>245.17</v>
      </c>
      <c r="D351" s="1">
        <f ca="1">IFERROR(__xludf.DUMMYFUNCTION("""COMPUTED_VALUE"""),160.15)</f>
        <v>160.15</v>
      </c>
      <c r="E351" s="1">
        <f ca="1">IFERROR(__xludf.DUMMYFUNCTION("""COMPUTED_VALUE"""),14.99)</f>
        <v>14.99</v>
      </c>
      <c r="F351" s="1">
        <f ca="1">IFERROR(__xludf.DUMMYFUNCTION("""COMPUTED_VALUE"""),316.23)</f>
        <v>316.23</v>
      </c>
      <c r="G351" s="1">
        <f ca="1">IFERROR(__xludf.DUMMYFUNCTION("""COMPUTED_VALUE"""),117.26)</f>
        <v>117.26</v>
      </c>
      <c r="H351" s="1">
        <f ca="1">IFERROR(__xludf.DUMMYFUNCTION("""COMPUTED_VALUE"""),193.63)</f>
        <v>193.63</v>
      </c>
      <c r="I351" s="1">
        <f ca="1">IFERROR(__xludf.DUMMYFUNCTION("""COMPUTED_VALUE"""),147.1)</f>
        <v>147.1</v>
      </c>
      <c r="J351" s="1">
        <f ca="1">IFERROR(__xludf.DUMMYFUNCTION("""COMPUTED_VALUE"""),380.72)</f>
        <v>380.72</v>
      </c>
      <c r="K351" s="1">
        <f ca="1">IFERROR(__xludf.DUMMYFUNCTION("""COMPUTED_VALUE"""),45.12)</f>
        <v>45.12</v>
      </c>
      <c r="L351" s="1">
        <f ca="1">IFERROR(__xludf.DUMMYFUNCTION("""COMPUTED_VALUE"""),488.07)</f>
        <v>488.07</v>
      </c>
      <c r="M351" s="1">
        <f ca="1">IFERROR(__xludf.DUMMYFUNCTION("""COMPUTED_VALUE"""),497.89)</f>
        <v>497.89</v>
      </c>
    </row>
    <row r="352" spans="1:13" x14ac:dyDescent="0.25">
      <c r="A352" s="2">
        <f ca="1">IFERROR(__xludf.DUMMYFUNCTION("""COMPUTED_VALUE"""),44341.6666666666)</f>
        <v>44341.666666666599</v>
      </c>
      <c r="B352" s="1">
        <f ca="1">IFERROR(__xludf.DUMMYFUNCTION("""COMPUTED_VALUE"""),126.9)</f>
        <v>126.9</v>
      </c>
      <c r="C352" s="1">
        <f ca="1">IFERROR(__xludf.DUMMYFUNCTION("""COMPUTED_VALUE"""),250.78)</f>
        <v>250.78</v>
      </c>
      <c r="D352" s="1">
        <f ca="1">IFERROR(__xludf.DUMMYFUNCTION("""COMPUTED_VALUE"""),162.25)</f>
        <v>162.25</v>
      </c>
      <c r="E352" s="1">
        <f ca="1">IFERROR(__xludf.DUMMYFUNCTION("""COMPUTED_VALUE"""),15.61)</f>
        <v>15.61</v>
      </c>
      <c r="F352" s="1">
        <f ca="1">IFERROR(__xludf.DUMMYFUNCTION("""COMPUTED_VALUE"""),324.63)</f>
        <v>324.63</v>
      </c>
      <c r="G352" s="1">
        <f ca="1">IFERROR(__xludf.DUMMYFUNCTION("""COMPUTED_VALUE"""),120.33)</f>
        <v>120.33</v>
      </c>
      <c r="H352" s="1">
        <f ca="1">IFERROR(__xludf.DUMMYFUNCTION("""COMPUTED_VALUE"""),202.15)</f>
        <v>202.15</v>
      </c>
      <c r="I352" s="1">
        <f ca="1">IFERROR(__xludf.DUMMYFUNCTION("""COMPUTED_VALUE"""),147.85)</f>
        <v>147.85</v>
      </c>
      <c r="J352" s="1">
        <f ca="1">IFERROR(__xludf.DUMMYFUNCTION("""COMPUTED_VALUE"""),383.45)</f>
        <v>383.45</v>
      </c>
      <c r="K352" s="1">
        <f ca="1">IFERROR(__xludf.DUMMYFUNCTION("""COMPUTED_VALUE"""),45.92)</f>
        <v>45.92</v>
      </c>
      <c r="L352" s="1">
        <f ca="1">IFERROR(__xludf.DUMMYFUNCTION("""COMPUTED_VALUE"""),497.83)</f>
        <v>497.83</v>
      </c>
      <c r="M352" s="1">
        <f ca="1">IFERROR(__xludf.DUMMYFUNCTION("""COMPUTED_VALUE"""),502.9)</f>
        <v>502.9</v>
      </c>
    </row>
    <row r="353" spans="1:13" x14ac:dyDescent="0.25">
      <c r="A353" s="2">
        <f ca="1">IFERROR(__xludf.DUMMYFUNCTION("""COMPUTED_VALUE"""),44342.6666666666)</f>
        <v>44342.666666666599</v>
      </c>
      <c r="B353" s="1">
        <f ca="1">IFERROR(__xludf.DUMMYFUNCTION("""COMPUTED_VALUE"""),126.85)</f>
        <v>126.85</v>
      </c>
      <c r="C353" s="1">
        <f ca="1">IFERROR(__xludf.DUMMYFUNCTION("""COMPUTED_VALUE"""),251.72)</f>
        <v>251.72</v>
      </c>
      <c r="D353" s="1">
        <f ca="1">IFERROR(__xludf.DUMMYFUNCTION("""COMPUTED_VALUE"""),162.95)</f>
        <v>162.94999999999999</v>
      </c>
      <c r="E353" s="1">
        <f ca="1">IFERROR(__xludf.DUMMYFUNCTION("""COMPUTED_VALUE"""),15.65)</f>
        <v>15.65</v>
      </c>
      <c r="F353" s="1">
        <f ca="1">IFERROR(__xludf.DUMMYFUNCTION("""COMPUTED_VALUE"""),327.79)</f>
        <v>327.79</v>
      </c>
      <c r="G353" s="1">
        <f ca="1">IFERROR(__xludf.DUMMYFUNCTION("""COMPUTED_VALUE"""),120.45)</f>
        <v>120.45</v>
      </c>
      <c r="H353" s="1">
        <f ca="1">IFERROR(__xludf.DUMMYFUNCTION("""COMPUTED_VALUE"""),201.56)</f>
        <v>201.56</v>
      </c>
      <c r="I353" s="1">
        <f ca="1">IFERROR(__xludf.DUMMYFUNCTION("""COMPUTED_VALUE"""),148.3)</f>
        <v>148.30000000000001</v>
      </c>
      <c r="J353" s="1">
        <f ca="1">IFERROR(__xludf.DUMMYFUNCTION("""COMPUTED_VALUE"""),385.38)</f>
        <v>385.38</v>
      </c>
      <c r="K353" s="1">
        <f ca="1">IFERROR(__xludf.DUMMYFUNCTION("""COMPUTED_VALUE"""),45.95)</f>
        <v>45.95</v>
      </c>
      <c r="L353" s="1">
        <f ca="1">IFERROR(__xludf.DUMMYFUNCTION("""COMPUTED_VALUE"""),505.08)</f>
        <v>505.08</v>
      </c>
      <c r="M353" s="1">
        <f ca="1">IFERROR(__xludf.DUMMYFUNCTION("""COMPUTED_VALUE"""),501.34)</f>
        <v>501.34</v>
      </c>
    </row>
    <row r="354" spans="1:13" x14ac:dyDescent="0.25">
      <c r="A354" s="2">
        <f ca="1">IFERROR(__xludf.DUMMYFUNCTION("""COMPUTED_VALUE"""),44343.6666666666)</f>
        <v>44343.666666666599</v>
      </c>
      <c r="B354" s="1">
        <f ca="1">IFERROR(__xludf.DUMMYFUNCTION("""COMPUTED_VALUE"""),125.28)</f>
        <v>125.28</v>
      </c>
      <c r="C354" s="1">
        <f ca="1">IFERROR(__xludf.DUMMYFUNCTION("""COMPUTED_VALUE"""),251.49)</f>
        <v>251.49</v>
      </c>
      <c r="D354" s="1">
        <f ca="1">IFERROR(__xludf.DUMMYFUNCTION("""COMPUTED_VALUE"""),163.26)</f>
        <v>163.26</v>
      </c>
      <c r="E354" s="1">
        <f ca="1">IFERROR(__xludf.DUMMYFUNCTION("""COMPUTED_VALUE"""),15.7)</f>
        <v>15.7</v>
      </c>
      <c r="F354" s="1">
        <f ca="1">IFERROR(__xludf.DUMMYFUNCTION("""COMPUTED_VALUE"""),327.66)</f>
        <v>327.66000000000003</v>
      </c>
      <c r="G354" s="1">
        <f ca="1">IFERROR(__xludf.DUMMYFUNCTION("""COMPUTED_VALUE"""),121.68)</f>
        <v>121.68</v>
      </c>
      <c r="H354" s="1">
        <f ca="1">IFERROR(__xludf.DUMMYFUNCTION("""COMPUTED_VALUE"""),206.38)</f>
        <v>206.38</v>
      </c>
      <c r="I354" s="1">
        <f ca="1">IFERROR(__xludf.DUMMYFUNCTION("""COMPUTED_VALUE"""),148.3)</f>
        <v>148.30000000000001</v>
      </c>
      <c r="J354" s="1">
        <f ca="1">IFERROR(__xludf.DUMMYFUNCTION("""COMPUTED_VALUE"""),385.62)</f>
        <v>385.62</v>
      </c>
      <c r="K354" s="1">
        <f ca="1">IFERROR(__xludf.DUMMYFUNCTION("""COMPUTED_VALUE"""),46.05)</f>
        <v>46.05</v>
      </c>
      <c r="L354" s="1">
        <f ca="1">IFERROR(__xludf.DUMMYFUNCTION("""COMPUTED_VALUE"""),506.98)</f>
        <v>506.98</v>
      </c>
      <c r="M354" s="1">
        <f ca="1">IFERROR(__xludf.DUMMYFUNCTION("""COMPUTED_VALUE"""),502.36)</f>
        <v>502.36</v>
      </c>
    </row>
    <row r="355" spans="1:13" x14ac:dyDescent="0.25">
      <c r="A355" s="2">
        <f ca="1">IFERROR(__xludf.DUMMYFUNCTION("""COMPUTED_VALUE"""),44344.6666666666)</f>
        <v>44344.666666666599</v>
      </c>
      <c r="B355" s="1">
        <f ca="1">IFERROR(__xludf.DUMMYFUNCTION("""COMPUTED_VALUE"""),124.61)</f>
        <v>124.61</v>
      </c>
      <c r="C355" s="1">
        <f ca="1">IFERROR(__xludf.DUMMYFUNCTION("""COMPUTED_VALUE"""),249.31)</f>
        <v>249.31</v>
      </c>
      <c r="D355" s="1">
        <f ca="1">IFERROR(__xludf.DUMMYFUNCTION("""COMPUTED_VALUE"""),161.51)</f>
        <v>161.51</v>
      </c>
      <c r="E355" s="1">
        <f ca="1">IFERROR(__xludf.DUMMYFUNCTION("""COMPUTED_VALUE"""),15.49)</f>
        <v>15.49</v>
      </c>
      <c r="F355" s="1">
        <f ca="1">IFERROR(__xludf.DUMMYFUNCTION("""COMPUTED_VALUE"""),332.75)</f>
        <v>332.75</v>
      </c>
      <c r="G355" s="1">
        <f ca="1">IFERROR(__xludf.DUMMYFUNCTION("""COMPUTED_VALUE"""),120.13)</f>
        <v>120.13</v>
      </c>
      <c r="H355" s="1">
        <f ca="1">IFERROR(__xludf.DUMMYFUNCTION("""COMPUTED_VALUE"""),210.28)</f>
        <v>210.28</v>
      </c>
      <c r="I355" s="1">
        <f ca="1">IFERROR(__xludf.DUMMYFUNCTION("""COMPUTED_VALUE"""),146.51)</f>
        <v>146.51</v>
      </c>
      <c r="J355" s="1">
        <f ca="1">IFERROR(__xludf.DUMMYFUNCTION("""COMPUTED_VALUE"""),387.5)</f>
        <v>387.5</v>
      </c>
      <c r="K355" s="1">
        <f ca="1">IFERROR(__xludf.DUMMYFUNCTION("""COMPUTED_VALUE"""),46.77)</f>
        <v>46.77</v>
      </c>
      <c r="L355" s="1">
        <f ca="1">IFERROR(__xludf.DUMMYFUNCTION("""COMPUTED_VALUE"""),498.28)</f>
        <v>498.28</v>
      </c>
      <c r="M355" s="1">
        <f ca="1">IFERROR(__xludf.DUMMYFUNCTION("""COMPUTED_VALUE"""),503.86)</f>
        <v>503.86</v>
      </c>
    </row>
    <row r="356" spans="1:13" x14ac:dyDescent="0.25">
      <c r="A356" s="2">
        <f ca="1">IFERROR(__xludf.DUMMYFUNCTION("""COMPUTED_VALUE"""),44348.6666666666)</f>
        <v>44348.666666666599</v>
      </c>
      <c r="B356" s="1">
        <f ca="1">IFERROR(__xludf.DUMMYFUNCTION("""COMPUTED_VALUE"""),124.28)</f>
        <v>124.28</v>
      </c>
      <c r="C356" s="1">
        <f ca="1">IFERROR(__xludf.DUMMYFUNCTION("""COMPUTED_VALUE"""),249.68)</f>
        <v>249.68</v>
      </c>
      <c r="D356" s="1">
        <f ca="1">IFERROR(__xludf.DUMMYFUNCTION("""COMPUTED_VALUE"""),161.15)</f>
        <v>161.15</v>
      </c>
      <c r="E356" s="1">
        <f ca="1">IFERROR(__xludf.DUMMYFUNCTION("""COMPUTED_VALUE"""),16.24)</f>
        <v>16.239999999999998</v>
      </c>
      <c r="F356" s="1">
        <f ca="1">IFERROR(__xludf.DUMMYFUNCTION("""COMPUTED_VALUE"""),328.73)</f>
        <v>328.73</v>
      </c>
      <c r="G356" s="1">
        <f ca="1">IFERROR(__xludf.DUMMYFUNCTION("""COMPUTED_VALUE"""),120.58)</f>
        <v>120.58</v>
      </c>
      <c r="H356" s="1">
        <f ca="1">IFERROR(__xludf.DUMMYFUNCTION("""COMPUTED_VALUE"""),208.41)</f>
        <v>208.41</v>
      </c>
      <c r="I356" s="1">
        <f ca="1">IFERROR(__xludf.DUMMYFUNCTION("""COMPUTED_VALUE"""),147.94)</f>
        <v>147.94</v>
      </c>
      <c r="J356" s="1">
        <f ca="1">IFERROR(__xludf.DUMMYFUNCTION("""COMPUTED_VALUE"""),378.27)</f>
        <v>378.27</v>
      </c>
      <c r="K356" s="1">
        <f ca="1">IFERROR(__xludf.DUMMYFUNCTION("""COMPUTED_VALUE"""),47.23)</f>
        <v>47.23</v>
      </c>
      <c r="L356" s="1">
        <f ca="1">IFERROR(__xludf.DUMMYFUNCTION("""COMPUTED_VALUE"""),504.58)</f>
        <v>504.58</v>
      </c>
      <c r="M356" s="1">
        <f ca="1">IFERROR(__xludf.DUMMYFUNCTION("""COMPUTED_VALUE"""),502.81)</f>
        <v>502.81</v>
      </c>
    </row>
    <row r="357" spans="1:13" x14ac:dyDescent="0.25">
      <c r="A357" s="2">
        <f ca="1">IFERROR(__xludf.DUMMYFUNCTION("""COMPUTED_VALUE"""),44349.6666666666)</f>
        <v>44349.666666666599</v>
      </c>
      <c r="B357" s="1">
        <f ca="1">IFERROR(__xludf.DUMMYFUNCTION("""COMPUTED_VALUE"""),125.06)</f>
        <v>125.06</v>
      </c>
      <c r="C357" s="1">
        <f ca="1">IFERROR(__xludf.DUMMYFUNCTION("""COMPUTED_VALUE"""),247.4)</f>
        <v>247.4</v>
      </c>
      <c r="D357" s="1">
        <f ca="1">IFERROR(__xludf.DUMMYFUNCTION("""COMPUTED_VALUE"""),160.93)</f>
        <v>160.93</v>
      </c>
      <c r="E357" s="1">
        <f ca="1">IFERROR(__xludf.DUMMYFUNCTION("""COMPUTED_VALUE"""),16.26)</f>
        <v>16.260000000000002</v>
      </c>
      <c r="F357" s="1">
        <f ca="1">IFERROR(__xludf.DUMMYFUNCTION("""COMPUTED_VALUE"""),329.13)</f>
        <v>329.13</v>
      </c>
      <c r="G357" s="1">
        <f ca="1">IFERROR(__xludf.DUMMYFUNCTION("""COMPUTED_VALUE"""),121.49)</f>
        <v>121.49</v>
      </c>
      <c r="H357" s="1">
        <f ca="1">IFERROR(__xludf.DUMMYFUNCTION("""COMPUTED_VALUE"""),207.97)</f>
        <v>207.97</v>
      </c>
      <c r="I357" s="1">
        <f ca="1">IFERROR(__xludf.DUMMYFUNCTION("""COMPUTED_VALUE"""),147.63)</f>
        <v>147.63</v>
      </c>
      <c r="J357" s="1">
        <f ca="1">IFERROR(__xludf.DUMMYFUNCTION("""COMPUTED_VALUE"""),378.23)</f>
        <v>378.23</v>
      </c>
      <c r="K357" s="1">
        <f ca="1">IFERROR(__xludf.DUMMYFUNCTION("""COMPUTED_VALUE"""),46.83)</f>
        <v>46.83</v>
      </c>
      <c r="L357" s="1">
        <f ca="1">IFERROR(__xludf.DUMMYFUNCTION("""COMPUTED_VALUE"""),495.91)</f>
        <v>495.91</v>
      </c>
      <c r="M357" s="1">
        <f ca="1">IFERROR(__xludf.DUMMYFUNCTION("""COMPUTED_VALUE"""),499.08)</f>
        <v>499.08</v>
      </c>
    </row>
    <row r="358" spans="1:13" x14ac:dyDescent="0.25">
      <c r="A358" s="2">
        <f ca="1">IFERROR(__xludf.DUMMYFUNCTION("""COMPUTED_VALUE"""),44350.6666666666)</f>
        <v>44350.666666666599</v>
      </c>
      <c r="B358" s="1">
        <f ca="1">IFERROR(__xludf.DUMMYFUNCTION("""COMPUTED_VALUE"""),123.54)</f>
        <v>123.54</v>
      </c>
      <c r="C358" s="1">
        <f ca="1">IFERROR(__xludf.DUMMYFUNCTION("""COMPUTED_VALUE"""),247.3)</f>
        <v>247.3</v>
      </c>
      <c r="D358" s="1">
        <f ca="1">IFERROR(__xludf.DUMMYFUNCTION("""COMPUTED_VALUE"""),161.7)</f>
        <v>161.69999999999999</v>
      </c>
      <c r="E358" s="1">
        <f ca="1">IFERROR(__xludf.DUMMYFUNCTION("""COMPUTED_VALUE"""),16.78)</f>
        <v>16.78</v>
      </c>
      <c r="F358" s="1">
        <f ca="1">IFERROR(__xludf.DUMMYFUNCTION("""COMPUTED_VALUE"""),329.15)</f>
        <v>329.15</v>
      </c>
      <c r="G358" s="1">
        <f ca="1">IFERROR(__xludf.DUMMYFUNCTION("""COMPUTED_VALUE"""),121.06)</f>
        <v>121.06</v>
      </c>
      <c r="H358" s="1">
        <f ca="1">IFERROR(__xludf.DUMMYFUNCTION("""COMPUTED_VALUE"""),201.71)</f>
        <v>201.71</v>
      </c>
      <c r="I358" s="1">
        <f ca="1">IFERROR(__xludf.DUMMYFUNCTION("""COMPUTED_VALUE"""),148.22)</f>
        <v>148.22</v>
      </c>
      <c r="J358" s="1">
        <f ca="1">IFERROR(__xludf.DUMMYFUNCTION("""COMPUTED_VALUE"""),380.59)</f>
        <v>380.59</v>
      </c>
      <c r="K358" s="1">
        <f ca="1">IFERROR(__xludf.DUMMYFUNCTION("""COMPUTED_VALUE"""),47.37)</f>
        <v>47.37</v>
      </c>
      <c r="L358" s="1">
        <f ca="1">IFERROR(__xludf.DUMMYFUNCTION("""COMPUTED_VALUE"""),495.77)</f>
        <v>495.77</v>
      </c>
      <c r="M358" s="1">
        <f ca="1">IFERROR(__xludf.DUMMYFUNCTION("""COMPUTED_VALUE"""),499.24)</f>
        <v>499.24</v>
      </c>
    </row>
    <row r="359" spans="1:13" x14ac:dyDescent="0.25">
      <c r="A359" s="2">
        <f ca="1">IFERROR(__xludf.DUMMYFUNCTION("""COMPUTED_VALUE"""),44351.6666666666)</f>
        <v>44351.666666666599</v>
      </c>
      <c r="B359" s="1">
        <f ca="1">IFERROR(__xludf.DUMMYFUNCTION("""COMPUTED_VALUE"""),125.89)</f>
        <v>125.89</v>
      </c>
      <c r="C359" s="1">
        <f ca="1">IFERROR(__xludf.DUMMYFUNCTION("""COMPUTED_VALUE"""),245.71)</f>
        <v>245.71</v>
      </c>
      <c r="D359" s="1">
        <f ca="1">IFERROR(__xludf.DUMMYFUNCTION("""COMPUTED_VALUE"""),159.35)</f>
        <v>159.35</v>
      </c>
      <c r="E359" s="1">
        <f ca="1">IFERROR(__xludf.DUMMYFUNCTION("""COMPUTED_VALUE"""),16.97)</f>
        <v>16.97</v>
      </c>
      <c r="F359" s="1">
        <f ca="1">IFERROR(__xludf.DUMMYFUNCTION("""COMPUTED_VALUE"""),326.04)</f>
        <v>326.04000000000002</v>
      </c>
      <c r="G359" s="1">
        <f ca="1">IFERROR(__xludf.DUMMYFUNCTION("""COMPUTED_VALUE"""),120.23)</f>
        <v>120.23</v>
      </c>
      <c r="H359" s="1">
        <f ca="1">IFERROR(__xludf.DUMMYFUNCTION("""COMPUTED_VALUE"""),190.95)</f>
        <v>190.95</v>
      </c>
      <c r="I359" s="1">
        <f ca="1">IFERROR(__xludf.DUMMYFUNCTION("""COMPUTED_VALUE"""),147.67)</f>
        <v>147.66999999999999</v>
      </c>
      <c r="J359" s="1">
        <f ca="1">IFERROR(__xludf.DUMMYFUNCTION("""COMPUTED_VALUE"""),383.87)</f>
        <v>383.87</v>
      </c>
      <c r="K359" s="1">
        <f ca="1">IFERROR(__xludf.DUMMYFUNCTION("""COMPUTED_VALUE"""),46.48)</f>
        <v>46.48</v>
      </c>
      <c r="L359" s="1">
        <f ca="1">IFERROR(__xludf.DUMMYFUNCTION("""COMPUTED_VALUE"""),493.14)</f>
        <v>493.14</v>
      </c>
      <c r="M359" s="1">
        <f ca="1">IFERROR(__xludf.DUMMYFUNCTION("""COMPUTED_VALUE"""),489.43)</f>
        <v>489.43</v>
      </c>
    </row>
    <row r="360" spans="1:13" x14ac:dyDescent="0.25">
      <c r="A360" s="2">
        <f ca="1">IFERROR(__xludf.DUMMYFUNCTION("""COMPUTED_VALUE"""),44354.6666666666)</f>
        <v>44354.666666666599</v>
      </c>
      <c r="B360" s="1">
        <f ca="1">IFERROR(__xludf.DUMMYFUNCTION("""COMPUTED_VALUE"""),125.9)</f>
        <v>125.9</v>
      </c>
      <c r="C360" s="1">
        <f ca="1">IFERROR(__xludf.DUMMYFUNCTION("""COMPUTED_VALUE"""),250.79)</f>
        <v>250.79</v>
      </c>
      <c r="D360" s="1">
        <f ca="1">IFERROR(__xludf.DUMMYFUNCTION("""COMPUTED_VALUE"""),160.31)</f>
        <v>160.31</v>
      </c>
      <c r="E360" s="1">
        <f ca="1">IFERROR(__xludf.DUMMYFUNCTION("""COMPUTED_VALUE"""),17.58)</f>
        <v>17.579999999999998</v>
      </c>
      <c r="F360" s="1">
        <f ca="1">IFERROR(__xludf.DUMMYFUNCTION("""COMPUTED_VALUE"""),330.35)</f>
        <v>330.35</v>
      </c>
      <c r="G360" s="1">
        <f ca="1">IFERROR(__xludf.DUMMYFUNCTION("""COMPUTED_VALUE"""),122.59)</f>
        <v>122.59</v>
      </c>
      <c r="H360" s="1">
        <f ca="1">IFERROR(__xludf.DUMMYFUNCTION("""COMPUTED_VALUE"""),199.68)</f>
        <v>199.68</v>
      </c>
      <c r="I360" s="1">
        <f ca="1">IFERROR(__xludf.DUMMYFUNCTION("""COMPUTED_VALUE"""),147.84)</f>
        <v>147.84</v>
      </c>
      <c r="J360" s="1">
        <f ca="1">IFERROR(__xludf.DUMMYFUNCTION("""COMPUTED_VALUE"""),387.52)</f>
        <v>387.52</v>
      </c>
      <c r="K360" s="1">
        <f ca="1">IFERROR(__xludf.DUMMYFUNCTION("""COMPUTED_VALUE"""),47.5)</f>
        <v>47.5</v>
      </c>
      <c r="L360" s="1">
        <f ca="1">IFERROR(__xludf.DUMMYFUNCTION("""COMPUTED_VALUE"""),504.5)</f>
        <v>504.5</v>
      </c>
      <c r="M360" s="1">
        <f ca="1">IFERROR(__xludf.DUMMYFUNCTION("""COMPUTED_VALUE"""),494.74)</f>
        <v>494.74</v>
      </c>
    </row>
    <row r="361" spans="1:13" x14ac:dyDescent="0.25">
      <c r="A361" s="2">
        <f ca="1">IFERROR(__xludf.DUMMYFUNCTION("""COMPUTED_VALUE"""),44355.6666666666)</f>
        <v>44355.666666666599</v>
      </c>
      <c r="B361" s="1">
        <f ca="1">IFERROR(__xludf.DUMMYFUNCTION("""COMPUTED_VALUE"""),126.74)</f>
        <v>126.74</v>
      </c>
      <c r="C361" s="1">
        <f ca="1">IFERROR(__xludf.DUMMYFUNCTION("""COMPUTED_VALUE"""),253.81)</f>
        <v>253.81</v>
      </c>
      <c r="D361" s="1">
        <f ca="1">IFERROR(__xludf.DUMMYFUNCTION("""COMPUTED_VALUE"""),159.9)</f>
        <v>159.9</v>
      </c>
      <c r="E361" s="1">
        <f ca="1">IFERROR(__xludf.DUMMYFUNCTION("""COMPUTED_VALUE"""),17.62)</f>
        <v>17.62</v>
      </c>
      <c r="F361" s="1">
        <f ca="1">IFERROR(__xludf.DUMMYFUNCTION("""COMPUTED_VALUE"""),336.58)</f>
        <v>336.58</v>
      </c>
      <c r="G361" s="1">
        <f ca="1">IFERROR(__xludf.DUMMYFUNCTION("""COMPUTED_VALUE"""),123.3)</f>
        <v>123.3</v>
      </c>
      <c r="H361" s="1">
        <f ca="1">IFERROR(__xludf.DUMMYFUNCTION("""COMPUTED_VALUE"""),201.71)</f>
        <v>201.71</v>
      </c>
      <c r="I361" s="1">
        <f ca="1">IFERROR(__xludf.DUMMYFUNCTION("""COMPUTED_VALUE"""),147.75)</f>
        <v>147.75</v>
      </c>
      <c r="J361" s="1">
        <f ca="1">IFERROR(__xludf.DUMMYFUNCTION("""COMPUTED_VALUE"""),380.4)</f>
        <v>380.4</v>
      </c>
      <c r="K361" s="1">
        <f ca="1">IFERROR(__xludf.DUMMYFUNCTION("""COMPUTED_VALUE"""),46.38)</f>
        <v>46.38</v>
      </c>
      <c r="L361" s="1">
        <f ca="1">IFERROR(__xludf.DUMMYFUNCTION("""COMPUTED_VALUE"""),509.47)</f>
        <v>509.47</v>
      </c>
      <c r="M361" s="1">
        <f ca="1">IFERROR(__xludf.DUMMYFUNCTION("""COMPUTED_VALUE"""),494.66)</f>
        <v>494.66</v>
      </c>
    </row>
    <row r="362" spans="1:13" x14ac:dyDescent="0.25">
      <c r="A362" s="2">
        <f ca="1">IFERROR(__xludf.DUMMYFUNCTION("""COMPUTED_VALUE"""),44356.6666666666)</f>
        <v>44356.666666666599</v>
      </c>
      <c r="B362" s="1">
        <f ca="1">IFERROR(__xludf.DUMMYFUNCTION("""COMPUTED_VALUE"""),127.13)</f>
        <v>127.13</v>
      </c>
      <c r="C362" s="1">
        <f ca="1">IFERROR(__xludf.DUMMYFUNCTION("""COMPUTED_VALUE"""),252.57)</f>
        <v>252.57</v>
      </c>
      <c r="D362" s="1">
        <f ca="1">IFERROR(__xludf.DUMMYFUNCTION("""COMPUTED_VALUE"""),163.21)</f>
        <v>163.21</v>
      </c>
      <c r="E362" s="1">
        <f ca="1">IFERROR(__xludf.DUMMYFUNCTION("""COMPUTED_VALUE"""),17.46)</f>
        <v>17.46</v>
      </c>
      <c r="F362" s="1">
        <f ca="1">IFERROR(__xludf.DUMMYFUNCTION("""COMPUTED_VALUE"""),333.68)</f>
        <v>333.68</v>
      </c>
      <c r="G362" s="1">
        <f ca="1">IFERROR(__xludf.DUMMYFUNCTION("""COMPUTED_VALUE"""),124.14)</f>
        <v>124.14</v>
      </c>
      <c r="H362" s="1">
        <f ca="1">IFERROR(__xludf.DUMMYFUNCTION("""COMPUTED_VALUE"""),201.2)</f>
        <v>201.2</v>
      </c>
      <c r="I362" s="1">
        <f ca="1">IFERROR(__xludf.DUMMYFUNCTION("""COMPUTED_VALUE"""),146.37)</f>
        <v>146.37</v>
      </c>
      <c r="J362" s="1">
        <f ca="1">IFERROR(__xludf.DUMMYFUNCTION("""COMPUTED_VALUE"""),379.7)</f>
        <v>379.7</v>
      </c>
      <c r="K362" s="1">
        <f ca="1">IFERROR(__xludf.DUMMYFUNCTION("""COMPUTED_VALUE"""),46.35)</f>
        <v>46.35</v>
      </c>
      <c r="L362" s="1">
        <f ca="1">IFERROR(__xludf.DUMMYFUNCTION("""COMPUTED_VALUE"""),509.2)</f>
        <v>509.2</v>
      </c>
      <c r="M362" s="1">
        <f ca="1">IFERROR(__xludf.DUMMYFUNCTION("""COMPUTED_VALUE"""),492.39)</f>
        <v>492.39</v>
      </c>
    </row>
    <row r="363" spans="1:13" x14ac:dyDescent="0.25">
      <c r="A363" s="2">
        <f ca="1">IFERROR(__xludf.DUMMYFUNCTION("""COMPUTED_VALUE"""),44357.6666666666)</f>
        <v>44357.666666666599</v>
      </c>
      <c r="B363" s="1">
        <f ca="1">IFERROR(__xludf.DUMMYFUNCTION("""COMPUTED_VALUE"""),126.11)</f>
        <v>126.11</v>
      </c>
      <c r="C363" s="1">
        <f ca="1">IFERROR(__xludf.DUMMYFUNCTION("""COMPUTED_VALUE"""),253.59)</f>
        <v>253.59</v>
      </c>
      <c r="D363" s="1">
        <f ca="1">IFERROR(__xludf.DUMMYFUNCTION("""COMPUTED_VALUE"""),164.06)</f>
        <v>164.06</v>
      </c>
      <c r="E363" s="1">
        <f ca="1">IFERROR(__xludf.DUMMYFUNCTION("""COMPUTED_VALUE"""),17.36)</f>
        <v>17.36</v>
      </c>
      <c r="F363" s="1">
        <f ca="1">IFERROR(__xludf.DUMMYFUNCTION("""COMPUTED_VALUE"""),330.25)</f>
        <v>330.25</v>
      </c>
      <c r="G363" s="1">
        <f ca="1">IFERROR(__xludf.DUMMYFUNCTION("""COMPUTED_VALUE"""),124.57)</f>
        <v>124.57</v>
      </c>
      <c r="H363" s="1">
        <f ca="1">IFERROR(__xludf.DUMMYFUNCTION("""COMPUTED_VALUE"""),199.59)</f>
        <v>199.59</v>
      </c>
      <c r="I363" s="1">
        <f ca="1">IFERROR(__xludf.DUMMYFUNCTION("""COMPUTED_VALUE"""),146.1)</f>
        <v>146.1</v>
      </c>
      <c r="J363" s="1">
        <f ca="1">IFERROR(__xludf.DUMMYFUNCTION("""COMPUTED_VALUE"""),379.96)</f>
        <v>379.96</v>
      </c>
      <c r="K363" s="1">
        <f ca="1">IFERROR(__xludf.DUMMYFUNCTION("""COMPUTED_VALUE"""),46.39)</f>
        <v>46.39</v>
      </c>
      <c r="L363" s="1">
        <f ca="1">IFERROR(__xludf.DUMMYFUNCTION("""COMPUTED_VALUE"""),514.68)</f>
        <v>514.67999999999995</v>
      </c>
      <c r="M363" s="1">
        <f ca="1">IFERROR(__xludf.DUMMYFUNCTION("""COMPUTED_VALUE"""),485.81)</f>
        <v>485.81</v>
      </c>
    </row>
    <row r="364" spans="1:13" x14ac:dyDescent="0.25">
      <c r="A364" s="2">
        <f ca="1">IFERROR(__xludf.DUMMYFUNCTION("""COMPUTED_VALUE"""),44358.6666666666)</f>
        <v>44358.666666666599</v>
      </c>
      <c r="B364" s="1">
        <f ca="1">IFERROR(__xludf.DUMMYFUNCTION("""COMPUTED_VALUE"""),127.35)</f>
        <v>127.35</v>
      </c>
      <c r="C364" s="1">
        <f ca="1">IFERROR(__xludf.DUMMYFUNCTION("""COMPUTED_VALUE"""),257.24)</f>
        <v>257.24</v>
      </c>
      <c r="D364" s="1">
        <f ca="1">IFERROR(__xludf.DUMMYFUNCTION("""COMPUTED_VALUE"""),167.48)</f>
        <v>167.48</v>
      </c>
      <c r="E364" s="1">
        <f ca="1">IFERROR(__xludf.DUMMYFUNCTION("""COMPUTED_VALUE"""),17.43)</f>
        <v>17.43</v>
      </c>
      <c r="F364" s="1">
        <f ca="1">IFERROR(__xludf.DUMMYFUNCTION("""COMPUTED_VALUE"""),332.46)</f>
        <v>332.46</v>
      </c>
      <c r="G364" s="1">
        <f ca="1">IFERROR(__xludf.DUMMYFUNCTION("""COMPUTED_VALUE"""),126.08)</f>
        <v>126.08</v>
      </c>
      <c r="H364" s="1">
        <f ca="1">IFERROR(__xludf.DUMMYFUNCTION("""COMPUTED_VALUE"""),203.37)</f>
        <v>203.37</v>
      </c>
      <c r="I364" s="1">
        <f ca="1">IFERROR(__xludf.DUMMYFUNCTION("""COMPUTED_VALUE"""),147.6)</f>
        <v>147.6</v>
      </c>
      <c r="J364" s="1">
        <f ca="1">IFERROR(__xludf.DUMMYFUNCTION("""COMPUTED_VALUE"""),383.01)</f>
        <v>383.01</v>
      </c>
      <c r="K364" s="1">
        <f ca="1">IFERROR(__xludf.DUMMYFUNCTION("""COMPUTED_VALUE"""),46.87)</f>
        <v>46.87</v>
      </c>
      <c r="L364" s="1">
        <f ca="1">IFERROR(__xludf.DUMMYFUNCTION("""COMPUTED_VALUE"""),535.52)</f>
        <v>535.52</v>
      </c>
      <c r="M364" s="1">
        <f ca="1">IFERROR(__xludf.DUMMYFUNCTION("""COMPUTED_VALUE"""),487.27)</f>
        <v>487.27</v>
      </c>
    </row>
    <row r="365" spans="1:13" x14ac:dyDescent="0.25">
      <c r="A365" s="2">
        <f ca="1">IFERROR(__xludf.DUMMYFUNCTION("""COMPUTED_VALUE"""),44361.6666666666)</f>
        <v>44361.666666666599</v>
      </c>
      <c r="B365" s="1">
        <f ca="1">IFERROR(__xludf.DUMMYFUNCTION("""COMPUTED_VALUE"""),130.48)</f>
        <v>130.47999999999999</v>
      </c>
      <c r="C365" s="1">
        <f ca="1">IFERROR(__xludf.DUMMYFUNCTION("""COMPUTED_VALUE"""),257.89)</f>
        <v>257.89</v>
      </c>
      <c r="D365" s="1">
        <f ca="1">IFERROR(__xludf.DUMMYFUNCTION("""COMPUTED_VALUE"""),167.34)</f>
        <v>167.34</v>
      </c>
      <c r="E365" s="1">
        <f ca="1">IFERROR(__xludf.DUMMYFUNCTION("""COMPUTED_VALUE"""),17.83)</f>
        <v>17.829999999999998</v>
      </c>
      <c r="F365" s="1">
        <f ca="1">IFERROR(__xludf.DUMMYFUNCTION("""COMPUTED_VALUE"""),331.26)</f>
        <v>331.26</v>
      </c>
      <c r="G365" s="1">
        <f ca="1">IFERROR(__xludf.DUMMYFUNCTION("""COMPUTED_VALUE"""),125.7)</f>
        <v>125.7</v>
      </c>
      <c r="H365" s="1">
        <f ca="1">IFERROR(__xludf.DUMMYFUNCTION("""COMPUTED_VALUE"""),203.3)</f>
        <v>203.3</v>
      </c>
      <c r="I365" s="1">
        <f ca="1">IFERROR(__xludf.DUMMYFUNCTION("""COMPUTED_VALUE"""),147.69)</f>
        <v>147.69</v>
      </c>
      <c r="J365" s="1">
        <f ca="1">IFERROR(__xludf.DUMMYFUNCTION("""COMPUTED_VALUE"""),381.83)</f>
        <v>381.83</v>
      </c>
      <c r="K365" s="1">
        <f ca="1">IFERROR(__xludf.DUMMYFUNCTION("""COMPUTED_VALUE"""),47.07)</f>
        <v>47.07</v>
      </c>
      <c r="L365" s="1">
        <f ca="1">IFERROR(__xludf.DUMMYFUNCTION("""COMPUTED_VALUE"""),541.26)</f>
        <v>541.26</v>
      </c>
      <c r="M365" s="1">
        <f ca="1">IFERROR(__xludf.DUMMYFUNCTION("""COMPUTED_VALUE"""),488.77)</f>
        <v>488.77</v>
      </c>
    </row>
    <row r="366" spans="1:13" x14ac:dyDescent="0.25">
      <c r="A366" s="2">
        <f ca="1">IFERROR(__xludf.DUMMYFUNCTION("""COMPUTED_VALUE"""),44362.6666666666)</f>
        <v>44362.666666666599</v>
      </c>
      <c r="B366" s="1">
        <f ca="1">IFERROR(__xludf.DUMMYFUNCTION("""COMPUTED_VALUE"""),129.64)</f>
        <v>129.63999999999999</v>
      </c>
      <c r="C366" s="1">
        <f ca="1">IFERROR(__xludf.DUMMYFUNCTION("""COMPUTED_VALUE"""),259.89)</f>
        <v>259.89</v>
      </c>
      <c r="D366" s="1">
        <f ca="1">IFERROR(__xludf.DUMMYFUNCTION("""COMPUTED_VALUE"""),169.19)</f>
        <v>169.19</v>
      </c>
      <c r="E366" s="1">
        <f ca="1">IFERROR(__xludf.DUMMYFUNCTION("""COMPUTED_VALUE"""),18.02)</f>
        <v>18.02</v>
      </c>
      <c r="F366" s="1">
        <f ca="1">IFERROR(__xludf.DUMMYFUNCTION("""COMPUTED_VALUE"""),336.77)</f>
        <v>336.77</v>
      </c>
      <c r="G366" s="1">
        <f ca="1">IFERROR(__xludf.DUMMYFUNCTION("""COMPUTED_VALUE"""),126.35)</f>
        <v>126.35</v>
      </c>
      <c r="H366" s="1">
        <f ca="1">IFERROR(__xludf.DUMMYFUNCTION("""COMPUTED_VALUE"""),205.9)</f>
        <v>205.9</v>
      </c>
      <c r="I366" s="1">
        <f ca="1">IFERROR(__xludf.DUMMYFUNCTION("""COMPUTED_VALUE"""),148.57)</f>
        <v>148.57</v>
      </c>
      <c r="J366" s="1">
        <f ca="1">IFERROR(__xludf.DUMMYFUNCTION("""COMPUTED_VALUE"""),383.76)</f>
        <v>383.76</v>
      </c>
      <c r="K366" s="1">
        <f ca="1">IFERROR(__xludf.DUMMYFUNCTION("""COMPUTED_VALUE"""),47.58)</f>
        <v>47.58</v>
      </c>
      <c r="L366" s="1">
        <f ca="1">IFERROR(__xludf.DUMMYFUNCTION("""COMPUTED_VALUE"""),556.95)</f>
        <v>556.95000000000005</v>
      </c>
      <c r="M366" s="1">
        <f ca="1">IFERROR(__xludf.DUMMYFUNCTION("""COMPUTED_VALUE"""),499.89)</f>
        <v>499.89</v>
      </c>
    </row>
    <row r="367" spans="1:13" x14ac:dyDescent="0.25">
      <c r="A367" s="2">
        <f ca="1">IFERROR(__xludf.DUMMYFUNCTION("""COMPUTED_VALUE"""),44363.6666666666)</f>
        <v>44363.666666666599</v>
      </c>
      <c r="B367" s="1">
        <f ca="1">IFERROR(__xludf.DUMMYFUNCTION("""COMPUTED_VALUE"""),130.15)</f>
        <v>130.15</v>
      </c>
      <c r="C367" s="1">
        <f ca="1">IFERROR(__xludf.DUMMYFUNCTION("""COMPUTED_VALUE"""),258.36)</f>
        <v>258.36</v>
      </c>
      <c r="D367" s="1">
        <f ca="1">IFERROR(__xludf.DUMMYFUNCTION("""COMPUTED_VALUE"""),169.16)</f>
        <v>169.16</v>
      </c>
      <c r="E367" s="1">
        <f ca="1">IFERROR(__xludf.DUMMYFUNCTION("""COMPUTED_VALUE"""),17.79)</f>
        <v>17.79</v>
      </c>
      <c r="F367" s="1">
        <f ca="1">IFERROR(__xludf.DUMMYFUNCTION("""COMPUTED_VALUE"""),336.75)</f>
        <v>336.75</v>
      </c>
      <c r="G367" s="1">
        <f ca="1">IFERROR(__xludf.DUMMYFUNCTION("""COMPUTED_VALUE"""),126.03)</f>
        <v>126.03</v>
      </c>
      <c r="H367" s="1">
        <f ca="1">IFERROR(__xludf.DUMMYFUNCTION("""COMPUTED_VALUE"""),199.79)</f>
        <v>199.79</v>
      </c>
      <c r="I367" s="1">
        <f ca="1">IFERROR(__xludf.DUMMYFUNCTION("""COMPUTED_VALUE"""),148.58)</f>
        <v>148.58000000000001</v>
      </c>
      <c r="J367" s="1">
        <f ca="1">IFERROR(__xludf.DUMMYFUNCTION("""COMPUTED_VALUE"""),383.91)</f>
        <v>383.91</v>
      </c>
      <c r="K367" s="1">
        <f ca="1">IFERROR(__xludf.DUMMYFUNCTION("""COMPUTED_VALUE"""),47.07)</f>
        <v>47.07</v>
      </c>
      <c r="L367" s="1">
        <f ca="1">IFERROR(__xludf.DUMMYFUNCTION("""COMPUTED_VALUE"""),548.46)</f>
        <v>548.46</v>
      </c>
      <c r="M367" s="1">
        <f ca="1">IFERROR(__xludf.DUMMYFUNCTION("""COMPUTED_VALUE"""),491.9)</f>
        <v>491.9</v>
      </c>
    </row>
    <row r="368" spans="1:13" x14ac:dyDescent="0.25">
      <c r="A368" s="2">
        <f ca="1">IFERROR(__xludf.DUMMYFUNCTION("""COMPUTED_VALUE"""),44364.6666666666)</f>
        <v>44364.666666666599</v>
      </c>
      <c r="B368" s="1">
        <f ca="1">IFERROR(__xludf.DUMMYFUNCTION("""COMPUTED_VALUE"""),131.79)</f>
        <v>131.79</v>
      </c>
      <c r="C368" s="1">
        <f ca="1">IFERROR(__xludf.DUMMYFUNCTION("""COMPUTED_VALUE"""),257.38)</f>
        <v>257.38</v>
      </c>
      <c r="D368" s="1">
        <f ca="1">IFERROR(__xludf.DUMMYFUNCTION("""COMPUTED_VALUE"""),170.76)</f>
        <v>170.76</v>
      </c>
      <c r="E368" s="1">
        <f ca="1">IFERROR(__xludf.DUMMYFUNCTION("""COMPUTED_VALUE"""),17.81)</f>
        <v>17.809999999999999</v>
      </c>
      <c r="F368" s="1">
        <f ca="1">IFERROR(__xludf.DUMMYFUNCTION("""COMPUTED_VALUE"""),331.08)</f>
        <v>331.08</v>
      </c>
      <c r="G368" s="1">
        <f ca="1">IFERROR(__xludf.DUMMYFUNCTION("""COMPUTED_VALUE"""),125.7)</f>
        <v>125.7</v>
      </c>
      <c r="H368" s="1">
        <f ca="1">IFERROR(__xludf.DUMMYFUNCTION("""COMPUTED_VALUE"""),201.62)</f>
        <v>201.62</v>
      </c>
      <c r="I368" s="1">
        <f ca="1">IFERROR(__xludf.DUMMYFUNCTION("""COMPUTED_VALUE"""),147.1)</f>
        <v>147.1</v>
      </c>
      <c r="J368" s="1">
        <f ca="1">IFERROR(__xludf.DUMMYFUNCTION("""COMPUTED_VALUE"""),379.41)</f>
        <v>379.41</v>
      </c>
      <c r="K368" s="1">
        <f ca="1">IFERROR(__xludf.DUMMYFUNCTION("""COMPUTED_VALUE"""),46.58)</f>
        <v>46.58</v>
      </c>
      <c r="L368" s="1">
        <f ca="1">IFERROR(__xludf.DUMMYFUNCTION("""COMPUTED_VALUE"""),543.33)</f>
        <v>543.33000000000004</v>
      </c>
      <c r="M368" s="1">
        <f ca="1">IFERROR(__xludf.DUMMYFUNCTION("""COMPUTED_VALUE"""),492.41)</f>
        <v>492.41</v>
      </c>
    </row>
    <row r="369" spans="1:13" x14ac:dyDescent="0.25">
      <c r="A369" s="2">
        <f ca="1">IFERROR(__xludf.DUMMYFUNCTION("""COMPUTED_VALUE"""),44365.6666666666)</f>
        <v>44365.666666666599</v>
      </c>
      <c r="B369" s="1">
        <f ca="1">IFERROR(__xludf.DUMMYFUNCTION("""COMPUTED_VALUE"""),130.46)</f>
        <v>130.46</v>
      </c>
      <c r="C369" s="1">
        <f ca="1">IFERROR(__xludf.DUMMYFUNCTION("""COMPUTED_VALUE"""),260.9)</f>
        <v>260.89999999999998</v>
      </c>
      <c r="D369" s="1">
        <f ca="1">IFERROR(__xludf.DUMMYFUNCTION("""COMPUTED_VALUE"""),174.46)</f>
        <v>174.46</v>
      </c>
      <c r="E369" s="1">
        <f ca="1">IFERROR(__xludf.DUMMYFUNCTION("""COMPUTED_VALUE"""),18.66)</f>
        <v>18.66</v>
      </c>
      <c r="F369" s="1">
        <f ca="1">IFERROR(__xludf.DUMMYFUNCTION("""COMPUTED_VALUE"""),336.51)</f>
        <v>336.51</v>
      </c>
      <c r="G369" s="1">
        <f ca="1">IFERROR(__xludf.DUMMYFUNCTION("""COMPUTED_VALUE"""),126.37)</f>
        <v>126.37</v>
      </c>
      <c r="H369" s="1">
        <f ca="1">IFERROR(__xludf.DUMMYFUNCTION("""COMPUTED_VALUE"""),205.53)</f>
        <v>205.53</v>
      </c>
      <c r="I369" s="1">
        <f ca="1">IFERROR(__xludf.DUMMYFUNCTION("""COMPUTED_VALUE"""),148.52)</f>
        <v>148.52000000000001</v>
      </c>
      <c r="J369" s="1">
        <f ca="1">IFERROR(__xludf.DUMMYFUNCTION("""COMPUTED_VALUE"""),384.75)</f>
        <v>384.75</v>
      </c>
      <c r="K369" s="1">
        <f ca="1">IFERROR(__xludf.DUMMYFUNCTION("""COMPUTED_VALUE"""),47.12)</f>
        <v>47.12</v>
      </c>
      <c r="L369" s="1">
        <f ca="1">IFERROR(__xludf.DUMMYFUNCTION("""COMPUTED_VALUE"""),551.36)</f>
        <v>551.36</v>
      </c>
      <c r="M369" s="1">
        <f ca="1">IFERROR(__xludf.DUMMYFUNCTION("""COMPUTED_VALUE"""),498.34)</f>
        <v>498.34</v>
      </c>
    </row>
    <row r="370" spans="1:13" x14ac:dyDescent="0.25">
      <c r="A370" s="2">
        <f ca="1">IFERROR(__xludf.DUMMYFUNCTION("""COMPUTED_VALUE"""),44368.6666666666)</f>
        <v>44368.666666666599</v>
      </c>
      <c r="B370" s="1">
        <f ca="1">IFERROR(__xludf.DUMMYFUNCTION("""COMPUTED_VALUE"""),132.3)</f>
        <v>132.30000000000001</v>
      </c>
      <c r="C370" s="1">
        <f ca="1">IFERROR(__xludf.DUMMYFUNCTION("""COMPUTED_VALUE"""),259.43)</f>
        <v>259.43</v>
      </c>
      <c r="D370" s="1">
        <f ca="1">IFERROR(__xludf.DUMMYFUNCTION("""COMPUTED_VALUE"""),174.35)</f>
        <v>174.35</v>
      </c>
      <c r="E370" s="1">
        <f ca="1">IFERROR(__xludf.DUMMYFUNCTION("""COMPUTED_VALUE"""),18.64)</f>
        <v>18.64</v>
      </c>
      <c r="F370" s="1">
        <f ca="1">IFERROR(__xludf.DUMMYFUNCTION("""COMPUTED_VALUE"""),329.66)</f>
        <v>329.66</v>
      </c>
      <c r="G370" s="1">
        <f ca="1">IFERROR(__xludf.DUMMYFUNCTION("""COMPUTED_VALUE"""),125.57)</f>
        <v>125.57</v>
      </c>
      <c r="H370" s="1">
        <f ca="1">IFERROR(__xludf.DUMMYFUNCTION("""COMPUTED_VALUE"""),207.77)</f>
        <v>207.77</v>
      </c>
      <c r="I370" s="1">
        <f ca="1">IFERROR(__xludf.DUMMYFUNCTION("""COMPUTED_VALUE"""),145.42)</f>
        <v>145.41999999999999</v>
      </c>
      <c r="J370" s="1">
        <f ca="1">IFERROR(__xludf.DUMMYFUNCTION("""COMPUTED_VALUE"""),380.88)</f>
        <v>380.88</v>
      </c>
      <c r="K370" s="1">
        <f ca="1">IFERROR(__xludf.DUMMYFUNCTION("""COMPUTED_VALUE"""),46.35)</f>
        <v>46.35</v>
      </c>
      <c r="L370" s="1">
        <f ca="1">IFERROR(__xludf.DUMMYFUNCTION("""COMPUTED_VALUE"""),565.59)</f>
        <v>565.59</v>
      </c>
      <c r="M370" s="1">
        <f ca="1">IFERROR(__xludf.DUMMYFUNCTION("""COMPUTED_VALUE"""),500.77)</f>
        <v>500.77</v>
      </c>
    </row>
    <row r="371" spans="1:13" x14ac:dyDescent="0.25">
      <c r="A371" s="2">
        <f ca="1">IFERROR(__xludf.DUMMYFUNCTION("""COMPUTED_VALUE"""),44369.6666666666)</f>
        <v>44369.666666666599</v>
      </c>
      <c r="B371" s="1">
        <f ca="1">IFERROR(__xludf.DUMMYFUNCTION("""COMPUTED_VALUE"""),133.98)</f>
        <v>133.97999999999999</v>
      </c>
      <c r="C371" s="1">
        <f ca="1">IFERROR(__xludf.DUMMYFUNCTION("""COMPUTED_VALUE"""),262.63)</f>
        <v>262.63</v>
      </c>
      <c r="D371" s="1">
        <f ca="1">IFERROR(__xludf.DUMMYFUNCTION("""COMPUTED_VALUE"""),172.7)</f>
        <v>172.7</v>
      </c>
      <c r="E371" s="1">
        <f ca="1">IFERROR(__xludf.DUMMYFUNCTION("""COMPUTED_VALUE"""),18.43)</f>
        <v>18.43</v>
      </c>
      <c r="F371" s="1">
        <f ca="1">IFERROR(__xludf.DUMMYFUNCTION("""COMPUTED_VALUE"""),332.29)</f>
        <v>332.29</v>
      </c>
      <c r="G371" s="1">
        <f ca="1">IFERROR(__xludf.DUMMYFUNCTION("""COMPUTED_VALUE"""),126.46)</f>
        <v>126.46</v>
      </c>
      <c r="H371" s="1">
        <f ca="1">IFERROR(__xludf.DUMMYFUNCTION("""COMPUTED_VALUE"""),206.94)</f>
        <v>206.94</v>
      </c>
      <c r="I371" s="1">
        <f ca="1">IFERROR(__xludf.DUMMYFUNCTION("""COMPUTED_VALUE"""),146.56)</f>
        <v>146.56</v>
      </c>
      <c r="J371" s="1">
        <f ca="1">IFERROR(__xludf.DUMMYFUNCTION("""COMPUTED_VALUE"""),386.8)</f>
        <v>386.8</v>
      </c>
      <c r="K371" s="1">
        <f ca="1">IFERROR(__xludf.DUMMYFUNCTION("""COMPUTED_VALUE"""),46.46)</f>
        <v>46.46</v>
      </c>
      <c r="L371" s="1">
        <f ca="1">IFERROR(__xludf.DUMMYFUNCTION("""COMPUTED_VALUE"""),567.35)</f>
        <v>567.35</v>
      </c>
      <c r="M371" s="1">
        <f ca="1">IFERROR(__xludf.DUMMYFUNCTION("""COMPUTED_VALUE"""),497)</f>
        <v>497</v>
      </c>
    </row>
    <row r="372" spans="1:13" x14ac:dyDescent="0.25">
      <c r="A372" s="2">
        <f ca="1">IFERROR(__xludf.DUMMYFUNCTION("""COMPUTED_VALUE"""),44370.6666666666)</f>
        <v>44370.666666666599</v>
      </c>
      <c r="B372" s="1">
        <f ca="1">IFERROR(__xludf.DUMMYFUNCTION("""COMPUTED_VALUE"""),133.7)</f>
        <v>133.69999999999999</v>
      </c>
      <c r="C372" s="1">
        <f ca="1">IFERROR(__xludf.DUMMYFUNCTION("""COMPUTED_VALUE"""),265.51)</f>
        <v>265.51</v>
      </c>
      <c r="D372" s="1">
        <f ca="1">IFERROR(__xludf.DUMMYFUNCTION("""COMPUTED_VALUE"""),175.27)</f>
        <v>175.27</v>
      </c>
      <c r="E372" s="1">
        <f ca="1">IFERROR(__xludf.DUMMYFUNCTION("""COMPUTED_VALUE"""),18.89)</f>
        <v>18.89</v>
      </c>
      <c r="F372" s="1">
        <f ca="1">IFERROR(__xludf.DUMMYFUNCTION("""COMPUTED_VALUE"""),339.03)</f>
        <v>339.03</v>
      </c>
      <c r="G372" s="1">
        <f ca="1">IFERROR(__xludf.DUMMYFUNCTION("""COMPUTED_VALUE"""),127)</f>
        <v>127</v>
      </c>
      <c r="H372" s="1">
        <f ca="1">IFERROR(__xludf.DUMMYFUNCTION("""COMPUTED_VALUE"""),207.9)</f>
        <v>207.9</v>
      </c>
      <c r="I372" s="1">
        <f ca="1">IFERROR(__xludf.DUMMYFUNCTION("""COMPUTED_VALUE"""),146.78)</f>
        <v>146.78</v>
      </c>
      <c r="J372" s="1">
        <f ca="1">IFERROR(__xludf.DUMMYFUNCTION("""COMPUTED_VALUE"""),392.18)</f>
        <v>392.18</v>
      </c>
      <c r="K372" s="1">
        <f ca="1">IFERROR(__xludf.DUMMYFUNCTION("""COMPUTED_VALUE"""),46.45)</f>
        <v>46.45</v>
      </c>
      <c r="L372" s="1">
        <f ca="1">IFERROR(__xludf.DUMMYFUNCTION("""COMPUTED_VALUE"""),575.74)</f>
        <v>575.74</v>
      </c>
      <c r="M372" s="1">
        <f ca="1">IFERROR(__xludf.DUMMYFUNCTION("""COMPUTED_VALUE"""),508.82)</f>
        <v>508.82</v>
      </c>
    </row>
    <row r="373" spans="1:13" x14ac:dyDescent="0.25">
      <c r="A373" s="2">
        <f ca="1">IFERROR(__xludf.DUMMYFUNCTION("""COMPUTED_VALUE"""),44371.6666666666)</f>
        <v>44371.666666666599</v>
      </c>
      <c r="B373" s="1">
        <f ca="1">IFERROR(__xludf.DUMMYFUNCTION("""COMPUTED_VALUE"""),133.41)</f>
        <v>133.41</v>
      </c>
      <c r="C373" s="1">
        <f ca="1">IFERROR(__xludf.DUMMYFUNCTION("""COMPUTED_VALUE"""),265.27)</f>
        <v>265.27</v>
      </c>
      <c r="D373" s="1">
        <f ca="1">IFERROR(__xludf.DUMMYFUNCTION("""COMPUTED_VALUE"""),175.19)</f>
        <v>175.19</v>
      </c>
      <c r="E373" s="1">
        <f ca="1">IFERROR(__xludf.DUMMYFUNCTION("""COMPUTED_VALUE"""),19.06)</f>
        <v>19.059999999999999</v>
      </c>
      <c r="F373" s="1">
        <f ca="1">IFERROR(__xludf.DUMMYFUNCTION("""COMPUTED_VALUE"""),340.59)</f>
        <v>340.59</v>
      </c>
      <c r="G373" s="1">
        <f ca="1">IFERROR(__xludf.DUMMYFUNCTION("""COMPUTED_VALUE"""),126.46)</f>
        <v>126.46</v>
      </c>
      <c r="H373" s="1">
        <f ca="1">IFERROR(__xludf.DUMMYFUNCTION("""COMPUTED_VALUE"""),218.86)</f>
        <v>218.86</v>
      </c>
      <c r="I373" s="1">
        <f ca="1">IFERROR(__xludf.DUMMYFUNCTION("""COMPUTED_VALUE"""),144.85)</f>
        <v>144.85</v>
      </c>
      <c r="J373" s="1">
        <f ca="1">IFERROR(__xludf.DUMMYFUNCTION("""COMPUTED_VALUE"""),391.97)</f>
        <v>391.97</v>
      </c>
      <c r="K373" s="1">
        <f ca="1">IFERROR(__xludf.DUMMYFUNCTION("""COMPUTED_VALUE"""),46.67)</f>
        <v>46.67</v>
      </c>
      <c r="L373" s="1">
        <f ca="1">IFERROR(__xludf.DUMMYFUNCTION("""COMPUTED_VALUE"""),574.23)</f>
        <v>574.23</v>
      </c>
      <c r="M373" s="1">
        <f ca="1">IFERROR(__xludf.DUMMYFUNCTION("""COMPUTED_VALUE"""),512.74)</f>
        <v>512.74</v>
      </c>
    </row>
    <row r="374" spans="1:13" x14ac:dyDescent="0.25">
      <c r="A374" s="2">
        <f ca="1">IFERROR(__xludf.DUMMYFUNCTION("""COMPUTED_VALUE"""),44372.6666666666)</f>
        <v>44372.666666666599</v>
      </c>
      <c r="B374" s="1">
        <f ca="1">IFERROR(__xludf.DUMMYFUNCTION("""COMPUTED_VALUE"""),133.11)</f>
        <v>133.11000000000001</v>
      </c>
      <c r="C374" s="1">
        <f ca="1">IFERROR(__xludf.DUMMYFUNCTION("""COMPUTED_VALUE"""),266.69)</f>
        <v>266.69</v>
      </c>
      <c r="D374" s="1">
        <f ca="1">IFERROR(__xludf.DUMMYFUNCTION("""COMPUTED_VALUE"""),172.45)</f>
        <v>172.45</v>
      </c>
      <c r="E374" s="1">
        <f ca="1">IFERROR(__xludf.DUMMYFUNCTION("""COMPUTED_VALUE"""),19.21)</f>
        <v>19.21</v>
      </c>
      <c r="F374" s="1">
        <f ca="1">IFERROR(__xludf.DUMMYFUNCTION("""COMPUTED_VALUE"""),343.18)</f>
        <v>343.18</v>
      </c>
      <c r="G374" s="1">
        <f ca="1">IFERROR(__xludf.DUMMYFUNCTION("""COMPUTED_VALUE"""),127.28)</f>
        <v>127.28</v>
      </c>
      <c r="H374" s="1">
        <f ca="1">IFERROR(__xludf.DUMMYFUNCTION("""COMPUTED_VALUE"""),226.61)</f>
        <v>226.61</v>
      </c>
      <c r="I374" s="1">
        <f ca="1">IFERROR(__xludf.DUMMYFUNCTION("""COMPUTED_VALUE"""),145.67)</f>
        <v>145.66999999999999</v>
      </c>
      <c r="J374" s="1">
        <f ca="1">IFERROR(__xludf.DUMMYFUNCTION("""COMPUTED_VALUE"""),392.07)</f>
        <v>392.07</v>
      </c>
      <c r="K374" s="1">
        <f ca="1">IFERROR(__xludf.DUMMYFUNCTION("""COMPUTED_VALUE"""),47.01)</f>
        <v>47.01</v>
      </c>
      <c r="L374" s="1">
        <f ca="1">IFERROR(__xludf.DUMMYFUNCTION("""COMPUTED_VALUE"""),578.26)</f>
        <v>578.26</v>
      </c>
      <c r="M374" s="1">
        <f ca="1">IFERROR(__xludf.DUMMYFUNCTION("""COMPUTED_VALUE"""),518.06)</f>
        <v>518.05999999999995</v>
      </c>
    </row>
    <row r="375" spans="1:13" x14ac:dyDescent="0.25">
      <c r="A375" s="2">
        <f ca="1">IFERROR(__xludf.DUMMYFUNCTION("""COMPUTED_VALUE"""),44375.6666666666)</f>
        <v>44375.666666666599</v>
      </c>
      <c r="B375" s="1">
        <f ca="1">IFERROR(__xludf.DUMMYFUNCTION("""COMPUTED_VALUE"""),134.78)</f>
        <v>134.78</v>
      </c>
      <c r="C375" s="1">
        <f ca="1">IFERROR(__xludf.DUMMYFUNCTION("""COMPUTED_VALUE"""),265.02)</f>
        <v>265.02</v>
      </c>
      <c r="D375" s="1">
        <f ca="1">IFERROR(__xludf.DUMMYFUNCTION("""COMPUTED_VALUE"""),170.07)</f>
        <v>170.07</v>
      </c>
      <c r="E375" s="1">
        <f ca="1">IFERROR(__xludf.DUMMYFUNCTION("""COMPUTED_VALUE"""),19.03)</f>
        <v>19.03</v>
      </c>
      <c r="F375" s="1">
        <f ca="1">IFERROR(__xludf.DUMMYFUNCTION("""COMPUTED_VALUE"""),341.37)</f>
        <v>341.37</v>
      </c>
      <c r="G375" s="1">
        <f ca="1">IFERROR(__xludf.DUMMYFUNCTION("""COMPUTED_VALUE"""),127)</f>
        <v>127</v>
      </c>
      <c r="H375" s="1">
        <f ca="1">IFERROR(__xludf.DUMMYFUNCTION("""COMPUTED_VALUE"""),223.96)</f>
        <v>223.96</v>
      </c>
      <c r="I375" s="1">
        <f ca="1">IFERROR(__xludf.DUMMYFUNCTION("""COMPUTED_VALUE"""),146.41)</f>
        <v>146.41</v>
      </c>
      <c r="J375" s="1">
        <f ca="1">IFERROR(__xludf.DUMMYFUNCTION("""COMPUTED_VALUE"""),394.51)</f>
        <v>394.51</v>
      </c>
      <c r="K375" s="1">
        <f ca="1">IFERROR(__xludf.DUMMYFUNCTION("""COMPUTED_VALUE"""),46.22)</f>
        <v>46.22</v>
      </c>
      <c r="L375" s="1">
        <f ca="1">IFERROR(__xludf.DUMMYFUNCTION("""COMPUTED_VALUE"""),579.66)</f>
        <v>579.66</v>
      </c>
      <c r="M375" s="1">
        <f ca="1">IFERROR(__xludf.DUMMYFUNCTION("""COMPUTED_VALUE"""),527.07)</f>
        <v>527.07000000000005</v>
      </c>
    </row>
    <row r="376" spans="1:13" x14ac:dyDescent="0.25">
      <c r="A376" s="2">
        <f ca="1">IFERROR(__xludf.DUMMYFUNCTION("""COMPUTED_VALUE"""),44376.6666666666)</f>
        <v>44376.666666666599</v>
      </c>
      <c r="B376" s="1">
        <f ca="1">IFERROR(__xludf.DUMMYFUNCTION("""COMPUTED_VALUE"""),136.33)</f>
        <v>136.33000000000001</v>
      </c>
      <c r="C376" s="1">
        <f ca="1">IFERROR(__xludf.DUMMYFUNCTION("""COMPUTED_VALUE"""),268.72)</f>
        <v>268.72000000000003</v>
      </c>
      <c r="D376" s="1">
        <f ca="1">IFERROR(__xludf.DUMMYFUNCTION("""COMPUTED_VALUE"""),172.19)</f>
        <v>172.19</v>
      </c>
      <c r="E376" s="1">
        <f ca="1">IFERROR(__xludf.DUMMYFUNCTION("""COMPUTED_VALUE"""),19.99)</f>
        <v>19.989999999999998</v>
      </c>
      <c r="F376" s="1">
        <f ca="1">IFERROR(__xludf.DUMMYFUNCTION("""COMPUTED_VALUE"""),355.64)</f>
        <v>355.64</v>
      </c>
      <c r="G376" s="1">
        <f ca="1">IFERROR(__xludf.DUMMYFUNCTION("""COMPUTED_VALUE"""),126.82)</f>
        <v>126.82</v>
      </c>
      <c r="H376" s="1">
        <f ca="1">IFERROR(__xludf.DUMMYFUNCTION("""COMPUTED_VALUE"""),229.57)</f>
        <v>229.57</v>
      </c>
      <c r="I376" s="1">
        <f ca="1">IFERROR(__xludf.DUMMYFUNCTION("""COMPUTED_VALUE"""),147.04)</f>
        <v>147.04</v>
      </c>
      <c r="J376" s="1">
        <f ca="1">IFERROR(__xludf.DUMMYFUNCTION("""COMPUTED_VALUE"""),396.54)</f>
        <v>396.54</v>
      </c>
      <c r="K376" s="1">
        <f ca="1">IFERROR(__xludf.DUMMYFUNCTION("""COMPUTED_VALUE"""),47.28)</f>
        <v>47.28</v>
      </c>
      <c r="L376" s="1">
        <f ca="1">IFERROR(__xludf.DUMMYFUNCTION("""COMPUTED_VALUE"""),588.8)</f>
        <v>588.79999999999995</v>
      </c>
      <c r="M376" s="1">
        <f ca="1">IFERROR(__xludf.DUMMYFUNCTION("""COMPUTED_VALUE"""),533.03)</f>
        <v>533.03</v>
      </c>
    </row>
    <row r="377" spans="1:13" x14ac:dyDescent="0.25">
      <c r="A377" s="2">
        <f ca="1">IFERROR(__xludf.DUMMYFUNCTION("""COMPUTED_VALUE"""),44377.6666666666)</f>
        <v>44377.666666666599</v>
      </c>
      <c r="B377" s="1">
        <f ca="1">IFERROR(__xludf.DUMMYFUNCTION("""COMPUTED_VALUE"""),136.96)</f>
        <v>136.96</v>
      </c>
      <c r="C377" s="1">
        <f ca="1">IFERROR(__xludf.DUMMYFUNCTION("""COMPUTED_VALUE"""),271.4)</f>
        <v>271.39999999999998</v>
      </c>
      <c r="D377" s="1">
        <f ca="1">IFERROR(__xludf.DUMMYFUNCTION("""COMPUTED_VALUE"""),172.41)</f>
        <v>172.41</v>
      </c>
      <c r="E377" s="1">
        <f ca="1">IFERROR(__xludf.DUMMYFUNCTION("""COMPUTED_VALUE"""),20.03)</f>
        <v>20.03</v>
      </c>
      <c r="F377" s="1">
        <f ca="1">IFERROR(__xludf.DUMMYFUNCTION("""COMPUTED_VALUE"""),351.89)</f>
        <v>351.89</v>
      </c>
      <c r="G377" s="1">
        <f ca="1">IFERROR(__xludf.DUMMYFUNCTION("""COMPUTED_VALUE"""),126.02)</f>
        <v>126.02</v>
      </c>
      <c r="H377" s="1">
        <f ca="1">IFERROR(__xludf.DUMMYFUNCTION("""COMPUTED_VALUE"""),226.92)</f>
        <v>226.92</v>
      </c>
      <c r="I377" s="1">
        <f ca="1">IFERROR(__xludf.DUMMYFUNCTION("""COMPUTED_VALUE"""),146.94)</f>
        <v>146.94</v>
      </c>
      <c r="J377" s="1">
        <f ca="1">IFERROR(__xludf.DUMMYFUNCTION("""COMPUTED_VALUE"""),398.79)</f>
        <v>398.79</v>
      </c>
      <c r="K377" s="1">
        <f ca="1">IFERROR(__xludf.DUMMYFUNCTION("""COMPUTED_VALUE"""),47.72)</f>
        <v>47.72</v>
      </c>
      <c r="L377" s="1">
        <f ca="1">IFERROR(__xludf.DUMMYFUNCTION("""COMPUTED_VALUE"""),590.75)</f>
        <v>590.75</v>
      </c>
      <c r="M377" s="1">
        <f ca="1">IFERROR(__xludf.DUMMYFUNCTION("""COMPUTED_VALUE"""),533.5)</f>
        <v>533.5</v>
      </c>
    </row>
    <row r="378" spans="1:13" x14ac:dyDescent="0.25">
      <c r="A378" s="2">
        <f ca="1">IFERROR(__xludf.DUMMYFUNCTION("""COMPUTED_VALUE"""),44378.6666666666)</f>
        <v>44378.666666666599</v>
      </c>
      <c r="B378" s="1">
        <f ca="1">IFERROR(__xludf.DUMMYFUNCTION("""COMPUTED_VALUE"""),137.27)</f>
        <v>137.27000000000001</v>
      </c>
      <c r="C378" s="1">
        <f ca="1">IFERROR(__xludf.DUMMYFUNCTION("""COMPUTED_VALUE"""),270.9)</f>
        <v>270.89999999999998</v>
      </c>
      <c r="D378" s="1">
        <f ca="1">IFERROR(__xludf.DUMMYFUNCTION("""COMPUTED_VALUE"""),172.01)</f>
        <v>172.01</v>
      </c>
      <c r="E378" s="1">
        <f ca="1">IFERROR(__xludf.DUMMYFUNCTION("""COMPUTED_VALUE"""),20)</f>
        <v>20</v>
      </c>
      <c r="F378" s="1">
        <f ca="1">IFERROR(__xludf.DUMMYFUNCTION("""COMPUTED_VALUE"""),347.71)</f>
        <v>347.71</v>
      </c>
      <c r="G378" s="1">
        <f ca="1">IFERROR(__xludf.DUMMYFUNCTION("""COMPUTED_VALUE"""),125.32)</f>
        <v>125.32</v>
      </c>
      <c r="H378" s="1">
        <f ca="1">IFERROR(__xludf.DUMMYFUNCTION("""COMPUTED_VALUE"""),226.57)</f>
        <v>226.57</v>
      </c>
      <c r="I378" s="1">
        <f ca="1">IFERROR(__xludf.DUMMYFUNCTION("""COMPUTED_VALUE"""),148.17)</f>
        <v>148.16999999999999</v>
      </c>
      <c r="J378" s="1">
        <f ca="1">IFERROR(__xludf.DUMMYFUNCTION("""COMPUTED_VALUE"""),395.67)</f>
        <v>395.67</v>
      </c>
      <c r="K378" s="1">
        <f ca="1">IFERROR(__xludf.DUMMYFUNCTION("""COMPUTED_VALUE"""),47.68)</f>
        <v>47.68</v>
      </c>
      <c r="L378" s="1">
        <f ca="1">IFERROR(__xludf.DUMMYFUNCTION("""COMPUTED_VALUE"""),585.64)</f>
        <v>585.64</v>
      </c>
      <c r="M378" s="1">
        <f ca="1">IFERROR(__xludf.DUMMYFUNCTION("""COMPUTED_VALUE"""),528.21)</f>
        <v>528.21</v>
      </c>
    </row>
    <row r="379" spans="1:13" x14ac:dyDescent="0.25">
      <c r="A379" s="2">
        <f ca="1">IFERROR(__xludf.DUMMYFUNCTION("""COMPUTED_VALUE"""),44379.6666666666)</f>
        <v>44379.666666666599</v>
      </c>
      <c r="B379" s="1">
        <f ca="1">IFERROR(__xludf.DUMMYFUNCTION("""COMPUTED_VALUE"""),139.96)</f>
        <v>139.96</v>
      </c>
      <c r="C379" s="1">
        <f ca="1">IFERROR(__xludf.DUMMYFUNCTION("""COMPUTED_VALUE"""),271.6)</f>
        <v>271.60000000000002</v>
      </c>
      <c r="D379" s="1">
        <f ca="1">IFERROR(__xludf.DUMMYFUNCTION("""COMPUTED_VALUE"""),171.65)</f>
        <v>171.65</v>
      </c>
      <c r="E379" s="1">
        <f ca="1">IFERROR(__xludf.DUMMYFUNCTION("""COMPUTED_VALUE"""),20.21)</f>
        <v>20.21</v>
      </c>
      <c r="F379" s="1">
        <f ca="1">IFERROR(__xludf.DUMMYFUNCTION("""COMPUTED_VALUE"""),354.39)</f>
        <v>354.39</v>
      </c>
      <c r="G379" s="1">
        <f ca="1">IFERROR(__xludf.DUMMYFUNCTION("""COMPUTED_VALUE"""),126.37)</f>
        <v>126.37</v>
      </c>
      <c r="H379" s="1">
        <f ca="1">IFERROR(__xludf.DUMMYFUNCTION("""COMPUTED_VALUE"""),225.97)</f>
        <v>225.97</v>
      </c>
      <c r="I379" s="1">
        <f ca="1">IFERROR(__xludf.DUMMYFUNCTION("""COMPUTED_VALUE"""),148.2)</f>
        <v>148.19999999999999</v>
      </c>
      <c r="J379" s="1">
        <f ca="1">IFERROR(__xludf.DUMMYFUNCTION("""COMPUTED_VALUE"""),394.53)</f>
        <v>394.53</v>
      </c>
      <c r="K379" s="1">
        <f ca="1">IFERROR(__xludf.DUMMYFUNCTION("""COMPUTED_VALUE"""),46.96)</f>
        <v>46.96</v>
      </c>
      <c r="L379" s="1">
        <f ca="1">IFERROR(__xludf.DUMMYFUNCTION("""COMPUTED_VALUE"""),584.73)</f>
        <v>584.73</v>
      </c>
      <c r="M379" s="1">
        <f ca="1">IFERROR(__xludf.DUMMYFUNCTION("""COMPUTED_VALUE"""),533.54)</f>
        <v>533.54</v>
      </c>
    </row>
    <row r="380" spans="1:13" x14ac:dyDescent="0.25">
      <c r="A380" s="2">
        <f ca="1">IFERROR(__xludf.DUMMYFUNCTION("""COMPUTED_VALUE"""),44383.6666666666)</f>
        <v>44383.666666666599</v>
      </c>
      <c r="B380" s="1">
        <f ca="1">IFERROR(__xludf.DUMMYFUNCTION("""COMPUTED_VALUE"""),142.02)</f>
        <v>142.02000000000001</v>
      </c>
      <c r="C380" s="1">
        <f ca="1">IFERROR(__xludf.DUMMYFUNCTION("""COMPUTED_VALUE"""),277.65)</f>
        <v>277.64999999999998</v>
      </c>
      <c r="D380" s="1">
        <f ca="1">IFERROR(__xludf.DUMMYFUNCTION("""COMPUTED_VALUE"""),175.55)</f>
        <v>175.55</v>
      </c>
      <c r="E380" s="1">
        <f ca="1">IFERROR(__xludf.DUMMYFUNCTION("""COMPUTED_VALUE"""),20.49)</f>
        <v>20.49</v>
      </c>
      <c r="F380" s="1">
        <f ca="1">IFERROR(__xludf.DUMMYFUNCTION("""COMPUTED_VALUE"""),354.7)</f>
        <v>354.7</v>
      </c>
      <c r="G380" s="1">
        <f ca="1">IFERROR(__xludf.DUMMYFUNCTION("""COMPUTED_VALUE"""),128.72)</f>
        <v>128.72</v>
      </c>
      <c r="H380" s="1">
        <f ca="1">IFERROR(__xludf.DUMMYFUNCTION("""COMPUTED_VALUE"""),226.3)</f>
        <v>226.3</v>
      </c>
      <c r="I380" s="1">
        <f ca="1">IFERROR(__xludf.DUMMYFUNCTION("""COMPUTED_VALUE"""),148.91)</f>
        <v>148.91</v>
      </c>
      <c r="J380" s="1">
        <f ca="1">IFERROR(__xludf.DUMMYFUNCTION("""COMPUTED_VALUE"""),398.94)</f>
        <v>398.94</v>
      </c>
      <c r="K380" s="1">
        <f ca="1">IFERROR(__xludf.DUMMYFUNCTION("""COMPUTED_VALUE"""),46.82)</f>
        <v>46.82</v>
      </c>
      <c r="L380" s="1">
        <f ca="1">IFERROR(__xludf.DUMMYFUNCTION("""COMPUTED_VALUE"""),593.07)</f>
        <v>593.07000000000005</v>
      </c>
      <c r="M380" s="1">
        <f ca="1">IFERROR(__xludf.DUMMYFUNCTION("""COMPUTED_VALUE"""),533.98)</f>
        <v>533.98</v>
      </c>
    </row>
    <row r="381" spans="1:13" x14ac:dyDescent="0.25">
      <c r="A381" s="2">
        <f ca="1">IFERROR(__xludf.DUMMYFUNCTION("""COMPUTED_VALUE"""),44384.6666666666)</f>
        <v>44384.666666666599</v>
      </c>
      <c r="B381" s="1">
        <f ca="1">IFERROR(__xludf.DUMMYFUNCTION("""COMPUTED_VALUE"""),144.57)</f>
        <v>144.57</v>
      </c>
      <c r="C381" s="1">
        <f ca="1">IFERROR(__xludf.DUMMYFUNCTION("""COMPUTED_VALUE"""),277.66)</f>
        <v>277.66000000000003</v>
      </c>
      <c r="D381" s="1">
        <f ca="1">IFERROR(__xludf.DUMMYFUNCTION("""COMPUTED_VALUE"""),183.79)</f>
        <v>183.79</v>
      </c>
      <c r="E381" s="1">
        <f ca="1">IFERROR(__xludf.DUMMYFUNCTION("""COMPUTED_VALUE"""),20.7)</f>
        <v>20.7</v>
      </c>
      <c r="F381" s="1">
        <f ca="1">IFERROR(__xludf.DUMMYFUNCTION("""COMPUTED_VALUE"""),352.78)</f>
        <v>352.78</v>
      </c>
      <c r="G381" s="1">
        <f ca="1">IFERROR(__xludf.DUMMYFUNCTION("""COMPUTED_VALUE"""),129.77)</f>
        <v>129.77000000000001</v>
      </c>
      <c r="H381" s="1">
        <f ca="1">IFERROR(__xludf.DUMMYFUNCTION("""COMPUTED_VALUE"""),219.86)</f>
        <v>219.86</v>
      </c>
      <c r="I381" s="1">
        <f ca="1">IFERROR(__xludf.DUMMYFUNCTION("""COMPUTED_VALUE"""),149.13)</f>
        <v>149.13</v>
      </c>
      <c r="J381" s="1">
        <f ca="1">IFERROR(__xludf.DUMMYFUNCTION("""COMPUTED_VALUE"""),398.86)</f>
        <v>398.86</v>
      </c>
      <c r="K381" s="1">
        <f ca="1">IFERROR(__xludf.DUMMYFUNCTION("""COMPUTED_VALUE"""),47.33)</f>
        <v>47.33</v>
      </c>
      <c r="L381" s="1">
        <f ca="1">IFERROR(__xludf.DUMMYFUNCTION("""COMPUTED_VALUE"""),596.9)</f>
        <v>596.9</v>
      </c>
      <c r="M381" s="1">
        <f ca="1">IFERROR(__xludf.DUMMYFUNCTION("""COMPUTED_VALUE"""),541.64)</f>
        <v>541.64</v>
      </c>
    </row>
    <row r="382" spans="1:13" x14ac:dyDescent="0.25">
      <c r="A382" s="2">
        <f ca="1">IFERROR(__xludf.DUMMYFUNCTION("""COMPUTED_VALUE"""),44385.6666666666)</f>
        <v>44385.666666666599</v>
      </c>
      <c r="B382" s="1">
        <f ca="1">IFERROR(__xludf.DUMMYFUNCTION("""COMPUTED_VALUE"""),143.24)</f>
        <v>143.24</v>
      </c>
      <c r="C382" s="1">
        <f ca="1">IFERROR(__xludf.DUMMYFUNCTION("""COMPUTED_VALUE"""),279.93)</f>
        <v>279.93</v>
      </c>
      <c r="D382" s="1">
        <f ca="1">IFERROR(__xludf.DUMMYFUNCTION("""COMPUTED_VALUE"""),184.83)</f>
        <v>184.83</v>
      </c>
      <c r="E382" s="1">
        <f ca="1">IFERROR(__xludf.DUMMYFUNCTION("""COMPUTED_VALUE"""),20.37)</f>
        <v>20.37</v>
      </c>
      <c r="F382" s="1">
        <f ca="1">IFERROR(__xludf.DUMMYFUNCTION("""COMPUTED_VALUE"""),350.49)</f>
        <v>350.49</v>
      </c>
      <c r="G382" s="1">
        <f ca="1">IFERROR(__xludf.DUMMYFUNCTION("""COMPUTED_VALUE"""),130.08)</f>
        <v>130.08000000000001</v>
      </c>
      <c r="H382" s="1">
        <f ca="1">IFERROR(__xludf.DUMMYFUNCTION("""COMPUTED_VALUE"""),214.88)</f>
        <v>214.88</v>
      </c>
      <c r="I382" s="1">
        <f ca="1">IFERROR(__xludf.DUMMYFUNCTION("""COMPUTED_VALUE"""),149.79)</f>
        <v>149.79</v>
      </c>
      <c r="J382" s="1">
        <f ca="1">IFERROR(__xludf.DUMMYFUNCTION("""COMPUTED_VALUE"""),404.68)</f>
        <v>404.68</v>
      </c>
      <c r="K382" s="1">
        <f ca="1">IFERROR(__xludf.DUMMYFUNCTION("""COMPUTED_VALUE"""),46.95)</f>
        <v>46.95</v>
      </c>
      <c r="L382" s="1">
        <f ca="1">IFERROR(__xludf.DUMMYFUNCTION("""COMPUTED_VALUE"""),605.77)</f>
        <v>605.77</v>
      </c>
      <c r="M382" s="1">
        <f ca="1">IFERROR(__xludf.DUMMYFUNCTION("""COMPUTED_VALUE"""),535.96)</f>
        <v>535.96</v>
      </c>
    </row>
    <row r="383" spans="1:13" x14ac:dyDescent="0.25">
      <c r="A383" s="2">
        <f ca="1">IFERROR(__xludf.DUMMYFUNCTION("""COMPUTED_VALUE"""),44386.6666666666)</f>
        <v>44386.666666666599</v>
      </c>
      <c r="B383" s="1">
        <f ca="1">IFERROR(__xludf.DUMMYFUNCTION("""COMPUTED_VALUE"""),145.11)</f>
        <v>145.11000000000001</v>
      </c>
      <c r="C383" s="1">
        <f ca="1">IFERROR(__xludf.DUMMYFUNCTION("""COMPUTED_VALUE"""),277.42)</f>
        <v>277.42</v>
      </c>
      <c r="D383" s="1">
        <f ca="1">IFERROR(__xludf.DUMMYFUNCTION("""COMPUTED_VALUE"""),186.57)</f>
        <v>186.57</v>
      </c>
      <c r="E383" s="1">
        <f ca="1">IFERROR(__xludf.DUMMYFUNCTION("""COMPUTED_VALUE"""),19.9)</f>
        <v>19.899999999999999</v>
      </c>
      <c r="F383" s="1">
        <f ca="1">IFERROR(__xludf.DUMMYFUNCTION("""COMPUTED_VALUE"""),345.65)</f>
        <v>345.65</v>
      </c>
      <c r="G383" s="1">
        <f ca="1">IFERROR(__xludf.DUMMYFUNCTION("""COMPUTED_VALUE"""),129.18)</f>
        <v>129.18</v>
      </c>
      <c r="H383" s="1">
        <f ca="1">IFERROR(__xludf.DUMMYFUNCTION("""COMPUTED_VALUE"""),217.6)</f>
        <v>217.6</v>
      </c>
      <c r="I383" s="1">
        <f ca="1">IFERROR(__xludf.DUMMYFUNCTION("""COMPUTED_VALUE"""),149.86)</f>
        <v>149.86000000000001</v>
      </c>
      <c r="J383" s="1">
        <f ca="1">IFERROR(__xludf.DUMMYFUNCTION("""COMPUTED_VALUE"""),407.15)</f>
        <v>407.15</v>
      </c>
      <c r="K383" s="1">
        <f ca="1">IFERROR(__xludf.DUMMYFUNCTION("""COMPUTED_VALUE"""),47.05)</f>
        <v>47.05</v>
      </c>
      <c r="L383" s="1">
        <f ca="1">IFERROR(__xludf.DUMMYFUNCTION("""COMPUTED_VALUE"""),605.95)</f>
        <v>605.95000000000005</v>
      </c>
      <c r="M383" s="1">
        <f ca="1">IFERROR(__xludf.DUMMYFUNCTION("""COMPUTED_VALUE"""),530.76)</f>
        <v>530.76</v>
      </c>
    </row>
    <row r="384" spans="1:13" x14ac:dyDescent="0.25">
      <c r="A384" s="2">
        <f ca="1">IFERROR(__xludf.DUMMYFUNCTION("""COMPUTED_VALUE"""),44389.6666666666)</f>
        <v>44389.666666666599</v>
      </c>
      <c r="B384" s="1">
        <f ca="1">IFERROR(__xludf.DUMMYFUNCTION("""COMPUTED_VALUE"""),144.5)</f>
        <v>144.5</v>
      </c>
      <c r="C384" s="1">
        <f ca="1">IFERROR(__xludf.DUMMYFUNCTION("""COMPUTED_VALUE"""),277.94)</f>
        <v>277.94</v>
      </c>
      <c r="D384" s="1">
        <f ca="1">IFERROR(__xludf.DUMMYFUNCTION("""COMPUTED_VALUE"""),185.97)</f>
        <v>185.97</v>
      </c>
      <c r="E384" s="1">
        <f ca="1">IFERROR(__xludf.DUMMYFUNCTION("""COMPUTED_VALUE"""),20.05)</f>
        <v>20.05</v>
      </c>
      <c r="F384" s="1">
        <f ca="1">IFERROR(__xludf.DUMMYFUNCTION("""COMPUTED_VALUE"""),350.42)</f>
        <v>350.42</v>
      </c>
      <c r="G384" s="1">
        <f ca="1">IFERROR(__xludf.DUMMYFUNCTION("""COMPUTED_VALUE"""),129.57)</f>
        <v>129.57</v>
      </c>
      <c r="H384" s="1">
        <f ca="1">IFERROR(__xludf.DUMMYFUNCTION("""COMPUTED_VALUE"""),218.98)</f>
        <v>218.98</v>
      </c>
      <c r="I384" s="1">
        <f ca="1">IFERROR(__xludf.DUMMYFUNCTION("""COMPUTED_VALUE"""),149.48)</f>
        <v>149.47999999999999</v>
      </c>
      <c r="J384" s="1">
        <f ca="1">IFERROR(__xludf.DUMMYFUNCTION("""COMPUTED_VALUE"""),412.37)</f>
        <v>412.37</v>
      </c>
      <c r="K384" s="1">
        <f ca="1">IFERROR(__xludf.DUMMYFUNCTION("""COMPUTED_VALUE"""),48.02)</f>
        <v>48.02</v>
      </c>
      <c r="L384" s="1">
        <f ca="1">IFERROR(__xludf.DUMMYFUNCTION("""COMPUTED_VALUE"""),604.5)</f>
        <v>604.5</v>
      </c>
      <c r="M384" s="1">
        <f ca="1">IFERROR(__xludf.DUMMYFUNCTION("""COMPUTED_VALUE"""),535.98)</f>
        <v>535.98</v>
      </c>
    </row>
    <row r="385" spans="1:13" x14ac:dyDescent="0.25">
      <c r="A385" s="2">
        <f ca="1">IFERROR(__xludf.DUMMYFUNCTION("""COMPUTED_VALUE"""),44390.6666666666)</f>
        <v>44390.666666666599</v>
      </c>
      <c r="B385" s="1">
        <f ca="1">IFERROR(__xludf.DUMMYFUNCTION("""COMPUTED_VALUE"""),145.64)</f>
        <v>145.63999999999999</v>
      </c>
      <c r="C385" s="1">
        <f ca="1">IFERROR(__xludf.DUMMYFUNCTION("""COMPUTED_VALUE"""),277.32)</f>
        <v>277.32</v>
      </c>
      <c r="D385" s="1">
        <f ca="1">IFERROR(__xludf.DUMMYFUNCTION("""COMPUTED_VALUE"""),185.93)</f>
        <v>185.93</v>
      </c>
      <c r="E385" s="1">
        <f ca="1">IFERROR(__xludf.DUMMYFUNCTION("""COMPUTED_VALUE"""),20.51)</f>
        <v>20.51</v>
      </c>
      <c r="F385" s="1">
        <f ca="1">IFERROR(__xludf.DUMMYFUNCTION("""COMPUTED_VALUE"""),353.16)</f>
        <v>353.16</v>
      </c>
      <c r="G385" s="1">
        <f ca="1">IFERROR(__xludf.DUMMYFUNCTION("""COMPUTED_VALUE"""),130.56)</f>
        <v>130.56</v>
      </c>
      <c r="H385" s="1">
        <f ca="1">IFERROR(__xludf.DUMMYFUNCTION("""COMPUTED_VALUE"""),228.57)</f>
        <v>228.57</v>
      </c>
      <c r="I385" s="1">
        <f ca="1">IFERROR(__xludf.DUMMYFUNCTION("""COMPUTED_VALUE"""),149.51)</f>
        <v>149.51</v>
      </c>
      <c r="J385" s="1">
        <f ca="1">IFERROR(__xludf.DUMMYFUNCTION("""COMPUTED_VALUE"""),407.88)</f>
        <v>407.88</v>
      </c>
      <c r="K385" s="1">
        <f ca="1">IFERROR(__xludf.DUMMYFUNCTION("""COMPUTED_VALUE"""),48.58)</f>
        <v>48.58</v>
      </c>
      <c r="L385" s="1">
        <f ca="1">IFERROR(__xludf.DUMMYFUNCTION("""COMPUTED_VALUE"""),600.2)</f>
        <v>600.20000000000005</v>
      </c>
      <c r="M385" s="1">
        <f ca="1">IFERROR(__xludf.DUMMYFUNCTION("""COMPUTED_VALUE"""),537.31)</f>
        <v>537.30999999999995</v>
      </c>
    </row>
    <row r="386" spans="1:13" x14ac:dyDescent="0.25">
      <c r="A386" s="2">
        <f ca="1">IFERROR(__xludf.DUMMYFUNCTION("""COMPUTED_VALUE"""),44391.6666666666)</f>
        <v>44391.666666666599</v>
      </c>
      <c r="B386" s="1">
        <f ca="1">IFERROR(__xludf.DUMMYFUNCTION("""COMPUTED_VALUE"""),149.15)</f>
        <v>149.15</v>
      </c>
      <c r="C386" s="1">
        <f ca="1">IFERROR(__xludf.DUMMYFUNCTION("""COMPUTED_VALUE"""),280.98)</f>
        <v>280.98</v>
      </c>
      <c r="D386" s="1">
        <f ca="1">IFERROR(__xludf.DUMMYFUNCTION("""COMPUTED_VALUE"""),183.87)</f>
        <v>183.87</v>
      </c>
      <c r="E386" s="1">
        <f ca="1">IFERROR(__xludf.DUMMYFUNCTION("""COMPUTED_VALUE"""),20.25)</f>
        <v>20.25</v>
      </c>
      <c r="F386" s="1">
        <f ca="1">IFERROR(__xludf.DUMMYFUNCTION("""COMPUTED_VALUE"""),352.09)</f>
        <v>352.09</v>
      </c>
      <c r="G386" s="1">
        <f ca="1">IFERROR(__xludf.DUMMYFUNCTION("""COMPUTED_VALUE"""),130.99)</f>
        <v>130.99</v>
      </c>
      <c r="H386" s="1">
        <f ca="1">IFERROR(__xludf.DUMMYFUNCTION("""COMPUTED_VALUE"""),222.85)</f>
        <v>222.85</v>
      </c>
      <c r="I386" s="1">
        <f ca="1">IFERROR(__xludf.DUMMYFUNCTION("""COMPUTED_VALUE"""),152.96)</f>
        <v>152.96</v>
      </c>
      <c r="J386" s="1">
        <f ca="1">IFERROR(__xludf.DUMMYFUNCTION("""COMPUTED_VALUE"""),407.06)</f>
        <v>407.06</v>
      </c>
      <c r="K386" s="1">
        <f ca="1">IFERROR(__xludf.DUMMYFUNCTION("""COMPUTED_VALUE"""),48.4)</f>
        <v>48.4</v>
      </c>
      <c r="L386" s="1">
        <f ca="1">IFERROR(__xludf.DUMMYFUNCTION("""COMPUTED_VALUE"""),605.01)</f>
        <v>605.01</v>
      </c>
      <c r="M386" s="1">
        <f ca="1">IFERROR(__xludf.DUMMYFUNCTION("""COMPUTED_VALUE"""),540.68)</f>
        <v>540.67999999999995</v>
      </c>
    </row>
    <row r="387" spans="1:13" x14ac:dyDescent="0.25">
      <c r="A387" s="2">
        <f ca="1">IFERROR(__xludf.DUMMYFUNCTION("""COMPUTED_VALUE"""),44392.6666666666)</f>
        <v>44392.666666666599</v>
      </c>
      <c r="B387" s="1">
        <f ca="1">IFERROR(__xludf.DUMMYFUNCTION("""COMPUTED_VALUE"""),148.48)</f>
        <v>148.47999999999999</v>
      </c>
      <c r="C387" s="1">
        <f ca="1">IFERROR(__xludf.DUMMYFUNCTION("""COMPUTED_VALUE"""),282.51)</f>
        <v>282.51</v>
      </c>
      <c r="D387" s="1">
        <f ca="1">IFERROR(__xludf.DUMMYFUNCTION("""COMPUTED_VALUE"""),184.08)</f>
        <v>184.08</v>
      </c>
      <c r="E387" s="1">
        <f ca="1">IFERROR(__xludf.DUMMYFUNCTION("""COMPUTED_VALUE"""),19.84)</f>
        <v>19.84</v>
      </c>
      <c r="F387" s="1">
        <f ca="1">IFERROR(__xludf.DUMMYFUNCTION("""COMPUTED_VALUE"""),347.63)</f>
        <v>347.63</v>
      </c>
      <c r="G387" s="1">
        <f ca="1">IFERROR(__xludf.DUMMYFUNCTION("""COMPUTED_VALUE"""),132.08)</f>
        <v>132.08000000000001</v>
      </c>
      <c r="H387" s="1">
        <f ca="1">IFERROR(__xludf.DUMMYFUNCTION("""COMPUTED_VALUE"""),217.79)</f>
        <v>217.79</v>
      </c>
      <c r="I387" s="1">
        <f ca="1">IFERROR(__xludf.DUMMYFUNCTION("""COMPUTED_VALUE"""),154.54)</f>
        <v>154.54</v>
      </c>
      <c r="J387" s="1">
        <f ca="1">IFERROR(__xludf.DUMMYFUNCTION("""COMPUTED_VALUE"""),409.95)</f>
        <v>409.95</v>
      </c>
      <c r="K387" s="1">
        <f ca="1">IFERROR(__xludf.DUMMYFUNCTION("""COMPUTED_VALUE"""),48.16)</f>
        <v>48.16</v>
      </c>
      <c r="L387" s="1">
        <f ca="1">IFERROR(__xludf.DUMMYFUNCTION("""COMPUTED_VALUE"""),608.83)</f>
        <v>608.83000000000004</v>
      </c>
      <c r="M387" s="1">
        <f ca="1">IFERROR(__xludf.DUMMYFUNCTION("""COMPUTED_VALUE"""),547.95)</f>
        <v>547.95000000000005</v>
      </c>
    </row>
    <row r="388" spans="1:13" x14ac:dyDescent="0.25">
      <c r="A388" s="2">
        <f ca="1">IFERROR(__xludf.DUMMYFUNCTION("""COMPUTED_VALUE"""),44393.6666666666)</f>
        <v>44393.666666666599</v>
      </c>
      <c r="B388" s="1">
        <f ca="1">IFERROR(__xludf.DUMMYFUNCTION("""COMPUTED_VALUE"""),146.39)</f>
        <v>146.38999999999999</v>
      </c>
      <c r="C388" s="1">
        <f ca="1">IFERROR(__xludf.DUMMYFUNCTION("""COMPUTED_VALUE"""),281.03)</f>
        <v>281.02999999999997</v>
      </c>
      <c r="D388" s="1">
        <f ca="1">IFERROR(__xludf.DUMMYFUNCTION("""COMPUTED_VALUE"""),181.56)</f>
        <v>181.56</v>
      </c>
      <c r="E388" s="1">
        <f ca="1">IFERROR(__xludf.DUMMYFUNCTION("""COMPUTED_VALUE"""),18.97)</f>
        <v>18.97</v>
      </c>
      <c r="F388" s="1">
        <f ca="1">IFERROR(__xludf.DUMMYFUNCTION("""COMPUTED_VALUE"""),344.46)</f>
        <v>344.46</v>
      </c>
      <c r="G388" s="1">
        <f ca="1">IFERROR(__xludf.DUMMYFUNCTION("""COMPUTED_VALUE"""),131.27)</f>
        <v>131.27000000000001</v>
      </c>
      <c r="H388" s="1">
        <f ca="1">IFERROR(__xludf.DUMMYFUNCTION("""COMPUTED_VALUE"""),216.87)</f>
        <v>216.87</v>
      </c>
      <c r="I388" s="1">
        <f ca="1">IFERROR(__xludf.DUMMYFUNCTION("""COMPUTED_VALUE"""),155.25)</f>
        <v>155.25</v>
      </c>
      <c r="J388" s="1">
        <f ca="1">IFERROR(__xludf.DUMMYFUNCTION("""COMPUTED_VALUE"""),411.82)</f>
        <v>411.82</v>
      </c>
      <c r="K388" s="1">
        <f ca="1">IFERROR(__xludf.DUMMYFUNCTION("""COMPUTED_VALUE"""),47.73)</f>
        <v>47.73</v>
      </c>
      <c r="L388" s="1">
        <f ca="1">IFERROR(__xludf.DUMMYFUNCTION("""COMPUTED_VALUE"""),606.17)</f>
        <v>606.16999999999996</v>
      </c>
      <c r="M388" s="1">
        <f ca="1">IFERROR(__xludf.DUMMYFUNCTION("""COMPUTED_VALUE"""),542.95)</f>
        <v>542.95000000000005</v>
      </c>
    </row>
    <row r="389" spans="1:13" x14ac:dyDescent="0.25">
      <c r="A389" s="2">
        <f ca="1">IFERROR(__xludf.DUMMYFUNCTION("""COMPUTED_VALUE"""),44396.6666666666)</f>
        <v>44396.666666666599</v>
      </c>
      <c r="B389" s="1">
        <f ca="1">IFERROR(__xludf.DUMMYFUNCTION("""COMPUTED_VALUE"""),142.45)</f>
        <v>142.44999999999999</v>
      </c>
      <c r="C389" s="1">
        <f ca="1">IFERROR(__xludf.DUMMYFUNCTION("""COMPUTED_VALUE"""),280.75)</f>
        <v>280.75</v>
      </c>
      <c r="D389" s="1">
        <f ca="1">IFERROR(__xludf.DUMMYFUNCTION("""COMPUTED_VALUE"""),178.68)</f>
        <v>178.68</v>
      </c>
      <c r="E389" s="1">
        <f ca="1">IFERROR(__xludf.DUMMYFUNCTION("""COMPUTED_VALUE"""),18.16)</f>
        <v>18.16</v>
      </c>
      <c r="F389" s="1">
        <f ca="1">IFERROR(__xludf.DUMMYFUNCTION("""COMPUTED_VALUE"""),341.16)</f>
        <v>341.16</v>
      </c>
      <c r="G389" s="1">
        <f ca="1">IFERROR(__xludf.DUMMYFUNCTION("""COMPUTED_VALUE"""),131.85)</f>
        <v>131.85</v>
      </c>
      <c r="H389" s="1">
        <f ca="1">IFERROR(__xludf.DUMMYFUNCTION("""COMPUTED_VALUE"""),214.74)</f>
        <v>214.74</v>
      </c>
      <c r="I389" s="1">
        <f ca="1">IFERROR(__xludf.DUMMYFUNCTION("""COMPUTED_VALUE"""),155.82)</f>
        <v>155.82</v>
      </c>
      <c r="J389" s="1">
        <f ca="1">IFERROR(__xludf.DUMMYFUNCTION("""COMPUTED_VALUE"""),410.37)</f>
        <v>410.37</v>
      </c>
      <c r="K389" s="1">
        <f ca="1">IFERROR(__xludf.DUMMYFUNCTION("""COMPUTED_VALUE"""),46.81)</f>
        <v>46.81</v>
      </c>
      <c r="L389" s="1">
        <f ca="1">IFERROR(__xludf.DUMMYFUNCTION("""COMPUTED_VALUE"""),606.1)</f>
        <v>606.1</v>
      </c>
      <c r="M389" s="1">
        <f ca="1">IFERROR(__xludf.DUMMYFUNCTION("""COMPUTED_VALUE"""),530.31)</f>
        <v>530.30999999999995</v>
      </c>
    </row>
    <row r="390" spans="1:13" x14ac:dyDescent="0.25">
      <c r="A390" s="2">
        <f ca="1">IFERROR(__xludf.DUMMYFUNCTION("""COMPUTED_VALUE"""),44397.6666666666)</f>
        <v>44397.666666666599</v>
      </c>
      <c r="B390" s="1">
        <f ca="1">IFERROR(__xludf.DUMMYFUNCTION("""COMPUTED_VALUE"""),146.15)</f>
        <v>146.15</v>
      </c>
      <c r="C390" s="1">
        <f ca="1">IFERROR(__xludf.DUMMYFUNCTION("""COMPUTED_VALUE"""),277.01)</f>
        <v>277.01</v>
      </c>
      <c r="D390" s="1">
        <f ca="1">IFERROR(__xludf.DUMMYFUNCTION("""COMPUTED_VALUE"""),177.48)</f>
        <v>177.48</v>
      </c>
      <c r="E390" s="1">
        <f ca="1">IFERROR(__xludf.DUMMYFUNCTION("""COMPUTED_VALUE"""),18.78)</f>
        <v>18.78</v>
      </c>
      <c r="F390" s="1">
        <f ca="1">IFERROR(__xludf.DUMMYFUNCTION("""COMPUTED_VALUE"""),336.95)</f>
        <v>336.95</v>
      </c>
      <c r="G390" s="1">
        <f ca="1">IFERROR(__xludf.DUMMYFUNCTION("""COMPUTED_VALUE"""),129.25)</f>
        <v>129.25</v>
      </c>
      <c r="H390" s="1">
        <f ca="1">IFERROR(__xludf.DUMMYFUNCTION("""COMPUTED_VALUE"""),215.41)</f>
        <v>215.41</v>
      </c>
      <c r="I390" s="1">
        <f ca="1">IFERROR(__xludf.DUMMYFUNCTION("""COMPUTED_VALUE"""),155.8)</f>
        <v>155.80000000000001</v>
      </c>
      <c r="J390" s="1">
        <f ca="1">IFERROR(__xludf.DUMMYFUNCTION("""COMPUTED_VALUE"""),414.15)</f>
        <v>414.15</v>
      </c>
      <c r="K390" s="1">
        <f ca="1">IFERROR(__xludf.DUMMYFUNCTION("""COMPUTED_VALUE"""),46.57)</f>
        <v>46.57</v>
      </c>
      <c r="L390" s="1">
        <f ca="1">IFERROR(__xludf.DUMMYFUNCTION("""COMPUTED_VALUE"""),602.05)</f>
        <v>602.04999999999995</v>
      </c>
      <c r="M390" s="1">
        <f ca="1">IFERROR(__xludf.DUMMYFUNCTION("""COMPUTED_VALUE"""),532.28)</f>
        <v>532.28</v>
      </c>
    </row>
    <row r="391" spans="1:13" x14ac:dyDescent="0.25">
      <c r="A391" s="2">
        <f ca="1">IFERROR(__xludf.DUMMYFUNCTION("""COMPUTED_VALUE"""),44398.6666666666)</f>
        <v>44398.666666666599</v>
      </c>
      <c r="B391" s="1">
        <f ca="1">IFERROR(__xludf.DUMMYFUNCTION("""COMPUTED_VALUE"""),145.4)</f>
        <v>145.4</v>
      </c>
      <c r="C391" s="1">
        <f ca="1">IFERROR(__xludf.DUMMYFUNCTION("""COMPUTED_VALUE"""),279.32)</f>
        <v>279.32</v>
      </c>
      <c r="D391" s="1">
        <f ca="1">IFERROR(__xludf.DUMMYFUNCTION("""COMPUTED_VALUE"""),178.66)</f>
        <v>178.66</v>
      </c>
      <c r="E391" s="1">
        <f ca="1">IFERROR(__xludf.DUMMYFUNCTION("""COMPUTED_VALUE"""),18.61)</f>
        <v>18.61</v>
      </c>
      <c r="F391" s="1">
        <f ca="1">IFERROR(__xludf.DUMMYFUNCTION("""COMPUTED_VALUE"""),341.66)</f>
        <v>341.66</v>
      </c>
      <c r="G391" s="1">
        <f ca="1">IFERROR(__xludf.DUMMYFUNCTION("""COMPUTED_VALUE"""),131.1)</f>
        <v>131.1</v>
      </c>
      <c r="H391" s="1">
        <f ca="1">IFERROR(__xludf.DUMMYFUNCTION("""COMPUTED_VALUE"""),220.17)</f>
        <v>220.17</v>
      </c>
      <c r="I391" s="1">
        <f ca="1">IFERROR(__xludf.DUMMYFUNCTION("""COMPUTED_VALUE"""),155.82)</f>
        <v>155.82</v>
      </c>
      <c r="J391" s="1">
        <f ca="1">IFERROR(__xludf.DUMMYFUNCTION("""COMPUTED_VALUE"""),416.24)</f>
        <v>416.24</v>
      </c>
      <c r="K391" s="1">
        <f ca="1">IFERROR(__xludf.DUMMYFUNCTION("""COMPUTED_VALUE"""),46.86)</f>
        <v>46.86</v>
      </c>
      <c r="L391" s="1">
        <f ca="1">IFERROR(__xludf.DUMMYFUNCTION("""COMPUTED_VALUE"""),608.72)</f>
        <v>608.72</v>
      </c>
      <c r="M391" s="1">
        <f ca="1">IFERROR(__xludf.DUMMYFUNCTION("""COMPUTED_VALUE"""),531.05)</f>
        <v>531.04999999999995</v>
      </c>
    </row>
    <row r="392" spans="1:13" x14ac:dyDescent="0.25">
      <c r="A392" s="2">
        <f ca="1">IFERROR(__xludf.DUMMYFUNCTION("""COMPUTED_VALUE"""),44399.6666666666)</f>
        <v>44399.666666666599</v>
      </c>
      <c r="B392" s="1">
        <f ca="1">IFERROR(__xludf.DUMMYFUNCTION("""COMPUTED_VALUE"""),146.8)</f>
        <v>146.80000000000001</v>
      </c>
      <c r="C392" s="1">
        <f ca="1">IFERROR(__xludf.DUMMYFUNCTION("""COMPUTED_VALUE"""),281.4)</f>
        <v>281.39999999999998</v>
      </c>
      <c r="D392" s="1">
        <f ca="1">IFERROR(__xludf.DUMMYFUNCTION("""COMPUTED_VALUE"""),179.26)</f>
        <v>179.26</v>
      </c>
      <c r="E392" s="1">
        <f ca="1">IFERROR(__xludf.DUMMYFUNCTION("""COMPUTED_VALUE"""),19.41)</f>
        <v>19.41</v>
      </c>
      <c r="F392" s="1">
        <f ca="1">IFERROR(__xludf.DUMMYFUNCTION("""COMPUTED_VALUE"""),346.23)</f>
        <v>346.23</v>
      </c>
      <c r="G392" s="1">
        <f ca="1">IFERROR(__xludf.DUMMYFUNCTION("""COMPUTED_VALUE"""),132.6)</f>
        <v>132.6</v>
      </c>
      <c r="H392" s="1">
        <f ca="1">IFERROR(__xludf.DUMMYFUNCTION("""COMPUTED_VALUE"""),218.43)</f>
        <v>218.43</v>
      </c>
      <c r="I392" s="1">
        <f ca="1">IFERROR(__xludf.DUMMYFUNCTION("""COMPUTED_VALUE"""),155.24)</f>
        <v>155.24</v>
      </c>
      <c r="J392" s="1">
        <f ca="1">IFERROR(__xludf.DUMMYFUNCTION("""COMPUTED_VALUE"""),415.01)</f>
        <v>415.01</v>
      </c>
      <c r="K392" s="1">
        <f ca="1">IFERROR(__xludf.DUMMYFUNCTION("""COMPUTED_VALUE"""),47.9)</f>
        <v>47.9</v>
      </c>
      <c r="L392" s="1">
        <f ca="1">IFERROR(__xludf.DUMMYFUNCTION("""COMPUTED_VALUE"""),612.26)</f>
        <v>612.26</v>
      </c>
      <c r="M392" s="1">
        <f ca="1">IFERROR(__xludf.DUMMYFUNCTION("""COMPUTED_VALUE"""),513.63)</f>
        <v>513.63</v>
      </c>
    </row>
    <row r="393" spans="1:13" x14ac:dyDescent="0.25">
      <c r="A393" s="2">
        <f ca="1">IFERROR(__xludf.DUMMYFUNCTION("""COMPUTED_VALUE"""),44400.6666666666)</f>
        <v>44400.666666666599</v>
      </c>
      <c r="B393" s="1">
        <f ca="1">IFERROR(__xludf.DUMMYFUNCTION("""COMPUTED_VALUE"""),148.56)</f>
        <v>148.56</v>
      </c>
      <c r="C393" s="1">
        <f ca="1">IFERROR(__xludf.DUMMYFUNCTION("""COMPUTED_VALUE"""),286.14)</f>
        <v>286.14</v>
      </c>
      <c r="D393" s="1">
        <f ca="1">IFERROR(__xludf.DUMMYFUNCTION("""COMPUTED_VALUE"""),181.9)</f>
        <v>181.9</v>
      </c>
      <c r="E393" s="1">
        <f ca="1">IFERROR(__xludf.DUMMYFUNCTION("""COMPUTED_VALUE"""),19.59)</f>
        <v>19.59</v>
      </c>
      <c r="F393" s="1">
        <f ca="1">IFERROR(__xludf.DUMMYFUNCTION("""COMPUTED_VALUE"""),351.19)</f>
        <v>351.19</v>
      </c>
      <c r="G393" s="1">
        <f ca="1">IFERROR(__xludf.DUMMYFUNCTION("""COMPUTED_VALUE"""),133.33)</f>
        <v>133.33000000000001</v>
      </c>
      <c r="H393" s="1">
        <f ca="1">IFERROR(__xludf.DUMMYFUNCTION("""COMPUTED_VALUE"""),216.42)</f>
        <v>216.42</v>
      </c>
      <c r="I393" s="1">
        <f ca="1">IFERROR(__xludf.DUMMYFUNCTION("""COMPUTED_VALUE"""),155.19)</f>
        <v>155.19</v>
      </c>
      <c r="J393" s="1">
        <f ca="1">IFERROR(__xludf.DUMMYFUNCTION("""COMPUTED_VALUE"""),417.54)</f>
        <v>417.54</v>
      </c>
      <c r="K393" s="1">
        <f ca="1">IFERROR(__xludf.DUMMYFUNCTION("""COMPUTED_VALUE"""),47.63)</f>
        <v>47.63</v>
      </c>
      <c r="L393" s="1">
        <f ca="1">IFERROR(__xludf.DUMMYFUNCTION("""COMPUTED_VALUE"""),623.68)</f>
        <v>623.67999999999995</v>
      </c>
      <c r="M393" s="1">
        <f ca="1">IFERROR(__xludf.DUMMYFUNCTION("""COMPUTED_VALUE"""),511.77)</f>
        <v>511.77</v>
      </c>
    </row>
    <row r="394" spans="1:13" x14ac:dyDescent="0.25">
      <c r="A394" s="2">
        <f ca="1">IFERROR(__xludf.DUMMYFUNCTION("""COMPUTED_VALUE"""),44403.6666666666)</f>
        <v>44403.666666666599</v>
      </c>
      <c r="B394" s="1">
        <f ca="1">IFERROR(__xludf.DUMMYFUNCTION("""COMPUTED_VALUE"""),148.99)</f>
        <v>148.99</v>
      </c>
      <c r="C394" s="1">
        <f ca="1">IFERROR(__xludf.DUMMYFUNCTION("""COMPUTED_VALUE"""),289.67)</f>
        <v>289.67</v>
      </c>
      <c r="D394" s="1">
        <f ca="1">IFERROR(__xludf.DUMMYFUNCTION("""COMPUTED_VALUE"""),182.83)</f>
        <v>182.83</v>
      </c>
      <c r="E394" s="1">
        <f ca="1">IFERROR(__xludf.DUMMYFUNCTION("""COMPUTED_VALUE"""),19.56)</f>
        <v>19.559999999999999</v>
      </c>
      <c r="F394" s="1">
        <f ca="1">IFERROR(__xludf.DUMMYFUNCTION("""COMPUTED_VALUE"""),369.79)</f>
        <v>369.79</v>
      </c>
      <c r="G394" s="1">
        <f ca="1">IFERROR(__xludf.DUMMYFUNCTION("""COMPUTED_VALUE"""),137.82)</f>
        <v>137.82</v>
      </c>
      <c r="H394" s="1">
        <f ca="1">IFERROR(__xludf.DUMMYFUNCTION("""COMPUTED_VALUE"""),214.46)</f>
        <v>214.46</v>
      </c>
      <c r="I394" s="1">
        <f ca="1">IFERROR(__xludf.DUMMYFUNCTION("""COMPUTED_VALUE"""),157.18)</f>
        <v>157.18</v>
      </c>
      <c r="J394" s="1">
        <f ca="1">IFERROR(__xludf.DUMMYFUNCTION("""COMPUTED_VALUE"""),423.43)</f>
        <v>423.43</v>
      </c>
      <c r="K394" s="1">
        <f ca="1">IFERROR(__xludf.DUMMYFUNCTION("""COMPUTED_VALUE"""),48.32)</f>
        <v>48.32</v>
      </c>
      <c r="L394" s="1">
        <f ca="1">IFERROR(__xludf.DUMMYFUNCTION("""COMPUTED_VALUE"""),625.87)</f>
        <v>625.87</v>
      </c>
      <c r="M394" s="1">
        <f ca="1">IFERROR(__xludf.DUMMYFUNCTION("""COMPUTED_VALUE"""),515.41)</f>
        <v>515.41</v>
      </c>
    </row>
    <row r="395" spans="1:13" x14ac:dyDescent="0.25">
      <c r="A395" s="2">
        <f ca="1">IFERROR(__xludf.DUMMYFUNCTION("""COMPUTED_VALUE"""),44404.6666666666)</f>
        <v>44404.666666666599</v>
      </c>
      <c r="B395" s="1">
        <f ca="1">IFERROR(__xludf.DUMMYFUNCTION("""COMPUTED_VALUE"""),146.77)</f>
        <v>146.77000000000001</v>
      </c>
      <c r="C395" s="1">
        <f ca="1">IFERROR(__xludf.DUMMYFUNCTION("""COMPUTED_VALUE"""),289.05)</f>
        <v>289.05</v>
      </c>
      <c r="D395" s="1">
        <f ca="1">IFERROR(__xludf.DUMMYFUNCTION("""COMPUTED_VALUE"""),184.99)</f>
        <v>184.99</v>
      </c>
      <c r="E395" s="1">
        <f ca="1">IFERROR(__xludf.DUMMYFUNCTION("""COMPUTED_VALUE"""),19.29)</f>
        <v>19.29</v>
      </c>
      <c r="F395" s="1">
        <f ca="1">IFERROR(__xludf.DUMMYFUNCTION("""COMPUTED_VALUE"""),372.46)</f>
        <v>372.46</v>
      </c>
      <c r="G395" s="1">
        <f ca="1">IFERROR(__xludf.DUMMYFUNCTION("""COMPUTED_VALUE"""),139.64)</f>
        <v>139.63999999999999</v>
      </c>
      <c r="H395" s="1">
        <f ca="1">IFERROR(__xludf.DUMMYFUNCTION("""COMPUTED_VALUE"""),219.21)</f>
        <v>219.21</v>
      </c>
      <c r="I395" s="1">
        <f ca="1">IFERROR(__xludf.DUMMYFUNCTION("""COMPUTED_VALUE"""),157.07)</f>
        <v>157.07</v>
      </c>
      <c r="J395" s="1">
        <f ca="1">IFERROR(__xludf.DUMMYFUNCTION("""COMPUTED_VALUE"""),423.23)</f>
        <v>423.23</v>
      </c>
      <c r="K395" s="1">
        <f ca="1">IFERROR(__xludf.DUMMYFUNCTION("""COMPUTED_VALUE"""),48.22)</f>
        <v>48.22</v>
      </c>
      <c r="L395" s="1">
        <f ca="1">IFERROR(__xludf.DUMMYFUNCTION("""COMPUTED_VALUE"""),620.8)</f>
        <v>620.79999999999995</v>
      </c>
      <c r="M395" s="1">
        <f ca="1">IFERROR(__xludf.DUMMYFUNCTION("""COMPUTED_VALUE"""),516.49)</f>
        <v>516.49</v>
      </c>
    </row>
    <row r="396" spans="1:13" x14ac:dyDescent="0.25">
      <c r="A396" s="2">
        <f ca="1">IFERROR(__xludf.DUMMYFUNCTION("""COMPUTED_VALUE"""),44405.6666666666)</f>
        <v>44405.666666666599</v>
      </c>
      <c r="B396" s="1">
        <f ca="1">IFERROR(__xludf.DUMMYFUNCTION("""COMPUTED_VALUE"""),144.98)</f>
        <v>144.97999999999999</v>
      </c>
      <c r="C396" s="1">
        <f ca="1">IFERROR(__xludf.DUMMYFUNCTION("""COMPUTED_VALUE"""),286.54)</f>
        <v>286.54000000000002</v>
      </c>
      <c r="D396" s="1">
        <f ca="1">IFERROR(__xludf.DUMMYFUNCTION("""COMPUTED_VALUE"""),181.32)</f>
        <v>181.32</v>
      </c>
      <c r="E396" s="1">
        <f ca="1">IFERROR(__xludf.DUMMYFUNCTION("""COMPUTED_VALUE"""),19.21)</f>
        <v>19.21</v>
      </c>
      <c r="F396" s="1">
        <f ca="1">IFERROR(__xludf.DUMMYFUNCTION("""COMPUTED_VALUE"""),367.81)</f>
        <v>367.81</v>
      </c>
      <c r="G396" s="1">
        <f ca="1">IFERROR(__xludf.DUMMYFUNCTION("""COMPUTED_VALUE"""),136.8)</f>
        <v>136.80000000000001</v>
      </c>
      <c r="H396" s="1">
        <f ca="1">IFERROR(__xludf.DUMMYFUNCTION("""COMPUTED_VALUE"""),214.93)</f>
        <v>214.93</v>
      </c>
      <c r="I396" s="1">
        <f ca="1">IFERROR(__xludf.DUMMYFUNCTION("""COMPUTED_VALUE"""),157.94)</f>
        <v>157.94</v>
      </c>
      <c r="J396" s="1">
        <f ca="1">IFERROR(__xludf.DUMMYFUNCTION("""COMPUTED_VALUE"""),424.34)</f>
        <v>424.34</v>
      </c>
      <c r="K396" s="1">
        <f ca="1">IFERROR(__xludf.DUMMYFUNCTION("""COMPUTED_VALUE"""),47.54)</f>
        <v>47.54</v>
      </c>
      <c r="L396" s="1">
        <f ca="1">IFERROR(__xludf.DUMMYFUNCTION("""COMPUTED_VALUE"""),618.28)</f>
        <v>618.28</v>
      </c>
      <c r="M396" s="1">
        <f ca="1">IFERROR(__xludf.DUMMYFUNCTION("""COMPUTED_VALUE"""),518.91)</f>
        <v>518.91</v>
      </c>
    </row>
    <row r="397" spans="1:13" x14ac:dyDescent="0.25">
      <c r="A397" s="2">
        <f ca="1">IFERROR(__xludf.DUMMYFUNCTION("""COMPUTED_VALUE"""),44406.6666666666)</f>
        <v>44406.666666666599</v>
      </c>
      <c r="B397" s="1">
        <f ca="1">IFERROR(__xludf.DUMMYFUNCTION("""COMPUTED_VALUE"""),145.64)</f>
        <v>145.63999999999999</v>
      </c>
      <c r="C397" s="1">
        <f ca="1">IFERROR(__xludf.DUMMYFUNCTION("""COMPUTED_VALUE"""),286.22)</f>
        <v>286.22000000000003</v>
      </c>
      <c r="D397" s="1">
        <f ca="1">IFERROR(__xludf.DUMMYFUNCTION("""COMPUTED_VALUE"""),181.52)</f>
        <v>181.52</v>
      </c>
      <c r="E397" s="1">
        <f ca="1">IFERROR(__xludf.DUMMYFUNCTION("""COMPUTED_VALUE"""),19.5)</f>
        <v>19.5</v>
      </c>
      <c r="F397" s="1">
        <f ca="1">IFERROR(__xludf.DUMMYFUNCTION("""COMPUTED_VALUE"""),373.28)</f>
        <v>373.28</v>
      </c>
      <c r="G397" s="1">
        <f ca="1">IFERROR(__xludf.DUMMYFUNCTION("""COMPUTED_VALUE"""),136.38)</f>
        <v>136.38</v>
      </c>
      <c r="H397" s="1">
        <f ca="1">IFERROR(__xludf.DUMMYFUNCTION("""COMPUTED_VALUE"""),215.66)</f>
        <v>215.66</v>
      </c>
      <c r="I397" s="1">
        <f ca="1">IFERROR(__xludf.DUMMYFUNCTION("""COMPUTED_VALUE"""),156.49)</f>
        <v>156.49</v>
      </c>
      <c r="J397" s="1">
        <f ca="1">IFERROR(__xludf.DUMMYFUNCTION("""COMPUTED_VALUE"""),422.22)</f>
        <v>422.22</v>
      </c>
      <c r="K397" s="1">
        <f ca="1">IFERROR(__xludf.DUMMYFUNCTION("""COMPUTED_VALUE"""),47.77)</f>
        <v>47.77</v>
      </c>
      <c r="L397" s="1">
        <f ca="1">IFERROR(__xludf.DUMMYFUNCTION("""COMPUTED_VALUE"""),620.92)</f>
        <v>620.91999999999996</v>
      </c>
      <c r="M397" s="1">
        <f ca="1">IFERROR(__xludf.DUMMYFUNCTION("""COMPUTED_VALUE"""),519.3)</f>
        <v>519.29999999999995</v>
      </c>
    </row>
    <row r="398" spans="1:13" x14ac:dyDescent="0.25">
      <c r="A398" s="2">
        <f ca="1">IFERROR(__xludf.DUMMYFUNCTION("""COMPUTED_VALUE"""),44407.6666666666)</f>
        <v>44407.666666666599</v>
      </c>
      <c r="B398" s="1">
        <f ca="1">IFERROR(__xludf.DUMMYFUNCTION("""COMPUTED_VALUE"""),145.86)</f>
        <v>145.86000000000001</v>
      </c>
      <c r="C398" s="1">
        <f ca="1">IFERROR(__xludf.DUMMYFUNCTION("""COMPUTED_VALUE"""),286.5)</f>
        <v>286.5</v>
      </c>
      <c r="D398" s="1">
        <f ca="1">IFERROR(__xludf.DUMMYFUNCTION("""COMPUTED_VALUE"""),180)</f>
        <v>180</v>
      </c>
      <c r="E398" s="1">
        <f ca="1">IFERROR(__xludf.DUMMYFUNCTION("""COMPUTED_VALUE"""),19.66)</f>
        <v>19.66</v>
      </c>
      <c r="F398" s="1">
        <f ca="1">IFERROR(__xludf.DUMMYFUNCTION("""COMPUTED_VALUE"""),358.32)</f>
        <v>358.32</v>
      </c>
      <c r="G398" s="1">
        <f ca="1">IFERROR(__xludf.DUMMYFUNCTION("""COMPUTED_VALUE"""),136.54)</f>
        <v>136.54</v>
      </c>
      <c r="H398" s="1">
        <f ca="1">IFERROR(__xludf.DUMMYFUNCTION("""COMPUTED_VALUE"""),225.78)</f>
        <v>225.78</v>
      </c>
      <c r="I398" s="1">
        <f ca="1">IFERROR(__xludf.DUMMYFUNCTION("""COMPUTED_VALUE"""),156.81)</f>
        <v>156.81</v>
      </c>
      <c r="J398" s="1">
        <f ca="1">IFERROR(__xludf.DUMMYFUNCTION("""COMPUTED_VALUE"""),425.28)</f>
        <v>425.28</v>
      </c>
      <c r="K398" s="1">
        <f ca="1">IFERROR(__xludf.DUMMYFUNCTION("""COMPUTED_VALUE"""),48.41)</f>
        <v>48.41</v>
      </c>
      <c r="L398" s="1">
        <f ca="1">IFERROR(__xludf.DUMMYFUNCTION("""COMPUTED_VALUE"""),621.7)</f>
        <v>621.70000000000005</v>
      </c>
      <c r="M398" s="1">
        <f ca="1">IFERROR(__xludf.DUMMYFUNCTION("""COMPUTED_VALUE"""),514.25)</f>
        <v>514.25</v>
      </c>
    </row>
    <row r="399" spans="1:13" x14ac:dyDescent="0.25">
      <c r="A399" s="2">
        <f ca="1">IFERROR(__xludf.DUMMYFUNCTION("""COMPUTED_VALUE"""),44410.6666666666)</f>
        <v>44410.666666666599</v>
      </c>
      <c r="B399" s="1">
        <f ca="1">IFERROR(__xludf.DUMMYFUNCTION("""COMPUTED_VALUE"""),145.52)</f>
        <v>145.52000000000001</v>
      </c>
      <c r="C399" s="1">
        <f ca="1">IFERROR(__xludf.DUMMYFUNCTION("""COMPUTED_VALUE"""),284.91)</f>
        <v>284.91000000000003</v>
      </c>
      <c r="D399" s="1">
        <f ca="1">IFERROR(__xludf.DUMMYFUNCTION("""COMPUTED_VALUE"""),166.38)</f>
        <v>166.38</v>
      </c>
      <c r="E399" s="1">
        <f ca="1">IFERROR(__xludf.DUMMYFUNCTION("""COMPUTED_VALUE"""),19.5)</f>
        <v>19.5</v>
      </c>
      <c r="F399" s="1">
        <f ca="1">IFERROR(__xludf.DUMMYFUNCTION("""COMPUTED_VALUE"""),356.3)</f>
        <v>356.3</v>
      </c>
      <c r="G399" s="1">
        <f ca="1">IFERROR(__xludf.DUMMYFUNCTION("""COMPUTED_VALUE"""),135.22)</f>
        <v>135.22</v>
      </c>
      <c r="H399" s="1">
        <f ca="1">IFERROR(__xludf.DUMMYFUNCTION("""COMPUTED_VALUE"""),229.07)</f>
        <v>229.07</v>
      </c>
      <c r="I399" s="1">
        <f ca="1">IFERROR(__xludf.DUMMYFUNCTION("""COMPUTED_VALUE"""),156.95)</f>
        <v>156.94999999999999</v>
      </c>
      <c r="J399" s="1">
        <f ca="1">IFERROR(__xludf.DUMMYFUNCTION("""COMPUTED_VALUE"""),429.72)</f>
        <v>429.72</v>
      </c>
      <c r="K399" s="1">
        <f ca="1">IFERROR(__xludf.DUMMYFUNCTION("""COMPUTED_VALUE"""),48.54)</f>
        <v>48.54</v>
      </c>
      <c r="L399" s="1">
        <f ca="1">IFERROR(__xludf.DUMMYFUNCTION("""COMPUTED_VALUE"""),621.63)</f>
        <v>621.63</v>
      </c>
      <c r="M399" s="1">
        <f ca="1">IFERROR(__xludf.DUMMYFUNCTION("""COMPUTED_VALUE"""),517.57)</f>
        <v>517.57000000000005</v>
      </c>
    </row>
    <row r="400" spans="1:13" x14ac:dyDescent="0.25">
      <c r="A400" s="2">
        <f ca="1">IFERROR(__xludf.DUMMYFUNCTION("""COMPUTED_VALUE"""),44411.6666666666)</f>
        <v>44411.666666666599</v>
      </c>
      <c r="B400" s="1">
        <f ca="1">IFERROR(__xludf.DUMMYFUNCTION("""COMPUTED_VALUE"""),147.36)</f>
        <v>147.36000000000001</v>
      </c>
      <c r="C400" s="1">
        <f ca="1">IFERROR(__xludf.DUMMYFUNCTION("""COMPUTED_VALUE"""),284.82)</f>
        <v>284.82</v>
      </c>
      <c r="D400" s="1">
        <f ca="1">IFERROR(__xludf.DUMMYFUNCTION("""COMPUTED_VALUE"""),166.57)</f>
        <v>166.57</v>
      </c>
      <c r="E400" s="1">
        <f ca="1">IFERROR(__xludf.DUMMYFUNCTION("""COMPUTED_VALUE"""),19.75)</f>
        <v>19.75</v>
      </c>
      <c r="F400" s="1">
        <f ca="1">IFERROR(__xludf.DUMMYFUNCTION("""COMPUTED_VALUE"""),351.95)</f>
        <v>351.95</v>
      </c>
      <c r="G400" s="1">
        <f ca="1">IFERROR(__xludf.DUMMYFUNCTION("""COMPUTED_VALUE"""),135.99)</f>
        <v>135.99</v>
      </c>
      <c r="H400" s="1">
        <f ca="1">IFERROR(__xludf.DUMMYFUNCTION("""COMPUTED_VALUE"""),236.56)</f>
        <v>236.56</v>
      </c>
      <c r="I400" s="1">
        <f ca="1">IFERROR(__xludf.DUMMYFUNCTION("""COMPUTED_VALUE"""),156.32)</f>
        <v>156.32</v>
      </c>
      <c r="J400" s="1">
        <f ca="1">IFERROR(__xludf.DUMMYFUNCTION("""COMPUTED_VALUE"""),428.92)</f>
        <v>428.92</v>
      </c>
      <c r="K400" s="1">
        <f ca="1">IFERROR(__xludf.DUMMYFUNCTION("""COMPUTED_VALUE"""),48.47)</f>
        <v>48.47</v>
      </c>
      <c r="L400" s="1">
        <f ca="1">IFERROR(__xludf.DUMMYFUNCTION("""COMPUTED_VALUE"""),618.75)</f>
        <v>618.75</v>
      </c>
      <c r="M400" s="1">
        <f ca="1">IFERROR(__xludf.DUMMYFUNCTION("""COMPUTED_VALUE"""),515.15)</f>
        <v>515.15</v>
      </c>
    </row>
    <row r="401" spans="1:13" x14ac:dyDescent="0.25">
      <c r="A401" s="2">
        <f ca="1">IFERROR(__xludf.DUMMYFUNCTION("""COMPUTED_VALUE"""),44412.6666666666)</f>
        <v>44412.666666666599</v>
      </c>
      <c r="B401" s="1">
        <f ca="1">IFERROR(__xludf.DUMMYFUNCTION("""COMPUTED_VALUE"""),146.95)</f>
        <v>146.94999999999999</v>
      </c>
      <c r="C401" s="1">
        <f ca="1">IFERROR(__xludf.DUMMYFUNCTION("""COMPUTED_VALUE"""),287.12)</f>
        <v>287.12</v>
      </c>
      <c r="D401" s="1">
        <f ca="1">IFERROR(__xludf.DUMMYFUNCTION("""COMPUTED_VALUE"""),168.31)</f>
        <v>168.31</v>
      </c>
      <c r="E401" s="1">
        <f ca="1">IFERROR(__xludf.DUMMYFUNCTION("""COMPUTED_VALUE"""),19.82)</f>
        <v>19.82</v>
      </c>
      <c r="F401" s="1">
        <f ca="1">IFERROR(__xludf.DUMMYFUNCTION("""COMPUTED_VALUE"""),351.24)</f>
        <v>351.24</v>
      </c>
      <c r="G401" s="1">
        <f ca="1">IFERROR(__xludf.DUMMYFUNCTION("""COMPUTED_VALUE"""),136.28)</f>
        <v>136.28</v>
      </c>
      <c r="H401" s="1">
        <f ca="1">IFERROR(__xludf.DUMMYFUNCTION("""COMPUTED_VALUE"""),236.58)</f>
        <v>236.58</v>
      </c>
      <c r="I401" s="1">
        <f ca="1">IFERROR(__xludf.DUMMYFUNCTION("""COMPUTED_VALUE"""),156.67)</f>
        <v>156.66999999999999</v>
      </c>
      <c r="J401" s="1">
        <f ca="1">IFERROR(__xludf.DUMMYFUNCTION("""COMPUTED_VALUE"""),435.07)</f>
        <v>435.07</v>
      </c>
      <c r="K401" s="1">
        <f ca="1">IFERROR(__xludf.DUMMYFUNCTION("""COMPUTED_VALUE"""),48.68)</f>
        <v>48.68</v>
      </c>
      <c r="L401" s="1">
        <f ca="1">IFERROR(__xludf.DUMMYFUNCTION("""COMPUTED_VALUE"""),621.28)</f>
        <v>621.28</v>
      </c>
      <c r="M401" s="1">
        <f ca="1">IFERROR(__xludf.DUMMYFUNCTION("""COMPUTED_VALUE"""),510.82)</f>
        <v>510.82</v>
      </c>
    </row>
    <row r="402" spans="1:13" x14ac:dyDescent="0.25">
      <c r="A402" s="2">
        <f ca="1">IFERROR(__xludf.DUMMYFUNCTION("""COMPUTED_VALUE"""),44413.6666666666)</f>
        <v>44413.666666666599</v>
      </c>
      <c r="B402" s="1">
        <f ca="1">IFERROR(__xludf.DUMMYFUNCTION("""COMPUTED_VALUE"""),147.06)</f>
        <v>147.06</v>
      </c>
      <c r="C402" s="1">
        <f ca="1">IFERROR(__xludf.DUMMYFUNCTION("""COMPUTED_VALUE"""),286.51)</f>
        <v>286.51</v>
      </c>
      <c r="D402" s="1">
        <f ca="1">IFERROR(__xludf.DUMMYFUNCTION("""COMPUTED_VALUE"""),167.74)</f>
        <v>167.74</v>
      </c>
      <c r="E402" s="1">
        <f ca="1">IFERROR(__xludf.DUMMYFUNCTION("""COMPUTED_VALUE"""),20.27)</f>
        <v>20.27</v>
      </c>
      <c r="F402" s="1">
        <f ca="1">IFERROR(__xludf.DUMMYFUNCTION("""COMPUTED_VALUE"""),358.92)</f>
        <v>358.92</v>
      </c>
      <c r="G402" s="1">
        <f ca="1">IFERROR(__xludf.DUMMYFUNCTION("""COMPUTED_VALUE"""),136.03)</f>
        <v>136.03</v>
      </c>
      <c r="H402" s="1">
        <f ca="1">IFERROR(__xludf.DUMMYFUNCTION("""COMPUTED_VALUE"""),236.97)</f>
        <v>236.97</v>
      </c>
      <c r="I402" s="1">
        <f ca="1">IFERROR(__xludf.DUMMYFUNCTION("""COMPUTED_VALUE"""),154.05)</f>
        <v>154.05000000000001</v>
      </c>
      <c r="J402" s="1">
        <f ca="1">IFERROR(__xludf.DUMMYFUNCTION("""COMPUTED_VALUE"""),435.04)</f>
        <v>435.04</v>
      </c>
      <c r="K402" s="1">
        <f ca="1">IFERROR(__xludf.DUMMYFUNCTION("""COMPUTED_VALUE"""),48.78)</f>
        <v>48.78</v>
      </c>
      <c r="L402" s="1">
        <f ca="1">IFERROR(__xludf.DUMMYFUNCTION("""COMPUTED_VALUE"""),625.68)</f>
        <v>625.67999999999995</v>
      </c>
      <c r="M402" s="1">
        <f ca="1">IFERROR(__xludf.DUMMYFUNCTION("""COMPUTED_VALUE"""),517.35)</f>
        <v>517.35</v>
      </c>
    </row>
    <row r="403" spans="1:13" x14ac:dyDescent="0.25">
      <c r="A403" s="2">
        <f ca="1">IFERROR(__xludf.DUMMYFUNCTION("""COMPUTED_VALUE"""),44414.6666666666)</f>
        <v>44414.666666666599</v>
      </c>
      <c r="B403" s="1">
        <f ca="1">IFERROR(__xludf.DUMMYFUNCTION("""COMPUTED_VALUE"""),146.14)</f>
        <v>146.13999999999999</v>
      </c>
      <c r="C403" s="1">
        <f ca="1">IFERROR(__xludf.DUMMYFUNCTION("""COMPUTED_VALUE"""),289.52)</f>
        <v>289.52</v>
      </c>
      <c r="D403" s="1">
        <f ca="1">IFERROR(__xludf.DUMMYFUNCTION("""COMPUTED_VALUE"""),168.8)</f>
        <v>168.8</v>
      </c>
      <c r="E403" s="1">
        <f ca="1">IFERROR(__xludf.DUMMYFUNCTION("""COMPUTED_VALUE"""),20.64)</f>
        <v>20.64</v>
      </c>
      <c r="F403" s="1">
        <f ca="1">IFERROR(__xludf.DUMMYFUNCTION("""COMPUTED_VALUE"""),362.97)</f>
        <v>362.97</v>
      </c>
      <c r="G403" s="1">
        <f ca="1">IFERROR(__xludf.DUMMYFUNCTION("""COMPUTED_VALUE"""),136.94)</f>
        <v>136.94</v>
      </c>
      <c r="H403" s="1">
        <f ca="1">IFERROR(__xludf.DUMMYFUNCTION("""COMPUTED_VALUE"""),238.21)</f>
        <v>238.21</v>
      </c>
      <c r="I403" s="1">
        <f ca="1">IFERROR(__xludf.DUMMYFUNCTION("""COMPUTED_VALUE"""),154.31)</f>
        <v>154.31</v>
      </c>
      <c r="J403" s="1">
        <f ca="1">IFERROR(__xludf.DUMMYFUNCTION("""COMPUTED_VALUE"""),443.19)</f>
        <v>443.19</v>
      </c>
      <c r="K403" s="1">
        <f ca="1">IFERROR(__xludf.DUMMYFUNCTION("""COMPUTED_VALUE"""),48.77)</f>
        <v>48.77</v>
      </c>
      <c r="L403" s="1">
        <f ca="1">IFERROR(__xludf.DUMMYFUNCTION("""COMPUTED_VALUE"""),632.08)</f>
        <v>632.08000000000004</v>
      </c>
      <c r="M403" s="1">
        <f ca="1">IFERROR(__xludf.DUMMYFUNCTION("""COMPUTED_VALUE"""),524.89)</f>
        <v>524.89</v>
      </c>
    </row>
    <row r="404" spans="1:13" x14ac:dyDescent="0.25">
      <c r="A404" s="2">
        <f ca="1">IFERROR(__xludf.DUMMYFUNCTION("""COMPUTED_VALUE"""),44417.6666666666)</f>
        <v>44417.666666666599</v>
      </c>
      <c r="B404" s="1">
        <f ca="1">IFERROR(__xludf.DUMMYFUNCTION("""COMPUTED_VALUE"""),146.09)</f>
        <v>146.09</v>
      </c>
      <c r="C404" s="1">
        <f ca="1">IFERROR(__xludf.DUMMYFUNCTION("""COMPUTED_VALUE"""),289.46)</f>
        <v>289.45999999999998</v>
      </c>
      <c r="D404" s="1">
        <f ca="1">IFERROR(__xludf.DUMMYFUNCTION("""COMPUTED_VALUE"""),167.25)</f>
        <v>167.25</v>
      </c>
      <c r="E404" s="1">
        <f ca="1">IFERROR(__xludf.DUMMYFUNCTION("""COMPUTED_VALUE"""),20.37)</f>
        <v>20.37</v>
      </c>
      <c r="F404" s="1">
        <f ca="1">IFERROR(__xludf.DUMMYFUNCTION("""COMPUTED_VALUE"""),363.51)</f>
        <v>363.51</v>
      </c>
      <c r="G404" s="1">
        <f ca="1">IFERROR(__xludf.DUMMYFUNCTION("""COMPUTED_VALUE"""),137.04)</f>
        <v>137.04</v>
      </c>
      <c r="H404" s="1">
        <f ca="1">IFERROR(__xludf.DUMMYFUNCTION("""COMPUTED_VALUE"""),233.03)</f>
        <v>233.03</v>
      </c>
      <c r="I404" s="1">
        <f ca="1">IFERROR(__xludf.DUMMYFUNCTION("""COMPUTED_VALUE"""),154.33)</f>
        <v>154.33000000000001</v>
      </c>
      <c r="J404" s="1">
        <f ca="1">IFERROR(__xludf.DUMMYFUNCTION("""COMPUTED_VALUE"""),439.63)</f>
        <v>439.63</v>
      </c>
      <c r="K404" s="1">
        <f ca="1">IFERROR(__xludf.DUMMYFUNCTION("""COMPUTED_VALUE"""),48.54)</f>
        <v>48.54</v>
      </c>
      <c r="L404" s="1">
        <f ca="1">IFERROR(__xludf.DUMMYFUNCTION("""COMPUTED_VALUE"""),631.38)</f>
        <v>631.38</v>
      </c>
      <c r="M404" s="1">
        <f ca="1">IFERROR(__xludf.DUMMYFUNCTION("""COMPUTED_VALUE"""),520.55)</f>
        <v>520.54999999999995</v>
      </c>
    </row>
    <row r="405" spans="1:13" x14ac:dyDescent="0.25">
      <c r="A405" s="2">
        <f ca="1">IFERROR(__xludf.DUMMYFUNCTION("""COMPUTED_VALUE"""),44418.6666666666)</f>
        <v>44418.666666666599</v>
      </c>
      <c r="B405" s="1">
        <f ca="1">IFERROR(__xludf.DUMMYFUNCTION("""COMPUTED_VALUE"""),145.6)</f>
        <v>145.6</v>
      </c>
      <c r="C405" s="1">
        <f ca="1">IFERROR(__xludf.DUMMYFUNCTION("""COMPUTED_VALUE"""),288.33)</f>
        <v>288.33</v>
      </c>
      <c r="D405" s="1">
        <f ca="1">IFERROR(__xludf.DUMMYFUNCTION("""COMPUTED_VALUE"""),167.09)</f>
        <v>167.09</v>
      </c>
      <c r="E405" s="1">
        <f ca="1">IFERROR(__xludf.DUMMYFUNCTION("""COMPUTED_VALUE"""),20.3)</f>
        <v>20.3</v>
      </c>
      <c r="F405" s="1">
        <f ca="1">IFERROR(__xludf.DUMMYFUNCTION("""COMPUTED_VALUE"""),361.61)</f>
        <v>361.61</v>
      </c>
      <c r="G405" s="1">
        <f ca="1">IFERROR(__xludf.DUMMYFUNCTION("""COMPUTED_VALUE"""),138)</f>
        <v>138</v>
      </c>
      <c r="H405" s="1">
        <f ca="1">IFERROR(__xludf.DUMMYFUNCTION("""COMPUTED_VALUE"""),237.92)</f>
        <v>237.92</v>
      </c>
      <c r="I405" s="1">
        <f ca="1">IFERROR(__xludf.DUMMYFUNCTION("""COMPUTED_VALUE"""),154.35)</f>
        <v>154.35</v>
      </c>
      <c r="J405" s="1">
        <f ca="1">IFERROR(__xludf.DUMMYFUNCTION("""COMPUTED_VALUE"""),440.47)</f>
        <v>440.47</v>
      </c>
      <c r="K405" s="1">
        <f ca="1">IFERROR(__xludf.DUMMYFUNCTION("""COMPUTED_VALUE"""),48.47)</f>
        <v>48.47</v>
      </c>
      <c r="L405" s="1">
        <f ca="1">IFERROR(__xludf.DUMMYFUNCTION("""COMPUTED_VALUE"""),629.22)</f>
        <v>629.22</v>
      </c>
      <c r="M405" s="1">
        <f ca="1">IFERROR(__xludf.DUMMYFUNCTION("""COMPUTED_VALUE"""),519.97)</f>
        <v>519.97</v>
      </c>
    </row>
    <row r="406" spans="1:13" x14ac:dyDescent="0.25">
      <c r="A406" s="2">
        <f ca="1">IFERROR(__xludf.DUMMYFUNCTION("""COMPUTED_VALUE"""),44419.6666666666)</f>
        <v>44419.666666666599</v>
      </c>
      <c r="B406" s="1">
        <f ca="1">IFERROR(__xludf.DUMMYFUNCTION("""COMPUTED_VALUE"""),145.86)</f>
        <v>145.86000000000001</v>
      </c>
      <c r="C406" s="1">
        <f ca="1">IFERROR(__xludf.DUMMYFUNCTION("""COMPUTED_VALUE"""),286.44)</f>
        <v>286.44</v>
      </c>
      <c r="D406" s="1">
        <f ca="1">IFERROR(__xludf.DUMMYFUNCTION("""COMPUTED_VALUE"""),166.03)</f>
        <v>166.03</v>
      </c>
      <c r="E406" s="1">
        <f ca="1">IFERROR(__xludf.DUMMYFUNCTION("""COMPUTED_VALUE"""),19.94)</f>
        <v>19.940000000000001</v>
      </c>
      <c r="F406" s="1">
        <f ca="1">IFERROR(__xludf.DUMMYFUNCTION("""COMPUTED_VALUE"""),361.13)</f>
        <v>361.13</v>
      </c>
      <c r="G406" s="1">
        <f ca="1">IFERROR(__xludf.DUMMYFUNCTION("""COMPUTED_VALUE"""),138.1)</f>
        <v>138.1</v>
      </c>
      <c r="H406" s="1">
        <f ca="1">IFERROR(__xludf.DUMMYFUNCTION("""COMPUTED_VALUE"""),236.66)</f>
        <v>236.66</v>
      </c>
      <c r="I406" s="1">
        <f ca="1">IFERROR(__xludf.DUMMYFUNCTION("""COMPUTED_VALUE"""),154.43)</f>
        <v>154.43</v>
      </c>
      <c r="J406" s="1">
        <f ca="1">IFERROR(__xludf.DUMMYFUNCTION("""COMPUTED_VALUE"""),443.03)</f>
        <v>443.03</v>
      </c>
      <c r="K406" s="1">
        <f ca="1">IFERROR(__xludf.DUMMYFUNCTION("""COMPUTED_VALUE"""),48.23)</f>
        <v>48.23</v>
      </c>
      <c r="L406" s="1">
        <f ca="1">IFERROR(__xludf.DUMMYFUNCTION("""COMPUTED_VALUE"""),621.74)</f>
        <v>621.74</v>
      </c>
      <c r="M406" s="1">
        <f ca="1">IFERROR(__xludf.DUMMYFUNCTION("""COMPUTED_VALUE"""),515.84)</f>
        <v>515.84</v>
      </c>
    </row>
    <row r="407" spans="1:13" x14ac:dyDescent="0.25">
      <c r="A407" s="2">
        <f ca="1">IFERROR(__xludf.DUMMYFUNCTION("""COMPUTED_VALUE"""),44420.6666666666)</f>
        <v>44420.666666666599</v>
      </c>
      <c r="B407" s="1">
        <f ca="1">IFERROR(__xludf.DUMMYFUNCTION("""COMPUTED_VALUE"""),148.89)</f>
        <v>148.88999999999999</v>
      </c>
      <c r="C407" s="1">
        <f ca="1">IFERROR(__xludf.DUMMYFUNCTION("""COMPUTED_VALUE"""),286.95)</f>
        <v>286.95</v>
      </c>
      <c r="D407" s="1">
        <f ca="1">IFERROR(__xludf.DUMMYFUNCTION("""COMPUTED_VALUE"""),164.61)</f>
        <v>164.61</v>
      </c>
      <c r="E407" s="1">
        <f ca="1">IFERROR(__xludf.DUMMYFUNCTION("""COMPUTED_VALUE"""),19.7)</f>
        <v>19.7</v>
      </c>
      <c r="F407" s="1">
        <f ca="1">IFERROR(__xludf.DUMMYFUNCTION("""COMPUTED_VALUE"""),359.96)</f>
        <v>359.96</v>
      </c>
      <c r="G407" s="1">
        <f ca="1">IFERROR(__xludf.DUMMYFUNCTION("""COMPUTED_VALUE"""),137.69)</f>
        <v>137.69</v>
      </c>
      <c r="H407" s="1">
        <f ca="1">IFERROR(__xludf.DUMMYFUNCTION("""COMPUTED_VALUE"""),235.94)</f>
        <v>235.94</v>
      </c>
      <c r="I407" s="1">
        <f ca="1">IFERROR(__xludf.DUMMYFUNCTION("""COMPUTED_VALUE"""),155.04)</f>
        <v>155.04</v>
      </c>
      <c r="J407" s="1">
        <f ca="1">IFERROR(__xludf.DUMMYFUNCTION("""COMPUTED_VALUE"""),444.3)</f>
        <v>444.3</v>
      </c>
      <c r="K407" s="1">
        <f ca="1">IFERROR(__xludf.DUMMYFUNCTION("""COMPUTED_VALUE"""),48.36)</f>
        <v>48.36</v>
      </c>
      <c r="L407" s="1">
        <f ca="1">IFERROR(__xludf.DUMMYFUNCTION("""COMPUTED_VALUE"""),626.03)</f>
        <v>626.03</v>
      </c>
      <c r="M407" s="1">
        <f ca="1">IFERROR(__xludf.DUMMYFUNCTION("""COMPUTED_VALUE"""),512.4)</f>
        <v>512.4</v>
      </c>
    </row>
    <row r="408" spans="1:13" x14ac:dyDescent="0.25">
      <c r="A408" s="2">
        <f ca="1">IFERROR(__xludf.DUMMYFUNCTION("""COMPUTED_VALUE"""),44421.6666666666)</f>
        <v>44421.666666666599</v>
      </c>
      <c r="B408" s="1">
        <f ca="1">IFERROR(__xludf.DUMMYFUNCTION("""COMPUTED_VALUE"""),149.1)</f>
        <v>149.1</v>
      </c>
      <c r="C408" s="1">
        <f ca="1">IFERROR(__xludf.DUMMYFUNCTION("""COMPUTED_VALUE"""),289.81)</f>
        <v>289.81</v>
      </c>
      <c r="D408" s="1">
        <f ca="1">IFERROR(__xludf.DUMMYFUNCTION("""COMPUTED_VALUE"""),165.18)</f>
        <v>165.18</v>
      </c>
      <c r="E408" s="1">
        <f ca="1">IFERROR(__xludf.DUMMYFUNCTION("""COMPUTED_VALUE"""),19.91)</f>
        <v>19.91</v>
      </c>
      <c r="F408" s="1">
        <f ca="1">IFERROR(__xludf.DUMMYFUNCTION("""COMPUTED_VALUE"""),362.65)</f>
        <v>362.65</v>
      </c>
      <c r="G408" s="1">
        <f ca="1">IFERROR(__xludf.DUMMYFUNCTION("""COMPUTED_VALUE"""),138.39)</f>
        <v>138.38999999999999</v>
      </c>
      <c r="H408" s="1">
        <f ca="1">IFERROR(__xludf.DUMMYFUNCTION("""COMPUTED_VALUE"""),240.75)</f>
        <v>240.75</v>
      </c>
      <c r="I408" s="1">
        <f ca="1">IFERROR(__xludf.DUMMYFUNCTION("""COMPUTED_VALUE"""),155.07)</f>
        <v>155.07</v>
      </c>
      <c r="J408" s="1">
        <f ca="1">IFERROR(__xludf.DUMMYFUNCTION("""COMPUTED_VALUE"""),445.36)</f>
        <v>445.36</v>
      </c>
      <c r="K408" s="1">
        <f ca="1">IFERROR(__xludf.DUMMYFUNCTION("""COMPUTED_VALUE"""),48.43)</f>
        <v>48.43</v>
      </c>
      <c r="L408" s="1">
        <f ca="1">IFERROR(__xludf.DUMMYFUNCTION("""COMPUTED_VALUE"""),634.35)</f>
        <v>634.35</v>
      </c>
      <c r="M408" s="1">
        <f ca="1">IFERROR(__xludf.DUMMYFUNCTION("""COMPUTED_VALUE"""),510.72)</f>
        <v>510.72</v>
      </c>
    </row>
    <row r="409" spans="1:13" x14ac:dyDescent="0.25">
      <c r="A409" s="2">
        <f ca="1">IFERROR(__xludf.DUMMYFUNCTION("""COMPUTED_VALUE"""),44424.6666666666)</f>
        <v>44424.666666666599</v>
      </c>
      <c r="B409" s="1">
        <f ca="1">IFERROR(__xludf.DUMMYFUNCTION("""COMPUTED_VALUE"""),151.12)</f>
        <v>151.12</v>
      </c>
      <c r="C409" s="1">
        <f ca="1">IFERROR(__xludf.DUMMYFUNCTION("""COMPUTED_VALUE"""),292.85)</f>
        <v>292.85000000000002</v>
      </c>
      <c r="D409" s="1">
        <f ca="1">IFERROR(__xludf.DUMMYFUNCTION("""COMPUTED_VALUE"""),164.7)</f>
        <v>164.7</v>
      </c>
      <c r="E409" s="1">
        <f ca="1">IFERROR(__xludf.DUMMYFUNCTION("""COMPUTED_VALUE"""),20.19)</f>
        <v>20.190000000000001</v>
      </c>
      <c r="F409" s="1">
        <f ca="1">IFERROR(__xludf.DUMMYFUNCTION("""COMPUTED_VALUE"""),363.18)</f>
        <v>363.18</v>
      </c>
      <c r="G409" s="1">
        <f ca="1">IFERROR(__xludf.DUMMYFUNCTION("""COMPUTED_VALUE"""),138.41)</f>
        <v>138.41</v>
      </c>
      <c r="H409" s="1">
        <f ca="1">IFERROR(__xludf.DUMMYFUNCTION("""COMPUTED_VALUE"""),239.06)</f>
        <v>239.06</v>
      </c>
      <c r="I409" s="1">
        <f ca="1">IFERROR(__xludf.DUMMYFUNCTION("""COMPUTED_VALUE"""),156.52)</f>
        <v>156.52000000000001</v>
      </c>
      <c r="J409" s="1">
        <f ca="1">IFERROR(__xludf.DUMMYFUNCTION("""COMPUTED_VALUE"""),447.82)</f>
        <v>447.82</v>
      </c>
      <c r="K409" s="1">
        <f ca="1">IFERROR(__xludf.DUMMYFUNCTION("""COMPUTED_VALUE"""),48.62)</f>
        <v>48.62</v>
      </c>
      <c r="L409" s="1">
        <f ca="1">IFERROR(__xludf.DUMMYFUNCTION("""COMPUTED_VALUE"""),637.31)</f>
        <v>637.30999999999995</v>
      </c>
      <c r="M409" s="1">
        <f ca="1">IFERROR(__xludf.DUMMYFUNCTION("""COMPUTED_VALUE"""),515.92)</f>
        <v>515.91999999999996</v>
      </c>
    </row>
    <row r="410" spans="1:13" x14ac:dyDescent="0.25">
      <c r="A410" s="2">
        <f ca="1">IFERROR(__xludf.DUMMYFUNCTION("""COMPUTED_VALUE"""),44425.6666666666)</f>
        <v>44425.666666666599</v>
      </c>
      <c r="B410" s="1">
        <f ca="1">IFERROR(__xludf.DUMMYFUNCTION("""COMPUTED_VALUE"""),150.19)</f>
        <v>150.19</v>
      </c>
      <c r="C410" s="1">
        <f ca="1">IFERROR(__xludf.DUMMYFUNCTION("""COMPUTED_VALUE"""),294.6)</f>
        <v>294.60000000000002</v>
      </c>
      <c r="D410" s="1">
        <f ca="1">IFERROR(__xludf.DUMMYFUNCTION("""COMPUTED_VALUE"""),164.95)</f>
        <v>164.95</v>
      </c>
      <c r="E410" s="1">
        <f ca="1">IFERROR(__xludf.DUMMYFUNCTION("""COMPUTED_VALUE"""),19.95)</f>
        <v>19.95</v>
      </c>
      <c r="F410" s="1">
        <f ca="1">IFERROR(__xludf.DUMMYFUNCTION("""COMPUTED_VALUE"""),366.56)</f>
        <v>366.56</v>
      </c>
      <c r="G410" s="1">
        <f ca="1">IFERROR(__xludf.DUMMYFUNCTION("""COMPUTED_VALUE"""),138.92)</f>
        <v>138.91999999999999</v>
      </c>
      <c r="H410" s="1">
        <f ca="1">IFERROR(__xludf.DUMMYFUNCTION("""COMPUTED_VALUE"""),228.72)</f>
        <v>228.72</v>
      </c>
      <c r="I410" s="1">
        <f ca="1">IFERROR(__xludf.DUMMYFUNCTION("""COMPUTED_VALUE"""),158.05)</f>
        <v>158.05000000000001</v>
      </c>
      <c r="J410" s="1">
        <f ca="1">IFERROR(__xludf.DUMMYFUNCTION("""COMPUTED_VALUE"""),452.86)</f>
        <v>452.86</v>
      </c>
      <c r="K410" s="1">
        <f ca="1">IFERROR(__xludf.DUMMYFUNCTION("""COMPUTED_VALUE"""),48.81)</f>
        <v>48.81</v>
      </c>
      <c r="L410" s="1">
        <f ca="1">IFERROR(__xludf.DUMMYFUNCTION("""COMPUTED_VALUE"""),636.94)</f>
        <v>636.94000000000005</v>
      </c>
      <c r="M410" s="1">
        <f ca="1">IFERROR(__xludf.DUMMYFUNCTION("""COMPUTED_VALUE"""),517.92)</f>
        <v>517.91999999999996</v>
      </c>
    </row>
    <row r="411" spans="1:13" x14ac:dyDescent="0.25">
      <c r="A411" s="2">
        <f ca="1">IFERROR(__xludf.DUMMYFUNCTION("""COMPUTED_VALUE"""),44426.6666666666)</f>
        <v>44426.666666666599</v>
      </c>
      <c r="B411" s="1">
        <f ca="1">IFERROR(__xludf.DUMMYFUNCTION("""COMPUTED_VALUE"""),146.36)</f>
        <v>146.36000000000001</v>
      </c>
      <c r="C411" s="1">
        <f ca="1">IFERROR(__xludf.DUMMYFUNCTION("""COMPUTED_VALUE"""),293.08)</f>
        <v>293.08</v>
      </c>
      <c r="D411" s="1">
        <f ca="1">IFERROR(__xludf.DUMMYFUNCTION("""COMPUTED_VALUE"""),162.1)</f>
        <v>162.1</v>
      </c>
      <c r="E411" s="1">
        <f ca="1">IFERROR(__xludf.DUMMYFUNCTION("""COMPUTED_VALUE"""),19.46)</f>
        <v>19.46</v>
      </c>
      <c r="F411" s="1">
        <f ca="1">IFERROR(__xludf.DUMMYFUNCTION("""COMPUTED_VALUE"""),358.45)</f>
        <v>358.45</v>
      </c>
      <c r="G411" s="1">
        <f ca="1">IFERROR(__xludf.DUMMYFUNCTION("""COMPUTED_VALUE"""),137.3)</f>
        <v>137.30000000000001</v>
      </c>
      <c r="H411" s="1">
        <f ca="1">IFERROR(__xludf.DUMMYFUNCTION("""COMPUTED_VALUE"""),221.9)</f>
        <v>221.9</v>
      </c>
      <c r="I411" s="1">
        <f ca="1">IFERROR(__xludf.DUMMYFUNCTION("""COMPUTED_VALUE"""),157.9)</f>
        <v>157.9</v>
      </c>
      <c r="J411" s="1">
        <f ca="1">IFERROR(__xludf.DUMMYFUNCTION("""COMPUTED_VALUE"""),452.34)</f>
        <v>452.34</v>
      </c>
      <c r="K411" s="1">
        <f ca="1">IFERROR(__xludf.DUMMYFUNCTION("""COMPUTED_VALUE"""),47.87)</f>
        <v>47.87</v>
      </c>
      <c r="L411" s="1">
        <f ca="1">IFERROR(__xludf.DUMMYFUNCTION("""COMPUTED_VALUE"""),635.01)</f>
        <v>635.01</v>
      </c>
      <c r="M411" s="1">
        <f ca="1">IFERROR(__xludf.DUMMYFUNCTION("""COMPUTED_VALUE"""),518.91)</f>
        <v>518.91</v>
      </c>
    </row>
    <row r="412" spans="1:13" x14ac:dyDescent="0.25">
      <c r="A412" s="2">
        <f ca="1">IFERROR(__xludf.DUMMYFUNCTION("""COMPUTED_VALUE"""),44427.6666666666)</f>
        <v>44427.666666666599</v>
      </c>
      <c r="B412" s="1">
        <f ca="1">IFERROR(__xludf.DUMMYFUNCTION("""COMPUTED_VALUE"""),146.7)</f>
        <v>146.69999999999999</v>
      </c>
      <c r="C412" s="1">
        <f ca="1">IFERROR(__xludf.DUMMYFUNCTION("""COMPUTED_VALUE"""),290.73)</f>
        <v>290.73</v>
      </c>
      <c r="D412" s="1">
        <f ca="1">IFERROR(__xludf.DUMMYFUNCTION("""COMPUTED_VALUE"""),160.06)</f>
        <v>160.06</v>
      </c>
      <c r="E412" s="1">
        <f ca="1">IFERROR(__xludf.DUMMYFUNCTION("""COMPUTED_VALUE"""),19.04)</f>
        <v>19.04</v>
      </c>
      <c r="F412" s="1">
        <f ca="1">IFERROR(__xludf.DUMMYFUNCTION("""COMPUTED_VALUE"""),355.45)</f>
        <v>355.45</v>
      </c>
      <c r="G412" s="1">
        <f ca="1">IFERROR(__xludf.DUMMYFUNCTION("""COMPUTED_VALUE"""),136.57)</f>
        <v>136.57</v>
      </c>
      <c r="H412" s="1">
        <f ca="1">IFERROR(__xludf.DUMMYFUNCTION("""COMPUTED_VALUE"""),229.66)</f>
        <v>229.66</v>
      </c>
      <c r="I412" s="1">
        <f ca="1">IFERROR(__xludf.DUMMYFUNCTION("""COMPUTED_VALUE"""),156.28)</f>
        <v>156.28</v>
      </c>
      <c r="J412" s="1">
        <f ca="1">IFERROR(__xludf.DUMMYFUNCTION("""COMPUTED_VALUE"""),446.21)</f>
        <v>446.21</v>
      </c>
      <c r="K412" s="1">
        <f ca="1">IFERROR(__xludf.DUMMYFUNCTION("""COMPUTED_VALUE"""),46.9)</f>
        <v>46.9</v>
      </c>
      <c r="L412" s="1">
        <f ca="1">IFERROR(__xludf.DUMMYFUNCTION("""COMPUTED_VALUE"""),626.77)</f>
        <v>626.77</v>
      </c>
      <c r="M412" s="1">
        <f ca="1">IFERROR(__xludf.DUMMYFUNCTION("""COMPUTED_VALUE"""),521.87)</f>
        <v>521.87</v>
      </c>
    </row>
    <row r="413" spans="1:13" x14ac:dyDescent="0.25">
      <c r="A413" s="2">
        <f ca="1">IFERROR(__xludf.DUMMYFUNCTION("""COMPUTED_VALUE"""),44428.6666666666)</f>
        <v>44428.666666666599</v>
      </c>
      <c r="B413" s="1">
        <f ca="1">IFERROR(__xludf.DUMMYFUNCTION("""COMPUTED_VALUE"""),148.19)</f>
        <v>148.19</v>
      </c>
      <c r="C413" s="1">
        <f ca="1">IFERROR(__xludf.DUMMYFUNCTION("""COMPUTED_VALUE"""),296.77)</f>
        <v>296.77</v>
      </c>
      <c r="D413" s="1">
        <f ca="1">IFERROR(__xludf.DUMMYFUNCTION("""COMPUTED_VALUE"""),159.39)</f>
        <v>159.38999999999999</v>
      </c>
      <c r="E413" s="1">
        <f ca="1">IFERROR(__xludf.DUMMYFUNCTION("""COMPUTED_VALUE"""),19.8)</f>
        <v>19.8</v>
      </c>
      <c r="F413" s="1">
        <f ca="1">IFERROR(__xludf.DUMMYFUNCTION("""COMPUTED_VALUE"""),355.12)</f>
        <v>355.12</v>
      </c>
      <c r="G413" s="1">
        <f ca="1">IFERROR(__xludf.DUMMYFUNCTION("""COMPUTED_VALUE"""),136.91)</f>
        <v>136.91</v>
      </c>
      <c r="H413" s="1">
        <f ca="1">IFERROR(__xludf.DUMMYFUNCTION("""COMPUTED_VALUE"""),224.49)</f>
        <v>224.49</v>
      </c>
      <c r="I413" s="1">
        <f ca="1">IFERROR(__xludf.DUMMYFUNCTION("""COMPUTED_VALUE"""),158.91)</f>
        <v>158.91</v>
      </c>
      <c r="J413" s="1">
        <f ca="1">IFERROR(__xludf.DUMMYFUNCTION("""COMPUTED_VALUE"""),454.26)</f>
        <v>454.26</v>
      </c>
      <c r="K413" s="1">
        <f ca="1">IFERROR(__xludf.DUMMYFUNCTION("""COMPUTED_VALUE"""),47.35)</f>
        <v>47.35</v>
      </c>
      <c r="L413" s="1">
        <f ca="1">IFERROR(__xludf.DUMMYFUNCTION("""COMPUTED_VALUE"""),637.66)</f>
        <v>637.66</v>
      </c>
      <c r="M413" s="1">
        <f ca="1">IFERROR(__xludf.DUMMYFUNCTION("""COMPUTED_VALUE"""),543.71)</f>
        <v>543.71</v>
      </c>
    </row>
    <row r="414" spans="1:13" x14ac:dyDescent="0.25">
      <c r="A414" s="2">
        <f ca="1">IFERROR(__xludf.DUMMYFUNCTION("""COMPUTED_VALUE"""),44431.6666666666)</f>
        <v>44431.666666666599</v>
      </c>
      <c r="B414" s="1">
        <f ca="1">IFERROR(__xludf.DUMMYFUNCTION("""COMPUTED_VALUE"""),149.71)</f>
        <v>149.71</v>
      </c>
      <c r="C414" s="1">
        <f ca="1">IFERROR(__xludf.DUMMYFUNCTION("""COMPUTED_VALUE"""),304.36)</f>
        <v>304.36</v>
      </c>
      <c r="D414" s="1">
        <f ca="1">IFERROR(__xludf.DUMMYFUNCTION("""COMPUTED_VALUE"""),160)</f>
        <v>160</v>
      </c>
      <c r="E414" s="1">
        <f ca="1">IFERROR(__xludf.DUMMYFUNCTION("""COMPUTED_VALUE"""),20.82)</f>
        <v>20.82</v>
      </c>
      <c r="F414" s="1">
        <f ca="1">IFERROR(__xludf.DUMMYFUNCTION("""COMPUTED_VALUE"""),359.37)</f>
        <v>359.37</v>
      </c>
      <c r="G414" s="1">
        <f ca="1">IFERROR(__xludf.DUMMYFUNCTION("""COMPUTED_VALUE"""),138.44)</f>
        <v>138.44</v>
      </c>
      <c r="H414" s="1">
        <f ca="1">IFERROR(__xludf.DUMMYFUNCTION("""COMPUTED_VALUE"""),226.75)</f>
        <v>226.75</v>
      </c>
      <c r="I414" s="1">
        <f ca="1">IFERROR(__xludf.DUMMYFUNCTION("""COMPUTED_VALUE"""),158.35)</f>
        <v>158.35</v>
      </c>
      <c r="J414" s="1">
        <f ca="1">IFERROR(__xludf.DUMMYFUNCTION("""COMPUTED_VALUE"""),458.99)</f>
        <v>458.99</v>
      </c>
      <c r="K414" s="1">
        <f ca="1">IFERROR(__xludf.DUMMYFUNCTION("""COMPUTED_VALUE"""),47.52)</f>
        <v>47.52</v>
      </c>
      <c r="L414" s="1">
        <f ca="1">IFERROR(__xludf.DUMMYFUNCTION("""COMPUTED_VALUE"""),647.34)</f>
        <v>647.34</v>
      </c>
      <c r="M414" s="1">
        <f ca="1">IFERROR(__xludf.DUMMYFUNCTION("""COMPUTED_VALUE"""),546.88)</f>
        <v>546.88</v>
      </c>
    </row>
    <row r="415" spans="1:13" x14ac:dyDescent="0.25">
      <c r="A415" s="2">
        <f ca="1">IFERROR(__xludf.DUMMYFUNCTION("""COMPUTED_VALUE"""),44432.6666666666)</f>
        <v>44432.666666666599</v>
      </c>
      <c r="B415" s="1">
        <f ca="1">IFERROR(__xludf.DUMMYFUNCTION("""COMPUTED_VALUE"""),149.62)</f>
        <v>149.62</v>
      </c>
      <c r="C415" s="1">
        <f ca="1">IFERROR(__xludf.DUMMYFUNCTION("""COMPUTED_VALUE"""),304.65)</f>
        <v>304.64999999999998</v>
      </c>
      <c r="D415" s="1">
        <f ca="1">IFERROR(__xludf.DUMMYFUNCTION("""COMPUTED_VALUE"""),163.29)</f>
        <v>163.29</v>
      </c>
      <c r="E415" s="1">
        <f ca="1">IFERROR(__xludf.DUMMYFUNCTION("""COMPUTED_VALUE"""),21.96)</f>
        <v>21.96</v>
      </c>
      <c r="F415" s="1">
        <f ca="1">IFERROR(__xludf.DUMMYFUNCTION("""COMPUTED_VALUE"""),363.35)</f>
        <v>363.35</v>
      </c>
      <c r="G415" s="1">
        <f ca="1">IFERROR(__xludf.DUMMYFUNCTION("""COMPUTED_VALUE"""),141.1)</f>
        <v>141.1</v>
      </c>
      <c r="H415" s="1">
        <f ca="1">IFERROR(__xludf.DUMMYFUNCTION("""COMPUTED_VALUE"""),235.43)</f>
        <v>235.43</v>
      </c>
      <c r="I415" s="1">
        <f ca="1">IFERROR(__xludf.DUMMYFUNCTION("""COMPUTED_VALUE"""),157.85)</f>
        <v>157.85</v>
      </c>
      <c r="J415" s="1">
        <f ca="1">IFERROR(__xludf.DUMMYFUNCTION("""COMPUTED_VALUE"""),454.93)</f>
        <v>454.93</v>
      </c>
      <c r="K415" s="1">
        <f ca="1">IFERROR(__xludf.DUMMYFUNCTION("""COMPUTED_VALUE"""),48.25)</f>
        <v>48.25</v>
      </c>
      <c r="L415" s="1">
        <f ca="1">IFERROR(__xludf.DUMMYFUNCTION("""COMPUTED_VALUE"""),656.86)</f>
        <v>656.86</v>
      </c>
      <c r="M415" s="1">
        <f ca="1">IFERROR(__xludf.DUMMYFUNCTION("""COMPUTED_VALUE"""),553.33)</f>
        <v>553.33000000000004</v>
      </c>
    </row>
    <row r="416" spans="1:13" x14ac:dyDescent="0.25">
      <c r="A416" s="2">
        <f ca="1">IFERROR(__xludf.DUMMYFUNCTION("""COMPUTED_VALUE"""),44433.6666666666)</f>
        <v>44433.666666666599</v>
      </c>
      <c r="B416" s="1">
        <f ca="1">IFERROR(__xludf.DUMMYFUNCTION("""COMPUTED_VALUE"""),148.36)</f>
        <v>148.36000000000001</v>
      </c>
      <c r="C416" s="1">
        <f ca="1">IFERROR(__xludf.DUMMYFUNCTION("""COMPUTED_VALUE"""),302.62)</f>
        <v>302.62</v>
      </c>
      <c r="D416" s="1">
        <f ca="1">IFERROR(__xludf.DUMMYFUNCTION("""COMPUTED_VALUE"""),165.29)</f>
        <v>165.29</v>
      </c>
      <c r="E416" s="1">
        <f ca="1">IFERROR(__xludf.DUMMYFUNCTION("""COMPUTED_VALUE"""),21.79)</f>
        <v>21.79</v>
      </c>
      <c r="F416" s="1">
        <f ca="1">IFERROR(__xludf.DUMMYFUNCTION("""COMPUTED_VALUE"""),365.51)</f>
        <v>365.51</v>
      </c>
      <c r="G416" s="1">
        <f ca="1">IFERROR(__xludf.DUMMYFUNCTION("""COMPUTED_VALUE"""),142.4)</f>
        <v>142.4</v>
      </c>
      <c r="H416" s="1">
        <f ca="1">IFERROR(__xludf.DUMMYFUNCTION("""COMPUTED_VALUE"""),236.16)</f>
        <v>236.16</v>
      </c>
      <c r="I416" s="1">
        <f ca="1">IFERROR(__xludf.DUMMYFUNCTION("""COMPUTED_VALUE"""),155.89)</f>
        <v>155.88999999999999</v>
      </c>
      <c r="J416" s="1">
        <f ca="1">IFERROR(__xludf.DUMMYFUNCTION("""COMPUTED_VALUE"""),451.79)</f>
        <v>451.79</v>
      </c>
      <c r="K416" s="1">
        <f ca="1">IFERROR(__xludf.DUMMYFUNCTION("""COMPUTED_VALUE"""),48.14)</f>
        <v>48.14</v>
      </c>
      <c r="L416" s="1">
        <f ca="1">IFERROR(__xludf.DUMMYFUNCTION("""COMPUTED_VALUE"""),657.24)</f>
        <v>657.24</v>
      </c>
      <c r="M416" s="1">
        <f ca="1">IFERROR(__xludf.DUMMYFUNCTION("""COMPUTED_VALUE"""),553.41)</f>
        <v>553.41</v>
      </c>
    </row>
    <row r="417" spans="1:13" x14ac:dyDescent="0.25">
      <c r="A417" s="2">
        <f ca="1">IFERROR(__xludf.DUMMYFUNCTION("""COMPUTED_VALUE"""),44434.6666666666)</f>
        <v>44434.666666666599</v>
      </c>
      <c r="B417" s="1">
        <f ca="1">IFERROR(__xludf.DUMMYFUNCTION("""COMPUTED_VALUE"""),147.54)</f>
        <v>147.54</v>
      </c>
      <c r="C417" s="1">
        <f ca="1">IFERROR(__xludf.DUMMYFUNCTION("""COMPUTED_VALUE"""),302.01)</f>
        <v>302.01</v>
      </c>
      <c r="D417" s="1">
        <f ca="1">IFERROR(__xludf.DUMMYFUNCTION("""COMPUTED_VALUE"""),164.96)</f>
        <v>164.96</v>
      </c>
      <c r="E417" s="1">
        <f ca="1">IFERROR(__xludf.DUMMYFUNCTION("""COMPUTED_VALUE"""),22.21)</f>
        <v>22.21</v>
      </c>
      <c r="F417" s="1">
        <f ca="1">IFERROR(__xludf.DUMMYFUNCTION("""COMPUTED_VALUE"""),368.39)</f>
        <v>368.39</v>
      </c>
      <c r="G417" s="1">
        <f ca="1">IFERROR(__xludf.DUMMYFUNCTION("""COMPUTED_VALUE"""),142.95)</f>
        <v>142.94999999999999</v>
      </c>
      <c r="H417" s="1">
        <f ca="1">IFERROR(__xludf.DUMMYFUNCTION("""COMPUTED_VALUE"""),237.07)</f>
        <v>237.07</v>
      </c>
      <c r="I417" s="1">
        <f ca="1">IFERROR(__xludf.DUMMYFUNCTION("""COMPUTED_VALUE"""),155.2)</f>
        <v>155.19999999999999</v>
      </c>
      <c r="J417" s="1">
        <f ca="1">IFERROR(__xludf.DUMMYFUNCTION("""COMPUTED_VALUE"""),451.23)</f>
        <v>451.23</v>
      </c>
      <c r="K417" s="1">
        <f ca="1">IFERROR(__xludf.DUMMYFUNCTION("""COMPUTED_VALUE"""),48.34)</f>
        <v>48.34</v>
      </c>
      <c r="L417" s="1">
        <f ca="1">IFERROR(__xludf.DUMMYFUNCTION("""COMPUTED_VALUE"""),656.8)</f>
        <v>656.8</v>
      </c>
      <c r="M417" s="1">
        <f ca="1">IFERROR(__xludf.DUMMYFUNCTION("""COMPUTED_VALUE"""),547.58)</f>
        <v>547.58000000000004</v>
      </c>
    </row>
    <row r="418" spans="1:13" x14ac:dyDescent="0.25">
      <c r="A418" s="2">
        <f ca="1">IFERROR(__xludf.DUMMYFUNCTION("""COMPUTED_VALUE"""),44435.6666666666)</f>
        <v>44435.666666666599</v>
      </c>
      <c r="B418" s="1">
        <f ca="1">IFERROR(__xludf.DUMMYFUNCTION("""COMPUTED_VALUE"""),148.6)</f>
        <v>148.6</v>
      </c>
      <c r="C418" s="1">
        <f ca="1">IFERROR(__xludf.DUMMYFUNCTION("""COMPUTED_VALUE"""),299.09)</f>
        <v>299.08999999999997</v>
      </c>
      <c r="D418" s="1">
        <f ca="1">IFERROR(__xludf.DUMMYFUNCTION("""COMPUTED_VALUE"""),165.8)</f>
        <v>165.8</v>
      </c>
      <c r="E418" s="1">
        <f ca="1">IFERROR(__xludf.DUMMYFUNCTION("""COMPUTED_VALUE"""),22.07)</f>
        <v>22.07</v>
      </c>
      <c r="F418" s="1">
        <f ca="1">IFERROR(__xludf.DUMMYFUNCTION("""COMPUTED_VALUE"""),364.38)</f>
        <v>364.38</v>
      </c>
      <c r="G418" s="1">
        <f ca="1">IFERROR(__xludf.DUMMYFUNCTION("""COMPUTED_VALUE"""),142.12)</f>
        <v>142.12</v>
      </c>
      <c r="H418" s="1">
        <f ca="1">IFERROR(__xludf.DUMMYFUNCTION("""COMPUTED_VALUE"""),233.72)</f>
        <v>233.72</v>
      </c>
      <c r="I418" s="1">
        <f ca="1">IFERROR(__xludf.DUMMYFUNCTION("""COMPUTED_VALUE"""),154.63)</f>
        <v>154.63</v>
      </c>
      <c r="J418" s="1">
        <f ca="1">IFERROR(__xludf.DUMMYFUNCTION("""COMPUTED_VALUE"""),449.31)</f>
        <v>449.31</v>
      </c>
      <c r="K418" s="1">
        <f ca="1">IFERROR(__xludf.DUMMYFUNCTION("""COMPUTED_VALUE"""),48.57)</f>
        <v>48.57</v>
      </c>
      <c r="L418" s="1">
        <f ca="1">IFERROR(__xludf.DUMMYFUNCTION("""COMPUTED_VALUE"""),652.39)</f>
        <v>652.39</v>
      </c>
      <c r="M418" s="1">
        <f ca="1">IFERROR(__xludf.DUMMYFUNCTION("""COMPUTED_VALUE"""),550.12)</f>
        <v>550.12</v>
      </c>
    </row>
    <row r="419" spans="1:13" x14ac:dyDescent="0.25">
      <c r="A419" s="2">
        <f ca="1">IFERROR(__xludf.DUMMYFUNCTION("""COMPUTED_VALUE"""),44438.6666666666)</f>
        <v>44438.666666666599</v>
      </c>
      <c r="B419" s="1">
        <f ca="1">IFERROR(__xludf.DUMMYFUNCTION("""COMPUTED_VALUE"""),153.12)</f>
        <v>153.12</v>
      </c>
      <c r="C419" s="1">
        <f ca="1">IFERROR(__xludf.DUMMYFUNCTION("""COMPUTED_VALUE"""),299.72)</f>
        <v>299.72000000000003</v>
      </c>
      <c r="D419" s="1">
        <f ca="1">IFERROR(__xludf.DUMMYFUNCTION("""COMPUTED_VALUE"""),167.48)</f>
        <v>167.48</v>
      </c>
      <c r="E419" s="1">
        <f ca="1">IFERROR(__xludf.DUMMYFUNCTION("""COMPUTED_VALUE"""),22.64)</f>
        <v>22.64</v>
      </c>
      <c r="F419" s="1">
        <f ca="1">IFERROR(__xludf.DUMMYFUNCTION("""COMPUTED_VALUE"""),372.63)</f>
        <v>372.63</v>
      </c>
      <c r="G419" s="1">
        <f ca="1">IFERROR(__xludf.DUMMYFUNCTION("""COMPUTED_VALUE"""),144.55)</f>
        <v>144.55000000000001</v>
      </c>
      <c r="H419" s="1">
        <f ca="1">IFERROR(__xludf.DUMMYFUNCTION("""COMPUTED_VALUE"""),237.31)</f>
        <v>237.31</v>
      </c>
      <c r="I419" s="1">
        <f ca="1">IFERROR(__xludf.DUMMYFUNCTION("""COMPUTED_VALUE"""),154.94)</f>
        <v>154.94</v>
      </c>
      <c r="J419" s="1">
        <f ca="1">IFERROR(__xludf.DUMMYFUNCTION("""COMPUTED_VALUE"""),450.34)</f>
        <v>450.34</v>
      </c>
      <c r="K419" s="1">
        <f ca="1">IFERROR(__xludf.DUMMYFUNCTION("""COMPUTED_VALUE"""),49.59)</f>
        <v>49.59</v>
      </c>
      <c r="L419" s="1">
        <f ca="1">IFERROR(__xludf.DUMMYFUNCTION("""COMPUTED_VALUE"""),658.52)</f>
        <v>658.52</v>
      </c>
      <c r="M419" s="1">
        <f ca="1">IFERROR(__xludf.DUMMYFUNCTION("""COMPUTED_VALUE"""),558.92)</f>
        <v>558.91999999999996</v>
      </c>
    </row>
    <row r="420" spans="1:13" x14ac:dyDescent="0.25">
      <c r="A420" s="2">
        <f ca="1">IFERROR(__xludf.DUMMYFUNCTION("""COMPUTED_VALUE"""),44439.6666666666)</f>
        <v>44439.666666666599</v>
      </c>
      <c r="B420" s="1">
        <f ca="1">IFERROR(__xludf.DUMMYFUNCTION("""COMPUTED_VALUE"""),151.83)</f>
        <v>151.83000000000001</v>
      </c>
      <c r="C420" s="1">
        <f ca="1">IFERROR(__xludf.DUMMYFUNCTION("""COMPUTED_VALUE"""),303.59)</f>
        <v>303.58999999999997</v>
      </c>
      <c r="D420" s="1">
        <f ca="1">IFERROR(__xludf.DUMMYFUNCTION("""COMPUTED_VALUE"""),171.08)</f>
        <v>171.08</v>
      </c>
      <c r="E420" s="1">
        <f ca="1">IFERROR(__xludf.DUMMYFUNCTION("""COMPUTED_VALUE"""),22.69)</f>
        <v>22.69</v>
      </c>
      <c r="F420" s="1">
        <f ca="1">IFERROR(__xludf.DUMMYFUNCTION("""COMPUTED_VALUE"""),380.66)</f>
        <v>380.66</v>
      </c>
      <c r="G420" s="1">
        <f ca="1">IFERROR(__xludf.DUMMYFUNCTION("""COMPUTED_VALUE"""),145.47)</f>
        <v>145.47</v>
      </c>
      <c r="H420" s="1">
        <f ca="1">IFERROR(__xludf.DUMMYFUNCTION("""COMPUTED_VALUE"""),243.64)</f>
        <v>243.64</v>
      </c>
      <c r="I420" s="1">
        <f ca="1">IFERROR(__xludf.DUMMYFUNCTION("""COMPUTED_VALUE"""),156)</f>
        <v>156</v>
      </c>
      <c r="J420" s="1">
        <f ca="1">IFERROR(__xludf.DUMMYFUNCTION("""COMPUTED_VALUE"""),455.93)</f>
        <v>455.93</v>
      </c>
      <c r="K420" s="1">
        <f ca="1">IFERROR(__xludf.DUMMYFUNCTION("""COMPUTED_VALUE"""),49.89)</f>
        <v>49.89</v>
      </c>
      <c r="L420" s="1">
        <f ca="1">IFERROR(__xludf.DUMMYFUNCTION("""COMPUTED_VALUE"""),665.99)</f>
        <v>665.99</v>
      </c>
      <c r="M420" s="1">
        <f ca="1">IFERROR(__xludf.DUMMYFUNCTION("""COMPUTED_VALUE"""),566.18)</f>
        <v>566.17999999999995</v>
      </c>
    </row>
    <row r="421" spans="1:13" x14ac:dyDescent="0.25">
      <c r="A421" s="2">
        <f ca="1">IFERROR(__xludf.DUMMYFUNCTION("""COMPUTED_VALUE"""),44440.6666666666)</f>
        <v>44440.666666666599</v>
      </c>
      <c r="B421" s="1">
        <f ca="1">IFERROR(__xludf.DUMMYFUNCTION("""COMPUTED_VALUE"""),152.51)</f>
        <v>152.51</v>
      </c>
      <c r="C421" s="1">
        <f ca="1">IFERROR(__xludf.DUMMYFUNCTION("""COMPUTED_VALUE"""),301.88)</f>
        <v>301.88</v>
      </c>
      <c r="D421" s="1">
        <f ca="1">IFERROR(__xludf.DUMMYFUNCTION("""COMPUTED_VALUE"""),173.54)</f>
        <v>173.54</v>
      </c>
      <c r="E421" s="1">
        <f ca="1">IFERROR(__xludf.DUMMYFUNCTION("""COMPUTED_VALUE"""),22.39)</f>
        <v>22.39</v>
      </c>
      <c r="F421" s="1">
        <f ca="1">IFERROR(__xludf.DUMMYFUNCTION("""COMPUTED_VALUE"""),379.38)</f>
        <v>379.38</v>
      </c>
      <c r="G421" s="1">
        <f ca="1">IFERROR(__xludf.DUMMYFUNCTION("""COMPUTED_VALUE"""),145.46)</f>
        <v>145.46</v>
      </c>
      <c r="H421" s="1">
        <f ca="1">IFERROR(__xludf.DUMMYFUNCTION("""COMPUTED_VALUE"""),245.24)</f>
        <v>245.24</v>
      </c>
      <c r="I421" s="1">
        <f ca="1">IFERROR(__xludf.DUMMYFUNCTION("""COMPUTED_VALUE"""),156.39)</f>
        <v>156.38999999999999</v>
      </c>
      <c r="J421" s="1">
        <f ca="1">IFERROR(__xludf.DUMMYFUNCTION("""COMPUTED_VALUE"""),455.49)</f>
        <v>455.49</v>
      </c>
      <c r="K421" s="1">
        <f ca="1">IFERROR(__xludf.DUMMYFUNCTION("""COMPUTED_VALUE"""),49.72)</f>
        <v>49.72</v>
      </c>
      <c r="L421" s="1">
        <f ca="1">IFERROR(__xludf.DUMMYFUNCTION("""COMPUTED_VALUE"""),663.7)</f>
        <v>663.7</v>
      </c>
      <c r="M421" s="1">
        <f ca="1">IFERROR(__xludf.DUMMYFUNCTION("""COMPUTED_VALUE"""),569.19)</f>
        <v>569.19000000000005</v>
      </c>
    </row>
    <row r="422" spans="1:13" x14ac:dyDescent="0.25">
      <c r="A422" s="2">
        <f ca="1">IFERROR(__xludf.DUMMYFUNCTION("""COMPUTED_VALUE"""),44441.6666666666)</f>
        <v>44441.666666666599</v>
      </c>
      <c r="B422" s="1">
        <f ca="1">IFERROR(__xludf.DUMMYFUNCTION("""COMPUTED_VALUE"""),153.65)</f>
        <v>153.65</v>
      </c>
      <c r="C422" s="1">
        <f ca="1">IFERROR(__xludf.DUMMYFUNCTION("""COMPUTED_VALUE"""),301.83)</f>
        <v>301.83</v>
      </c>
      <c r="D422" s="1">
        <f ca="1">IFERROR(__xludf.DUMMYFUNCTION("""COMPUTED_VALUE"""),173.95)</f>
        <v>173.95</v>
      </c>
      <c r="E422" s="1">
        <f ca="1">IFERROR(__xludf.DUMMYFUNCTION("""COMPUTED_VALUE"""),22.44)</f>
        <v>22.44</v>
      </c>
      <c r="F422" s="1">
        <f ca="1">IFERROR(__xludf.DUMMYFUNCTION("""COMPUTED_VALUE"""),382.05)</f>
        <v>382.05</v>
      </c>
      <c r="G422" s="1">
        <f ca="1">IFERROR(__xludf.DUMMYFUNCTION("""COMPUTED_VALUE"""),145.84)</f>
        <v>145.84</v>
      </c>
      <c r="H422" s="1">
        <f ca="1">IFERROR(__xludf.DUMMYFUNCTION("""COMPUTED_VALUE"""),244.7)</f>
        <v>244.7</v>
      </c>
      <c r="I422" s="1">
        <f ca="1">IFERROR(__xludf.DUMMYFUNCTION("""COMPUTED_VALUE"""),157.91)</f>
        <v>157.91</v>
      </c>
      <c r="J422" s="1">
        <f ca="1">IFERROR(__xludf.DUMMYFUNCTION("""COMPUTED_VALUE"""),456.52)</f>
        <v>456.52</v>
      </c>
      <c r="K422" s="1">
        <f ca="1">IFERROR(__xludf.DUMMYFUNCTION("""COMPUTED_VALUE"""),49.32)</f>
        <v>49.32</v>
      </c>
      <c r="L422" s="1">
        <f ca="1">IFERROR(__xludf.DUMMYFUNCTION("""COMPUTED_VALUE"""),665.89)</f>
        <v>665.89</v>
      </c>
      <c r="M422" s="1">
        <f ca="1">IFERROR(__xludf.DUMMYFUNCTION("""COMPUTED_VALUE"""),582.07)</f>
        <v>582.07000000000005</v>
      </c>
    </row>
    <row r="423" spans="1:13" x14ac:dyDescent="0.25">
      <c r="A423" s="2">
        <f ca="1">IFERROR(__xludf.DUMMYFUNCTION("""COMPUTED_VALUE"""),44442.6666666666)</f>
        <v>44442.666666666599</v>
      </c>
      <c r="B423" s="1">
        <f ca="1">IFERROR(__xludf.DUMMYFUNCTION("""COMPUTED_VALUE"""),154.3)</f>
        <v>154.30000000000001</v>
      </c>
      <c r="C423" s="1">
        <f ca="1">IFERROR(__xludf.DUMMYFUNCTION("""COMPUTED_VALUE"""),301.15)</f>
        <v>301.14999999999998</v>
      </c>
      <c r="D423" s="1">
        <f ca="1">IFERROR(__xludf.DUMMYFUNCTION("""COMPUTED_VALUE"""),173.16)</f>
        <v>173.16</v>
      </c>
      <c r="E423" s="1">
        <f ca="1">IFERROR(__xludf.DUMMYFUNCTION("""COMPUTED_VALUE"""),22.4)</f>
        <v>22.4</v>
      </c>
      <c r="F423" s="1">
        <f ca="1">IFERROR(__xludf.DUMMYFUNCTION("""COMPUTED_VALUE"""),375.28)</f>
        <v>375.28</v>
      </c>
      <c r="G423" s="1">
        <f ca="1">IFERROR(__xludf.DUMMYFUNCTION("""COMPUTED_VALUE"""),144.22)</f>
        <v>144.22</v>
      </c>
      <c r="H423" s="1">
        <f ca="1">IFERROR(__xludf.DUMMYFUNCTION("""COMPUTED_VALUE"""),244.13)</f>
        <v>244.13</v>
      </c>
      <c r="I423" s="1">
        <f ca="1">IFERROR(__xludf.DUMMYFUNCTION("""COMPUTED_VALUE"""),156.95)</f>
        <v>156.94999999999999</v>
      </c>
      <c r="J423" s="1">
        <f ca="1">IFERROR(__xludf.DUMMYFUNCTION("""COMPUTED_VALUE"""),460.97)</f>
        <v>460.97</v>
      </c>
      <c r="K423" s="1">
        <f ca="1">IFERROR(__xludf.DUMMYFUNCTION("""COMPUTED_VALUE"""),49.19)</f>
        <v>49.19</v>
      </c>
      <c r="L423" s="1">
        <f ca="1">IFERROR(__xludf.DUMMYFUNCTION("""COMPUTED_VALUE"""),664.64)</f>
        <v>664.64</v>
      </c>
      <c r="M423" s="1">
        <f ca="1">IFERROR(__xludf.DUMMYFUNCTION("""COMPUTED_VALUE"""),588.55)</f>
        <v>588.54999999999995</v>
      </c>
    </row>
    <row r="424" spans="1:13" x14ac:dyDescent="0.25">
      <c r="A424" s="2">
        <f ca="1">IFERROR(__xludf.DUMMYFUNCTION("""COMPUTED_VALUE"""),44446.6666666666)</f>
        <v>44446.666666666599</v>
      </c>
      <c r="B424" s="1">
        <f ca="1">IFERROR(__xludf.DUMMYFUNCTION("""COMPUTED_VALUE"""),156.69)</f>
        <v>156.69</v>
      </c>
      <c r="C424" s="1">
        <f ca="1">IFERROR(__xludf.DUMMYFUNCTION("""COMPUTED_VALUE"""),301.14)</f>
        <v>301.14</v>
      </c>
      <c r="D424" s="1">
        <f ca="1">IFERROR(__xludf.DUMMYFUNCTION("""COMPUTED_VALUE"""),173.9)</f>
        <v>173.9</v>
      </c>
      <c r="E424" s="1">
        <f ca="1">IFERROR(__xludf.DUMMYFUNCTION("""COMPUTED_VALUE"""),22.84)</f>
        <v>22.84</v>
      </c>
      <c r="F424" s="1">
        <f ca="1">IFERROR(__xludf.DUMMYFUNCTION("""COMPUTED_VALUE"""),376.26)</f>
        <v>376.26</v>
      </c>
      <c r="G424" s="1">
        <f ca="1">IFERROR(__xludf.DUMMYFUNCTION("""COMPUTED_VALUE"""),144.78)</f>
        <v>144.78</v>
      </c>
      <c r="H424" s="1">
        <f ca="1">IFERROR(__xludf.DUMMYFUNCTION("""COMPUTED_VALUE"""),244.52)</f>
        <v>244.52</v>
      </c>
      <c r="I424" s="1">
        <f ca="1">IFERROR(__xludf.DUMMYFUNCTION("""COMPUTED_VALUE"""),157.09)</f>
        <v>157.09</v>
      </c>
      <c r="J424" s="1">
        <f ca="1">IFERROR(__xludf.DUMMYFUNCTION("""COMPUTED_VALUE"""),462.55)</f>
        <v>462.55</v>
      </c>
      <c r="K424" s="1">
        <f ca="1">IFERROR(__xludf.DUMMYFUNCTION("""COMPUTED_VALUE"""),49.77)</f>
        <v>49.77</v>
      </c>
      <c r="L424" s="1">
        <f ca="1">IFERROR(__xludf.DUMMYFUNCTION("""COMPUTED_VALUE"""),666.59)</f>
        <v>666.59</v>
      </c>
      <c r="M424" s="1">
        <f ca="1">IFERROR(__xludf.DUMMYFUNCTION("""COMPUTED_VALUE"""),590.53)</f>
        <v>590.53</v>
      </c>
    </row>
    <row r="425" spans="1:13" x14ac:dyDescent="0.25">
      <c r="A425" s="2">
        <f ca="1">IFERROR(__xludf.DUMMYFUNCTION("""COMPUTED_VALUE"""),44447.6666666666)</f>
        <v>44447.666666666599</v>
      </c>
      <c r="B425" s="1">
        <f ca="1">IFERROR(__xludf.DUMMYFUNCTION("""COMPUTED_VALUE"""),155.11)</f>
        <v>155.11000000000001</v>
      </c>
      <c r="C425" s="1">
        <f ca="1">IFERROR(__xludf.DUMMYFUNCTION("""COMPUTED_VALUE"""),300.18)</f>
        <v>300.18</v>
      </c>
      <c r="D425" s="1">
        <f ca="1">IFERROR(__xludf.DUMMYFUNCTION("""COMPUTED_VALUE"""),175.46)</f>
        <v>175.46</v>
      </c>
      <c r="E425" s="1">
        <f ca="1">IFERROR(__xludf.DUMMYFUNCTION("""COMPUTED_VALUE"""),22.66)</f>
        <v>22.66</v>
      </c>
      <c r="F425" s="1">
        <f ca="1">IFERROR(__xludf.DUMMYFUNCTION("""COMPUTED_VALUE"""),382.18)</f>
        <v>382.18</v>
      </c>
      <c r="G425" s="1">
        <f ca="1">IFERROR(__xludf.DUMMYFUNCTION("""COMPUTED_VALUE"""),145.52)</f>
        <v>145.52000000000001</v>
      </c>
      <c r="H425" s="1">
        <f ca="1">IFERROR(__xludf.DUMMYFUNCTION("""COMPUTED_VALUE"""),250.97)</f>
        <v>250.97</v>
      </c>
      <c r="I425" s="1">
        <f ca="1">IFERROR(__xludf.DUMMYFUNCTION("""COMPUTED_VALUE"""),154.53)</f>
        <v>154.53</v>
      </c>
      <c r="J425" s="1">
        <f ca="1">IFERROR(__xludf.DUMMYFUNCTION("""COMPUTED_VALUE"""),459.6)</f>
        <v>459.6</v>
      </c>
      <c r="K425" s="1">
        <f ca="1">IFERROR(__xludf.DUMMYFUNCTION("""COMPUTED_VALUE"""),49.66)</f>
        <v>49.66</v>
      </c>
      <c r="L425" s="1">
        <f ca="1">IFERROR(__xludf.DUMMYFUNCTION("""COMPUTED_VALUE"""),661.39)</f>
        <v>661.39</v>
      </c>
      <c r="M425" s="1">
        <f ca="1">IFERROR(__xludf.DUMMYFUNCTION("""COMPUTED_VALUE"""),606.71)</f>
        <v>606.71</v>
      </c>
    </row>
    <row r="426" spans="1:13" x14ac:dyDescent="0.25">
      <c r="A426" s="2">
        <f ca="1">IFERROR(__xludf.DUMMYFUNCTION("""COMPUTED_VALUE"""),44448.6666666666)</f>
        <v>44448.666666666599</v>
      </c>
      <c r="B426" s="1">
        <f ca="1">IFERROR(__xludf.DUMMYFUNCTION("""COMPUTED_VALUE"""),154.07)</f>
        <v>154.07</v>
      </c>
      <c r="C426" s="1">
        <f ca="1">IFERROR(__xludf.DUMMYFUNCTION("""COMPUTED_VALUE"""),300.21)</f>
        <v>300.20999999999998</v>
      </c>
      <c r="D426" s="1">
        <f ca="1">IFERROR(__xludf.DUMMYFUNCTION("""COMPUTED_VALUE"""),176.28)</f>
        <v>176.28</v>
      </c>
      <c r="E426" s="1">
        <f ca="1">IFERROR(__xludf.DUMMYFUNCTION("""COMPUTED_VALUE"""),22.34)</f>
        <v>22.34</v>
      </c>
      <c r="F426" s="1">
        <f ca="1">IFERROR(__xludf.DUMMYFUNCTION("""COMPUTED_VALUE"""),377.57)</f>
        <v>377.57</v>
      </c>
      <c r="G426" s="1">
        <f ca="1">IFERROR(__xludf.DUMMYFUNCTION("""COMPUTED_VALUE"""),144.88)</f>
        <v>144.88</v>
      </c>
      <c r="H426" s="1">
        <f ca="1">IFERROR(__xludf.DUMMYFUNCTION("""COMPUTED_VALUE"""),251.29)</f>
        <v>251.29</v>
      </c>
      <c r="I426" s="1">
        <f ca="1">IFERROR(__xludf.DUMMYFUNCTION("""COMPUTED_VALUE"""),156.72)</f>
        <v>156.72</v>
      </c>
      <c r="J426" s="1">
        <f ca="1">IFERROR(__xludf.DUMMYFUNCTION("""COMPUTED_VALUE"""),465.7)</f>
        <v>465.7</v>
      </c>
      <c r="K426" s="1">
        <f ca="1">IFERROR(__xludf.DUMMYFUNCTION("""COMPUTED_VALUE"""),49.44)</f>
        <v>49.44</v>
      </c>
      <c r="L426" s="1">
        <f ca="1">IFERROR(__xludf.DUMMYFUNCTION("""COMPUTED_VALUE"""),663.22)</f>
        <v>663.22</v>
      </c>
      <c r="M426" s="1">
        <f ca="1">IFERROR(__xludf.DUMMYFUNCTION("""COMPUTED_VALUE"""),606.05)</f>
        <v>606.04999999999995</v>
      </c>
    </row>
    <row r="427" spans="1:13" x14ac:dyDescent="0.25">
      <c r="A427" s="2">
        <f ca="1">IFERROR(__xludf.DUMMYFUNCTION("""COMPUTED_VALUE"""),44449.6666666666)</f>
        <v>44449.666666666599</v>
      </c>
      <c r="B427" s="1">
        <f ca="1">IFERROR(__xludf.DUMMYFUNCTION("""COMPUTED_VALUE"""),148.97)</f>
        <v>148.97</v>
      </c>
      <c r="C427" s="1">
        <f ca="1">IFERROR(__xludf.DUMMYFUNCTION("""COMPUTED_VALUE"""),297.25)</f>
        <v>297.25</v>
      </c>
      <c r="D427" s="1">
        <f ca="1">IFERROR(__xludf.DUMMYFUNCTION("""COMPUTED_VALUE"""),174.21)</f>
        <v>174.21</v>
      </c>
      <c r="E427" s="1">
        <f ca="1">IFERROR(__xludf.DUMMYFUNCTION("""COMPUTED_VALUE"""),22.18)</f>
        <v>22.18</v>
      </c>
      <c r="F427" s="1">
        <f ca="1">IFERROR(__xludf.DUMMYFUNCTION("""COMPUTED_VALUE"""),378)</f>
        <v>378</v>
      </c>
      <c r="G427" s="1">
        <f ca="1">IFERROR(__xludf.DUMMYFUNCTION("""COMPUTED_VALUE"""),144.91)</f>
        <v>144.91</v>
      </c>
      <c r="H427" s="1">
        <f ca="1">IFERROR(__xludf.DUMMYFUNCTION("""COMPUTED_VALUE"""),251.62)</f>
        <v>251.62</v>
      </c>
      <c r="I427" s="1">
        <f ca="1">IFERROR(__xludf.DUMMYFUNCTION("""COMPUTED_VALUE"""),155.73)</f>
        <v>155.72999999999999</v>
      </c>
      <c r="J427" s="1">
        <f ca="1">IFERROR(__xludf.DUMMYFUNCTION("""COMPUTED_VALUE"""),465.94)</f>
        <v>465.94</v>
      </c>
      <c r="K427" s="1">
        <f ca="1">IFERROR(__xludf.DUMMYFUNCTION("""COMPUTED_VALUE"""),49.35)</f>
        <v>49.35</v>
      </c>
      <c r="L427" s="1">
        <f ca="1">IFERROR(__xludf.DUMMYFUNCTION("""COMPUTED_VALUE"""),661.68)</f>
        <v>661.68</v>
      </c>
      <c r="M427" s="1">
        <f ca="1">IFERROR(__xludf.DUMMYFUNCTION("""COMPUTED_VALUE"""),597.54)</f>
        <v>597.54</v>
      </c>
    </row>
    <row r="428" spans="1:13" x14ac:dyDescent="0.25">
      <c r="A428" s="2">
        <f ca="1">IFERROR(__xludf.DUMMYFUNCTION("""COMPUTED_VALUE"""),44452.6666666666)</f>
        <v>44452.666666666599</v>
      </c>
      <c r="B428" s="1">
        <f ca="1">IFERROR(__xludf.DUMMYFUNCTION("""COMPUTED_VALUE"""),149.55)</f>
        <v>149.55000000000001</v>
      </c>
      <c r="C428" s="1">
        <f ca="1">IFERROR(__xludf.DUMMYFUNCTION("""COMPUTED_VALUE"""),295.71)</f>
        <v>295.70999999999998</v>
      </c>
      <c r="D428" s="1">
        <f ca="1">IFERROR(__xludf.DUMMYFUNCTION("""COMPUTED_VALUE"""),173.46)</f>
        <v>173.46</v>
      </c>
      <c r="E428" s="1">
        <f ca="1">IFERROR(__xludf.DUMMYFUNCTION("""COMPUTED_VALUE"""),22.48)</f>
        <v>22.48</v>
      </c>
      <c r="F428" s="1">
        <f ca="1">IFERROR(__xludf.DUMMYFUNCTION("""COMPUTED_VALUE"""),378.69)</f>
        <v>378.69</v>
      </c>
      <c r="G428" s="1">
        <f ca="1">IFERROR(__xludf.DUMMYFUNCTION("""COMPUTED_VALUE"""),141.92)</f>
        <v>141.91999999999999</v>
      </c>
      <c r="H428" s="1">
        <f ca="1">IFERROR(__xludf.DUMMYFUNCTION("""COMPUTED_VALUE"""),245.42)</f>
        <v>245.42</v>
      </c>
      <c r="I428" s="1">
        <f ca="1">IFERROR(__xludf.DUMMYFUNCTION("""COMPUTED_VALUE"""),155.46)</f>
        <v>155.46</v>
      </c>
      <c r="J428" s="1">
        <f ca="1">IFERROR(__xludf.DUMMYFUNCTION("""COMPUTED_VALUE"""),465.16)</f>
        <v>465.16</v>
      </c>
      <c r="K428" s="1">
        <f ca="1">IFERROR(__xludf.DUMMYFUNCTION("""COMPUTED_VALUE"""),49.82)</f>
        <v>49.82</v>
      </c>
      <c r="L428" s="1">
        <f ca="1">IFERROR(__xludf.DUMMYFUNCTION("""COMPUTED_VALUE"""),658.94)</f>
        <v>658.94</v>
      </c>
      <c r="M428" s="1">
        <f ca="1">IFERROR(__xludf.DUMMYFUNCTION("""COMPUTED_VALUE"""),598.72)</f>
        <v>598.72</v>
      </c>
    </row>
    <row r="429" spans="1:13" x14ac:dyDescent="0.25">
      <c r="A429" s="2">
        <f ca="1">IFERROR(__xludf.DUMMYFUNCTION("""COMPUTED_VALUE"""),44453.6666666666)</f>
        <v>44453.666666666599</v>
      </c>
      <c r="B429" s="1">
        <f ca="1">IFERROR(__xludf.DUMMYFUNCTION("""COMPUTED_VALUE"""),148.12)</f>
        <v>148.12</v>
      </c>
      <c r="C429" s="1">
        <f ca="1">IFERROR(__xludf.DUMMYFUNCTION("""COMPUTED_VALUE"""),296.99)</f>
        <v>296.99</v>
      </c>
      <c r="D429" s="1">
        <f ca="1">IFERROR(__xludf.DUMMYFUNCTION("""COMPUTED_VALUE"""),172.86)</f>
        <v>172.86</v>
      </c>
      <c r="E429" s="1">
        <f ca="1">IFERROR(__xludf.DUMMYFUNCTION("""COMPUTED_VALUE"""),22.15)</f>
        <v>22.15</v>
      </c>
      <c r="F429" s="1">
        <f ca="1">IFERROR(__xludf.DUMMYFUNCTION("""COMPUTED_VALUE"""),376.51)</f>
        <v>376.51</v>
      </c>
      <c r="G429" s="1">
        <f ca="1">IFERROR(__xludf.DUMMYFUNCTION("""COMPUTED_VALUE"""),143.47)</f>
        <v>143.47</v>
      </c>
      <c r="H429" s="1">
        <f ca="1">IFERROR(__xludf.DUMMYFUNCTION("""COMPUTED_VALUE"""),247.67)</f>
        <v>247.67</v>
      </c>
      <c r="I429" s="1">
        <f ca="1">IFERROR(__xludf.DUMMYFUNCTION("""COMPUTED_VALUE"""),155.76)</f>
        <v>155.76</v>
      </c>
      <c r="J429" s="1">
        <f ca="1">IFERROR(__xludf.DUMMYFUNCTION("""COMPUTED_VALUE"""),459.66)</f>
        <v>459.66</v>
      </c>
      <c r="K429" s="1">
        <f ca="1">IFERROR(__xludf.DUMMYFUNCTION("""COMPUTED_VALUE"""),49.9)</f>
        <v>49.9</v>
      </c>
      <c r="L429" s="1">
        <f ca="1">IFERROR(__xludf.DUMMYFUNCTION("""COMPUTED_VALUE"""),645.15)</f>
        <v>645.15</v>
      </c>
      <c r="M429" s="1">
        <f ca="1">IFERROR(__xludf.DUMMYFUNCTION("""COMPUTED_VALUE"""),589.29)</f>
        <v>589.29</v>
      </c>
    </row>
    <row r="430" spans="1:13" x14ac:dyDescent="0.25">
      <c r="A430" s="2">
        <f ca="1">IFERROR(__xludf.DUMMYFUNCTION("""COMPUTED_VALUE"""),44454.6666666666)</f>
        <v>44454.666666666599</v>
      </c>
      <c r="B430" s="1">
        <f ca="1">IFERROR(__xludf.DUMMYFUNCTION("""COMPUTED_VALUE"""),149.03)</f>
        <v>149.03</v>
      </c>
      <c r="C430" s="1">
        <f ca="1">IFERROR(__xludf.DUMMYFUNCTION("""COMPUTED_VALUE"""),299.79)</f>
        <v>299.79000000000002</v>
      </c>
      <c r="D430" s="1">
        <f ca="1">IFERROR(__xludf.DUMMYFUNCTION("""COMPUTED_VALUE"""),172.5)</f>
        <v>172.5</v>
      </c>
      <c r="E430" s="1">
        <f ca="1">IFERROR(__xludf.DUMMYFUNCTION("""COMPUTED_VALUE"""),22.24)</f>
        <v>22.24</v>
      </c>
      <c r="F430" s="1">
        <f ca="1">IFERROR(__xludf.DUMMYFUNCTION("""COMPUTED_VALUE"""),376.53)</f>
        <v>376.53</v>
      </c>
      <c r="G430" s="1">
        <f ca="1">IFERROR(__xludf.DUMMYFUNCTION("""COMPUTED_VALUE"""),143.41)</f>
        <v>143.41</v>
      </c>
      <c r="H430" s="1">
        <f ca="1">IFERROR(__xludf.DUMMYFUNCTION("""COMPUTED_VALUE"""),248.16)</f>
        <v>248.16</v>
      </c>
      <c r="I430" s="1">
        <f ca="1">IFERROR(__xludf.DUMMYFUNCTION("""COMPUTED_VALUE"""),155.15)</f>
        <v>155.15</v>
      </c>
      <c r="J430" s="1">
        <f ca="1">IFERROR(__xludf.DUMMYFUNCTION("""COMPUTED_VALUE"""),458.41)</f>
        <v>458.41</v>
      </c>
      <c r="K430" s="1">
        <f ca="1">IFERROR(__xludf.DUMMYFUNCTION("""COMPUTED_VALUE"""),50.19)</f>
        <v>50.19</v>
      </c>
      <c r="L430" s="1">
        <f ca="1">IFERROR(__xludf.DUMMYFUNCTION("""COMPUTED_VALUE"""),645.01)</f>
        <v>645.01</v>
      </c>
      <c r="M430" s="1">
        <f ca="1">IFERROR(__xludf.DUMMYFUNCTION("""COMPUTED_VALUE"""),577.76)</f>
        <v>577.76</v>
      </c>
    </row>
    <row r="431" spans="1:13" x14ac:dyDescent="0.25">
      <c r="A431" s="2">
        <f ca="1">IFERROR(__xludf.DUMMYFUNCTION("""COMPUTED_VALUE"""),44455.6666666666)</f>
        <v>44455.666666666599</v>
      </c>
      <c r="B431" s="1">
        <f ca="1">IFERROR(__xludf.DUMMYFUNCTION("""COMPUTED_VALUE"""),148.79)</f>
        <v>148.79</v>
      </c>
      <c r="C431" s="1">
        <f ca="1">IFERROR(__xludf.DUMMYFUNCTION("""COMPUTED_VALUE"""),304.82)</f>
        <v>304.82</v>
      </c>
      <c r="D431" s="1">
        <f ca="1">IFERROR(__xludf.DUMMYFUNCTION("""COMPUTED_VALUE"""),173.79)</f>
        <v>173.79</v>
      </c>
      <c r="E431" s="1">
        <f ca="1">IFERROR(__xludf.DUMMYFUNCTION("""COMPUTED_VALUE"""),22.34)</f>
        <v>22.34</v>
      </c>
      <c r="F431" s="1">
        <f ca="1">IFERROR(__xludf.DUMMYFUNCTION("""COMPUTED_VALUE"""),373.92)</f>
        <v>373.92</v>
      </c>
      <c r="G431" s="1">
        <f ca="1">IFERROR(__xludf.DUMMYFUNCTION("""COMPUTED_VALUE"""),145.21)</f>
        <v>145.21</v>
      </c>
      <c r="H431" s="1">
        <f ca="1">IFERROR(__xludf.DUMMYFUNCTION("""COMPUTED_VALUE"""),251.94)</f>
        <v>251.94</v>
      </c>
      <c r="I431" s="1">
        <f ca="1">IFERROR(__xludf.DUMMYFUNCTION("""COMPUTED_VALUE"""),156.02)</f>
        <v>156.02000000000001</v>
      </c>
      <c r="J431" s="1">
        <f ca="1">IFERROR(__xludf.DUMMYFUNCTION("""COMPUTED_VALUE"""),460.73)</f>
        <v>460.73</v>
      </c>
      <c r="K431" s="1">
        <f ca="1">IFERROR(__xludf.DUMMYFUNCTION("""COMPUTED_VALUE"""),50.97)</f>
        <v>50.97</v>
      </c>
      <c r="L431" s="1">
        <f ca="1">IFERROR(__xludf.DUMMYFUNCTION("""COMPUTED_VALUE"""),661.08)</f>
        <v>661.08</v>
      </c>
      <c r="M431" s="1">
        <f ca="1">IFERROR(__xludf.DUMMYFUNCTION("""COMPUTED_VALUE"""),582.87)</f>
        <v>582.87</v>
      </c>
    </row>
    <row r="432" spans="1:13" x14ac:dyDescent="0.25">
      <c r="A432" s="2">
        <f ca="1">IFERROR(__xludf.DUMMYFUNCTION("""COMPUTED_VALUE"""),44456.6666666666)</f>
        <v>44456.666666666599</v>
      </c>
      <c r="B432" s="1">
        <f ca="1">IFERROR(__xludf.DUMMYFUNCTION("""COMPUTED_VALUE"""),146.06)</f>
        <v>146.06</v>
      </c>
      <c r="C432" s="1">
        <f ca="1">IFERROR(__xludf.DUMMYFUNCTION("""COMPUTED_VALUE"""),305.22)</f>
        <v>305.22000000000003</v>
      </c>
      <c r="D432" s="1">
        <f ca="1">IFERROR(__xludf.DUMMYFUNCTION("""COMPUTED_VALUE"""),174.41)</f>
        <v>174.41</v>
      </c>
      <c r="E432" s="1">
        <f ca="1">IFERROR(__xludf.DUMMYFUNCTION("""COMPUTED_VALUE"""),22.24)</f>
        <v>22.24</v>
      </c>
      <c r="F432" s="1">
        <f ca="1">IFERROR(__xludf.DUMMYFUNCTION("""COMPUTED_VALUE"""),373.06)</f>
        <v>373.06</v>
      </c>
      <c r="G432" s="1">
        <f ca="1">IFERROR(__xludf.DUMMYFUNCTION("""COMPUTED_VALUE"""),144.37)</f>
        <v>144.37</v>
      </c>
      <c r="H432" s="1">
        <f ca="1">IFERROR(__xludf.DUMMYFUNCTION("""COMPUTED_VALUE"""),252.33)</f>
        <v>252.33</v>
      </c>
      <c r="I432" s="1">
        <f ca="1">IFERROR(__xludf.DUMMYFUNCTION("""COMPUTED_VALUE"""),155.56)</f>
        <v>155.56</v>
      </c>
      <c r="J432" s="1">
        <f ca="1">IFERROR(__xludf.DUMMYFUNCTION("""COMPUTED_VALUE"""),463.31)</f>
        <v>463.31</v>
      </c>
      <c r="K432" s="1">
        <f ca="1">IFERROR(__xludf.DUMMYFUNCTION("""COMPUTED_VALUE"""),50.74)</f>
        <v>50.74</v>
      </c>
      <c r="L432" s="1">
        <f ca="1">IFERROR(__xludf.DUMMYFUNCTION("""COMPUTED_VALUE"""),665.11)</f>
        <v>665.11</v>
      </c>
      <c r="M432" s="1">
        <f ca="1">IFERROR(__xludf.DUMMYFUNCTION("""COMPUTED_VALUE"""),586.5)</f>
        <v>586.5</v>
      </c>
    </row>
    <row r="433" spans="1:13" x14ac:dyDescent="0.25">
      <c r="A433" s="2">
        <f ca="1">IFERROR(__xludf.DUMMYFUNCTION("""COMPUTED_VALUE"""),44459.6666666666)</f>
        <v>44459.666666666599</v>
      </c>
      <c r="B433" s="1">
        <f ca="1">IFERROR(__xludf.DUMMYFUNCTION("""COMPUTED_VALUE"""),142.94)</f>
        <v>142.94</v>
      </c>
      <c r="C433" s="1">
        <f ca="1">IFERROR(__xludf.DUMMYFUNCTION("""COMPUTED_VALUE"""),299.87)</f>
        <v>299.87</v>
      </c>
      <c r="D433" s="1">
        <f ca="1">IFERROR(__xludf.DUMMYFUNCTION("""COMPUTED_VALUE"""),173.13)</f>
        <v>173.13</v>
      </c>
      <c r="E433" s="1">
        <f ca="1">IFERROR(__xludf.DUMMYFUNCTION("""COMPUTED_VALUE"""),21.9)</f>
        <v>21.9</v>
      </c>
      <c r="F433" s="1">
        <f ca="1">IFERROR(__xludf.DUMMYFUNCTION("""COMPUTED_VALUE"""),364.72)</f>
        <v>364.72</v>
      </c>
      <c r="G433" s="1">
        <f ca="1">IFERROR(__xludf.DUMMYFUNCTION("""COMPUTED_VALUE"""),141.46)</f>
        <v>141.46</v>
      </c>
      <c r="H433" s="1">
        <f ca="1">IFERROR(__xludf.DUMMYFUNCTION("""COMPUTED_VALUE"""),253.16)</f>
        <v>253.16</v>
      </c>
      <c r="I433" s="1">
        <f ca="1">IFERROR(__xludf.DUMMYFUNCTION("""COMPUTED_VALUE"""),154.13)</f>
        <v>154.13</v>
      </c>
      <c r="J433" s="1">
        <f ca="1">IFERROR(__xludf.DUMMYFUNCTION("""COMPUTED_VALUE"""),459.51)</f>
        <v>459.51</v>
      </c>
      <c r="K433" s="1">
        <f ca="1">IFERROR(__xludf.DUMMYFUNCTION("""COMPUTED_VALUE"""),50.6)</f>
        <v>50.6</v>
      </c>
      <c r="L433" s="1">
        <f ca="1">IFERROR(__xludf.DUMMYFUNCTION("""COMPUTED_VALUE"""),654.48)</f>
        <v>654.48</v>
      </c>
      <c r="M433" s="1">
        <f ca="1">IFERROR(__xludf.DUMMYFUNCTION("""COMPUTED_VALUE"""),589.35)</f>
        <v>589.35</v>
      </c>
    </row>
    <row r="434" spans="1:13" x14ac:dyDescent="0.25">
      <c r="A434" s="2">
        <f ca="1">IFERROR(__xludf.DUMMYFUNCTION("""COMPUTED_VALUE"""),44460.6666666666)</f>
        <v>44460.666666666599</v>
      </c>
      <c r="B434" s="1">
        <f ca="1">IFERROR(__xludf.DUMMYFUNCTION("""COMPUTED_VALUE"""),143.43)</f>
        <v>143.43</v>
      </c>
      <c r="C434" s="1">
        <f ca="1">IFERROR(__xludf.DUMMYFUNCTION("""COMPUTED_VALUE"""),294.3)</f>
        <v>294.3</v>
      </c>
      <c r="D434" s="1">
        <f ca="1">IFERROR(__xludf.DUMMYFUNCTION("""COMPUTED_VALUE"""),167.79)</f>
        <v>167.79</v>
      </c>
      <c r="E434" s="1">
        <f ca="1">IFERROR(__xludf.DUMMYFUNCTION("""COMPUTED_VALUE"""),21.11)</f>
        <v>21.11</v>
      </c>
      <c r="F434" s="1">
        <f ca="1">IFERROR(__xludf.DUMMYFUNCTION("""COMPUTED_VALUE"""),355.7)</f>
        <v>355.7</v>
      </c>
      <c r="G434" s="1">
        <f ca="1">IFERROR(__xludf.DUMMYFUNCTION("""COMPUTED_VALUE"""),139.02)</f>
        <v>139.02000000000001</v>
      </c>
      <c r="H434" s="1">
        <f ca="1">IFERROR(__xludf.DUMMYFUNCTION("""COMPUTED_VALUE"""),243.39)</f>
        <v>243.39</v>
      </c>
      <c r="I434" s="1">
        <f ca="1">IFERROR(__xludf.DUMMYFUNCTION("""COMPUTED_VALUE"""),153.61)</f>
        <v>153.61000000000001</v>
      </c>
      <c r="J434" s="1">
        <f ca="1">IFERROR(__xludf.DUMMYFUNCTION("""COMPUTED_VALUE"""),451.14)</f>
        <v>451.14</v>
      </c>
      <c r="K434" s="1">
        <f ca="1">IFERROR(__xludf.DUMMYFUNCTION("""COMPUTED_VALUE"""),49.48)</f>
        <v>49.48</v>
      </c>
      <c r="L434" s="1">
        <f ca="1">IFERROR(__xludf.DUMMYFUNCTION("""COMPUTED_VALUE"""),641.29)</f>
        <v>641.29</v>
      </c>
      <c r="M434" s="1">
        <f ca="1">IFERROR(__xludf.DUMMYFUNCTION("""COMPUTED_VALUE"""),575.43)</f>
        <v>575.42999999999995</v>
      </c>
    </row>
    <row r="435" spans="1:13" x14ac:dyDescent="0.25">
      <c r="A435" s="2">
        <f ca="1">IFERROR(__xludf.DUMMYFUNCTION("""COMPUTED_VALUE"""),44461.6666666666)</f>
        <v>44461.666666666599</v>
      </c>
      <c r="B435" s="1">
        <f ca="1">IFERROR(__xludf.DUMMYFUNCTION("""COMPUTED_VALUE"""),145.85)</f>
        <v>145.85</v>
      </c>
      <c r="C435" s="1">
        <f ca="1">IFERROR(__xludf.DUMMYFUNCTION("""COMPUTED_VALUE"""),294.8)</f>
        <v>294.8</v>
      </c>
      <c r="D435" s="1">
        <f ca="1">IFERROR(__xludf.DUMMYFUNCTION("""COMPUTED_VALUE"""),167.18)</f>
        <v>167.18</v>
      </c>
      <c r="E435" s="1">
        <f ca="1">IFERROR(__xludf.DUMMYFUNCTION("""COMPUTED_VALUE"""),21.25)</f>
        <v>21.25</v>
      </c>
      <c r="F435" s="1">
        <f ca="1">IFERROR(__xludf.DUMMYFUNCTION("""COMPUTED_VALUE"""),357.48)</f>
        <v>357.48</v>
      </c>
      <c r="G435" s="1">
        <f ca="1">IFERROR(__xludf.DUMMYFUNCTION("""COMPUTED_VALUE"""),139.65)</f>
        <v>139.65</v>
      </c>
      <c r="H435" s="1">
        <f ca="1">IFERROR(__xludf.DUMMYFUNCTION("""COMPUTED_VALUE"""),246.46)</f>
        <v>246.46</v>
      </c>
      <c r="I435" s="1">
        <f ca="1">IFERROR(__xludf.DUMMYFUNCTION("""COMPUTED_VALUE"""),153.54)</f>
        <v>153.54</v>
      </c>
      <c r="J435" s="1">
        <f ca="1">IFERROR(__xludf.DUMMYFUNCTION("""COMPUTED_VALUE"""),452.11)</f>
        <v>452.11</v>
      </c>
      <c r="K435" s="1">
        <f ca="1">IFERROR(__xludf.DUMMYFUNCTION("""COMPUTED_VALUE"""),49.1)</f>
        <v>49.1</v>
      </c>
      <c r="L435" s="1">
        <f ca="1">IFERROR(__xludf.DUMMYFUNCTION("""COMPUTED_VALUE"""),645.89)</f>
        <v>645.89</v>
      </c>
      <c r="M435" s="1">
        <f ca="1">IFERROR(__xludf.DUMMYFUNCTION("""COMPUTED_VALUE"""),573.14)</f>
        <v>573.14</v>
      </c>
    </row>
    <row r="436" spans="1:13" x14ac:dyDescent="0.25">
      <c r="A436" s="2">
        <f ca="1">IFERROR(__xludf.DUMMYFUNCTION("""COMPUTED_VALUE"""),44462.6666666666)</f>
        <v>44462.666666666599</v>
      </c>
      <c r="B436" s="1">
        <f ca="1">IFERROR(__xludf.DUMMYFUNCTION("""COMPUTED_VALUE"""),146.83)</f>
        <v>146.83000000000001</v>
      </c>
      <c r="C436" s="1">
        <f ca="1">IFERROR(__xludf.DUMMYFUNCTION("""COMPUTED_VALUE"""),298.58)</f>
        <v>298.58</v>
      </c>
      <c r="D436" s="1">
        <f ca="1">IFERROR(__xludf.DUMMYFUNCTION("""COMPUTED_VALUE"""),169)</f>
        <v>169</v>
      </c>
      <c r="E436" s="1">
        <f ca="1">IFERROR(__xludf.DUMMYFUNCTION("""COMPUTED_VALUE"""),21.94)</f>
        <v>21.94</v>
      </c>
      <c r="F436" s="1">
        <f ca="1">IFERROR(__xludf.DUMMYFUNCTION("""COMPUTED_VALUE"""),343.21)</f>
        <v>343.21</v>
      </c>
      <c r="G436" s="1">
        <f ca="1">IFERROR(__xludf.DUMMYFUNCTION("""COMPUTED_VALUE"""),140.94)</f>
        <v>140.94</v>
      </c>
      <c r="H436" s="1">
        <f ca="1">IFERROR(__xludf.DUMMYFUNCTION("""COMPUTED_VALUE"""),250.65)</f>
        <v>250.65</v>
      </c>
      <c r="I436" s="1">
        <f ca="1">IFERROR(__xludf.DUMMYFUNCTION("""COMPUTED_VALUE"""),154.01)</f>
        <v>154.01</v>
      </c>
      <c r="J436" s="1">
        <f ca="1">IFERROR(__xludf.DUMMYFUNCTION("""COMPUTED_VALUE"""),452.33)</f>
        <v>452.33</v>
      </c>
      <c r="K436" s="1">
        <f ca="1">IFERROR(__xludf.DUMMYFUNCTION("""COMPUTED_VALUE"""),50.06)</f>
        <v>50.06</v>
      </c>
      <c r="L436" s="1">
        <f ca="1">IFERROR(__xludf.DUMMYFUNCTION("""COMPUTED_VALUE"""),626.08)</f>
        <v>626.08000000000004</v>
      </c>
      <c r="M436" s="1">
        <f ca="1">IFERROR(__xludf.DUMMYFUNCTION("""COMPUTED_VALUE"""),590.65)</f>
        <v>590.65</v>
      </c>
    </row>
    <row r="437" spans="1:13" x14ac:dyDescent="0.25">
      <c r="A437" s="2">
        <f ca="1">IFERROR(__xludf.DUMMYFUNCTION("""COMPUTED_VALUE"""),44463.6666666666)</f>
        <v>44463.666666666599</v>
      </c>
      <c r="B437" s="1">
        <f ca="1">IFERROR(__xludf.DUMMYFUNCTION("""COMPUTED_VALUE"""),146.92)</f>
        <v>146.91999999999999</v>
      </c>
      <c r="C437" s="1">
        <f ca="1">IFERROR(__xludf.DUMMYFUNCTION("""COMPUTED_VALUE"""),299.56)</f>
        <v>299.56</v>
      </c>
      <c r="D437" s="1">
        <f ca="1">IFERROR(__xludf.DUMMYFUNCTION("""COMPUTED_VALUE"""),170.8)</f>
        <v>170.8</v>
      </c>
      <c r="E437" s="1">
        <f ca="1">IFERROR(__xludf.DUMMYFUNCTION("""COMPUTED_VALUE"""),22.48)</f>
        <v>22.48</v>
      </c>
      <c r="F437" s="1">
        <f ca="1">IFERROR(__xludf.DUMMYFUNCTION("""COMPUTED_VALUE"""),345.96)</f>
        <v>345.96</v>
      </c>
      <c r="G437" s="1">
        <f ca="1">IFERROR(__xludf.DUMMYFUNCTION("""COMPUTED_VALUE"""),141.83)</f>
        <v>141.83000000000001</v>
      </c>
      <c r="H437" s="1">
        <f ca="1">IFERROR(__xludf.DUMMYFUNCTION("""COMPUTED_VALUE"""),251.21)</f>
        <v>251.21</v>
      </c>
      <c r="I437" s="1">
        <f ca="1">IFERROR(__xludf.DUMMYFUNCTION("""COMPUTED_VALUE"""),154.13)</f>
        <v>154.13</v>
      </c>
      <c r="J437" s="1">
        <f ca="1">IFERROR(__xludf.DUMMYFUNCTION("""COMPUTED_VALUE"""),452.78)</f>
        <v>452.78</v>
      </c>
      <c r="K437" s="1">
        <f ca="1">IFERROR(__xludf.DUMMYFUNCTION("""COMPUTED_VALUE"""),50.43)</f>
        <v>50.43</v>
      </c>
      <c r="L437" s="1">
        <f ca="1">IFERROR(__xludf.DUMMYFUNCTION("""COMPUTED_VALUE"""),630.84)</f>
        <v>630.84</v>
      </c>
      <c r="M437" s="1">
        <f ca="1">IFERROR(__xludf.DUMMYFUNCTION("""COMPUTED_VALUE"""),593.26)</f>
        <v>593.26</v>
      </c>
    </row>
    <row r="438" spans="1:13" x14ac:dyDescent="0.25">
      <c r="A438" s="2">
        <f ca="1">IFERROR(__xludf.DUMMYFUNCTION("""COMPUTED_VALUE"""),44466.6666666666)</f>
        <v>44466.666666666599</v>
      </c>
      <c r="B438" s="1">
        <f ca="1">IFERROR(__xludf.DUMMYFUNCTION("""COMPUTED_VALUE"""),145.37)</f>
        <v>145.37</v>
      </c>
      <c r="C438" s="1">
        <f ca="1">IFERROR(__xludf.DUMMYFUNCTION("""COMPUTED_VALUE"""),299.35)</f>
        <v>299.35000000000002</v>
      </c>
      <c r="D438" s="1">
        <f ca="1">IFERROR(__xludf.DUMMYFUNCTION("""COMPUTED_VALUE"""),171.28)</f>
        <v>171.28</v>
      </c>
      <c r="E438" s="1">
        <f ca="1">IFERROR(__xludf.DUMMYFUNCTION("""COMPUTED_VALUE"""),22.08)</f>
        <v>22.08</v>
      </c>
      <c r="F438" s="1">
        <f ca="1">IFERROR(__xludf.DUMMYFUNCTION("""COMPUTED_VALUE"""),352.96)</f>
        <v>352.96</v>
      </c>
      <c r="G438" s="1">
        <f ca="1">IFERROR(__xludf.DUMMYFUNCTION("""COMPUTED_VALUE"""),142.63)</f>
        <v>142.63</v>
      </c>
      <c r="H438" s="1">
        <f ca="1">IFERROR(__xludf.DUMMYFUNCTION("""COMPUTED_VALUE"""),258.13)</f>
        <v>258.13</v>
      </c>
      <c r="I438" s="1">
        <f ca="1">IFERROR(__xludf.DUMMYFUNCTION("""COMPUTED_VALUE"""),154.2)</f>
        <v>154.19999999999999</v>
      </c>
      <c r="J438" s="1">
        <f ca="1">IFERROR(__xludf.DUMMYFUNCTION("""COMPUTED_VALUE"""),467.75)</f>
        <v>467.75</v>
      </c>
      <c r="K438" s="1">
        <f ca="1">IFERROR(__xludf.DUMMYFUNCTION("""COMPUTED_VALUE"""),50.49)</f>
        <v>50.49</v>
      </c>
      <c r="L438" s="1">
        <f ca="1">IFERROR(__xludf.DUMMYFUNCTION("""COMPUTED_VALUE"""),622.71)</f>
        <v>622.71</v>
      </c>
      <c r="M438" s="1">
        <f ca="1">IFERROR(__xludf.DUMMYFUNCTION("""COMPUTED_VALUE"""),592.39)</f>
        <v>592.39</v>
      </c>
    </row>
    <row r="439" spans="1:13" x14ac:dyDescent="0.25">
      <c r="A439" s="2">
        <f ca="1">IFERROR(__xludf.DUMMYFUNCTION("""COMPUTED_VALUE"""),44467.6666666666)</f>
        <v>44467.666666666599</v>
      </c>
      <c r="B439" s="1">
        <f ca="1">IFERROR(__xludf.DUMMYFUNCTION("""COMPUTED_VALUE"""),141.91)</f>
        <v>141.91</v>
      </c>
      <c r="C439" s="1">
        <f ca="1">IFERROR(__xludf.DUMMYFUNCTION("""COMPUTED_VALUE"""),294.17)</f>
        <v>294.17</v>
      </c>
      <c r="D439" s="1">
        <f ca="1">IFERROR(__xludf.DUMMYFUNCTION("""COMPUTED_VALUE"""),170.29)</f>
        <v>170.29</v>
      </c>
      <c r="E439" s="1">
        <f ca="1">IFERROR(__xludf.DUMMYFUNCTION("""COMPUTED_VALUE"""),21.66)</f>
        <v>21.66</v>
      </c>
      <c r="F439" s="1">
        <f ca="1">IFERROR(__xludf.DUMMYFUNCTION("""COMPUTED_VALUE"""),353.58)</f>
        <v>353.58</v>
      </c>
      <c r="G439" s="1">
        <f ca="1">IFERROR(__xludf.DUMMYFUNCTION("""COMPUTED_VALUE"""),141.5)</f>
        <v>141.5</v>
      </c>
      <c r="H439" s="1">
        <f ca="1">IFERROR(__xludf.DUMMYFUNCTION("""COMPUTED_VALUE"""),263.79)</f>
        <v>263.79000000000002</v>
      </c>
      <c r="I439" s="1">
        <f ca="1">IFERROR(__xludf.DUMMYFUNCTION("""COMPUTED_VALUE"""),152.72)</f>
        <v>152.72</v>
      </c>
      <c r="J439" s="1">
        <f ca="1">IFERROR(__xludf.DUMMYFUNCTION("""COMPUTED_VALUE"""),460.56)</f>
        <v>460.56</v>
      </c>
      <c r="K439" s="1">
        <f ca="1">IFERROR(__xludf.DUMMYFUNCTION("""COMPUTED_VALUE"""),50.49)</f>
        <v>50.49</v>
      </c>
      <c r="L439" s="1">
        <f ca="1">IFERROR(__xludf.DUMMYFUNCTION("""COMPUTED_VALUE"""),603.65)</f>
        <v>603.65</v>
      </c>
      <c r="M439" s="1">
        <f ca="1">IFERROR(__xludf.DUMMYFUNCTION("""COMPUTED_VALUE"""),592.64)</f>
        <v>592.64</v>
      </c>
    </row>
    <row r="440" spans="1:13" x14ac:dyDescent="0.25">
      <c r="A440" s="2">
        <f ca="1">IFERROR(__xludf.DUMMYFUNCTION("""COMPUTED_VALUE"""),44468.6666666666)</f>
        <v>44468.666666666599</v>
      </c>
      <c r="B440" s="1">
        <f ca="1">IFERROR(__xludf.DUMMYFUNCTION("""COMPUTED_VALUE"""),142.83)</f>
        <v>142.83000000000001</v>
      </c>
      <c r="C440" s="1">
        <f ca="1">IFERROR(__xludf.DUMMYFUNCTION("""COMPUTED_VALUE"""),283.52)</f>
        <v>283.52</v>
      </c>
      <c r="D440" s="1">
        <f ca="1">IFERROR(__xludf.DUMMYFUNCTION("""COMPUTED_VALUE"""),165.8)</f>
        <v>165.8</v>
      </c>
      <c r="E440" s="1">
        <f ca="1">IFERROR(__xludf.DUMMYFUNCTION("""COMPUTED_VALUE"""),20.7)</f>
        <v>20.7</v>
      </c>
      <c r="F440" s="1">
        <f ca="1">IFERROR(__xludf.DUMMYFUNCTION("""COMPUTED_VALUE"""),340.65)</f>
        <v>340.65</v>
      </c>
      <c r="G440" s="1">
        <f ca="1">IFERROR(__xludf.DUMMYFUNCTION("""COMPUTED_VALUE"""),136.18)</f>
        <v>136.18</v>
      </c>
      <c r="H440" s="1">
        <f ca="1">IFERROR(__xludf.DUMMYFUNCTION("""COMPUTED_VALUE"""),259.19)</f>
        <v>259.19</v>
      </c>
      <c r="I440" s="1">
        <f ca="1">IFERROR(__xludf.DUMMYFUNCTION("""COMPUTED_VALUE"""),151.05)</f>
        <v>151.05000000000001</v>
      </c>
      <c r="J440" s="1">
        <f ca="1">IFERROR(__xludf.DUMMYFUNCTION("""COMPUTED_VALUE"""),447.35)</f>
        <v>447.35</v>
      </c>
      <c r="K440" s="1">
        <f ca="1">IFERROR(__xludf.DUMMYFUNCTION("""COMPUTED_VALUE"""),49.1)</f>
        <v>49.1</v>
      </c>
      <c r="L440" s="1">
        <f ca="1">IFERROR(__xludf.DUMMYFUNCTION("""COMPUTED_VALUE"""),578.77)</f>
        <v>578.77</v>
      </c>
      <c r="M440" s="1">
        <f ca="1">IFERROR(__xludf.DUMMYFUNCTION("""COMPUTED_VALUE"""),583.85)</f>
        <v>583.85</v>
      </c>
    </row>
    <row r="441" spans="1:13" x14ac:dyDescent="0.25">
      <c r="A441" s="2">
        <f ca="1">IFERROR(__xludf.DUMMYFUNCTION("""COMPUTED_VALUE"""),44469.6666666666)</f>
        <v>44469.666666666599</v>
      </c>
      <c r="B441" s="1">
        <f ca="1">IFERROR(__xludf.DUMMYFUNCTION("""COMPUTED_VALUE"""),141.5)</f>
        <v>141.5</v>
      </c>
      <c r="C441" s="1">
        <f ca="1">IFERROR(__xludf.DUMMYFUNCTION("""COMPUTED_VALUE"""),284)</f>
        <v>284</v>
      </c>
      <c r="D441" s="1">
        <f ca="1">IFERROR(__xludf.DUMMYFUNCTION("""COMPUTED_VALUE"""),165.06)</f>
        <v>165.06</v>
      </c>
      <c r="E441" s="1">
        <f ca="1">IFERROR(__xludf.DUMMYFUNCTION("""COMPUTED_VALUE"""),20.52)</f>
        <v>20.52</v>
      </c>
      <c r="F441" s="1">
        <f ca="1">IFERROR(__xludf.DUMMYFUNCTION("""COMPUTED_VALUE"""),339.61)</f>
        <v>339.61</v>
      </c>
      <c r="G441" s="1">
        <f ca="1">IFERROR(__xludf.DUMMYFUNCTION("""COMPUTED_VALUE"""),134.52)</f>
        <v>134.52000000000001</v>
      </c>
      <c r="H441" s="1">
        <f ca="1">IFERROR(__xludf.DUMMYFUNCTION("""COMPUTED_VALUE"""),260.44)</f>
        <v>260.44</v>
      </c>
      <c r="I441" s="1">
        <f ca="1">IFERROR(__xludf.DUMMYFUNCTION("""COMPUTED_VALUE"""),152.3)</f>
        <v>152.30000000000001</v>
      </c>
      <c r="J441" s="1">
        <f ca="1">IFERROR(__xludf.DUMMYFUNCTION("""COMPUTED_VALUE"""),451.79)</f>
        <v>451.79</v>
      </c>
      <c r="K441" s="1">
        <f ca="1">IFERROR(__xludf.DUMMYFUNCTION("""COMPUTED_VALUE"""),48.95)</f>
        <v>48.95</v>
      </c>
      <c r="L441" s="1">
        <f ca="1">IFERROR(__xludf.DUMMYFUNCTION("""COMPUTED_VALUE"""),577.7)</f>
        <v>577.70000000000005</v>
      </c>
      <c r="M441" s="1">
        <f ca="1">IFERROR(__xludf.DUMMYFUNCTION("""COMPUTED_VALUE"""),599.06)</f>
        <v>599.05999999999995</v>
      </c>
    </row>
    <row r="442" spans="1:13" x14ac:dyDescent="0.25">
      <c r="A442" s="2">
        <f ca="1">IFERROR(__xludf.DUMMYFUNCTION("""COMPUTED_VALUE"""),44470.6666666666)</f>
        <v>44470.666666666599</v>
      </c>
      <c r="B442" s="1">
        <f ca="1">IFERROR(__xludf.DUMMYFUNCTION("""COMPUTED_VALUE"""),142.65)</f>
        <v>142.65</v>
      </c>
      <c r="C442" s="1">
        <f ca="1">IFERROR(__xludf.DUMMYFUNCTION("""COMPUTED_VALUE"""),281.92)</f>
        <v>281.92</v>
      </c>
      <c r="D442" s="1">
        <f ca="1">IFERROR(__xludf.DUMMYFUNCTION("""COMPUTED_VALUE"""),164.25)</f>
        <v>164.25</v>
      </c>
      <c r="E442" s="1">
        <f ca="1">IFERROR(__xludf.DUMMYFUNCTION("""COMPUTED_VALUE"""),20.72)</f>
        <v>20.72</v>
      </c>
      <c r="F442" s="1">
        <f ca="1">IFERROR(__xludf.DUMMYFUNCTION("""COMPUTED_VALUE"""),339.39)</f>
        <v>339.39</v>
      </c>
      <c r="G442" s="1">
        <f ca="1">IFERROR(__xludf.DUMMYFUNCTION("""COMPUTED_VALUE"""),133.27)</f>
        <v>133.27000000000001</v>
      </c>
      <c r="H442" s="1">
        <f ca="1">IFERROR(__xludf.DUMMYFUNCTION("""COMPUTED_VALUE"""),258.49)</f>
        <v>258.49</v>
      </c>
      <c r="I442" s="1">
        <f ca="1">IFERROR(__xludf.DUMMYFUNCTION("""COMPUTED_VALUE"""),150.41)</f>
        <v>150.41</v>
      </c>
      <c r="J442" s="1">
        <f ca="1">IFERROR(__xludf.DUMMYFUNCTION("""COMPUTED_VALUE"""),449.35)</f>
        <v>449.35</v>
      </c>
      <c r="K442" s="1">
        <f ca="1">IFERROR(__xludf.DUMMYFUNCTION("""COMPUTED_VALUE"""),48.49)</f>
        <v>48.49</v>
      </c>
      <c r="L442" s="1">
        <f ca="1">IFERROR(__xludf.DUMMYFUNCTION("""COMPUTED_VALUE"""),575.72)</f>
        <v>575.72</v>
      </c>
      <c r="M442" s="1">
        <f ca="1">IFERROR(__xludf.DUMMYFUNCTION("""COMPUTED_VALUE"""),610.34)</f>
        <v>610.34</v>
      </c>
    </row>
    <row r="443" spans="1:13" x14ac:dyDescent="0.25">
      <c r="A443" s="2">
        <f ca="1">IFERROR(__xludf.DUMMYFUNCTION("""COMPUTED_VALUE"""),44473.6666666666)</f>
        <v>44473.666666666599</v>
      </c>
      <c r="B443" s="1">
        <f ca="1">IFERROR(__xludf.DUMMYFUNCTION("""COMPUTED_VALUE"""),139.14)</f>
        <v>139.13999999999999</v>
      </c>
      <c r="C443" s="1">
        <f ca="1">IFERROR(__xludf.DUMMYFUNCTION("""COMPUTED_VALUE"""),289.1)</f>
        <v>289.10000000000002</v>
      </c>
      <c r="D443" s="1">
        <f ca="1">IFERROR(__xludf.DUMMYFUNCTION("""COMPUTED_VALUE"""),164.16)</f>
        <v>164.16</v>
      </c>
      <c r="E443" s="1">
        <f ca="1">IFERROR(__xludf.DUMMYFUNCTION("""COMPUTED_VALUE"""),20.74)</f>
        <v>20.74</v>
      </c>
      <c r="F443" s="1">
        <f ca="1">IFERROR(__xludf.DUMMYFUNCTION("""COMPUTED_VALUE"""),343.01)</f>
        <v>343.01</v>
      </c>
      <c r="G443" s="1">
        <f ca="1">IFERROR(__xludf.DUMMYFUNCTION("""COMPUTED_VALUE"""),136.46)</f>
        <v>136.46</v>
      </c>
      <c r="H443" s="1">
        <f ca="1">IFERROR(__xludf.DUMMYFUNCTION("""COMPUTED_VALUE"""),258.41)</f>
        <v>258.41000000000003</v>
      </c>
      <c r="I443" s="1">
        <f ca="1">IFERROR(__xludf.DUMMYFUNCTION("""COMPUTED_VALUE"""),150.95)</f>
        <v>150.94999999999999</v>
      </c>
      <c r="J443" s="1">
        <f ca="1">IFERROR(__xludf.DUMMYFUNCTION("""COMPUTED_VALUE"""),448.33)</f>
        <v>448.33</v>
      </c>
      <c r="K443" s="1">
        <f ca="1">IFERROR(__xludf.DUMMYFUNCTION("""COMPUTED_VALUE"""),48.74)</f>
        <v>48.74</v>
      </c>
      <c r="L443" s="1">
        <f ca="1">IFERROR(__xludf.DUMMYFUNCTION("""COMPUTED_VALUE"""),577.47)</f>
        <v>577.47</v>
      </c>
      <c r="M443" s="1">
        <f ca="1">IFERROR(__xludf.DUMMYFUNCTION("""COMPUTED_VALUE"""),613.15)</f>
        <v>613.15</v>
      </c>
    </row>
    <row r="444" spans="1:13" x14ac:dyDescent="0.25">
      <c r="A444" s="2">
        <f ca="1">IFERROR(__xludf.DUMMYFUNCTION("""COMPUTED_VALUE"""),44474.6666666666)</f>
        <v>44474.666666666599</v>
      </c>
      <c r="B444" s="1">
        <f ca="1">IFERROR(__xludf.DUMMYFUNCTION("""COMPUTED_VALUE"""),141.11)</f>
        <v>141.11000000000001</v>
      </c>
      <c r="C444" s="1">
        <f ca="1">IFERROR(__xludf.DUMMYFUNCTION("""COMPUTED_VALUE"""),283.11)</f>
        <v>283.11</v>
      </c>
      <c r="D444" s="1">
        <f ca="1">IFERROR(__xludf.DUMMYFUNCTION("""COMPUTED_VALUE"""),159.49)</f>
        <v>159.49</v>
      </c>
      <c r="E444" s="1">
        <f ca="1">IFERROR(__xludf.DUMMYFUNCTION("""COMPUTED_VALUE"""),19.73)</f>
        <v>19.73</v>
      </c>
      <c r="F444" s="1">
        <f ca="1">IFERROR(__xludf.DUMMYFUNCTION("""COMPUTED_VALUE"""),326.23)</f>
        <v>326.23</v>
      </c>
      <c r="G444" s="1">
        <f ca="1">IFERROR(__xludf.DUMMYFUNCTION("""COMPUTED_VALUE"""),133.76)</f>
        <v>133.76</v>
      </c>
      <c r="H444" s="1">
        <f ca="1">IFERROR(__xludf.DUMMYFUNCTION("""COMPUTED_VALUE"""),260.51)</f>
        <v>260.51</v>
      </c>
      <c r="I444" s="1">
        <f ca="1">IFERROR(__xludf.DUMMYFUNCTION("""COMPUTED_VALUE"""),150.2)</f>
        <v>150.19999999999999</v>
      </c>
      <c r="J444" s="1">
        <f ca="1">IFERROR(__xludf.DUMMYFUNCTION("""COMPUTED_VALUE"""),440.14)</f>
        <v>440.14</v>
      </c>
      <c r="K444" s="1">
        <f ca="1">IFERROR(__xludf.DUMMYFUNCTION("""COMPUTED_VALUE"""),47.6)</f>
        <v>47.6</v>
      </c>
      <c r="L444" s="1">
        <f ca="1">IFERROR(__xludf.DUMMYFUNCTION("""COMPUTED_VALUE"""),558.49)</f>
        <v>558.49</v>
      </c>
      <c r="M444" s="1">
        <f ca="1">IFERROR(__xludf.DUMMYFUNCTION("""COMPUTED_VALUE"""),603.35)</f>
        <v>603.35</v>
      </c>
    </row>
    <row r="445" spans="1:13" x14ac:dyDescent="0.25">
      <c r="A445" s="2">
        <f ca="1">IFERROR(__xludf.DUMMYFUNCTION("""COMPUTED_VALUE"""),44475.6666666666)</f>
        <v>44475.666666666599</v>
      </c>
      <c r="B445" s="1">
        <f ca="1">IFERROR(__xludf.DUMMYFUNCTION("""COMPUTED_VALUE"""),142)</f>
        <v>142</v>
      </c>
      <c r="C445" s="1">
        <f ca="1">IFERROR(__xludf.DUMMYFUNCTION("""COMPUTED_VALUE"""),288.76)</f>
        <v>288.76</v>
      </c>
      <c r="D445" s="1">
        <f ca="1">IFERROR(__xludf.DUMMYFUNCTION("""COMPUTED_VALUE"""),161.05)</f>
        <v>161.05000000000001</v>
      </c>
      <c r="E445" s="1">
        <f ca="1">IFERROR(__xludf.DUMMYFUNCTION("""COMPUTED_VALUE"""),20.45)</f>
        <v>20.45</v>
      </c>
      <c r="F445" s="1">
        <f ca="1">IFERROR(__xludf.DUMMYFUNCTION("""COMPUTED_VALUE"""),332.96)</f>
        <v>332.96</v>
      </c>
      <c r="G445" s="1">
        <f ca="1">IFERROR(__xludf.DUMMYFUNCTION("""COMPUTED_VALUE"""),136.18)</f>
        <v>136.18</v>
      </c>
      <c r="H445" s="1">
        <f ca="1">IFERROR(__xludf.DUMMYFUNCTION("""COMPUTED_VALUE"""),260.2)</f>
        <v>260.2</v>
      </c>
      <c r="I445" s="1">
        <f ca="1">IFERROR(__xludf.DUMMYFUNCTION("""COMPUTED_VALUE"""),151.09)</f>
        <v>151.09</v>
      </c>
      <c r="J445" s="1">
        <f ca="1">IFERROR(__xludf.DUMMYFUNCTION("""COMPUTED_VALUE"""),446.24)</f>
        <v>446.24</v>
      </c>
      <c r="K445" s="1">
        <f ca="1">IFERROR(__xludf.DUMMYFUNCTION("""COMPUTED_VALUE"""),48.54)</f>
        <v>48.54</v>
      </c>
      <c r="L445" s="1">
        <f ca="1">IFERROR(__xludf.DUMMYFUNCTION("""COMPUTED_VALUE"""),566.7)</f>
        <v>566.70000000000005</v>
      </c>
      <c r="M445" s="1">
        <f ca="1">IFERROR(__xludf.DUMMYFUNCTION("""COMPUTED_VALUE"""),634.81)</f>
        <v>634.80999999999995</v>
      </c>
    </row>
    <row r="446" spans="1:13" x14ac:dyDescent="0.25">
      <c r="A446" s="2">
        <f ca="1">IFERROR(__xludf.DUMMYFUNCTION("""COMPUTED_VALUE"""),44476.6666666666)</f>
        <v>44476.666666666599</v>
      </c>
      <c r="B446" s="1">
        <f ca="1">IFERROR(__xludf.DUMMYFUNCTION("""COMPUTED_VALUE"""),143.29)</f>
        <v>143.29</v>
      </c>
      <c r="C446" s="1">
        <f ca="1">IFERROR(__xludf.DUMMYFUNCTION("""COMPUTED_VALUE"""),293.11)</f>
        <v>293.11</v>
      </c>
      <c r="D446" s="1">
        <f ca="1">IFERROR(__xludf.DUMMYFUNCTION("""COMPUTED_VALUE"""),163.1)</f>
        <v>163.1</v>
      </c>
      <c r="E446" s="1">
        <f ca="1">IFERROR(__xludf.DUMMYFUNCTION("""COMPUTED_VALUE"""),20.7)</f>
        <v>20.7</v>
      </c>
      <c r="F446" s="1">
        <f ca="1">IFERROR(__xludf.DUMMYFUNCTION("""COMPUTED_VALUE"""),333.64)</f>
        <v>333.64</v>
      </c>
      <c r="G446" s="1">
        <f ca="1">IFERROR(__xludf.DUMMYFUNCTION("""COMPUTED_VALUE"""),137.35)</f>
        <v>137.35</v>
      </c>
      <c r="H446" s="1">
        <f ca="1">IFERROR(__xludf.DUMMYFUNCTION("""COMPUTED_VALUE"""),260.92)</f>
        <v>260.92</v>
      </c>
      <c r="I446" s="1">
        <f ca="1">IFERROR(__xludf.DUMMYFUNCTION("""COMPUTED_VALUE"""),154.96)</f>
        <v>154.96</v>
      </c>
      <c r="J446" s="1">
        <f ca="1">IFERROR(__xludf.DUMMYFUNCTION("""COMPUTED_VALUE"""),449.34)</f>
        <v>449.34</v>
      </c>
      <c r="K446" s="1">
        <f ca="1">IFERROR(__xludf.DUMMYFUNCTION("""COMPUTED_VALUE"""),48.88)</f>
        <v>48.88</v>
      </c>
      <c r="L446" s="1">
        <f ca="1">IFERROR(__xludf.DUMMYFUNCTION("""COMPUTED_VALUE"""),570.31)</f>
        <v>570.30999999999995</v>
      </c>
      <c r="M446" s="1">
        <f ca="1">IFERROR(__xludf.DUMMYFUNCTION("""COMPUTED_VALUE"""),639.1)</f>
        <v>639.1</v>
      </c>
    </row>
    <row r="447" spans="1:13" x14ac:dyDescent="0.25">
      <c r="A447" s="2">
        <f ca="1">IFERROR(__xludf.DUMMYFUNCTION("""COMPUTED_VALUE"""),44477.6666666666)</f>
        <v>44477.666666666599</v>
      </c>
      <c r="B447" s="1">
        <f ca="1">IFERROR(__xludf.DUMMYFUNCTION("""COMPUTED_VALUE"""),142.9)</f>
        <v>142.9</v>
      </c>
      <c r="C447" s="1">
        <f ca="1">IFERROR(__xludf.DUMMYFUNCTION("""COMPUTED_VALUE"""),294.85)</f>
        <v>294.85000000000002</v>
      </c>
      <c r="D447" s="1">
        <f ca="1">IFERROR(__xludf.DUMMYFUNCTION("""COMPUTED_VALUE"""),165.12)</f>
        <v>165.12</v>
      </c>
      <c r="E447" s="1">
        <f ca="1">IFERROR(__xludf.DUMMYFUNCTION("""COMPUTED_VALUE"""),21.08)</f>
        <v>21.08</v>
      </c>
      <c r="F447" s="1">
        <f ca="1">IFERROR(__xludf.DUMMYFUNCTION("""COMPUTED_VALUE"""),329.22)</f>
        <v>329.22</v>
      </c>
      <c r="G447" s="1">
        <f ca="1">IFERROR(__xludf.DUMMYFUNCTION("""COMPUTED_VALUE"""),139.19)</f>
        <v>139.19</v>
      </c>
      <c r="H447" s="1">
        <f ca="1">IFERROR(__xludf.DUMMYFUNCTION("""COMPUTED_VALUE"""),264.54)</f>
        <v>264.54000000000002</v>
      </c>
      <c r="I447" s="1">
        <f ca="1">IFERROR(__xludf.DUMMYFUNCTION("""COMPUTED_VALUE"""),156.39)</f>
        <v>156.38999999999999</v>
      </c>
      <c r="J447" s="1">
        <f ca="1">IFERROR(__xludf.DUMMYFUNCTION("""COMPUTED_VALUE"""),452.87)</f>
        <v>452.87</v>
      </c>
      <c r="K447" s="1">
        <f ca="1">IFERROR(__xludf.DUMMYFUNCTION("""COMPUTED_VALUE"""),49.39)</f>
        <v>49.39</v>
      </c>
      <c r="L447" s="1">
        <f ca="1">IFERROR(__xludf.DUMMYFUNCTION("""COMPUTED_VALUE"""),578.96)</f>
        <v>578.96</v>
      </c>
      <c r="M447" s="1">
        <f ca="1">IFERROR(__xludf.DUMMYFUNCTION("""COMPUTED_VALUE"""),631.85)</f>
        <v>631.85</v>
      </c>
    </row>
    <row r="448" spans="1:13" x14ac:dyDescent="0.25">
      <c r="A448" s="2">
        <f ca="1">IFERROR(__xludf.DUMMYFUNCTION("""COMPUTED_VALUE"""),44480.6666666666)</f>
        <v>44480.666666666599</v>
      </c>
      <c r="B448" s="1">
        <f ca="1">IFERROR(__xludf.DUMMYFUNCTION("""COMPUTED_VALUE"""),142.81)</f>
        <v>142.81</v>
      </c>
      <c r="C448" s="1">
        <f ca="1">IFERROR(__xludf.DUMMYFUNCTION("""COMPUTED_VALUE"""),294.85)</f>
        <v>294.85000000000002</v>
      </c>
      <c r="D448" s="1">
        <f ca="1">IFERROR(__xludf.DUMMYFUNCTION("""COMPUTED_VALUE"""),164.43)</f>
        <v>164.43</v>
      </c>
      <c r="E448" s="1">
        <f ca="1">IFERROR(__xludf.DUMMYFUNCTION("""COMPUTED_VALUE"""),20.83)</f>
        <v>20.83</v>
      </c>
      <c r="F448" s="1">
        <f ca="1">IFERROR(__xludf.DUMMYFUNCTION("""COMPUTED_VALUE"""),330.05)</f>
        <v>330.05</v>
      </c>
      <c r="G448" s="1">
        <f ca="1">IFERROR(__xludf.DUMMYFUNCTION("""COMPUTED_VALUE"""),140.06)</f>
        <v>140.06</v>
      </c>
      <c r="H448" s="1">
        <f ca="1">IFERROR(__xludf.DUMMYFUNCTION("""COMPUTED_VALUE"""),261.83)</f>
        <v>261.83</v>
      </c>
      <c r="I448" s="1">
        <f ca="1">IFERROR(__xludf.DUMMYFUNCTION("""COMPUTED_VALUE"""),156.03)</f>
        <v>156.03</v>
      </c>
      <c r="J448" s="1">
        <f ca="1">IFERROR(__xludf.DUMMYFUNCTION("""COMPUTED_VALUE"""),451.85)</f>
        <v>451.85</v>
      </c>
      <c r="K448" s="1">
        <f ca="1">IFERROR(__xludf.DUMMYFUNCTION("""COMPUTED_VALUE"""),49.29)</f>
        <v>49.29</v>
      </c>
      <c r="L448" s="1">
        <f ca="1">IFERROR(__xludf.DUMMYFUNCTION("""COMPUTED_VALUE"""),576.86)</f>
        <v>576.86</v>
      </c>
      <c r="M448" s="1">
        <f ca="1">IFERROR(__xludf.DUMMYFUNCTION("""COMPUTED_VALUE"""),632.66)</f>
        <v>632.66</v>
      </c>
    </row>
    <row r="449" spans="1:13" x14ac:dyDescent="0.25">
      <c r="A449" s="2">
        <f ca="1">IFERROR(__xludf.DUMMYFUNCTION("""COMPUTED_VALUE"""),44481.6666666666)</f>
        <v>44481.666666666599</v>
      </c>
      <c r="B449" s="1">
        <f ca="1">IFERROR(__xludf.DUMMYFUNCTION("""COMPUTED_VALUE"""),141.51)</f>
        <v>141.51</v>
      </c>
      <c r="C449" s="1">
        <f ca="1">IFERROR(__xludf.DUMMYFUNCTION("""COMPUTED_VALUE"""),294.23)</f>
        <v>294.23</v>
      </c>
      <c r="D449" s="1">
        <f ca="1">IFERROR(__xludf.DUMMYFUNCTION("""COMPUTED_VALUE"""),162.32)</f>
        <v>162.32</v>
      </c>
      <c r="E449" s="1">
        <f ca="1">IFERROR(__xludf.DUMMYFUNCTION("""COMPUTED_VALUE"""),20.7)</f>
        <v>20.7</v>
      </c>
      <c r="F449" s="1">
        <f ca="1">IFERROR(__xludf.DUMMYFUNCTION("""COMPUTED_VALUE"""),325.45)</f>
        <v>325.45</v>
      </c>
      <c r="G449" s="1">
        <f ca="1">IFERROR(__xludf.DUMMYFUNCTION("""COMPUTED_VALUE"""),138.85)</f>
        <v>138.85</v>
      </c>
      <c r="H449" s="1">
        <f ca="1">IFERROR(__xludf.DUMMYFUNCTION("""COMPUTED_VALUE"""),263.98)</f>
        <v>263.98</v>
      </c>
      <c r="I449" s="1">
        <f ca="1">IFERROR(__xludf.DUMMYFUNCTION("""COMPUTED_VALUE"""),156.24)</f>
        <v>156.24</v>
      </c>
      <c r="J449" s="1">
        <f ca="1">IFERROR(__xludf.DUMMYFUNCTION("""COMPUTED_VALUE"""),449.7)</f>
        <v>449.7</v>
      </c>
      <c r="K449" s="1">
        <f ca="1">IFERROR(__xludf.DUMMYFUNCTION("""COMPUTED_VALUE"""),49.23)</f>
        <v>49.23</v>
      </c>
      <c r="L449" s="1">
        <f ca="1">IFERROR(__xludf.DUMMYFUNCTION("""COMPUTED_VALUE"""),573.07)</f>
        <v>573.07000000000005</v>
      </c>
      <c r="M449" s="1">
        <f ca="1">IFERROR(__xludf.DUMMYFUNCTION("""COMPUTED_VALUE"""),627.04)</f>
        <v>627.04</v>
      </c>
    </row>
    <row r="450" spans="1:13" x14ac:dyDescent="0.25">
      <c r="A450" s="2">
        <f ca="1">IFERROR(__xludf.DUMMYFUNCTION("""COMPUTED_VALUE"""),44482.6666666666)</f>
        <v>44482.666666666599</v>
      </c>
      <c r="B450" s="1">
        <f ca="1">IFERROR(__xludf.DUMMYFUNCTION("""COMPUTED_VALUE"""),140.91)</f>
        <v>140.91</v>
      </c>
      <c r="C450" s="1">
        <f ca="1">IFERROR(__xludf.DUMMYFUNCTION("""COMPUTED_VALUE"""),292.88)</f>
        <v>292.88</v>
      </c>
      <c r="D450" s="1">
        <f ca="1">IFERROR(__xludf.DUMMYFUNCTION("""COMPUTED_VALUE"""),162.37)</f>
        <v>162.37</v>
      </c>
      <c r="E450" s="1">
        <f ca="1">IFERROR(__xludf.DUMMYFUNCTION("""COMPUTED_VALUE"""),20.67)</f>
        <v>20.67</v>
      </c>
      <c r="F450" s="1">
        <f ca="1">IFERROR(__xludf.DUMMYFUNCTION("""COMPUTED_VALUE"""),323.77)</f>
        <v>323.77</v>
      </c>
      <c r="G450" s="1">
        <f ca="1">IFERROR(__xludf.DUMMYFUNCTION("""COMPUTED_VALUE"""),136.71)</f>
        <v>136.71</v>
      </c>
      <c r="H450" s="1">
        <f ca="1">IFERROR(__xludf.DUMMYFUNCTION("""COMPUTED_VALUE"""),268.57)</f>
        <v>268.57</v>
      </c>
      <c r="I450" s="1">
        <f ca="1">IFERROR(__xludf.DUMMYFUNCTION("""COMPUTED_VALUE"""),156.93)</f>
        <v>156.93</v>
      </c>
      <c r="J450" s="1">
        <f ca="1">IFERROR(__xludf.DUMMYFUNCTION("""COMPUTED_VALUE"""),446.87)</f>
        <v>446.87</v>
      </c>
      <c r="K450" s="1">
        <f ca="1">IFERROR(__xludf.DUMMYFUNCTION("""COMPUTED_VALUE"""),48.53)</f>
        <v>48.53</v>
      </c>
      <c r="L450" s="1">
        <f ca="1">IFERROR(__xludf.DUMMYFUNCTION("""COMPUTED_VALUE"""),580.69)</f>
        <v>580.69000000000005</v>
      </c>
      <c r="M450" s="1">
        <f ca="1">IFERROR(__xludf.DUMMYFUNCTION("""COMPUTED_VALUE"""),624.94)</f>
        <v>624.94000000000005</v>
      </c>
    </row>
    <row r="451" spans="1:13" x14ac:dyDescent="0.25">
      <c r="A451" s="2">
        <f ca="1">IFERROR(__xludf.DUMMYFUNCTION("""COMPUTED_VALUE"""),44483.6666666666)</f>
        <v>44483.666666666599</v>
      </c>
      <c r="B451" s="1">
        <f ca="1">IFERROR(__xludf.DUMMYFUNCTION("""COMPUTED_VALUE"""),143.76)</f>
        <v>143.76</v>
      </c>
      <c r="C451" s="1">
        <f ca="1">IFERROR(__xludf.DUMMYFUNCTION("""COMPUTED_VALUE"""),296.31)</f>
        <v>296.31</v>
      </c>
      <c r="D451" s="1">
        <f ca="1">IFERROR(__xludf.DUMMYFUNCTION("""COMPUTED_VALUE"""),164.21)</f>
        <v>164.21</v>
      </c>
      <c r="E451" s="1">
        <f ca="1">IFERROR(__xludf.DUMMYFUNCTION("""COMPUTED_VALUE"""),20.94)</f>
        <v>20.94</v>
      </c>
      <c r="F451" s="1">
        <f ca="1">IFERROR(__xludf.DUMMYFUNCTION("""COMPUTED_VALUE"""),324.54)</f>
        <v>324.54000000000002</v>
      </c>
      <c r="G451" s="1">
        <f ca="1">IFERROR(__xludf.DUMMYFUNCTION("""COMPUTED_VALUE"""),137.9)</f>
        <v>137.9</v>
      </c>
      <c r="H451" s="1">
        <f ca="1">IFERROR(__xludf.DUMMYFUNCTION("""COMPUTED_VALUE"""),270.36)</f>
        <v>270.36</v>
      </c>
      <c r="I451" s="1">
        <f ca="1">IFERROR(__xludf.DUMMYFUNCTION("""COMPUTED_VALUE"""),157.99)</f>
        <v>157.99</v>
      </c>
      <c r="J451" s="1">
        <f ca="1">IFERROR(__xludf.DUMMYFUNCTION("""COMPUTED_VALUE"""),445.3)</f>
        <v>445.3</v>
      </c>
      <c r="K451" s="1">
        <f ca="1">IFERROR(__xludf.DUMMYFUNCTION("""COMPUTED_VALUE"""),48.5)</f>
        <v>48.5</v>
      </c>
      <c r="L451" s="1">
        <f ca="1">IFERROR(__xludf.DUMMYFUNCTION("""COMPUTED_VALUE"""),591.12)</f>
        <v>591.12</v>
      </c>
      <c r="M451" s="1">
        <f ca="1">IFERROR(__xludf.DUMMYFUNCTION("""COMPUTED_VALUE"""),629.76)</f>
        <v>629.76</v>
      </c>
    </row>
    <row r="452" spans="1:13" x14ac:dyDescent="0.25">
      <c r="A452" s="2">
        <f ca="1">IFERROR(__xludf.DUMMYFUNCTION("""COMPUTED_VALUE"""),44484.6666666666)</f>
        <v>44484.666666666599</v>
      </c>
      <c r="B452" s="1">
        <f ca="1">IFERROR(__xludf.DUMMYFUNCTION("""COMPUTED_VALUE"""),144.84)</f>
        <v>144.84</v>
      </c>
      <c r="C452" s="1">
        <f ca="1">IFERROR(__xludf.DUMMYFUNCTION("""COMPUTED_VALUE"""),302.75)</f>
        <v>302.75</v>
      </c>
      <c r="D452" s="1">
        <f ca="1">IFERROR(__xludf.DUMMYFUNCTION("""COMPUTED_VALUE"""),164.99)</f>
        <v>164.99</v>
      </c>
      <c r="E452" s="1">
        <f ca="1">IFERROR(__xludf.DUMMYFUNCTION("""COMPUTED_VALUE"""),21.75)</f>
        <v>21.75</v>
      </c>
      <c r="F452" s="1">
        <f ca="1">IFERROR(__xludf.DUMMYFUNCTION("""COMPUTED_VALUE"""),328.53)</f>
        <v>328.53</v>
      </c>
      <c r="G452" s="1">
        <f ca="1">IFERROR(__xludf.DUMMYFUNCTION("""COMPUTED_VALUE"""),141.41)</f>
        <v>141.41</v>
      </c>
      <c r="H452" s="1">
        <f ca="1">IFERROR(__xludf.DUMMYFUNCTION("""COMPUTED_VALUE"""),272.77)</f>
        <v>272.77</v>
      </c>
      <c r="I452" s="1">
        <f ca="1">IFERROR(__xludf.DUMMYFUNCTION("""COMPUTED_VALUE"""),159.26)</f>
        <v>159.26</v>
      </c>
      <c r="J452" s="1">
        <f ca="1">IFERROR(__xludf.DUMMYFUNCTION("""COMPUTED_VALUE"""),450.66)</f>
        <v>450.66</v>
      </c>
      <c r="K452" s="1">
        <f ca="1">IFERROR(__xludf.DUMMYFUNCTION("""COMPUTED_VALUE"""),49.76)</f>
        <v>49.76</v>
      </c>
      <c r="L452" s="1">
        <f ca="1">IFERROR(__xludf.DUMMYFUNCTION("""COMPUTED_VALUE"""),607.51)</f>
        <v>607.51</v>
      </c>
      <c r="M452" s="1">
        <f ca="1">IFERROR(__xludf.DUMMYFUNCTION("""COMPUTED_VALUE"""),633.8)</f>
        <v>633.79999999999995</v>
      </c>
    </row>
    <row r="453" spans="1:13" x14ac:dyDescent="0.25">
      <c r="A453" s="2">
        <f ca="1">IFERROR(__xludf.DUMMYFUNCTION("""COMPUTED_VALUE"""),44487.6666666666)</f>
        <v>44487.666666666599</v>
      </c>
      <c r="B453" s="1">
        <f ca="1">IFERROR(__xludf.DUMMYFUNCTION("""COMPUTED_VALUE"""),146.55)</f>
        <v>146.55000000000001</v>
      </c>
      <c r="C453" s="1">
        <f ca="1">IFERROR(__xludf.DUMMYFUNCTION("""COMPUTED_VALUE"""),304.21)</f>
        <v>304.20999999999998</v>
      </c>
      <c r="D453" s="1">
        <f ca="1">IFERROR(__xludf.DUMMYFUNCTION("""COMPUTED_VALUE"""),170.45)</f>
        <v>170.45</v>
      </c>
      <c r="E453" s="1">
        <f ca="1">IFERROR(__xludf.DUMMYFUNCTION("""COMPUTED_VALUE"""),21.86)</f>
        <v>21.86</v>
      </c>
      <c r="F453" s="1">
        <f ca="1">IFERROR(__xludf.DUMMYFUNCTION("""COMPUTED_VALUE"""),324.76)</f>
        <v>324.76</v>
      </c>
      <c r="G453" s="1">
        <f ca="1">IFERROR(__xludf.DUMMYFUNCTION("""COMPUTED_VALUE"""),141.68)</f>
        <v>141.68</v>
      </c>
      <c r="H453" s="1">
        <f ca="1">IFERROR(__xludf.DUMMYFUNCTION("""COMPUTED_VALUE"""),281.01)</f>
        <v>281.01</v>
      </c>
      <c r="I453" s="1">
        <f ca="1">IFERROR(__xludf.DUMMYFUNCTION("""COMPUTED_VALUE"""),158.81)</f>
        <v>158.81</v>
      </c>
      <c r="J453" s="1">
        <f ca="1">IFERROR(__xludf.DUMMYFUNCTION("""COMPUTED_VALUE"""),452.39)</f>
        <v>452.39</v>
      </c>
      <c r="K453" s="1">
        <f ca="1">IFERROR(__xludf.DUMMYFUNCTION("""COMPUTED_VALUE"""),50.33)</f>
        <v>50.33</v>
      </c>
      <c r="L453" s="1">
        <f ca="1">IFERROR(__xludf.DUMMYFUNCTION("""COMPUTED_VALUE"""),610.09)</f>
        <v>610.09</v>
      </c>
      <c r="M453" s="1">
        <f ca="1">IFERROR(__xludf.DUMMYFUNCTION("""COMPUTED_VALUE"""),628.29)</f>
        <v>628.29</v>
      </c>
    </row>
    <row r="454" spans="1:13" x14ac:dyDescent="0.25">
      <c r="A454" s="2">
        <f ca="1">IFERROR(__xludf.DUMMYFUNCTION("""COMPUTED_VALUE"""),44488.6666666666)</f>
        <v>44488.666666666599</v>
      </c>
      <c r="B454" s="1">
        <f ca="1">IFERROR(__xludf.DUMMYFUNCTION("""COMPUTED_VALUE"""),148.76)</f>
        <v>148.76</v>
      </c>
      <c r="C454" s="1">
        <f ca="1">IFERROR(__xludf.DUMMYFUNCTION("""COMPUTED_VALUE"""),307.29)</f>
        <v>307.29000000000002</v>
      </c>
      <c r="D454" s="1">
        <f ca="1">IFERROR(__xludf.DUMMYFUNCTION("""COMPUTED_VALUE"""),172.34)</f>
        <v>172.34</v>
      </c>
      <c r="E454" s="1">
        <f ca="1">IFERROR(__xludf.DUMMYFUNCTION("""COMPUTED_VALUE"""),22.22)</f>
        <v>22.22</v>
      </c>
      <c r="F454" s="1">
        <f ca="1">IFERROR(__xludf.DUMMYFUNCTION("""COMPUTED_VALUE"""),335.34)</f>
        <v>335.34</v>
      </c>
      <c r="G454" s="1">
        <f ca="1">IFERROR(__xludf.DUMMYFUNCTION("""COMPUTED_VALUE"""),142.96)</f>
        <v>142.96</v>
      </c>
      <c r="H454" s="1">
        <f ca="1">IFERROR(__xludf.DUMMYFUNCTION("""COMPUTED_VALUE"""),290.04)</f>
        <v>290.04000000000002</v>
      </c>
      <c r="I454" s="1">
        <f ca="1">IFERROR(__xludf.DUMMYFUNCTION("""COMPUTED_VALUE"""),158.09)</f>
        <v>158.09</v>
      </c>
      <c r="J454" s="1">
        <f ca="1">IFERROR(__xludf.DUMMYFUNCTION("""COMPUTED_VALUE"""),461.95)</f>
        <v>461.95</v>
      </c>
      <c r="K454" s="1">
        <f ca="1">IFERROR(__xludf.DUMMYFUNCTION("""COMPUTED_VALUE"""),50.34)</f>
        <v>50.34</v>
      </c>
      <c r="L454" s="1">
        <f ca="1">IFERROR(__xludf.DUMMYFUNCTION("""COMPUTED_VALUE"""),622.83)</f>
        <v>622.83000000000004</v>
      </c>
      <c r="M454" s="1">
        <f ca="1">IFERROR(__xludf.DUMMYFUNCTION("""COMPUTED_VALUE"""),637.97)</f>
        <v>637.97</v>
      </c>
    </row>
    <row r="455" spans="1:13" x14ac:dyDescent="0.25">
      <c r="A455" s="2">
        <f ca="1">IFERROR(__xludf.DUMMYFUNCTION("""COMPUTED_VALUE"""),44489.6666666666)</f>
        <v>44489.666666666599</v>
      </c>
      <c r="B455" s="1">
        <f ca="1">IFERROR(__xludf.DUMMYFUNCTION("""COMPUTED_VALUE"""),149.26)</f>
        <v>149.26</v>
      </c>
      <c r="C455" s="1">
        <f ca="1">IFERROR(__xludf.DUMMYFUNCTION("""COMPUTED_VALUE"""),308.23)</f>
        <v>308.23</v>
      </c>
      <c r="D455" s="1">
        <f ca="1">IFERROR(__xludf.DUMMYFUNCTION("""COMPUTED_VALUE"""),172.21)</f>
        <v>172.21</v>
      </c>
      <c r="E455" s="1">
        <f ca="1">IFERROR(__xludf.DUMMYFUNCTION("""COMPUTED_VALUE"""),22.29)</f>
        <v>22.29</v>
      </c>
      <c r="F455" s="1">
        <f ca="1">IFERROR(__xludf.DUMMYFUNCTION("""COMPUTED_VALUE"""),339.99)</f>
        <v>339.99</v>
      </c>
      <c r="G455" s="1">
        <f ca="1">IFERROR(__xludf.DUMMYFUNCTION("""COMPUTED_VALUE"""),143.82)</f>
        <v>143.82</v>
      </c>
      <c r="H455" s="1">
        <f ca="1">IFERROR(__xludf.DUMMYFUNCTION("""COMPUTED_VALUE"""),288.09)</f>
        <v>288.08999999999997</v>
      </c>
      <c r="I455" s="1">
        <f ca="1">IFERROR(__xludf.DUMMYFUNCTION("""COMPUTED_VALUE"""),160.1)</f>
        <v>160.1</v>
      </c>
      <c r="J455" s="1">
        <f ca="1">IFERROR(__xludf.DUMMYFUNCTION("""COMPUTED_VALUE"""),467.08)</f>
        <v>467.08</v>
      </c>
      <c r="K455" s="1">
        <f ca="1">IFERROR(__xludf.DUMMYFUNCTION("""COMPUTED_VALUE"""),51.04)</f>
        <v>51.04</v>
      </c>
      <c r="L455" s="1">
        <f ca="1">IFERROR(__xludf.DUMMYFUNCTION("""COMPUTED_VALUE"""),636.07)</f>
        <v>636.07000000000005</v>
      </c>
      <c r="M455" s="1">
        <f ca="1">IFERROR(__xludf.DUMMYFUNCTION("""COMPUTED_VALUE"""),639)</f>
        <v>639</v>
      </c>
    </row>
    <row r="456" spans="1:13" x14ac:dyDescent="0.25">
      <c r="A456" s="2">
        <f ca="1">IFERROR(__xludf.DUMMYFUNCTION("""COMPUTED_VALUE"""),44490.6666666666)</f>
        <v>44490.666666666599</v>
      </c>
      <c r="B456" s="1">
        <f ca="1">IFERROR(__xludf.DUMMYFUNCTION("""COMPUTED_VALUE"""),149.48)</f>
        <v>149.47999999999999</v>
      </c>
      <c r="C456" s="1">
        <f ca="1">IFERROR(__xludf.DUMMYFUNCTION("""COMPUTED_VALUE"""),307.41)</f>
        <v>307.41000000000003</v>
      </c>
      <c r="D456" s="1">
        <f ca="1">IFERROR(__xludf.DUMMYFUNCTION("""COMPUTED_VALUE"""),170.75)</f>
        <v>170.75</v>
      </c>
      <c r="E456" s="1">
        <f ca="1">IFERROR(__xludf.DUMMYFUNCTION("""COMPUTED_VALUE"""),22.1)</f>
        <v>22.1</v>
      </c>
      <c r="F456" s="1">
        <f ca="1">IFERROR(__xludf.DUMMYFUNCTION("""COMPUTED_VALUE"""),340.78)</f>
        <v>340.78</v>
      </c>
      <c r="G456" s="1">
        <f ca="1">IFERROR(__xludf.DUMMYFUNCTION("""COMPUTED_VALUE"""),142.42)</f>
        <v>142.41999999999999</v>
      </c>
      <c r="H456" s="1">
        <f ca="1">IFERROR(__xludf.DUMMYFUNCTION("""COMPUTED_VALUE"""),288.6)</f>
        <v>288.60000000000002</v>
      </c>
      <c r="I456" s="1">
        <f ca="1">IFERROR(__xludf.DUMMYFUNCTION("""COMPUTED_VALUE"""),161.31)</f>
        <v>161.31</v>
      </c>
      <c r="J456" s="1">
        <f ca="1">IFERROR(__xludf.DUMMYFUNCTION("""COMPUTED_VALUE"""),469.77)</f>
        <v>469.77</v>
      </c>
      <c r="K456" s="1">
        <f ca="1">IFERROR(__xludf.DUMMYFUNCTION("""COMPUTED_VALUE"""),50.94)</f>
        <v>50.94</v>
      </c>
      <c r="L456" s="1">
        <f ca="1">IFERROR(__xludf.DUMMYFUNCTION("""COMPUTED_VALUE"""),632.37)</f>
        <v>632.37</v>
      </c>
      <c r="M456" s="1">
        <f ca="1">IFERROR(__xludf.DUMMYFUNCTION("""COMPUTED_VALUE"""),625.14)</f>
        <v>625.14</v>
      </c>
    </row>
    <row r="457" spans="1:13" x14ac:dyDescent="0.25">
      <c r="A457" s="2">
        <f ca="1">IFERROR(__xludf.DUMMYFUNCTION("""COMPUTED_VALUE"""),44491.6666666666)</f>
        <v>44491.666666666599</v>
      </c>
      <c r="B457" s="1">
        <f ca="1">IFERROR(__xludf.DUMMYFUNCTION("""COMPUTED_VALUE"""),148.69)</f>
        <v>148.69</v>
      </c>
      <c r="C457" s="1">
        <f ca="1">IFERROR(__xludf.DUMMYFUNCTION("""COMPUTED_VALUE"""),310.76)</f>
        <v>310.76</v>
      </c>
      <c r="D457" s="1">
        <f ca="1">IFERROR(__xludf.DUMMYFUNCTION("""COMPUTED_VALUE"""),171.75)</f>
        <v>171.75</v>
      </c>
      <c r="E457" s="1">
        <f ca="1">IFERROR(__xludf.DUMMYFUNCTION("""COMPUTED_VALUE"""),22.69)</f>
        <v>22.69</v>
      </c>
      <c r="F457" s="1">
        <f ca="1">IFERROR(__xludf.DUMMYFUNCTION("""COMPUTED_VALUE"""),341.88)</f>
        <v>341.88</v>
      </c>
      <c r="G457" s="1">
        <f ca="1">IFERROR(__xludf.DUMMYFUNCTION("""COMPUTED_VALUE"""),142.78)</f>
        <v>142.78</v>
      </c>
      <c r="H457" s="1">
        <f ca="1">IFERROR(__xludf.DUMMYFUNCTION("""COMPUTED_VALUE"""),298)</f>
        <v>298</v>
      </c>
      <c r="I457" s="1">
        <f ca="1">IFERROR(__xludf.DUMMYFUNCTION("""COMPUTED_VALUE"""),159.18)</f>
        <v>159.18</v>
      </c>
      <c r="J457" s="1">
        <f ca="1">IFERROR(__xludf.DUMMYFUNCTION("""COMPUTED_VALUE"""),477.23)</f>
        <v>477.23</v>
      </c>
      <c r="K457" s="1">
        <f ca="1">IFERROR(__xludf.DUMMYFUNCTION("""COMPUTED_VALUE"""),51.42)</f>
        <v>51.42</v>
      </c>
      <c r="L457" s="1">
        <f ca="1">IFERROR(__xludf.DUMMYFUNCTION("""COMPUTED_VALUE"""),638.66)</f>
        <v>638.66</v>
      </c>
      <c r="M457" s="1">
        <f ca="1">IFERROR(__xludf.DUMMYFUNCTION("""COMPUTED_VALUE"""),653.16)</f>
        <v>653.16</v>
      </c>
    </row>
    <row r="458" spans="1:13" x14ac:dyDescent="0.25">
      <c r="A458" s="2">
        <f ca="1">IFERROR(__xludf.DUMMYFUNCTION("""COMPUTED_VALUE"""),44494.6666666666)</f>
        <v>44494.666666666599</v>
      </c>
      <c r="B458" s="1">
        <f ca="1">IFERROR(__xludf.DUMMYFUNCTION("""COMPUTED_VALUE"""),148.64)</f>
        <v>148.63999999999999</v>
      </c>
      <c r="C458" s="1">
        <f ca="1">IFERROR(__xludf.DUMMYFUNCTION("""COMPUTED_VALUE"""),309.16)</f>
        <v>309.16000000000003</v>
      </c>
      <c r="D458" s="1">
        <f ca="1">IFERROR(__xludf.DUMMYFUNCTION("""COMPUTED_VALUE"""),166.78)</f>
        <v>166.78</v>
      </c>
      <c r="E458" s="1">
        <f ca="1">IFERROR(__xludf.DUMMYFUNCTION("""COMPUTED_VALUE"""),22.73)</f>
        <v>22.73</v>
      </c>
      <c r="F458" s="1">
        <f ca="1">IFERROR(__xludf.DUMMYFUNCTION("""COMPUTED_VALUE"""),324.61)</f>
        <v>324.61</v>
      </c>
      <c r="G458" s="1">
        <f ca="1">IFERROR(__xludf.DUMMYFUNCTION("""COMPUTED_VALUE"""),138.63)</f>
        <v>138.63</v>
      </c>
      <c r="H458" s="1">
        <f ca="1">IFERROR(__xludf.DUMMYFUNCTION("""COMPUTED_VALUE"""),303.23)</f>
        <v>303.23</v>
      </c>
      <c r="I458" s="1">
        <f ca="1">IFERROR(__xludf.DUMMYFUNCTION("""COMPUTED_VALUE"""),159.97)</f>
        <v>159.97</v>
      </c>
      <c r="J458" s="1">
        <f ca="1">IFERROR(__xludf.DUMMYFUNCTION("""COMPUTED_VALUE"""),481.99)</f>
        <v>481.99</v>
      </c>
      <c r="K458" s="1">
        <f ca="1">IFERROR(__xludf.DUMMYFUNCTION("""COMPUTED_VALUE"""),51.54)</f>
        <v>51.54</v>
      </c>
      <c r="L458" s="1">
        <f ca="1">IFERROR(__xludf.DUMMYFUNCTION("""COMPUTED_VALUE"""),643.58)</f>
        <v>643.58000000000004</v>
      </c>
      <c r="M458" s="1">
        <f ca="1">IFERROR(__xludf.DUMMYFUNCTION("""COMPUTED_VALUE"""),664.78)</f>
        <v>664.78</v>
      </c>
    </row>
    <row r="459" spans="1:13" x14ac:dyDescent="0.25">
      <c r="A459" s="2">
        <f ca="1">IFERROR(__xludf.DUMMYFUNCTION("""COMPUTED_VALUE"""),44495.6666666666)</f>
        <v>44495.666666666599</v>
      </c>
      <c r="B459" s="1">
        <f ca="1">IFERROR(__xludf.DUMMYFUNCTION("""COMPUTED_VALUE"""),149.32)</f>
        <v>149.32</v>
      </c>
      <c r="C459" s="1">
        <f ca="1">IFERROR(__xludf.DUMMYFUNCTION("""COMPUTED_VALUE"""),308.13)</f>
        <v>308.13</v>
      </c>
      <c r="D459" s="1">
        <f ca="1">IFERROR(__xludf.DUMMYFUNCTION("""COMPUTED_VALUE"""),166.02)</f>
        <v>166.02</v>
      </c>
      <c r="E459" s="1">
        <f ca="1">IFERROR(__xludf.DUMMYFUNCTION("""COMPUTED_VALUE"""),23.17)</f>
        <v>23.17</v>
      </c>
      <c r="F459" s="1">
        <f ca="1">IFERROR(__xludf.DUMMYFUNCTION("""COMPUTED_VALUE"""),328.69)</f>
        <v>328.69</v>
      </c>
      <c r="G459" s="1">
        <f ca="1">IFERROR(__xludf.DUMMYFUNCTION("""COMPUTED_VALUE"""),138.77)</f>
        <v>138.77000000000001</v>
      </c>
      <c r="H459" s="1">
        <f ca="1">IFERROR(__xludf.DUMMYFUNCTION("""COMPUTED_VALUE"""),341.62)</f>
        <v>341.62</v>
      </c>
      <c r="I459" s="1">
        <f ca="1">IFERROR(__xludf.DUMMYFUNCTION("""COMPUTED_VALUE"""),159.22)</f>
        <v>159.22</v>
      </c>
      <c r="J459" s="1">
        <f ca="1">IFERROR(__xludf.DUMMYFUNCTION("""COMPUTED_VALUE"""),490.1)</f>
        <v>490.1</v>
      </c>
      <c r="K459" s="1">
        <f ca="1">IFERROR(__xludf.DUMMYFUNCTION("""COMPUTED_VALUE"""),52.21)</f>
        <v>52.21</v>
      </c>
      <c r="L459" s="1">
        <f ca="1">IFERROR(__xludf.DUMMYFUNCTION("""COMPUTED_VALUE"""),646.97)</f>
        <v>646.97</v>
      </c>
      <c r="M459" s="1">
        <f ca="1">IFERROR(__xludf.DUMMYFUNCTION("""COMPUTED_VALUE"""),671.66)</f>
        <v>671.66</v>
      </c>
    </row>
    <row r="460" spans="1:13" x14ac:dyDescent="0.25">
      <c r="A460" s="2">
        <f ca="1">IFERROR(__xludf.DUMMYFUNCTION("""COMPUTED_VALUE"""),44496.6666666666)</f>
        <v>44496.666666666599</v>
      </c>
      <c r="B460" s="1">
        <f ca="1">IFERROR(__xludf.DUMMYFUNCTION("""COMPUTED_VALUE"""),148.85)</f>
        <v>148.85</v>
      </c>
      <c r="C460" s="1">
        <f ca="1">IFERROR(__xludf.DUMMYFUNCTION("""COMPUTED_VALUE"""),310.11)</f>
        <v>310.11</v>
      </c>
      <c r="D460" s="1">
        <f ca="1">IFERROR(__xludf.DUMMYFUNCTION("""COMPUTED_VALUE"""),168.8)</f>
        <v>168.8</v>
      </c>
      <c r="E460" s="1">
        <f ca="1">IFERROR(__xludf.DUMMYFUNCTION("""COMPUTED_VALUE"""),24.72)</f>
        <v>24.72</v>
      </c>
      <c r="F460" s="1">
        <f ca="1">IFERROR(__xludf.DUMMYFUNCTION("""COMPUTED_VALUE"""),315.81)</f>
        <v>315.81</v>
      </c>
      <c r="G460" s="1">
        <f ca="1">IFERROR(__xludf.DUMMYFUNCTION("""COMPUTED_VALUE"""),139.67)</f>
        <v>139.66999999999999</v>
      </c>
      <c r="H460" s="1">
        <f ca="1">IFERROR(__xludf.DUMMYFUNCTION("""COMPUTED_VALUE"""),339.48)</f>
        <v>339.48</v>
      </c>
      <c r="I460" s="1">
        <f ca="1">IFERROR(__xludf.DUMMYFUNCTION("""COMPUTED_VALUE"""),161.17)</f>
        <v>161.16999999999999</v>
      </c>
      <c r="J460" s="1">
        <f ca="1">IFERROR(__xludf.DUMMYFUNCTION("""COMPUTED_VALUE"""),485.53)</f>
        <v>485.53</v>
      </c>
      <c r="K460" s="1">
        <f ca="1">IFERROR(__xludf.DUMMYFUNCTION("""COMPUTED_VALUE"""),53.39)</f>
        <v>53.39</v>
      </c>
      <c r="L460" s="1">
        <f ca="1">IFERROR(__xludf.DUMMYFUNCTION("""COMPUTED_VALUE"""),642.5)</f>
        <v>642.5</v>
      </c>
      <c r="M460" s="1">
        <f ca="1">IFERROR(__xludf.DUMMYFUNCTION("""COMPUTED_VALUE"""),668.52)</f>
        <v>668.52</v>
      </c>
    </row>
    <row r="461" spans="1:13" x14ac:dyDescent="0.25">
      <c r="A461" s="2">
        <f ca="1">IFERROR(__xludf.DUMMYFUNCTION("""COMPUTED_VALUE"""),44497.6666666666)</f>
        <v>44497.666666666599</v>
      </c>
      <c r="B461" s="1">
        <f ca="1">IFERROR(__xludf.DUMMYFUNCTION("""COMPUTED_VALUE"""),152.57)</f>
        <v>152.57</v>
      </c>
      <c r="C461" s="1">
        <f ca="1">IFERROR(__xludf.DUMMYFUNCTION("""COMPUTED_VALUE"""),323.17)</f>
        <v>323.17</v>
      </c>
      <c r="D461" s="1">
        <f ca="1">IFERROR(__xludf.DUMMYFUNCTION("""COMPUTED_VALUE"""),169.62)</f>
        <v>169.62</v>
      </c>
      <c r="E461" s="1">
        <f ca="1">IFERROR(__xludf.DUMMYFUNCTION("""COMPUTED_VALUE"""),24.45)</f>
        <v>24.45</v>
      </c>
      <c r="F461" s="1">
        <f ca="1">IFERROR(__xludf.DUMMYFUNCTION("""COMPUTED_VALUE"""),312.22)</f>
        <v>312.22000000000003</v>
      </c>
      <c r="G461" s="1">
        <f ca="1">IFERROR(__xludf.DUMMYFUNCTION("""COMPUTED_VALUE"""),146.43)</f>
        <v>146.43</v>
      </c>
      <c r="H461" s="1">
        <f ca="1">IFERROR(__xludf.DUMMYFUNCTION("""COMPUTED_VALUE"""),345.95)</f>
        <v>345.95</v>
      </c>
      <c r="I461" s="1">
        <f ca="1">IFERROR(__xludf.DUMMYFUNCTION("""COMPUTED_VALUE"""),160.61)</f>
        <v>160.61000000000001</v>
      </c>
      <c r="J461" s="1">
        <f ca="1">IFERROR(__xludf.DUMMYFUNCTION("""COMPUTED_VALUE"""),489.11)</f>
        <v>489.11</v>
      </c>
      <c r="K461" s="1">
        <f ca="1">IFERROR(__xludf.DUMMYFUNCTION("""COMPUTED_VALUE"""),52.31)</f>
        <v>52.31</v>
      </c>
      <c r="L461" s="1">
        <f ca="1">IFERROR(__xludf.DUMMYFUNCTION("""COMPUTED_VALUE"""),640.08)</f>
        <v>640.08000000000004</v>
      </c>
      <c r="M461" s="1">
        <f ca="1">IFERROR(__xludf.DUMMYFUNCTION("""COMPUTED_VALUE"""),662.92)</f>
        <v>662.92</v>
      </c>
    </row>
    <row r="462" spans="1:13" x14ac:dyDescent="0.25">
      <c r="A462" s="2">
        <f ca="1">IFERROR(__xludf.DUMMYFUNCTION("""COMPUTED_VALUE"""),44498.6666666666)</f>
        <v>44498.666666666599</v>
      </c>
      <c r="B462" s="1">
        <f ca="1">IFERROR(__xludf.DUMMYFUNCTION("""COMPUTED_VALUE"""),149.8)</f>
        <v>149.80000000000001</v>
      </c>
      <c r="C462" s="1">
        <f ca="1">IFERROR(__xludf.DUMMYFUNCTION("""COMPUTED_VALUE"""),324.35)</f>
        <v>324.35000000000002</v>
      </c>
      <c r="D462" s="1">
        <f ca="1">IFERROR(__xludf.DUMMYFUNCTION("""COMPUTED_VALUE"""),172.33)</f>
        <v>172.33</v>
      </c>
      <c r="E462" s="1">
        <f ca="1">IFERROR(__xludf.DUMMYFUNCTION("""COMPUTED_VALUE"""),24.94)</f>
        <v>24.94</v>
      </c>
      <c r="F462" s="1">
        <f ca="1">IFERROR(__xludf.DUMMYFUNCTION("""COMPUTED_VALUE"""),316.92)</f>
        <v>316.92</v>
      </c>
      <c r="G462" s="1">
        <f ca="1">IFERROR(__xludf.DUMMYFUNCTION("""COMPUTED_VALUE"""),146.13)</f>
        <v>146.13</v>
      </c>
      <c r="H462" s="1">
        <f ca="1">IFERROR(__xludf.DUMMYFUNCTION("""COMPUTED_VALUE"""),359.01)</f>
        <v>359.01</v>
      </c>
      <c r="I462" s="1">
        <f ca="1">IFERROR(__xludf.DUMMYFUNCTION("""COMPUTED_VALUE"""),161.62)</f>
        <v>161.62</v>
      </c>
      <c r="J462" s="1">
        <f ca="1">IFERROR(__xludf.DUMMYFUNCTION("""COMPUTED_VALUE"""),490.53)</f>
        <v>490.53</v>
      </c>
      <c r="K462" s="1">
        <f ca="1">IFERROR(__xludf.DUMMYFUNCTION("""COMPUTED_VALUE"""),52.96)</f>
        <v>52.96</v>
      </c>
      <c r="L462" s="1">
        <f ca="1">IFERROR(__xludf.DUMMYFUNCTION("""COMPUTED_VALUE"""),639.28)</f>
        <v>639.28</v>
      </c>
      <c r="M462" s="1">
        <f ca="1">IFERROR(__xludf.DUMMYFUNCTION("""COMPUTED_VALUE"""),674.05)</f>
        <v>674.05</v>
      </c>
    </row>
    <row r="463" spans="1:13" x14ac:dyDescent="0.25">
      <c r="A463" s="2">
        <f ca="1">IFERROR(__xludf.DUMMYFUNCTION("""COMPUTED_VALUE"""),44501.6666666666)</f>
        <v>44501.666666666599</v>
      </c>
      <c r="B463" s="1">
        <f ca="1">IFERROR(__xludf.DUMMYFUNCTION("""COMPUTED_VALUE"""),148.96)</f>
        <v>148.96</v>
      </c>
      <c r="C463" s="1">
        <f ca="1">IFERROR(__xludf.DUMMYFUNCTION("""COMPUTED_VALUE"""),331.62)</f>
        <v>331.62</v>
      </c>
      <c r="D463" s="1">
        <f ca="1">IFERROR(__xludf.DUMMYFUNCTION("""COMPUTED_VALUE"""),168.62)</f>
        <v>168.62</v>
      </c>
      <c r="E463" s="1">
        <f ca="1">IFERROR(__xludf.DUMMYFUNCTION("""COMPUTED_VALUE"""),25.57)</f>
        <v>25.57</v>
      </c>
      <c r="F463" s="1">
        <f ca="1">IFERROR(__xludf.DUMMYFUNCTION("""COMPUTED_VALUE"""),323.57)</f>
        <v>323.57</v>
      </c>
      <c r="G463" s="1">
        <f ca="1">IFERROR(__xludf.DUMMYFUNCTION("""COMPUTED_VALUE"""),148.27)</f>
        <v>148.27000000000001</v>
      </c>
      <c r="H463" s="1">
        <f ca="1">IFERROR(__xludf.DUMMYFUNCTION("""COMPUTED_VALUE"""),371.33)</f>
        <v>371.33</v>
      </c>
      <c r="I463" s="1">
        <f ca="1">IFERROR(__xludf.DUMMYFUNCTION("""COMPUTED_VALUE"""),161.6)</f>
        <v>161.6</v>
      </c>
      <c r="J463" s="1">
        <f ca="1">IFERROR(__xludf.DUMMYFUNCTION("""COMPUTED_VALUE"""),491.54)</f>
        <v>491.54</v>
      </c>
      <c r="K463" s="1">
        <f ca="1">IFERROR(__xludf.DUMMYFUNCTION("""COMPUTED_VALUE"""),53.17)</f>
        <v>53.17</v>
      </c>
      <c r="L463" s="1">
        <f ca="1">IFERROR(__xludf.DUMMYFUNCTION("""COMPUTED_VALUE"""),650.36)</f>
        <v>650.36</v>
      </c>
      <c r="M463" s="1">
        <f ca="1">IFERROR(__xludf.DUMMYFUNCTION("""COMPUTED_VALUE"""),690.31)</f>
        <v>690.31</v>
      </c>
    </row>
    <row r="464" spans="1:13" x14ac:dyDescent="0.25">
      <c r="A464" s="2">
        <f ca="1">IFERROR(__xludf.DUMMYFUNCTION("""COMPUTED_VALUE"""),44502.6666666666)</f>
        <v>44502.666666666599</v>
      </c>
      <c r="B464" s="1">
        <f ca="1">IFERROR(__xludf.DUMMYFUNCTION("""COMPUTED_VALUE"""),150.02)</f>
        <v>150.02000000000001</v>
      </c>
      <c r="C464" s="1">
        <f ca="1">IFERROR(__xludf.DUMMYFUNCTION("""COMPUTED_VALUE"""),329.37)</f>
        <v>329.37</v>
      </c>
      <c r="D464" s="1">
        <f ca="1">IFERROR(__xludf.DUMMYFUNCTION("""COMPUTED_VALUE"""),165.91)</f>
        <v>165.91</v>
      </c>
      <c r="E464" s="1">
        <f ca="1">IFERROR(__xludf.DUMMYFUNCTION("""COMPUTED_VALUE"""),25.83)</f>
        <v>25.83</v>
      </c>
      <c r="F464" s="1">
        <f ca="1">IFERROR(__xludf.DUMMYFUNCTION("""COMPUTED_VALUE"""),329.98)</f>
        <v>329.98</v>
      </c>
      <c r="G464" s="1">
        <f ca="1">IFERROR(__xludf.DUMMYFUNCTION("""COMPUTED_VALUE"""),143.77)</f>
        <v>143.77000000000001</v>
      </c>
      <c r="H464" s="1">
        <f ca="1">IFERROR(__xludf.DUMMYFUNCTION("""COMPUTED_VALUE"""),402.86)</f>
        <v>402.86</v>
      </c>
      <c r="I464" s="1">
        <f ca="1">IFERROR(__xludf.DUMMYFUNCTION("""COMPUTED_VALUE"""),161.26)</f>
        <v>161.26</v>
      </c>
      <c r="J464" s="1">
        <f ca="1">IFERROR(__xludf.DUMMYFUNCTION("""COMPUTED_VALUE"""),491.87)</f>
        <v>491.87</v>
      </c>
      <c r="K464" s="1">
        <f ca="1">IFERROR(__xludf.DUMMYFUNCTION("""COMPUTED_VALUE"""),52.81)</f>
        <v>52.81</v>
      </c>
      <c r="L464" s="1">
        <f ca="1">IFERROR(__xludf.DUMMYFUNCTION("""COMPUTED_VALUE"""),640.2)</f>
        <v>640.20000000000005</v>
      </c>
      <c r="M464" s="1">
        <f ca="1">IFERROR(__xludf.DUMMYFUNCTION("""COMPUTED_VALUE"""),681.17)</f>
        <v>681.17</v>
      </c>
    </row>
    <row r="465" spans="1:13" x14ac:dyDescent="0.25">
      <c r="A465" s="2">
        <f ca="1">IFERROR(__xludf.DUMMYFUNCTION("""COMPUTED_VALUE"""),44503.6666666666)</f>
        <v>44503.666666666599</v>
      </c>
      <c r="B465" s="1">
        <f ca="1">IFERROR(__xludf.DUMMYFUNCTION("""COMPUTED_VALUE"""),151.49)</f>
        <v>151.49</v>
      </c>
      <c r="C465" s="1">
        <f ca="1">IFERROR(__xludf.DUMMYFUNCTION("""COMPUTED_VALUE"""),333.13)</f>
        <v>333.13</v>
      </c>
      <c r="D465" s="1">
        <f ca="1">IFERROR(__xludf.DUMMYFUNCTION("""COMPUTED_VALUE"""),165.64)</f>
        <v>165.64</v>
      </c>
      <c r="E465" s="1">
        <f ca="1">IFERROR(__xludf.DUMMYFUNCTION("""COMPUTED_VALUE"""),26.4)</f>
        <v>26.4</v>
      </c>
      <c r="F465" s="1">
        <f ca="1">IFERROR(__xludf.DUMMYFUNCTION("""COMPUTED_VALUE"""),328.08)</f>
        <v>328.08</v>
      </c>
      <c r="G465" s="1">
        <f ca="1">IFERROR(__xludf.DUMMYFUNCTION("""COMPUTED_VALUE"""),145.86)</f>
        <v>145.86000000000001</v>
      </c>
      <c r="H465" s="1">
        <f ca="1">IFERROR(__xludf.DUMMYFUNCTION("""COMPUTED_VALUE"""),390.67)</f>
        <v>390.67</v>
      </c>
      <c r="I465" s="1">
        <f ca="1">IFERROR(__xludf.DUMMYFUNCTION("""COMPUTED_VALUE"""),162.74)</f>
        <v>162.74</v>
      </c>
      <c r="J465" s="1">
        <f ca="1">IFERROR(__xludf.DUMMYFUNCTION("""COMPUTED_VALUE"""),496.99)</f>
        <v>496.99</v>
      </c>
      <c r="K465" s="1">
        <f ca="1">IFERROR(__xludf.DUMMYFUNCTION("""COMPUTED_VALUE"""),53.71)</f>
        <v>53.71</v>
      </c>
      <c r="L465" s="1">
        <f ca="1">IFERROR(__xludf.DUMMYFUNCTION("""COMPUTED_VALUE"""),640.4)</f>
        <v>640.4</v>
      </c>
      <c r="M465" s="1">
        <f ca="1">IFERROR(__xludf.DUMMYFUNCTION("""COMPUTED_VALUE"""),677.72)</f>
        <v>677.72</v>
      </c>
    </row>
    <row r="466" spans="1:13" x14ac:dyDescent="0.25">
      <c r="A466" s="2">
        <f ca="1">IFERROR(__xludf.DUMMYFUNCTION("""COMPUTED_VALUE"""),44504.6666666666)</f>
        <v>44504.666666666599</v>
      </c>
      <c r="B466" s="1">
        <f ca="1">IFERROR(__xludf.DUMMYFUNCTION("""COMPUTED_VALUE"""),150.96)</f>
        <v>150.96</v>
      </c>
      <c r="C466" s="1">
        <f ca="1">IFERROR(__xludf.DUMMYFUNCTION("""COMPUTED_VALUE"""),334)</f>
        <v>334</v>
      </c>
      <c r="D466" s="1">
        <f ca="1">IFERROR(__xludf.DUMMYFUNCTION("""COMPUTED_VALUE"""),169.2)</f>
        <v>169.2</v>
      </c>
      <c r="E466" s="1">
        <f ca="1">IFERROR(__xludf.DUMMYFUNCTION("""COMPUTED_VALUE"""),26.6)</f>
        <v>26.6</v>
      </c>
      <c r="F466" s="1">
        <f ca="1">IFERROR(__xludf.DUMMYFUNCTION("""COMPUTED_VALUE"""),331.62)</f>
        <v>331.62</v>
      </c>
      <c r="G466" s="1">
        <f ca="1">IFERROR(__xludf.DUMMYFUNCTION("""COMPUTED_VALUE"""),146.79)</f>
        <v>146.79</v>
      </c>
      <c r="H466" s="1">
        <f ca="1">IFERROR(__xludf.DUMMYFUNCTION("""COMPUTED_VALUE"""),404.62)</f>
        <v>404.62</v>
      </c>
      <c r="I466" s="1">
        <f ca="1">IFERROR(__xludf.DUMMYFUNCTION("""COMPUTED_VALUE"""),164.3)</f>
        <v>164.3</v>
      </c>
      <c r="J466" s="1">
        <f ca="1">IFERROR(__xludf.DUMMYFUNCTION("""COMPUTED_VALUE"""),502.33)</f>
        <v>502.33</v>
      </c>
      <c r="K466" s="1">
        <f ca="1">IFERROR(__xludf.DUMMYFUNCTION("""COMPUTED_VALUE"""),54.24)</f>
        <v>54.24</v>
      </c>
      <c r="L466" s="1">
        <f ca="1">IFERROR(__xludf.DUMMYFUNCTION("""COMPUTED_VALUE"""),655.18)</f>
        <v>655.17999999999995</v>
      </c>
      <c r="M466" s="1">
        <f ca="1">IFERROR(__xludf.DUMMYFUNCTION("""COMPUTED_VALUE"""),688.29)</f>
        <v>688.29</v>
      </c>
    </row>
    <row r="467" spans="1:13" x14ac:dyDescent="0.25">
      <c r="A467" s="2">
        <f ca="1">IFERROR(__xludf.DUMMYFUNCTION("""COMPUTED_VALUE"""),44505.6666666666)</f>
        <v>44505.666666666599</v>
      </c>
      <c r="B467" s="1">
        <f ca="1">IFERROR(__xludf.DUMMYFUNCTION("""COMPUTED_VALUE"""),151.28)</f>
        <v>151.28</v>
      </c>
      <c r="C467" s="1">
        <f ca="1">IFERROR(__xludf.DUMMYFUNCTION("""COMPUTED_VALUE"""),336.44)</f>
        <v>336.44</v>
      </c>
      <c r="D467" s="1">
        <f ca="1">IFERROR(__xludf.DUMMYFUNCTION("""COMPUTED_VALUE"""),173.85)</f>
        <v>173.85</v>
      </c>
      <c r="E467" s="1">
        <f ca="1">IFERROR(__xludf.DUMMYFUNCTION("""COMPUTED_VALUE"""),29.8)</f>
        <v>29.8</v>
      </c>
      <c r="F467" s="1">
        <f ca="1">IFERROR(__xludf.DUMMYFUNCTION("""COMPUTED_VALUE"""),335.85)</f>
        <v>335.85</v>
      </c>
      <c r="G467" s="1">
        <f ca="1">IFERROR(__xludf.DUMMYFUNCTION("""COMPUTED_VALUE"""),148.68)</f>
        <v>148.68</v>
      </c>
      <c r="H467" s="1">
        <f ca="1">IFERROR(__xludf.DUMMYFUNCTION("""COMPUTED_VALUE"""),409.97)</f>
        <v>409.97</v>
      </c>
      <c r="I467" s="1">
        <f ca="1">IFERROR(__xludf.DUMMYFUNCTION("""COMPUTED_VALUE"""),164.31)</f>
        <v>164.31</v>
      </c>
      <c r="J467" s="1">
        <f ca="1">IFERROR(__xludf.DUMMYFUNCTION("""COMPUTED_VALUE"""),515.62)</f>
        <v>515.62</v>
      </c>
      <c r="K467" s="1">
        <f ca="1">IFERROR(__xludf.DUMMYFUNCTION("""COMPUTED_VALUE"""),54.86)</f>
        <v>54.86</v>
      </c>
      <c r="L467" s="1">
        <f ca="1">IFERROR(__xludf.DUMMYFUNCTION("""COMPUTED_VALUE"""),674.08)</f>
        <v>674.08</v>
      </c>
      <c r="M467" s="1">
        <f ca="1">IFERROR(__xludf.DUMMYFUNCTION("""COMPUTED_VALUE"""),668.4)</f>
        <v>668.4</v>
      </c>
    </row>
    <row r="468" spans="1:13" x14ac:dyDescent="0.25">
      <c r="A468" s="2">
        <f ca="1">IFERROR(__xludf.DUMMYFUNCTION("""COMPUTED_VALUE"""),44508.6666666666)</f>
        <v>44508.666666666599</v>
      </c>
      <c r="B468" s="1">
        <f ca="1">IFERROR(__xludf.DUMMYFUNCTION("""COMPUTED_VALUE"""),150.44)</f>
        <v>150.44</v>
      </c>
      <c r="C468" s="1">
        <f ca="1">IFERROR(__xludf.DUMMYFUNCTION("""COMPUTED_VALUE"""),336.06)</f>
        <v>336.06</v>
      </c>
      <c r="D468" s="1">
        <f ca="1">IFERROR(__xludf.DUMMYFUNCTION("""COMPUTED_VALUE"""),175.95)</f>
        <v>175.95</v>
      </c>
      <c r="E468" s="1">
        <f ca="1">IFERROR(__xludf.DUMMYFUNCTION("""COMPUTED_VALUE"""),29.75)</f>
        <v>29.75</v>
      </c>
      <c r="F468" s="1">
        <f ca="1">IFERROR(__xludf.DUMMYFUNCTION("""COMPUTED_VALUE"""),341.13)</f>
        <v>341.13</v>
      </c>
      <c r="G468" s="1">
        <f ca="1">IFERROR(__xludf.DUMMYFUNCTION("""COMPUTED_VALUE"""),149.24)</f>
        <v>149.24</v>
      </c>
      <c r="H468" s="1">
        <f ca="1">IFERROR(__xludf.DUMMYFUNCTION("""COMPUTED_VALUE"""),407.36)</f>
        <v>407.36</v>
      </c>
      <c r="I468" s="1">
        <f ca="1">IFERROR(__xludf.DUMMYFUNCTION("""COMPUTED_VALUE"""),166)</f>
        <v>166</v>
      </c>
      <c r="J468" s="1">
        <f ca="1">IFERROR(__xludf.DUMMYFUNCTION("""COMPUTED_VALUE"""),513.12)</f>
        <v>513.12</v>
      </c>
      <c r="K468" s="1">
        <f ca="1">IFERROR(__xludf.DUMMYFUNCTION("""COMPUTED_VALUE"""),55.89)</f>
        <v>55.89</v>
      </c>
      <c r="L468" s="1">
        <f ca="1">IFERROR(__xludf.DUMMYFUNCTION("""COMPUTED_VALUE"""),662.72)</f>
        <v>662.72</v>
      </c>
      <c r="M468" s="1">
        <f ca="1">IFERROR(__xludf.DUMMYFUNCTION("""COMPUTED_VALUE"""),645.72)</f>
        <v>645.72</v>
      </c>
    </row>
    <row r="469" spans="1:13" x14ac:dyDescent="0.25">
      <c r="A469" s="2">
        <f ca="1">IFERROR(__xludf.DUMMYFUNCTION("""COMPUTED_VALUE"""),44509.6666666666)</f>
        <v>44509.666666666599</v>
      </c>
      <c r="B469" s="1">
        <f ca="1">IFERROR(__xludf.DUMMYFUNCTION("""COMPUTED_VALUE"""),150.81)</f>
        <v>150.81</v>
      </c>
      <c r="C469" s="1">
        <f ca="1">IFERROR(__xludf.DUMMYFUNCTION("""COMPUTED_VALUE"""),336.99)</f>
        <v>336.99</v>
      </c>
      <c r="D469" s="1">
        <f ca="1">IFERROR(__xludf.DUMMYFUNCTION("""COMPUTED_VALUE"""),174.45)</f>
        <v>174.45</v>
      </c>
      <c r="E469" s="1">
        <f ca="1">IFERROR(__xludf.DUMMYFUNCTION("""COMPUTED_VALUE"""),30.8)</f>
        <v>30.8</v>
      </c>
      <c r="F469" s="1">
        <f ca="1">IFERROR(__xludf.DUMMYFUNCTION("""COMPUTED_VALUE"""),338.62)</f>
        <v>338.62</v>
      </c>
      <c r="G469" s="1">
        <f ca="1">IFERROR(__xludf.DUMMYFUNCTION("""COMPUTED_VALUE"""),149.35)</f>
        <v>149.35</v>
      </c>
      <c r="H469" s="1">
        <f ca="1">IFERROR(__xludf.DUMMYFUNCTION("""COMPUTED_VALUE"""),387.65)</f>
        <v>387.65</v>
      </c>
      <c r="I469" s="1">
        <f ca="1">IFERROR(__xludf.DUMMYFUNCTION("""COMPUTED_VALUE"""),162.43)</f>
        <v>162.43</v>
      </c>
      <c r="J469" s="1">
        <f ca="1">IFERROR(__xludf.DUMMYFUNCTION("""COMPUTED_VALUE"""),503.81)</f>
        <v>503.81</v>
      </c>
      <c r="K469" s="1">
        <f ca="1">IFERROR(__xludf.DUMMYFUNCTION("""COMPUTED_VALUE"""),55.9)</f>
        <v>55.9</v>
      </c>
      <c r="L469" s="1">
        <f ca="1">IFERROR(__xludf.DUMMYFUNCTION("""COMPUTED_VALUE"""),666.02)</f>
        <v>666.02</v>
      </c>
      <c r="M469" s="1">
        <f ca="1">IFERROR(__xludf.DUMMYFUNCTION("""COMPUTED_VALUE"""),651.45)</f>
        <v>651.45000000000005</v>
      </c>
    </row>
    <row r="470" spans="1:13" x14ac:dyDescent="0.25">
      <c r="A470" s="2">
        <f ca="1">IFERROR(__xludf.DUMMYFUNCTION("""COMPUTED_VALUE"""),44510.6666666666)</f>
        <v>44510.666666666599</v>
      </c>
      <c r="B470" s="1">
        <f ca="1">IFERROR(__xludf.DUMMYFUNCTION("""COMPUTED_VALUE"""),147.92)</f>
        <v>147.91999999999999</v>
      </c>
      <c r="C470" s="1">
        <f ca="1">IFERROR(__xludf.DUMMYFUNCTION("""COMPUTED_VALUE"""),335.95)</f>
        <v>335.95</v>
      </c>
      <c r="D470" s="1">
        <f ca="1">IFERROR(__xludf.DUMMYFUNCTION("""COMPUTED_VALUE"""),178.81)</f>
        <v>178.81</v>
      </c>
      <c r="E470" s="1">
        <f ca="1">IFERROR(__xludf.DUMMYFUNCTION("""COMPUTED_VALUE"""),30.66)</f>
        <v>30.66</v>
      </c>
      <c r="F470" s="1">
        <f ca="1">IFERROR(__xludf.DUMMYFUNCTION("""COMPUTED_VALUE"""),335.37)</f>
        <v>335.37</v>
      </c>
      <c r="G470" s="1">
        <f ca="1">IFERROR(__xludf.DUMMYFUNCTION("""COMPUTED_VALUE"""),149.25)</f>
        <v>149.25</v>
      </c>
      <c r="H470" s="1">
        <f ca="1">IFERROR(__xludf.DUMMYFUNCTION("""COMPUTED_VALUE"""),341.17)</f>
        <v>341.17</v>
      </c>
      <c r="I470" s="1">
        <f ca="1">IFERROR(__xludf.DUMMYFUNCTION("""COMPUTED_VALUE"""),163.51)</f>
        <v>163.51</v>
      </c>
      <c r="J470" s="1">
        <f ca="1">IFERROR(__xludf.DUMMYFUNCTION("""COMPUTED_VALUE"""),508.71)</f>
        <v>508.71</v>
      </c>
      <c r="K470" s="1">
        <f ca="1">IFERROR(__xludf.DUMMYFUNCTION("""COMPUTED_VALUE"""),55.78)</f>
        <v>55.78</v>
      </c>
      <c r="L470" s="1">
        <f ca="1">IFERROR(__xludf.DUMMYFUNCTION("""COMPUTED_VALUE"""),667.92)</f>
        <v>667.92</v>
      </c>
      <c r="M470" s="1">
        <f ca="1">IFERROR(__xludf.DUMMYFUNCTION("""COMPUTED_VALUE"""),655.99)</f>
        <v>655.99</v>
      </c>
    </row>
    <row r="471" spans="1:13" x14ac:dyDescent="0.25">
      <c r="A471" s="2">
        <f ca="1">IFERROR(__xludf.DUMMYFUNCTION("""COMPUTED_VALUE"""),44511.6666666666)</f>
        <v>44511.666666666599</v>
      </c>
      <c r="B471" s="1">
        <f ca="1">IFERROR(__xludf.DUMMYFUNCTION("""COMPUTED_VALUE"""),147.87)</f>
        <v>147.87</v>
      </c>
      <c r="C471" s="1">
        <f ca="1">IFERROR(__xludf.DUMMYFUNCTION("""COMPUTED_VALUE"""),330.8)</f>
        <v>330.8</v>
      </c>
      <c r="D471" s="1">
        <f ca="1">IFERROR(__xludf.DUMMYFUNCTION("""COMPUTED_VALUE"""),174.1)</f>
        <v>174.1</v>
      </c>
      <c r="E471" s="1">
        <f ca="1">IFERROR(__xludf.DUMMYFUNCTION("""COMPUTED_VALUE"""),29.46)</f>
        <v>29.46</v>
      </c>
      <c r="F471" s="1">
        <f ca="1">IFERROR(__xludf.DUMMYFUNCTION("""COMPUTED_VALUE"""),327.64)</f>
        <v>327.64</v>
      </c>
      <c r="G471" s="1">
        <f ca="1">IFERROR(__xludf.DUMMYFUNCTION("""COMPUTED_VALUE"""),146.63)</f>
        <v>146.63</v>
      </c>
      <c r="H471" s="1">
        <f ca="1">IFERROR(__xludf.DUMMYFUNCTION("""COMPUTED_VALUE"""),355.98)</f>
        <v>355.98</v>
      </c>
      <c r="I471" s="1">
        <f ca="1">IFERROR(__xludf.DUMMYFUNCTION("""COMPUTED_VALUE"""),164.04)</f>
        <v>164.04</v>
      </c>
      <c r="J471" s="1">
        <f ca="1">IFERROR(__xludf.DUMMYFUNCTION("""COMPUTED_VALUE"""),505.51)</f>
        <v>505.51</v>
      </c>
      <c r="K471" s="1">
        <f ca="1">IFERROR(__xludf.DUMMYFUNCTION("""COMPUTED_VALUE"""),54.88)</f>
        <v>54.88</v>
      </c>
      <c r="L471" s="1">
        <f ca="1">IFERROR(__xludf.DUMMYFUNCTION("""COMPUTED_VALUE"""),647.5)</f>
        <v>647.5</v>
      </c>
      <c r="M471" s="1">
        <f ca="1">IFERROR(__xludf.DUMMYFUNCTION("""COMPUTED_VALUE"""),646.91)</f>
        <v>646.91</v>
      </c>
    </row>
    <row r="472" spans="1:13" x14ac:dyDescent="0.25">
      <c r="A472" s="2">
        <f ca="1">IFERROR(__xludf.DUMMYFUNCTION("""COMPUTED_VALUE"""),44512.6666666666)</f>
        <v>44512.666666666599</v>
      </c>
      <c r="B472" s="1">
        <f ca="1">IFERROR(__xludf.DUMMYFUNCTION("""COMPUTED_VALUE"""),149.99)</f>
        <v>149.99</v>
      </c>
      <c r="C472" s="1">
        <f ca="1">IFERROR(__xludf.DUMMYFUNCTION("""COMPUTED_VALUE"""),332.43)</f>
        <v>332.43</v>
      </c>
      <c r="D472" s="1">
        <f ca="1">IFERROR(__xludf.DUMMYFUNCTION("""COMPUTED_VALUE"""),173.63)</f>
        <v>173.63</v>
      </c>
      <c r="E472" s="1">
        <f ca="1">IFERROR(__xludf.DUMMYFUNCTION("""COMPUTED_VALUE"""),30.39)</f>
        <v>30.39</v>
      </c>
      <c r="F472" s="1">
        <f ca="1">IFERROR(__xludf.DUMMYFUNCTION("""COMPUTED_VALUE"""),327.74)</f>
        <v>327.74</v>
      </c>
      <c r="G472" s="1">
        <f ca="1">IFERROR(__xludf.DUMMYFUNCTION("""COMPUTED_VALUE"""),146.75)</f>
        <v>146.75</v>
      </c>
      <c r="H472" s="1">
        <f ca="1">IFERROR(__xludf.DUMMYFUNCTION("""COMPUTED_VALUE"""),354.5)</f>
        <v>354.5</v>
      </c>
      <c r="I472" s="1">
        <f ca="1">IFERROR(__xludf.DUMMYFUNCTION("""COMPUTED_VALUE"""),162.69)</f>
        <v>162.69</v>
      </c>
      <c r="J472" s="1">
        <f ca="1">IFERROR(__xludf.DUMMYFUNCTION("""COMPUTED_VALUE"""),512.18)</f>
        <v>512.17999999999995</v>
      </c>
      <c r="K472" s="1">
        <f ca="1">IFERROR(__xludf.DUMMYFUNCTION("""COMPUTED_VALUE"""),55.54)</f>
        <v>55.54</v>
      </c>
      <c r="L472" s="1">
        <f ca="1">IFERROR(__xludf.DUMMYFUNCTION("""COMPUTED_VALUE"""),643.17)</f>
        <v>643.16999999999996</v>
      </c>
      <c r="M472" s="1">
        <f ca="1">IFERROR(__xludf.DUMMYFUNCTION("""COMPUTED_VALUE"""),657.58)</f>
        <v>657.58</v>
      </c>
    </row>
    <row r="473" spans="1:13" x14ac:dyDescent="0.25">
      <c r="A473" s="2">
        <f ca="1">IFERROR(__xludf.DUMMYFUNCTION("""COMPUTED_VALUE"""),44515.6666666666)</f>
        <v>44515.666666666599</v>
      </c>
      <c r="B473" s="1">
        <f ca="1">IFERROR(__xludf.DUMMYFUNCTION("""COMPUTED_VALUE"""),150)</f>
        <v>150</v>
      </c>
      <c r="C473" s="1">
        <f ca="1">IFERROR(__xludf.DUMMYFUNCTION("""COMPUTED_VALUE"""),336.72)</f>
        <v>336.72</v>
      </c>
      <c r="D473" s="1">
        <f ca="1">IFERROR(__xludf.DUMMYFUNCTION("""COMPUTED_VALUE"""),176.26)</f>
        <v>176.26</v>
      </c>
      <c r="E473" s="1">
        <f ca="1">IFERROR(__xludf.DUMMYFUNCTION("""COMPUTED_VALUE"""),30.39)</f>
        <v>30.39</v>
      </c>
      <c r="F473" s="1">
        <f ca="1">IFERROR(__xludf.DUMMYFUNCTION("""COMPUTED_VALUE"""),340.89)</f>
        <v>340.89</v>
      </c>
      <c r="G473" s="1">
        <f ca="1">IFERROR(__xludf.DUMMYFUNCTION("""COMPUTED_VALUE"""),149.65)</f>
        <v>149.65</v>
      </c>
      <c r="H473" s="1">
        <f ca="1">IFERROR(__xludf.DUMMYFUNCTION("""COMPUTED_VALUE"""),344.47)</f>
        <v>344.47</v>
      </c>
      <c r="I473" s="1">
        <f ca="1">IFERROR(__xludf.DUMMYFUNCTION("""COMPUTED_VALUE"""),162.65)</f>
        <v>162.65</v>
      </c>
      <c r="J473" s="1">
        <f ca="1">IFERROR(__xludf.DUMMYFUNCTION("""COMPUTED_VALUE"""),517.17)</f>
        <v>517.16999999999996</v>
      </c>
      <c r="K473" s="1">
        <f ca="1">IFERROR(__xludf.DUMMYFUNCTION("""COMPUTED_VALUE"""),56.32)</f>
        <v>56.32</v>
      </c>
      <c r="L473" s="1">
        <f ca="1">IFERROR(__xludf.DUMMYFUNCTION("""COMPUTED_VALUE"""),657.6)</f>
        <v>657.6</v>
      </c>
      <c r="M473" s="1">
        <f ca="1">IFERROR(__xludf.DUMMYFUNCTION("""COMPUTED_VALUE"""),682.61)</f>
        <v>682.61</v>
      </c>
    </row>
    <row r="474" spans="1:13" x14ac:dyDescent="0.25">
      <c r="A474" s="2">
        <f ca="1">IFERROR(__xludf.DUMMYFUNCTION("""COMPUTED_VALUE"""),44516.6666666666)</f>
        <v>44516.666666666599</v>
      </c>
      <c r="B474" s="1">
        <f ca="1">IFERROR(__xludf.DUMMYFUNCTION("""COMPUTED_VALUE"""),151)</f>
        <v>151</v>
      </c>
      <c r="C474" s="1">
        <f ca="1">IFERROR(__xludf.DUMMYFUNCTION("""COMPUTED_VALUE"""),336.07)</f>
        <v>336.07</v>
      </c>
      <c r="D474" s="1">
        <f ca="1">IFERROR(__xludf.DUMMYFUNCTION("""COMPUTED_VALUE"""),177.28)</f>
        <v>177.28</v>
      </c>
      <c r="E474" s="1">
        <f ca="1">IFERROR(__xludf.DUMMYFUNCTION("""COMPUTED_VALUE"""),30.03)</f>
        <v>30.03</v>
      </c>
      <c r="F474" s="1">
        <f ca="1">IFERROR(__xludf.DUMMYFUNCTION("""COMPUTED_VALUE"""),347.56)</f>
        <v>347.56</v>
      </c>
      <c r="G474" s="1">
        <f ca="1">IFERROR(__xludf.DUMMYFUNCTION("""COMPUTED_VALUE"""),149.39)</f>
        <v>149.38999999999999</v>
      </c>
      <c r="H474" s="1">
        <f ca="1">IFERROR(__xludf.DUMMYFUNCTION("""COMPUTED_VALUE"""),337.8)</f>
        <v>337.8</v>
      </c>
      <c r="I474" s="1">
        <f ca="1">IFERROR(__xludf.DUMMYFUNCTION("""COMPUTED_VALUE"""),163.8)</f>
        <v>163.80000000000001</v>
      </c>
      <c r="J474" s="1">
        <f ca="1">IFERROR(__xludf.DUMMYFUNCTION("""COMPUTED_VALUE"""),519.89)</f>
        <v>519.89</v>
      </c>
      <c r="K474" s="1">
        <f ca="1">IFERROR(__xludf.DUMMYFUNCTION("""COMPUTED_VALUE"""),56.58)</f>
        <v>56.58</v>
      </c>
      <c r="L474" s="1">
        <f ca="1">IFERROR(__xludf.DUMMYFUNCTION("""COMPUTED_VALUE"""),659.73)</f>
        <v>659.73</v>
      </c>
      <c r="M474" s="1">
        <f ca="1">IFERROR(__xludf.DUMMYFUNCTION("""COMPUTED_VALUE"""),679.33)</f>
        <v>679.33</v>
      </c>
    </row>
    <row r="475" spans="1:13" x14ac:dyDescent="0.25">
      <c r="A475" s="2">
        <f ca="1">IFERROR(__xludf.DUMMYFUNCTION("""COMPUTED_VALUE"""),44517.6666666666)</f>
        <v>44517.666666666599</v>
      </c>
      <c r="B475" s="1">
        <f ca="1">IFERROR(__xludf.DUMMYFUNCTION("""COMPUTED_VALUE"""),153.49)</f>
        <v>153.49</v>
      </c>
      <c r="C475" s="1">
        <f ca="1">IFERROR(__xludf.DUMMYFUNCTION("""COMPUTED_VALUE"""),339.51)</f>
        <v>339.51</v>
      </c>
      <c r="D475" s="1">
        <f ca="1">IFERROR(__xludf.DUMMYFUNCTION("""COMPUTED_VALUE"""),177.04)</f>
        <v>177.04</v>
      </c>
      <c r="E475" s="1">
        <f ca="1">IFERROR(__xludf.DUMMYFUNCTION("""COMPUTED_VALUE"""),30.2)</f>
        <v>30.2</v>
      </c>
      <c r="F475" s="1">
        <f ca="1">IFERROR(__xludf.DUMMYFUNCTION("""COMPUTED_VALUE"""),342.96)</f>
        <v>342.96</v>
      </c>
      <c r="G475" s="1">
        <f ca="1">IFERROR(__xludf.DUMMYFUNCTION("""COMPUTED_VALUE"""),149.08)</f>
        <v>149.08000000000001</v>
      </c>
      <c r="H475" s="1">
        <f ca="1">IFERROR(__xludf.DUMMYFUNCTION("""COMPUTED_VALUE"""),351.58)</f>
        <v>351.58</v>
      </c>
      <c r="I475" s="1">
        <f ca="1">IFERROR(__xludf.DUMMYFUNCTION("""COMPUTED_VALUE"""),163.31)</f>
        <v>163.31</v>
      </c>
      <c r="J475" s="1">
        <f ca="1">IFERROR(__xludf.DUMMYFUNCTION("""COMPUTED_VALUE"""),526.72)</f>
        <v>526.72</v>
      </c>
      <c r="K475" s="1">
        <f ca="1">IFERROR(__xludf.DUMMYFUNCTION("""COMPUTED_VALUE"""),56.88)</f>
        <v>56.88</v>
      </c>
      <c r="L475" s="1">
        <f ca="1">IFERROR(__xludf.DUMMYFUNCTION("""COMPUTED_VALUE"""),671.03)</f>
        <v>671.03</v>
      </c>
      <c r="M475" s="1">
        <f ca="1">IFERROR(__xludf.DUMMYFUNCTION("""COMPUTED_VALUE"""),687.4)</f>
        <v>687.4</v>
      </c>
    </row>
    <row r="476" spans="1:13" x14ac:dyDescent="0.25">
      <c r="A476" s="2">
        <f ca="1">IFERROR(__xludf.DUMMYFUNCTION("""COMPUTED_VALUE"""),44518.6666666666)</f>
        <v>44518.666666666599</v>
      </c>
      <c r="B476" s="1">
        <f ca="1">IFERROR(__xludf.DUMMYFUNCTION("""COMPUTED_VALUE"""),157.87)</f>
        <v>157.87</v>
      </c>
      <c r="C476" s="1">
        <f ca="1">IFERROR(__xludf.DUMMYFUNCTION("""COMPUTED_VALUE"""),339.12)</f>
        <v>339.12</v>
      </c>
      <c r="D476" s="1">
        <f ca="1">IFERROR(__xludf.DUMMYFUNCTION("""COMPUTED_VALUE"""),177.45)</f>
        <v>177.45</v>
      </c>
      <c r="E476" s="1">
        <f ca="1">IFERROR(__xludf.DUMMYFUNCTION("""COMPUTED_VALUE"""),29.26)</f>
        <v>29.26</v>
      </c>
      <c r="F476" s="1">
        <f ca="1">IFERROR(__xludf.DUMMYFUNCTION("""COMPUTED_VALUE"""),340.77)</f>
        <v>340.77</v>
      </c>
      <c r="G476" s="1">
        <f ca="1">IFERROR(__xludf.DUMMYFUNCTION("""COMPUTED_VALUE"""),149.06)</f>
        <v>149.06</v>
      </c>
      <c r="H476" s="1">
        <f ca="1">IFERROR(__xludf.DUMMYFUNCTION("""COMPUTED_VALUE"""),363)</f>
        <v>363</v>
      </c>
      <c r="I476" s="1">
        <f ca="1">IFERROR(__xludf.DUMMYFUNCTION("""COMPUTED_VALUE"""),163.37)</f>
        <v>163.37</v>
      </c>
      <c r="J476" s="1">
        <f ca="1">IFERROR(__xludf.DUMMYFUNCTION("""COMPUTED_VALUE"""),526.29)</f>
        <v>526.29</v>
      </c>
      <c r="K476" s="1">
        <f ca="1">IFERROR(__xludf.DUMMYFUNCTION("""COMPUTED_VALUE"""),56.96)</f>
        <v>56.96</v>
      </c>
      <c r="L476" s="1">
        <f ca="1">IFERROR(__xludf.DUMMYFUNCTION("""COMPUTED_VALUE"""),670.67)</f>
        <v>670.67</v>
      </c>
      <c r="M476" s="1">
        <f ca="1">IFERROR(__xludf.DUMMYFUNCTION("""COMPUTED_VALUE"""),691.69)</f>
        <v>691.69</v>
      </c>
    </row>
    <row r="477" spans="1:13" x14ac:dyDescent="0.25">
      <c r="A477" s="2">
        <f ca="1">IFERROR(__xludf.DUMMYFUNCTION("""COMPUTED_VALUE"""),44519.6666666666)</f>
        <v>44519.666666666599</v>
      </c>
      <c r="B477" s="1">
        <f ca="1">IFERROR(__xludf.DUMMYFUNCTION("""COMPUTED_VALUE"""),160.55)</f>
        <v>160.55000000000001</v>
      </c>
      <c r="C477" s="1">
        <f ca="1">IFERROR(__xludf.DUMMYFUNCTION("""COMPUTED_VALUE"""),341.27)</f>
        <v>341.27</v>
      </c>
      <c r="D477" s="1">
        <f ca="1">IFERROR(__xludf.DUMMYFUNCTION("""COMPUTED_VALUE"""),184.8)</f>
        <v>184.8</v>
      </c>
      <c r="E477" s="1">
        <f ca="1">IFERROR(__xludf.DUMMYFUNCTION("""COMPUTED_VALUE"""),31.68)</f>
        <v>31.68</v>
      </c>
      <c r="F477" s="1">
        <f ca="1">IFERROR(__xludf.DUMMYFUNCTION("""COMPUTED_VALUE"""),338.69)</f>
        <v>338.69</v>
      </c>
      <c r="G477" s="1">
        <f ca="1">IFERROR(__xludf.DUMMYFUNCTION("""COMPUTED_VALUE"""),150.71)</f>
        <v>150.71</v>
      </c>
      <c r="H477" s="1">
        <f ca="1">IFERROR(__xludf.DUMMYFUNCTION("""COMPUTED_VALUE"""),365.46)</f>
        <v>365.46</v>
      </c>
      <c r="I477" s="1">
        <f ca="1">IFERROR(__xludf.DUMMYFUNCTION("""COMPUTED_VALUE"""),163.42)</f>
        <v>163.41999999999999</v>
      </c>
      <c r="J477" s="1">
        <f ca="1">IFERROR(__xludf.DUMMYFUNCTION("""COMPUTED_VALUE"""),529.37)</f>
        <v>529.37</v>
      </c>
      <c r="K477" s="1">
        <f ca="1">IFERROR(__xludf.DUMMYFUNCTION("""COMPUTED_VALUE"""),57.48)</f>
        <v>57.48</v>
      </c>
      <c r="L477" s="1">
        <f ca="1">IFERROR(__xludf.DUMMYFUNCTION("""COMPUTED_VALUE"""),670.96)</f>
        <v>670.96</v>
      </c>
      <c r="M477" s="1">
        <f ca="1">IFERROR(__xludf.DUMMYFUNCTION("""COMPUTED_VALUE"""),682.02)</f>
        <v>682.02</v>
      </c>
    </row>
    <row r="478" spans="1:13" x14ac:dyDescent="0.25">
      <c r="A478" s="2">
        <f ca="1">IFERROR(__xludf.DUMMYFUNCTION("""COMPUTED_VALUE"""),44522.6666666666)</f>
        <v>44522.666666666599</v>
      </c>
      <c r="B478" s="1">
        <f ca="1">IFERROR(__xludf.DUMMYFUNCTION("""COMPUTED_VALUE"""),161.02)</f>
        <v>161.02000000000001</v>
      </c>
      <c r="C478" s="1">
        <f ca="1">IFERROR(__xludf.DUMMYFUNCTION("""COMPUTED_VALUE"""),343.11)</f>
        <v>343.11</v>
      </c>
      <c r="D478" s="1">
        <f ca="1">IFERROR(__xludf.DUMMYFUNCTION("""COMPUTED_VALUE"""),183.83)</f>
        <v>183.83</v>
      </c>
      <c r="E478" s="1">
        <f ca="1">IFERROR(__xludf.DUMMYFUNCTION("""COMPUTED_VALUE"""),32.99)</f>
        <v>32.99</v>
      </c>
      <c r="F478" s="1">
        <f ca="1">IFERROR(__xludf.DUMMYFUNCTION("""COMPUTED_VALUE"""),345.3)</f>
        <v>345.3</v>
      </c>
      <c r="G478" s="1">
        <f ca="1">IFERROR(__xludf.DUMMYFUNCTION("""COMPUTED_VALUE"""),149.95)</f>
        <v>149.94999999999999</v>
      </c>
      <c r="H478" s="1">
        <f ca="1">IFERROR(__xludf.DUMMYFUNCTION("""COMPUTED_VALUE"""),379.02)</f>
        <v>379.02</v>
      </c>
      <c r="I478" s="1">
        <f ca="1">IFERROR(__xludf.DUMMYFUNCTION("""COMPUTED_VALUE"""),163.81)</f>
        <v>163.81</v>
      </c>
      <c r="J478" s="1">
        <f ca="1">IFERROR(__xludf.DUMMYFUNCTION("""COMPUTED_VALUE"""),533.79)</f>
        <v>533.79</v>
      </c>
      <c r="K478" s="1">
        <f ca="1">IFERROR(__xludf.DUMMYFUNCTION("""COMPUTED_VALUE"""),56.87)</f>
        <v>56.87</v>
      </c>
      <c r="L478" s="1">
        <f ca="1">IFERROR(__xludf.DUMMYFUNCTION("""COMPUTED_VALUE"""),688.37)</f>
        <v>688.37</v>
      </c>
      <c r="M478" s="1">
        <f ca="1">IFERROR(__xludf.DUMMYFUNCTION("""COMPUTED_VALUE"""),678.8)</f>
        <v>678.8</v>
      </c>
    </row>
    <row r="479" spans="1:13" x14ac:dyDescent="0.25">
      <c r="A479" s="2">
        <f ca="1">IFERROR(__xludf.DUMMYFUNCTION("""COMPUTED_VALUE"""),44523.6666666666)</f>
        <v>44523.666666666599</v>
      </c>
      <c r="B479" s="1">
        <f ca="1">IFERROR(__xludf.DUMMYFUNCTION("""COMPUTED_VALUE"""),161.41)</f>
        <v>161.41</v>
      </c>
      <c r="C479" s="1">
        <f ca="1">IFERROR(__xludf.DUMMYFUNCTION("""COMPUTED_VALUE"""),339.83)</f>
        <v>339.83</v>
      </c>
      <c r="D479" s="1">
        <f ca="1">IFERROR(__xludf.DUMMYFUNCTION("""COMPUTED_VALUE"""),178.63)</f>
        <v>178.63</v>
      </c>
      <c r="E479" s="1">
        <f ca="1">IFERROR(__xludf.DUMMYFUNCTION("""COMPUTED_VALUE"""),31.96)</f>
        <v>31.96</v>
      </c>
      <c r="F479" s="1">
        <f ca="1">IFERROR(__xludf.DUMMYFUNCTION("""COMPUTED_VALUE"""),341.01)</f>
        <v>341.01</v>
      </c>
      <c r="G479" s="1">
        <f ca="1">IFERROR(__xludf.DUMMYFUNCTION("""COMPUTED_VALUE"""),147.08)</f>
        <v>147.08000000000001</v>
      </c>
      <c r="H479" s="1">
        <f ca="1">IFERROR(__xludf.DUMMYFUNCTION("""COMPUTED_VALUE"""),385.62)</f>
        <v>385.62</v>
      </c>
      <c r="I479" s="1">
        <f ca="1">IFERROR(__xludf.DUMMYFUNCTION("""COMPUTED_VALUE"""),164.15)</f>
        <v>164.15</v>
      </c>
      <c r="J479" s="1">
        <f ca="1">IFERROR(__xludf.DUMMYFUNCTION("""COMPUTED_VALUE"""),539.65)</f>
        <v>539.65</v>
      </c>
      <c r="K479" s="1">
        <f ca="1">IFERROR(__xludf.DUMMYFUNCTION("""COMPUTED_VALUE"""),55.33)</f>
        <v>55.33</v>
      </c>
      <c r="L479" s="1">
        <f ca="1">IFERROR(__xludf.DUMMYFUNCTION("""COMPUTED_VALUE"""),673.57)</f>
        <v>673.57</v>
      </c>
      <c r="M479" s="1">
        <f ca="1">IFERROR(__xludf.DUMMYFUNCTION("""COMPUTED_VALUE"""),659.2)</f>
        <v>659.2</v>
      </c>
    </row>
    <row r="480" spans="1:13" x14ac:dyDescent="0.25">
      <c r="A480" s="2">
        <f ca="1">IFERROR(__xludf.DUMMYFUNCTION("""COMPUTED_VALUE"""),44524.6666666666)</f>
        <v>44524.666666666599</v>
      </c>
      <c r="B480" s="1">
        <f ca="1">IFERROR(__xludf.DUMMYFUNCTION("""COMPUTED_VALUE"""),161.94)</f>
        <v>161.94</v>
      </c>
      <c r="C480" s="1">
        <f ca="1">IFERROR(__xludf.DUMMYFUNCTION("""COMPUTED_VALUE"""),337.68)</f>
        <v>337.68</v>
      </c>
      <c r="D480" s="1">
        <f ca="1">IFERROR(__xludf.DUMMYFUNCTION("""COMPUTED_VALUE"""),179)</f>
        <v>179</v>
      </c>
      <c r="E480" s="1">
        <f ca="1">IFERROR(__xludf.DUMMYFUNCTION("""COMPUTED_VALUE"""),31.75)</f>
        <v>31.75</v>
      </c>
      <c r="F480" s="1">
        <f ca="1">IFERROR(__xludf.DUMMYFUNCTION("""COMPUTED_VALUE"""),337.25)</f>
        <v>337.25</v>
      </c>
      <c r="G480" s="1">
        <f ca="1">IFERROR(__xludf.DUMMYFUNCTION("""COMPUTED_VALUE"""),146.76)</f>
        <v>146.76</v>
      </c>
      <c r="H480" s="1">
        <f ca="1">IFERROR(__xludf.DUMMYFUNCTION("""COMPUTED_VALUE"""),369.68)</f>
        <v>369.68</v>
      </c>
      <c r="I480" s="1">
        <f ca="1">IFERROR(__xludf.DUMMYFUNCTION("""COMPUTED_VALUE"""),165.25)</f>
        <v>165.25</v>
      </c>
      <c r="J480" s="1">
        <f ca="1">IFERROR(__xludf.DUMMYFUNCTION("""COMPUTED_VALUE"""),545.26)</f>
        <v>545.26</v>
      </c>
      <c r="K480" s="1">
        <f ca="1">IFERROR(__xludf.DUMMYFUNCTION("""COMPUTED_VALUE"""),55.51)</f>
        <v>55.51</v>
      </c>
      <c r="L480" s="1">
        <f ca="1">IFERROR(__xludf.DUMMYFUNCTION("""COMPUTED_VALUE"""),665.16)</f>
        <v>665.16</v>
      </c>
      <c r="M480" s="1">
        <f ca="1">IFERROR(__xludf.DUMMYFUNCTION("""COMPUTED_VALUE"""),654.06)</f>
        <v>654.05999999999995</v>
      </c>
    </row>
    <row r="481" spans="1:13" x14ac:dyDescent="0.25">
      <c r="A481" s="2">
        <f ca="1">IFERROR(__xludf.DUMMYFUNCTION("""COMPUTED_VALUE"""),44526.5416666666)</f>
        <v>44526.541666666599</v>
      </c>
      <c r="B481" s="1">
        <f ca="1">IFERROR(__xludf.DUMMYFUNCTION("""COMPUTED_VALUE"""),156.81)</f>
        <v>156.81</v>
      </c>
      <c r="C481" s="1">
        <f ca="1">IFERROR(__xludf.DUMMYFUNCTION("""COMPUTED_VALUE"""),337.91)</f>
        <v>337.91</v>
      </c>
      <c r="D481" s="1">
        <f ca="1">IFERROR(__xludf.DUMMYFUNCTION("""COMPUTED_VALUE"""),179.02)</f>
        <v>179.02</v>
      </c>
      <c r="E481" s="1">
        <f ca="1">IFERROR(__xludf.DUMMYFUNCTION("""COMPUTED_VALUE"""),32.67)</f>
        <v>32.67</v>
      </c>
      <c r="F481" s="1">
        <f ca="1">IFERROR(__xludf.DUMMYFUNCTION("""COMPUTED_VALUE"""),341.06)</f>
        <v>341.06</v>
      </c>
      <c r="G481" s="1">
        <f ca="1">IFERROR(__xludf.DUMMYFUNCTION("""COMPUTED_VALUE"""),146.72)</f>
        <v>146.72</v>
      </c>
      <c r="H481" s="1">
        <f ca="1">IFERROR(__xludf.DUMMYFUNCTION("""COMPUTED_VALUE"""),372)</f>
        <v>372</v>
      </c>
      <c r="I481" s="1">
        <f ca="1">IFERROR(__xludf.DUMMYFUNCTION("""COMPUTED_VALUE"""),163.74)</f>
        <v>163.74</v>
      </c>
      <c r="J481" s="1">
        <f ca="1">IFERROR(__xludf.DUMMYFUNCTION("""COMPUTED_VALUE"""),549.73)</f>
        <v>549.73</v>
      </c>
      <c r="K481" s="1">
        <f ca="1">IFERROR(__xludf.DUMMYFUNCTION("""COMPUTED_VALUE"""),55.87)</f>
        <v>55.87</v>
      </c>
      <c r="L481" s="1">
        <f ca="1">IFERROR(__xludf.DUMMYFUNCTION("""COMPUTED_VALUE"""),668.32)</f>
        <v>668.32</v>
      </c>
      <c r="M481" s="1">
        <f ca="1">IFERROR(__xludf.DUMMYFUNCTION("""COMPUTED_VALUE"""),658.29)</f>
        <v>658.29</v>
      </c>
    </row>
    <row r="482" spans="1:13" x14ac:dyDescent="0.25">
      <c r="A482" s="2">
        <f ca="1">IFERROR(__xludf.DUMMYFUNCTION("""COMPUTED_VALUE"""),44529.6666666666)</f>
        <v>44529.666666666599</v>
      </c>
      <c r="B482" s="1">
        <f ca="1">IFERROR(__xludf.DUMMYFUNCTION("""COMPUTED_VALUE"""),160.24)</f>
        <v>160.24</v>
      </c>
      <c r="C482" s="1">
        <f ca="1">IFERROR(__xludf.DUMMYFUNCTION("""COMPUTED_VALUE"""),329.68)</f>
        <v>329.68</v>
      </c>
      <c r="D482" s="1">
        <f ca="1">IFERROR(__xludf.DUMMYFUNCTION("""COMPUTED_VALUE"""),175.23)</f>
        <v>175.23</v>
      </c>
      <c r="E482" s="1">
        <f ca="1">IFERROR(__xludf.DUMMYFUNCTION("""COMPUTED_VALUE"""),31.5)</f>
        <v>31.5</v>
      </c>
      <c r="F482" s="1">
        <f ca="1">IFERROR(__xludf.DUMMYFUNCTION("""COMPUTED_VALUE"""),333.12)</f>
        <v>333.12</v>
      </c>
      <c r="G482" s="1">
        <f ca="1">IFERROR(__xludf.DUMMYFUNCTION("""COMPUTED_VALUE"""),142.81)</f>
        <v>142.81</v>
      </c>
      <c r="H482" s="1">
        <f ca="1">IFERROR(__xludf.DUMMYFUNCTION("""COMPUTED_VALUE"""),360.64)</f>
        <v>360.64</v>
      </c>
      <c r="I482" s="1">
        <f ca="1">IFERROR(__xludf.DUMMYFUNCTION("""COMPUTED_VALUE"""),161.14)</f>
        <v>161.13999999999999</v>
      </c>
      <c r="J482" s="1">
        <f ca="1">IFERROR(__xludf.DUMMYFUNCTION("""COMPUTED_VALUE"""),546.13)</f>
        <v>546.13</v>
      </c>
      <c r="K482" s="1">
        <f ca="1">IFERROR(__xludf.DUMMYFUNCTION("""COMPUTED_VALUE"""),54.66)</f>
        <v>54.66</v>
      </c>
      <c r="L482" s="1">
        <f ca="1">IFERROR(__xludf.DUMMYFUNCTION("""COMPUTED_VALUE"""),662.1)</f>
        <v>662.1</v>
      </c>
      <c r="M482" s="1">
        <f ca="1">IFERROR(__xludf.DUMMYFUNCTION("""COMPUTED_VALUE"""),665.64)</f>
        <v>665.64</v>
      </c>
    </row>
    <row r="483" spans="1:13" x14ac:dyDescent="0.25">
      <c r="A483" s="2">
        <f ca="1">IFERROR(__xludf.DUMMYFUNCTION("""COMPUTED_VALUE"""),44530.6666666666)</f>
        <v>44530.666666666599</v>
      </c>
      <c r="B483" s="1">
        <f ca="1">IFERROR(__xludf.DUMMYFUNCTION("""COMPUTED_VALUE"""),165.3)</f>
        <v>165.3</v>
      </c>
      <c r="C483" s="1">
        <f ca="1">IFERROR(__xludf.DUMMYFUNCTION("""COMPUTED_VALUE"""),336.63)</f>
        <v>336.63</v>
      </c>
      <c r="D483" s="1">
        <f ca="1">IFERROR(__xludf.DUMMYFUNCTION("""COMPUTED_VALUE"""),178.08)</f>
        <v>178.08</v>
      </c>
      <c r="E483" s="1">
        <f ca="1">IFERROR(__xludf.DUMMYFUNCTION("""COMPUTED_VALUE"""),33.38)</f>
        <v>33.380000000000003</v>
      </c>
      <c r="F483" s="1">
        <f ca="1">IFERROR(__xludf.DUMMYFUNCTION("""COMPUTED_VALUE"""),338.03)</f>
        <v>338.03</v>
      </c>
      <c r="G483" s="1">
        <f ca="1">IFERROR(__xludf.DUMMYFUNCTION("""COMPUTED_VALUE"""),146.11)</f>
        <v>146.11000000000001</v>
      </c>
      <c r="H483" s="1">
        <f ca="1">IFERROR(__xludf.DUMMYFUNCTION("""COMPUTED_VALUE"""),379)</f>
        <v>379</v>
      </c>
      <c r="I483" s="1">
        <f ca="1">IFERROR(__xludf.DUMMYFUNCTION("""COMPUTED_VALUE"""),164.14)</f>
        <v>164.14</v>
      </c>
      <c r="J483" s="1">
        <f ca="1">IFERROR(__xludf.DUMMYFUNCTION("""COMPUTED_VALUE"""),554.88)</f>
        <v>554.88</v>
      </c>
      <c r="K483" s="1">
        <f ca="1">IFERROR(__xludf.DUMMYFUNCTION("""COMPUTED_VALUE"""),56.43)</f>
        <v>56.43</v>
      </c>
      <c r="L483" s="1">
        <f ca="1">IFERROR(__xludf.DUMMYFUNCTION("""COMPUTED_VALUE"""),687.49)</f>
        <v>687.49</v>
      </c>
      <c r="M483" s="1">
        <f ca="1">IFERROR(__xludf.DUMMYFUNCTION("""COMPUTED_VALUE"""),663.84)</f>
        <v>663.84</v>
      </c>
    </row>
    <row r="484" spans="1:13" x14ac:dyDescent="0.25">
      <c r="A484" s="2">
        <f ca="1">IFERROR(__xludf.DUMMYFUNCTION("""COMPUTED_VALUE"""),44531.6666666666)</f>
        <v>44531.666666666599</v>
      </c>
      <c r="B484" s="1">
        <f ca="1">IFERROR(__xludf.DUMMYFUNCTION("""COMPUTED_VALUE"""),164.77)</f>
        <v>164.77</v>
      </c>
      <c r="C484" s="1">
        <f ca="1">IFERROR(__xludf.DUMMYFUNCTION("""COMPUTED_VALUE"""),330.59)</f>
        <v>330.59</v>
      </c>
      <c r="D484" s="1">
        <f ca="1">IFERROR(__xludf.DUMMYFUNCTION("""COMPUTED_VALUE"""),175.35)</f>
        <v>175.35</v>
      </c>
      <c r="E484" s="1">
        <f ca="1">IFERROR(__xludf.DUMMYFUNCTION("""COMPUTED_VALUE"""),32.68)</f>
        <v>32.68</v>
      </c>
      <c r="F484" s="1">
        <f ca="1">IFERROR(__xludf.DUMMYFUNCTION("""COMPUTED_VALUE"""),324.46)</f>
        <v>324.45999999999998</v>
      </c>
      <c r="G484" s="1">
        <f ca="1">IFERROR(__xludf.DUMMYFUNCTION("""COMPUTED_VALUE"""),142.45)</f>
        <v>142.44999999999999</v>
      </c>
      <c r="H484" s="1">
        <f ca="1">IFERROR(__xludf.DUMMYFUNCTION("""COMPUTED_VALUE"""),381.59)</f>
        <v>381.59</v>
      </c>
      <c r="I484" s="1">
        <f ca="1">IFERROR(__xludf.DUMMYFUNCTION("""COMPUTED_VALUE"""),159.78)</f>
        <v>159.78</v>
      </c>
      <c r="J484" s="1">
        <f ca="1">IFERROR(__xludf.DUMMYFUNCTION("""COMPUTED_VALUE"""),539.38)</f>
        <v>539.38</v>
      </c>
      <c r="K484" s="1">
        <f ca="1">IFERROR(__xludf.DUMMYFUNCTION("""COMPUTED_VALUE"""),55.37)</f>
        <v>55.37</v>
      </c>
      <c r="L484" s="1">
        <f ca="1">IFERROR(__xludf.DUMMYFUNCTION("""COMPUTED_VALUE"""),669.85)</f>
        <v>669.85</v>
      </c>
      <c r="M484" s="1">
        <f ca="1">IFERROR(__xludf.DUMMYFUNCTION("""COMPUTED_VALUE"""),641.9)</f>
        <v>641.9</v>
      </c>
    </row>
    <row r="485" spans="1:13" x14ac:dyDescent="0.25">
      <c r="A485" s="2">
        <f ca="1">IFERROR(__xludf.DUMMYFUNCTION("""COMPUTED_VALUE"""),44532.6666666666)</f>
        <v>44532.666666666599</v>
      </c>
      <c r="B485" s="1">
        <f ca="1">IFERROR(__xludf.DUMMYFUNCTION("""COMPUTED_VALUE"""),163.76)</f>
        <v>163.76</v>
      </c>
      <c r="C485" s="1">
        <f ca="1">IFERROR(__xludf.DUMMYFUNCTION("""COMPUTED_VALUE"""),330.08)</f>
        <v>330.08</v>
      </c>
      <c r="D485" s="1">
        <f ca="1">IFERROR(__xludf.DUMMYFUNCTION("""COMPUTED_VALUE"""),172.19)</f>
        <v>172.19</v>
      </c>
      <c r="E485" s="1">
        <f ca="1">IFERROR(__xludf.DUMMYFUNCTION("""COMPUTED_VALUE"""),31.44)</f>
        <v>31.44</v>
      </c>
      <c r="F485" s="1">
        <f ca="1">IFERROR(__xludf.DUMMYFUNCTION("""COMPUTED_VALUE"""),310.6)</f>
        <v>310.60000000000002</v>
      </c>
      <c r="G485" s="1">
        <f ca="1">IFERROR(__xludf.DUMMYFUNCTION("""COMPUTED_VALUE"""),141.62)</f>
        <v>141.62</v>
      </c>
      <c r="H485" s="1">
        <f ca="1">IFERROR(__xludf.DUMMYFUNCTION("""COMPUTED_VALUE"""),365)</f>
        <v>365</v>
      </c>
      <c r="I485" s="1">
        <f ca="1">IFERROR(__xludf.DUMMYFUNCTION("""COMPUTED_VALUE"""),160.16)</f>
        <v>160.16</v>
      </c>
      <c r="J485" s="1">
        <f ca="1">IFERROR(__xludf.DUMMYFUNCTION("""COMPUTED_VALUE"""),529.84)</f>
        <v>529.84</v>
      </c>
      <c r="K485" s="1">
        <f ca="1">IFERROR(__xludf.DUMMYFUNCTION("""COMPUTED_VALUE"""),55.48)</f>
        <v>55.48</v>
      </c>
      <c r="L485" s="1">
        <f ca="1">IFERROR(__xludf.DUMMYFUNCTION("""COMPUTED_VALUE"""),657.41)</f>
        <v>657.41</v>
      </c>
      <c r="M485" s="1">
        <f ca="1">IFERROR(__xludf.DUMMYFUNCTION("""COMPUTED_VALUE"""),617.77)</f>
        <v>617.77</v>
      </c>
    </row>
    <row r="486" spans="1:13" x14ac:dyDescent="0.25">
      <c r="A486" s="2">
        <f ca="1">IFERROR(__xludf.DUMMYFUNCTION("""COMPUTED_VALUE"""),44533.6666666666)</f>
        <v>44533.666666666599</v>
      </c>
      <c r="B486" s="1">
        <f ca="1">IFERROR(__xludf.DUMMYFUNCTION("""COMPUTED_VALUE"""),161.84)</f>
        <v>161.84</v>
      </c>
      <c r="C486" s="1">
        <f ca="1">IFERROR(__xludf.DUMMYFUNCTION("""COMPUTED_VALUE"""),329.49)</f>
        <v>329.49</v>
      </c>
      <c r="D486" s="1">
        <f ca="1">IFERROR(__xludf.DUMMYFUNCTION("""COMPUTED_VALUE"""),171.87)</f>
        <v>171.87</v>
      </c>
      <c r="E486" s="1">
        <f ca="1">IFERROR(__xludf.DUMMYFUNCTION("""COMPUTED_VALUE"""),32.13)</f>
        <v>32.130000000000003</v>
      </c>
      <c r="F486" s="1">
        <f ca="1">IFERROR(__xludf.DUMMYFUNCTION("""COMPUTED_VALUE"""),310.39)</f>
        <v>310.39</v>
      </c>
      <c r="G486" s="1">
        <f ca="1">IFERROR(__xludf.DUMMYFUNCTION("""COMPUTED_VALUE"""),143.78)</f>
        <v>143.78</v>
      </c>
      <c r="H486" s="1">
        <f ca="1">IFERROR(__xludf.DUMMYFUNCTION("""COMPUTED_VALUE"""),361.53)</f>
        <v>361.53</v>
      </c>
      <c r="I486" s="1">
        <f ca="1">IFERROR(__xludf.DUMMYFUNCTION("""COMPUTED_VALUE"""),160.62)</f>
        <v>160.62</v>
      </c>
      <c r="J486" s="1">
        <f ca="1">IFERROR(__xludf.DUMMYFUNCTION("""COMPUTED_VALUE"""),525.51)</f>
        <v>525.51</v>
      </c>
      <c r="K486" s="1">
        <f ca="1">IFERROR(__xludf.DUMMYFUNCTION("""COMPUTED_VALUE"""),55.25)</f>
        <v>55.25</v>
      </c>
      <c r="L486" s="1">
        <f ca="1">IFERROR(__xludf.DUMMYFUNCTION("""COMPUTED_VALUE"""),671.88)</f>
        <v>671.88</v>
      </c>
      <c r="M486" s="1">
        <f ca="1">IFERROR(__xludf.DUMMYFUNCTION("""COMPUTED_VALUE"""),616.47)</f>
        <v>616.47</v>
      </c>
    </row>
    <row r="487" spans="1:13" x14ac:dyDescent="0.25">
      <c r="A487" s="2">
        <f ca="1">IFERROR(__xludf.DUMMYFUNCTION("""COMPUTED_VALUE"""),44536.6666666666)</f>
        <v>44536.666666666599</v>
      </c>
      <c r="B487" s="1">
        <f ca="1">IFERROR(__xludf.DUMMYFUNCTION("""COMPUTED_VALUE"""),165.32)</f>
        <v>165.32</v>
      </c>
      <c r="C487" s="1">
        <f ca="1">IFERROR(__xludf.DUMMYFUNCTION("""COMPUTED_VALUE"""),323.01)</f>
        <v>323.01</v>
      </c>
      <c r="D487" s="1">
        <f ca="1">IFERROR(__xludf.DUMMYFUNCTION("""COMPUTED_VALUE"""),169.49)</f>
        <v>169.49</v>
      </c>
      <c r="E487" s="1">
        <f ca="1">IFERROR(__xludf.DUMMYFUNCTION("""COMPUTED_VALUE"""),30.69)</f>
        <v>30.69</v>
      </c>
      <c r="F487" s="1">
        <f ca="1">IFERROR(__xludf.DUMMYFUNCTION("""COMPUTED_VALUE"""),306.84)</f>
        <v>306.83999999999997</v>
      </c>
      <c r="G487" s="1">
        <f ca="1">IFERROR(__xludf.DUMMYFUNCTION("""COMPUTED_VALUE"""),142.52)</f>
        <v>142.52000000000001</v>
      </c>
      <c r="H487" s="1">
        <f ca="1">IFERROR(__xludf.DUMMYFUNCTION("""COMPUTED_VALUE"""),338.32)</f>
        <v>338.32</v>
      </c>
      <c r="I487" s="1">
        <f ca="1">IFERROR(__xludf.DUMMYFUNCTION("""COMPUTED_VALUE"""),164.71)</f>
        <v>164.71</v>
      </c>
      <c r="J487" s="1">
        <f ca="1">IFERROR(__xludf.DUMMYFUNCTION("""COMPUTED_VALUE"""),528.93)</f>
        <v>528.92999999999995</v>
      </c>
      <c r="K487" s="1">
        <f ca="1">IFERROR(__xludf.DUMMYFUNCTION("""COMPUTED_VALUE"""),55.81)</f>
        <v>55.81</v>
      </c>
      <c r="L487" s="1">
        <f ca="1">IFERROR(__xludf.DUMMYFUNCTION("""COMPUTED_VALUE"""),616.53)</f>
        <v>616.53</v>
      </c>
      <c r="M487" s="1">
        <f ca="1">IFERROR(__xludf.DUMMYFUNCTION("""COMPUTED_VALUE"""),602.13)</f>
        <v>602.13</v>
      </c>
    </row>
    <row r="488" spans="1:13" x14ac:dyDescent="0.25">
      <c r="A488" s="2">
        <f ca="1">IFERROR(__xludf.DUMMYFUNCTION("""COMPUTED_VALUE"""),44537.6666666666)</f>
        <v>44537.666666666599</v>
      </c>
      <c r="B488" s="1">
        <f ca="1">IFERROR(__xludf.DUMMYFUNCTION("""COMPUTED_VALUE"""),171.18)</f>
        <v>171.18</v>
      </c>
      <c r="C488" s="1">
        <f ca="1">IFERROR(__xludf.DUMMYFUNCTION("""COMPUTED_VALUE"""),326.19)</f>
        <v>326.19</v>
      </c>
      <c r="D488" s="1">
        <f ca="1">IFERROR(__xludf.DUMMYFUNCTION("""COMPUTED_VALUE"""),171.37)</f>
        <v>171.37</v>
      </c>
      <c r="E488" s="1">
        <f ca="1">IFERROR(__xludf.DUMMYFUNCTION("""COMPUTED_VALUE"""),30.04)</f>
        <v>30.04</v>
      </c>
      <c r="F488" s="1">
        <f ca="1">IFERROR(__xludf.DUMMYFUNCTION("""COMPUTED_VALUE"""),317.87)</f>
        <v>317.87</v>
      </c>
      <c r="G488" s="1">
        <f ca="1">IFERROR(__xludf.DUMMYFUNCTION("""COMPUTED_VALUE"""),143.8)</f>
        <v>143.80000000000001</v>
      </c>
      <c r="H488" s="1">
        <f ca="1">IFERROR(__xludf.DUMMYFUNCTION("""COMPUTED_VALUE"""),336.34)</f>
        <v>336.34</v>
      </c>
      <c r="I488" s="1">
        <f ca="1">IFERROR(__xludf.DUMMYFUNCTION("""COMPUTED_VALUE"""),166.42)</f>
        <v>166.42</v>
      </c>
      <c r="J488" s="1">
        <f ca="1">IFERROR(__xludf.DUMMYFUNCTION("""COMPUTED_VALUE"""),533.2)</f>
        <v>533.20000000000005</v>
      </c>
      <c r="K488" s="1">
        <f ca="1">IFERROR(__xludf.DUMMYFUNCTION("""COMPUTED_VALUE"""),56.5)</f>
        <v>56.5</v>
      </c>
      <c r="L488" s="1">
        <f ca="1">IFERROR(__xludf.DUMMYFUNCTION("""COMPUTED_VALUE"""),622.04)</f>
        <v>622.04</v>
      </c>
      <c r="M488" s="1">
        <f ca="1">IFERROR(__xludf.DUMMYFUNCTION("""COMPUTED_VALUE"""),612.69)</f>
        <v>612.69000000000005</v>
      </c>
    </row>
    <row r="489" spans="1:13" x14ac:dyDescent="0.25">
      <c r="A489" s="2">
        <f ca="1">IFERROR(__xludf.DUMMYFUNCTION("""COMPUTED_VALUE"""),44538.6666666666)</f>
        <v>44538.666666666599</v>
      </c>
      <c r="B489" s="1">
        <f ca="1">IFERROR(__xludf.DUMMYFUNCTION("""COMPUTED_VALUE"""),175.08)</f>
        <v>175.08</v>
      </c>
      <c r="C489" s="1">
        <f ca="1">IFERROR(__xludf.DUMMYFUNCTION("""COMPUTED_VALUE"""),334.92)</f>
        <v>334.92</v>
      </c>
      <c r="D489" s="1">
        <f ca="1">IFERROR(__xludf.DUMMYFUNCTION("""COMPUTED_VALUE"""),176.16)</f>
        <v>176.16</v>
      </c>
      <c r="E489" s="1">
        <f ca="1">IFERROR(__xludf.DUMMYFUNCTION("""COMPUTED_VALUE"""),32.43)</f>
        <v>32.43</v>
      </c>
      <c r="F489" s="1">
        <f ca="1">IFERROR(__xludf.DUMMYFUNCTION("""COMPUTED_VALUE"""),322.81)</f>
        <v>322.81</v>
      </c>
      <c r="G489" s="1">
        <f ca="1">IFERROR(__xludf.DUMMYFUNCTION("""COMPUTED_VALUE"""),148.04)</f>
        <v>148.04</v>
      </c>
      <c r="H489" s="1">
        <f ca="1">IFERROR(__xludf.DUMMYFUNCTION("""COMPUTED_VALUE"""),350.58)</f>
        <v>350.58</v>
      </c>
      <c r="I489" s="1">
        <f ca="1">IFERROR(__xludf.DUMMYFUNCTION("""COMPUTED_VALUE"""),166.23)</f>
        <v>166.23</v>
      </c>
      <c r="J489" s="1">
        <f ca="1">IFERROR(__xludf.DUMMYFUNCTION("""COMPUTED_VALUE"""),542.02)</f>
        <v>542.02</v>
      </c>
      <c r="K489" s="1">
        <f ca="1">IFERROR(__xludf.DUMMYFUNCTION("""COMPUTED_VALUE"""),59.04)</f>
        <v>59.04</v>
      </c>
      <c r="L489" s="1">
        <f ca="1">IFERROR(__xludf.DUMMYFUNCTION("""COMPUTED_VALUE"""),649.96)</f>
        <v>649.96</v>
      </c>
      <c r="M489" s="1">
        <f ca="1">IFERROR(__xludf.DUMMYFUNCTION("""COMPUTED_VALUE"""),625.58)</f>
        <v>625.58000000000004</v>
      </c>
    </row>
    <row r="490" spans="1:13" x14ac:dyDescent="0.25">
      <c r="A490" s="2">
        <f ca="1">IFERROR(__xludf.DUMMYFUNCTION("""COMPUTED_VALUE"""),44539.6666666666)</f>
        <v>44539.666666666599</v>
      </c>
      <c r="B490" s="1">
        <f ca="1">IFERROR(__xludf.DUMMYFUNCTION("""COMPUTED_VALUE"""),174.56)</f>
        <v>174.56</v>
      </c>
      <c r="C490" s="1">
        <f ca="1">IFERROR(__xludf.DUMMYFUNCTION("""COMPUTED_VALUE"""),334.97)</f>
        <v>334.97</v>
      </c>
      <c r="D490" s="1">
        <f ca="1">IFERROR(__xludf.DUMMYFUNCTION("""COMPUTED_VALUE"""),176.16)</f>
        <v>176.16</v>
      </c>
      <c r="E490" s="1">
        <f ca="1">IFERROR(__xludf.DUMMYFUNCTION("""COMPUTED_VALUE"""),31.83)</f>
        <v>31.83</v>
      </c>
      <c r="F490" s="1">
        <f ca="1">IFERROR(__xludf.DUMMYFUNCTION("""COMPUTED_VALUE"""),330.56)</f>
        <v>330.56</v>
      </c>
      <c r="G490" s="1">
        <f ca="1">IFERROR(__xludf.DUMMYFUNCTION("""COMPUTED_VALUE"""),148.72)</f>
        <v>148.72</v>
      </c>
      <c r="H490" s="1">
        <f ca="1">IFERROR(__xludf.DUMMYFUNCTION("""COMPUTED_VALUE"""),356.32)</f>
        <v>356.32</v>
      </c>
      <c r="I490" s="1">
        <f ca="1">IFERROR(__xludf.DUMMYFUNCTION("""COMPUTED_VALUE"""),166.52)</f>
        <v>166.52</v>
      </c>
      <c r="J490" s="1">
        <f ca="1">IFERROR(__xludf.DUMMYFUNCTION("""COMPUTED_VALUE"""),530.11)</f>
        <v>530.11</v>
      </c>
      <c r="K490" s="1">
        <f ca="1">IFERROR(__xludf.DUMMYFUNCTION("""COMPUTED_VALUE"""),58.86)</f>
        <v>58.86</v>
      </c>
      <c r="L490" s="1">
        <f ca="1">IFERROR(__xludf.DUMMYFUNCTION("""COMPUTED_VALUE"""),653.1)</f>
        <v>653.1</v>
      </c>
      <c r="M490" s="1">
        <f ca="1">IFERROR(__xludf.DUMMYFUNCTION("""COMPUTED_VALUE"""),628.08)</f>
        <v>628.08000000000004</v>
      </c>
    </row>
    <row r="491" spans="1:13" x14ac:dyDescent="0.25">
      <c r="A491" s="2">
        <f ca="1">IFERROR(__xludf.DUMMYFUNCTION("""COMPUTED_VALUE"""),44540.6666666666)</f>
        <v>44540.666666666599</v>
      </c>
      <c r="B491" s="1">
        <f ca="1">IFERROR(__xludf.DUMMYFUNCTION("""COMPUTED_VALUE"""),179.45)</f>
        <v>179.45</v>
      </c>
      <c r="C491" s="1">
        <f ca="1">IFERROR(__xludf.DUMMYFUNCTION("""COMPUTED_VALUE"""),333.1)</f>
        <v>333.1</v>
      </c>
      <c r="D491" s="1">
        <f ca="1">IFERROR(__xludf.DUMMYFUNCTION("""COMPUTED_VALUE"""),174.17)</f>
        <v>174.17</v>
      </c>
      <c r="E491" s="1">
        <f ca="1">IFERROR(__xludf.DUMMYFUNCTION("""COMPUTED_VALUE"""),30.49)</f>
        <v>30.49</v>
      </c>
      <c r="F491" s="1">
        <f ca="1">IFERROR(__xludf.DUMMYFUNCTION("""COMPUTED_VALUE"""),329.82)</f>
        <v>329.82</v>
      </c>
      <c r="G491" s="1">
        <f ca="1">IFERROR(__xludf.DUMMYFUNCTION("""COMPUTED_VALUE"""),148.11)</f>
        <v>148.11000000000001</v>
      </c>
      <c r="H491" s="1">
        <f ca="1">IFERROR(__xludf.DUMMYFUNCTION("""COMPUTED_VALUE"""),334.6)</f>
        <v>334.6</v>
      </c>
      <c r="I491" s="1">
        <f ca="1">IFERROR(__xludf.DUMMYFUNCTION("""COMPUTED_VALUE"""),166.31)</f>
        <v>166.31</v>
      </c>
      <c r="J491" s="1">
        <f ca="1">IFERROR(__xludf.DUMMYFUNCTION("""COMPUTED_VALUE"""),524.33)</f>
        <v>524.33000000000004</v>
      </c>
      <c r="K491" s="1">
        <f ca="1">IFERROR(__xludf.DUMMYFUNCTION("""COMPUTED_VALUE"""),58.34)</f>
        <v>58.34</v>
      </c>
      <c r="L491" s="1">
        <f ca="1">IFERROR(__xludf.DUMMYFUNCTION("""COMPUTED_VALUE"""),632.57)</f>
        <v>632.57000000000005</v>
      </c>
      <c r="M491" s="1">
        <f ca="1">IFERROR(__xludf.DUMMYFUNCTION("""COMPUTED_VALUE"""),611)</f>
        <v>611</v>
      </c>
    </row>
    <row r="492" spans="1:13" x14ac:dyDescent="0.25">
      <c r="A492" s="2">
        <f ca="1">IFERROR(__xludf.DUMMYFUNCTION("""COMPUTED_VALUE"""),44543.6666666666)</f>
        <v>44543.666666666599</v>
      </c>
      <c r="B492" s="1">
        <f ca="1">IFERROR(__xludf.DUMMYFUNCTION("""COMPUTED_VALUE"""),175.74)</f>
        <v>175.74</v>
      </c>
      <c r="C492" s="1">
        <f ca="1">IFERROR(__xludf.DUMMYFUNCTION("""COMPUTED_VALUE"""),342.54)</f>
        <v>342.54</v>
      </c>
      <c r="D492" s="1">
        <f ca="1">IFERROR(__xludf.DUMMYFUNCTION("""COMPUTED_VALUE"""),172.21)</f>
        <v>172.21</v>
      </c>
      <c r="E492" s="1">
        <f ca="1">IFERROR(__xludf.DUMMYFUNCTION("""COMPUTED_VALUE"""),30.2)</f>
        <v>30.2</v>
      </c>
      <c r="F492" s="1">
        <f ca="1">IFERROR(__xludf.DUMMYFUNCTION("""COMPUTED_VALUE"""),329.75)</f>
        <v>329.75</v>
      </c>
      <c r="G492" s="1">
        <f ca="1">IFERROR(__xludf.DUMMYFUNCTION("""COMPUTED_VALUE"""),148.68)</f>
        <v>148.68</v>
      </c>
      <c r="H492" s="1">
        <f ca="1">IFERROR(__xludf.DUMMYFUNCTION("""COMPUTED_VALUE"""),339.01)</f>
        <v>339.01</v>
      </c>
      <c r="I492" s="1">
        <f ca="1">IFERROR(__xludf.DUMMYFUNCTION("""COMPUTED_VALUE"""),168.97)</f>
        <v>168.97</v>
      </c>
      <c r="J492" s="1">
        <f ca="1">IFERROR(__xludf.DUMMYFUNCTION("""COMPUTED_VALUE"""),558.82)</f>
        <v>558.82000000000005</v>
      </c>
      <c r="K492" s="1">
        <f ca="1">IFERROR(__xludf.DUMMYFUNCTION("""COMPUTED_VALUE"""),63.17)</f>
        <v>63.17</v>
      </c>
      <c r="L492" s="1">
        <f ca="1">IFERROR(__xludf.DUMMYFUNCTION("""COMPUTED_VALUE"""),654.45)</f>
        <v>654.45000000000005</v>
      </c>
      <c r="M492" s="1">
        <f ca="1">IFERROR(__xludf.DUMMYFUNCTION("""COMPUTED_VALUE"""),611.66)</f>
        <v>611.66</v>
      </c>
    </row>
    <row r="493" spans="1:13" x14ac:dyDescent="0.25">
      <c r="A493" s="2">
        <f ca="1">IFERROR(__xludf.DUMMYFUNCTION("""COMPUTED_VALUE"""),44544.6666666666)</f>
        <v>44544.666666666599</v>
      </c>
      <c r="B493" s="1">
        <f ca="1">IFERROR(__xludf.DUMMYFUNCTION("""COMPUTED_VALUE"""),174.33)</f>
        <v>174.33</v>
      </c>
      <c r="C493" s="1">
        <f ca="1">IFERROR(__xludf.DUMMYFUNCTION("""COMPUTED_VALUE"""),339.4)</f>
        <v>339.4</v>
      </c>
      <c r="D493" s="1">
        <f ca="1">IFERROR(__xludf.DUMMYFUNCTION("""COMPUTED_VALUE"""),169.57)</f>
        <v>169.57</v>
      </c>
      <c r="E493" s="1">
        <f ca="1">IFERROR(__xludf.DUMMYFUNCTION("""COMPUTED_VALUE"""),28.16)</f>
        <v>28.16</v>
      </c>
      <c r="F493" s="1">
        <f ca="1">IFERROR(__xludf.DUMMYFUNCTION("""COMPUTED_VALUE"""),334.49)</f>
        <v>334.49</v>
      </c>
      <c r="G493" s="1">
        <f ca="1">IFERROR(__xludf.DUMMYFUNCTION("""COMPUTED_VALUE"""),146.7)</f>
        <v>146.69999999999999</v>
      </c>
      <c r="H493" s="1">
        <f ca="1">IFERROR(__xludf.DUMMYFUNCTION("""COMPUTED_VALUE"""),322.14)</f>
        <v>322.14</v>
      </c>
      <c r="I493" s="1">
        <f ca="1">IFERROR(__xludf.DUMMYFUNCTION("""COMPUTED_VALUE"""),169.81)</f>
        <v>169.81</v>
      </c>
      <c r="J493" s="1">
        <f ca="1">IFERROR(__xludf.DUMMYFUNCTION("""COMPUTED_VALUE"""),557.22)</f>
        <v>557.22</v>
      </c>
      <c r="K493" s="1">
        <f ca="1">IFERROR(__xludf.DUMMYFUNCTION("""COMPUTED_VALUE"""),62.17)</f>
        <v>62.17</v>
      </c>
      <c r="L493" s="1">
        <f ca="1">IFERROR(__xludf.DUMMYFUNCTION("""COMPUTED_VALUE"""),658.3)</f>
        <v>658.3</v>
      </c>
      <c r="M493" s="1">
        <f ca="1">IFERROR(__xludf.DUMMYFUNCTION("""COMPUTED_VALUE"""),604.56)</f>
        <v>604.55999999999995</v>
      </c>
    </row>
    <row r="494" spans="1:13" x14ac:dyDescent="0.25">
      <c r="A494" s="2">
        <f ca="1">IFERROR(__xludf.DUMMYFUNCTION("""COMPUTED_VALUE"""),44545.6666666666)</f>
        <v>44545.666666666599</v>
      </c>
      <c r="B494" s="1">
        <f ca="1">IFERROR(__xludf.DUMMYFUNCTION("""COMPUTED_VALUE"""),179.3)</f>
        <v>179.3</v>
      </c>
      <c r="C494" s="1">
        <f ca="1">IFERROR(__xludf.DUMMYFUNCTION("""COMPUTED_VALUE"""),328.34)</f>
        <v>328.34</v>
      </c>
      <c r="D494" s="1">
        <f ca="1">IFERROR(__xludf.DUMMYFUNCTION("""COMPUTED_VALUE"""),169.09)</f>
        <v>169.09</v>
      </c>
      <c r="E494" s="1">
        <f ca="1">IFERROR(__xludf.DUMMYFUNCTION("""COMPUTED_VALUE"""),28.34)</f>
        <v>28.34</v>
      </c>
      <c r="F494" s="1">
        <f ca="1">IFERROR(__xludf.DUMMYFUNCTION("""COMPUTED_VALUE"""),333.74)</f>
        <v>333.74</v>
      </c>
      <c r="G494" s="1">
        <f ca="1">IFERROR(__xludf.DUMMYFUNCTION("""COMPUTED_VALUE"""),144.97)</f>
        <v>144.97</v>
      </c>
      <c r="H494" s="1">
        <f ca="1">IFERROR(__xludf.DUMMYFUNCTION("""COMPUTED_VALUE"""),319.5)</f>
        <v>319.5</v>
      </c>
      <c r="I494" s="1">
        <f ca="1">IFERROR(__xludf.DUMMYFUNCTION("""COMPUTED_VALUE"""),169.39)</f>
        <v>169.39</v>
      </c>
      <c r="J494" s="1">
        <f ca="1">IFERROR(__xludf.DUMMYFUNCTION("""COMPUTED_VALUE"""),545.34)</f>
        <v>545.34</v>
      </c>
      <c r="K494" s="1">
        <f ca="1">IFERROR(__xludf.DUMMYFUNCTION("""COMPUTED_VALUE"""),61.49)</f>
        <v>61.49</v>
      </c>
      <c r="L494" s="1">
        <f ca="1">IFERROR(__xludf.DUMMYFUNCTION("""COMPUTED_VALUE"""),614.86)</f>
        <v>614.86</v>
      </c>
      <c r="M494" s="1">
        <f ca="1">IFERROR(__xludf.DUMMYFUNCTION("""COMPUTED_VALUE"""),597.99)</f>
        <v>597.99</v>
      </c>
    </row>
    <row r="495" spans="1:13" x14ac:dyDescent="0.25">
      <c r="A495" s="2">
        <f ca="1">IFERROR(__xludf.DUMMYFUNCTION("""COMPUTED_VALUE"""),44546.6666666666)</f>
        <v>44546.666666666599</v>
      </c>
      <c r="B495" s="1">
        <f ca="1">IFERROR(__xludf.DUMMYFUNCTION("""COMPUTED_VALUE"""),172.26)</f>
        <v>172.26</v>
      </c>
      <c r="C495" s="1">
        <f ca="1">IFERROR(__xludf.DUMMYFUNCTION("""COMPUTED_VALUE"""),334.65)</f>
        <v>334.65</v>
      </c>
      <c r="D495" s="1">
        <f ca="1">IFERROR(__xludf.DUMMYFUNCTION("""COMPUTED_VALUE"""),173.32)</f>
        <v>173.32</v>
      </c>
      <c r="E495" s="1">
        <f ca="1">IFERROR(__xludf.DUMMYFUNCTION("""COMPUTED_VALUE"""),30.46)</f>
        <v>30.46</v>
      </c>
      <c r="F495" s="1">
        <f ca="1">IFERROR(__xludf.DUMMYFUNCTION("""COMPUTED_VALUE"""),341.66)</f>
        <v>341.66</v>
      </c>
      <c r="G495" s="1">
        <f ca="1">IFERROR(__xludf.DUMMYFUNCTION("""COMPUTED_VALUE"""),147.37)</f>
        <v>147.37</v>
      </c>
      <c r="H495" s="1">
        <f ca="1">IFERROR(__xludf.DUMMYFUNCTION("""COMPUTED_VALUE"""),325.33)</f>
        <v>325.33</v>
      </c>
      <c r="I495" s="1">
        <f ca="1">IFERROR(__xludf.DUMMYFUNCTION("""COMPUTED_VALUE"""),171.57)</f>
        <v>171.57</v>
      </c>
      <c r="J495" s="1">
        <f ca="1">IFERROR(__xludf.DUMMYFUNCTION("""COMPUTED_VALUE"""),565.48)</f>
        <v>565.48</v>
      </c>
      <c r="K495" s="1">
        <f ca="1">IFERROR(__xludf.DUMMYFUNCTION("""COMPUTED_VALUE"""),63.99)</f>
        <v>63.99</v>
      </c>
      <c r="L495" s="1">
        <f ca="1">IFERROR(__xludf.DUMMYFUNCTION("""COMPUTED_VALUE"""),630.33)</f>
        <v>630.33000000000004</v>
      </c>
      <c r="M495" s="1">
        <f ca="1">IFERROR(__xludf.DUMMYFUNCTION("""COMPUTED_VALUE"""),605.04)</f>
        <v>605.04</v>
      </c>
    </row>
    <row r="496" spans="1:13" x14ac:dyDescent="0.25">
      <c r="A496" s="2">
        <f ca="1">IFERROR(__xludf.DUMMYFUNCTION("""COMPUTED_VALUE"""),44547.6666666666)</f>
        <v>44547.666666666599</v>
      </c>
      <c r="B496" s="1">
        <f ca="1">IFERROR(__xludf.DUMMYFUNCTION("""COMPUTED_VALUE"""),171.14)</f>
        <v>171.14</v>
      </c>
      <c r="C496" s="1">
        <f ca="1">IFERROR(__xludf.DUMMYFUNCTION("""COMPUTED_VALUE"""),324.9)</f>
        <v>324.89999999999998</v>
      </c>
      <c r="D496" s="1">
        <f ca="1">IFERROR(__xludf.DUMMYFUNCTION("""COMPUTED_VALUE"""),168.87)</f>
        <v>168.87</v>
      </c>
      <c r="E496" s="1">
        <f ca="1">IFERROR(__xludf.DUMMYFUNCTION("""COMPUTED_VALUE"""),28.39)</f>
        <v>28.39</v>
      </c>
      <c r="F496" s="1">
        <f ca="1">IFERROR(__xludf.DUMMYFUNCTION("""COMPUTED_VALUE"""),334.9)</f>
        <v>334.9</v>
      </c>
      <c r="G496" s="1">
        <f ca="1">IFERROR(__xludf.DUMMYFUNCTION("""COMPUTED_VALUE"""),144.84)</f>
        <v>144.84</v>
      </c>
      <c r="H496" s="1">
        <f ca="1">IFERROR(__xludf.DUMMYFUNCTION("""COMPUTED_VALUE"""),308.97)</f>
        <v>308.97000000000003</v>
      </c>
      <c r="I496" s="1">
        <f ca="1">IFERROR(__xludf.DUMMYFUNCTION("""COMPUTED_VALUE"""),171.82)</f>
        <v>171.82</v>
      </c>
      <c r="J496" s="1">
        <f ca="1">IFERROR(__xludf.DUMMYFUNCTION("""COMPUTED_VALUE"""),552.63)</f>
        <v>552.63</v>
      </c>
      <c r="K496" s="1">
        <f ca="1">IFERROR(__xludf.DUMMYFUNCTION("""COMPUTED_VALUE"""),62.07)</f>
        <v>62.07</v>
      </c>
      <c r="L496" s="1">
        <f ca="1">IFERROR(__xludf.DUMMYFUNCTION("""COMPUTED_VALUE"""),566.09)</f>
        <v>566.09</v>
      </c>
      <c r="M496" s="1">
        <f ca="1">IFERROR(__xludf.DUMMYFUNCTION("""COMPUTED_VALUE"""),591.06)</f>
        <v>591.05999999999995</v>
      </c>
    </row>
    <row r="497" spans="1:13" x14ac:dyDescent="0.25">
      <c r="A497" s="2">
        <f ca="1">IFERROR(__xludf.DUMMYFUNCTION("""COMPUTED_VALUE"""),44550.6666666666)</f>
        <v>44550.666666666599</v>
      </c>
      <c r="B497" s="1">
        <f ca="1">IFERROR(__xludf.DUMMYFUNCTION("""COMPUTED_VALUE"""),169.75)</f>
        <v>169.75</v>
      </c>
      <c r="C497" s="1">
        <f ca="1">IFERROR(__xludf.DUMMYFUNCTION("""COMPUTED_VALUE"""),323.8)</f>
        <v>323.8</v>
      </c>
      <c r="D497" s="1">
        <f ca="1">IFERROR(__xludf.DUMMYFUNCTION("""COMPUTED_VALUE"""),170.02)</f>
        <v>170.02</v>
      </c>
      <c r="E497" s="1">
        <f ca="1">IFERROR(__xludf.DUMMYFUNCTION("""COMPUTED_VALUE"""),27.8)</f>
        <v>27.8</v>
      </c>
      <c r="F497" s="1">
        <f ca="1">IFERROR(__xludf.DUMMYFUNCTION("""COMPUTED_VALUE"""),333.79)</f>
        <v>333.79</v>
      </c>
      <c r="G497" s="1">
        <f ca="1">IFERROR(__xludf.DUMMYFUNCTION("""COMPUTED_VALUE"""),142.8)</f>
        <v>142.80000000000001</v>
      </c>
      <c r="H497" s="1">
        <f ca="1">IFERROR(__xludf.DUMMYFUNCTION("""COMPUTED_VALUE"""),310.86)</f>
        <v>310.86</v>
      </c>
      <c r="I497" s="1">
        <f ca="1">IFERROR(__xludf.DUMMYFUNCTION("""COMPUTED_VALUE"""),168.3)</f>
        <v>168.3</v>
      </c>
      <c r="J497" s="1">
        <f ca="1">IFERROR(__xludf.DUMMYFUNCTION("""COMPUTED_VALUE"""),547.61)</f>
        <v>547.61</v>
      </c>
      <c r="K497" s="1">
        <f ca="1">IFERROR(__xludf.DUMMYFUNCTION("""COMPUTED_VALUE"""),63.5)</f>
        <v>63.5</v>
      </c>
      <c r="L497" s="1">
        <f ca="1">IFERROR(__xludf.DUMMYFUNCTION("""COMPUTED_VALUE"""),556.64)</f>
        <v>556.64</v>
      </c>
      <c r="M497" s="1">
        <f ca="1">IFERROR(__xludf.DUMMYFUNCTION("""COMPUTED_VALUE"""),586.73)</f>
        <v>586.73</v>
      </c>
    </row>
    <row r="498" spans="1:13" x14ac:dyDescent="0.25">
      <c r="A498" s="2">
        <f ca="1">IFERROR(__xludf.DUMMYFUNCTION("""COMPUTED_VALUE"""),44551.6666666666)</f>
        <v>44551.666666666599</v>
      </c>
      <c r="B498" s="1">
        <f ca="1">IFERROR(__xludf.DUMMYFUNCTION("""COMPUTED_VALUE"""),172.99)</f>
        <v>172.99</v>
      </c>
      <c r="C498" s="1">
        <f ca="1">IFERROR(__xludf.DUMMYFUNCTION("""COMPUTED_VALUE"""),319.91)</f>
        <v>319.91000000000003</v>
      </c>
      <c r="D498" s="1">
        <f ca="1">IFERROR(__xludf.DUMMYFUNCTION("""COMPUTED_VALUE"""),167.08)</f>
        <v>167.08</v>
      </c>
      <c r="E498" s="1">
        <f ca="1">IFERROR(__xludf.DUMMYFUNCTION("""COMPUTED_VALUE"""),27.72)</f>
        <v>27.72</v>
      </c>
      <c r="F498" s="1">
        <f ca="1">IFERROR(__xludf.DUMMYFUNCTION("""COMPUTED_VALUE"""),325.45)</f>
        <v>325.45</v>
      </c>
      <c r="G498" s="1">
        <f ca="1">IFERROR(__xludf.DUMMYFUNCTION("""COMPUTED_VALUE"""),142.4)</f>
        <v>142.4</v>
      </c>
      <c r="H498" s="1">
        <f ca="1">IFERROR(__xludf.DUMMYFUNCTION("""COMPUTED_VALUE"""),299.98)</f>
        <v>299.98</v>
      </c>
      <c r="I498" s="1">
        <f ca="1">IFERROR(__xludf.DUMMYFUNCTION("""COMPUTED_VALUE"""),169.42)</f>
        <v>169.42</v>
      </c>
      <c r="J498" s="1">
        <f ca="1">IFERROR(__xludf.DUMMYFUNCTION("""COMPUTED_VALUE"""),548.56)</f>
        <v>548.55999999999995</v>
      </c>
      <c r="K498" s="1">
        <f ca="1">IFERROR(__xludf.DUMMYFUNCTION("""COMPUTED_VALUE"""),64.5)</f>
        <v>64.5</v>
      </c>
      <c r="L498" s="1">
        <f ca="1">IFERROR(__xludf.DUMMYFUNCTION("""COMPUTED_VALUE"""),549.77)</f>
        <v>549.77</v>
      </c>
      <c r="M498" s="1">
        <f ca="1">IFERROR(__xludf.DUMMYFUNCTION("""COMPUTED_VALUE"""),593.74)</f>
        <v>593.74</v>
      </c>
    </row>
    <row r="499" spans="1:13" x14ac:dyDescent="0.25">
      <c r="A499" s="2">
        <f ca="1">IFERROR(__xludf.DUMMYFUNCTION("""COMPUTED_VALUE"""),44552.6666666666)</f>
        <v>44552.666666666599</v>
      </c>
      <c r="B499" s="1">
        <f ca="1">IFERROR(__xludf.DUMMYFUNCTION("""COMPUTED_VALUE"""),175.64)</f>
        <v>175.64</v>
      </c>
      <c r="C499" s="1">
        <f ca="1">IFERROR(__xludf.DUMMYFUNCTION("""COMPUTED_VALUE"""),327.29)</f>
        <v>327.29000000000002</v>
      </c>
      <c r="D499" s="1">
        <f ca="1">IFERROR(__xludf.DUMMYFUNCTION("""COMPUTED_VALUE"""),170.42)</f>
        <v>170.42</v>
      </c>
      <c r="E499" s="1">
        <f ca="1">IFERROR(__xludf.DUMMYFUNCTION("""COMPUTED_VALUE"""),29.08)</f>
        <v>29.08</v>
      </c>
      <c r="F499" s="1">
        <f ca="1">IFERROR(__xludf.DUMMYFUNCTION("""COMPUTED_VALUE"""),334.2)</f>
        <v>334.2</v>
      </c>
      <c r="G499" s="1">
        <f ca="1">IFERROR(__xludf.DUMMYFUNCTION("""COMPUTED_VALUE"""),144.22)</f>
        <v>144.22</v>
      </c>
      <c r="H499" s="1">
        <f ca="1">IFERROR(__xludf.DUMMYFUNCTION("""COMPUTED_VALUE"""),312.84)</f>
        <v>312.83999999999997</v>
      </c>
      <c r="I499" s="1">
        <f ca="1">IFERROR(__xludf.DUMMYFUNCTION("""COMPUTED_VALUE"""),168.92)</f>
        <v>168.92</v>
      </c>
      <c r="J499" s="1">
        <f ca="1">IFERROR(__xludf.DUMMYFUNCTION("""COMPUTED_VALUE"""),545.43)</f>
        <v>545.42999999999995</v>
      </c>
      <c r="K499" s="1">
        <f ca="1">IFERROR(__xludf.DUMMYFUNCTION("""COMPUTED_VALUE"""),64.62)</f>
        <v>64.62</v>
      </c>
      <c r="L499" s="1">
        <f ca="1">IFERROR(__xludf.DUMMYFUNCTION("""COMPUTED_VALUE"""),557.52)</f>
        <v>557.52</v>
      </c>
      <c r="M499" s="1">
        <f ca="1">IFERROR(__xludf.DUMMYFUNCTION("""COMPUTED_VALUE"""),604.92)</f>
        <v>604.91999999999996</v>
      </c>
    </row>
    <row r="500" spans="1:13" x14ac:dyDescent="0.25">
      <c r="A500" s="2">
        <f ca="1">IFERROR(__xludf.DUMMYFUNCTION("""COMPUTED_VALUE"""),44553.6666666666)</f>
        <v>44553.666666666599</v>
      </c>
      <c r="B500" s="1">
        <f ca="1">IFERROR(__xludf.DUMMYFUNCTION("""COMPUTED_VALUE"""),176.28)</f>
        <v>176.28</v>
      </c>
      <c r="C500" s="1">
        <f ca="1">IFERROR(__xludf.DUMMYFUNCTION("""COMPUTED_VALUE"""),333.2)</f>
        <v>333.2</v>
      </c>
      <c r="D500" s="1">
        <f ca="1">IFERROR(__xludf.DUMMYFUNCTION("""COMPUTED_VALUE"""),171.04)</f>
        <v>171.04</v>
      </c>
      <c r="E500" s="1">
        <f ca="1">IFERROR(__xludf.DUMMYFUNCTION("""COMPUTED_VALUE"""),29.4)</f>
        <v>29.4</v>
      </c>
      <c r="F500" s="1">
        <f ca="1">IFERROR(__xludf.DUMMYFUNCTION("""COMPUTED_VALUE"""),330.45)</f>
        <v>330.45</v>
      </c>
      <c r="G500" s="1">
        <f ca="1">IFERROR(__xludf.DUMMYFUNCTION("""COMPUTED_VALUE"""),146.95)</f>
        <v>146.94999999999999</v>
      </c>
      <c r="H500" s="1">
        <f ca="1">IFERROR(__xludf.DUMMYFUNCTION("""COMPUTED_VALUE"""),336.29)</f>
        <v>336.29</v>
      </c>
      <c r="I500" s="1">
        <f ca="1">IFERROR(__xludf.DUMMYFUNCTION("""COMPUTED_VALUE"""),169.97)</f>
        <v>169.97</v>
      </c>
      <c r="J500" s="1">
        <f ca="1">IFERROR(__xludf.DUMMYFUNCTION("""COMPUTED_VALUE"""),549.67)</f>
        <v>549.66999999999996</v>
      </c>
      <c r="K500" s="1">
        <f ca="1">IFERROR(__xludf.DUMMYFUNCTION("""COMPUTED_VALUE"""),65.52)</f>
        <v>65.52</v>
      </c>
      <c r="L500" s="1">
        <f ca="1">IFERROR(__xludf.DUMMYFUNCTION("""COMPUTED_VALUE"""),563.98)</f>
        <v>563.98</v>
      </c>
      <c r="M500" s="1">
        <f ca="1">IFERROR(__xludf.DUMMYFUNCTION("""COMPUTED_VALUE"""),614.24)</f>
        <v>614.24</v>
      </c>
    </row>
    <row r="501" spans="1:13" x14ac:dyDescent="0.25">
      <c r="A501" s="2">
        <f ca="1">IFERROR(__xludf.DUMMYFUNCTION("""COMPUTED_VALUE"""),44557.6666666666)</f>
        <v>44557.666666666599</v>
      </c>
      <c r="B501" s="1">
        <f ca="1">IFERROR(__xludf.DUMMYFUNCTION("""COMPUTED_VALUE"""),180.33)</f>
        <v>180.33</v>
      </c>
      <c r="C501" s="1">
        <f ca="1">IFERROR(__xludf.DUMMYFUNCTION("""COMPUTED_VALUE"""),334.69)</f>
        <v>334.69</v>
      </c>
      <c r="D501" s="1">
        <f ca="1">IFERROR(__xludf.DUMMYFUNCTION("""COMPUTED_VALUE"""),171.07)</f>
        <v>171.07</v>
      </c>
      <c r="E501" s="1">
        <f ca="1">IFERROR(__xludf.DUMMYFUNCTION("""COMPUTED_VALUE"""),29.64)</f>
        <v>29.64</v>
      </c>
      <c r="F501" s="1">
        <f ca="1">IFERROR(__xludf.DUMMYFUNCTION("""COMPUTED_VALUE"""),335.24)</f>
        <v>335.24</v>
      </c>
      <c r="G501" s="1">
        <f ca="1">IFERROR(__xludf.DUMMYFUNCTION("""COMPUTED_VALUE"""),147.14)</f>
        <v>147.13999999999999</v>
      </c>
      <c r="H501" s="1">
        <f ca="1">IFERROR(__xludf.DUMMYFUNCTION("""COMPUTED_VALUE"""),355.67)</f>
        <v>355.67</v>
      </c>
      <c r="I501" s="1">
        <f ca="1">IFERROR(__xludf.DUMMYFUNCTION("""COMPUTED_VALUE"""),169.78)</f>
        <v>169.78</v>
      </c>
      <c r="J501" s="1">
        <f ca="1">IFERROR(__xludf.DUMMYFUNCTION("""COMPUTED_VALUE"""),550.37)</f>
        <v>550.37</v>
      </c>
      <c r="K501" s="1">
        <f ca="1">IFERROR(__xludf.DUMMYFUNCTION("""COMPUTED_VALUE"""),66.48)</f>
        <v>66.48</v>
      </c>
      <c r="L501" s="1">
        <f ca="1">IFERROR(__xludf.DUMMYFUNCTION("""COMPUTED_VALUE"""),569.62)</f>
        <v>569.62</v>
      </c>
      <c r="M501" s="1">
        <f ca="1">IFERROR(__xludf.DUMMYFUNCTION("""COMPUTED_VALUE"""),614.09)</f>
        <v>614.09</v>
      </c>
    </row>
    <row r="502" spans="1:13" x14ac:dyDescent="0.25">
      <c r="A502" s="2">
        <f ca="1">IFERROR(__xludf.DUMMYFUNCTION("""COMPUTED_VALUE"""),44558.6666666666)</f>
        <v>44558.666666666599</v>
      </c>
      <c r="B502" s="1">
        <f ca="1">IFERROR(__xludf.DUMMYFUNCTION("""COMPUTED_VALUE"""),179.29)</f>
        <v>179.29</v>
      </c>
      <c r="C502" s="1">
        <f ca="1">IFERROR(__xludf.DUMMYFUNCTION("""COMPUTED_VALUE"""),342.45)</f>
        <v>342.45</v>
      </c>
      <c r="D502" s="1">
        <f ca="1">IFERROR(__xludf.DUMMYFUNCTION("""COMPUTED_VALUE"""),169.67)</f>
        <v>169.67</v>
      </c>
      <c r="E502" s="1">
        <f ca="1">IFERROR(__xludf.DUMMYFUNCTION("""COMPUTED_VALUE"""),30.95)</f>
        <v>30.95</v>
      </c>
      <c r="F502" s="1">
        <f ca="1">IFERROR(__xludf.DUMMYFUNCTION("""COMPUTED_VALUE"""),346.18)</f>
        <v>346.18</v>
      </c>
      <c r="G502" s="1">
        <f ca="1">IFERROR(__xludf.DUMMYFUNCTION("""COMPUTED_VALUE"""),148.06)</f>
        <v>148.06</v>
      </c>
      <c r="H502" s="1">
        <f ca="1">IFERROR(__xludf.DUMMYFUNCTION("""COMPUTED_VALUE"""),364.65)</f>
        <v>364.65</v>
      </c>
      <c r="I502" s="1">
        <f ca="1">IFERROR(__xludf.DUMMYFUNCTION("""COMPUTED_VALUE"""),171.47)</f>
        <v>171.47</v>
      </c>
      <c r="J502" s="1">
        <f ca="1">IFERROR(__xludf.DUMMYFUNCTION("""COMPUTED_VALUE"""),563.47)</f>
        <v>563.47</v>
      </c>
      <c r="K502" s="1">
        <f ca="1">IFERROR(__xludf.DUMMYFUNCTION("""COMPUTED_VALUE"""),67.43)</f>
        <v>67.430000000000007</v>
      </c>
      <c r="L502" s="1">
        <f ca="1">IFERROR(__xludf.DUMMYFUNCTION("""COMPUTED_VALUE"""),577.68)</f>
        <v>577.67999999999995</v>
      </c>
      <c r="M502" s="1">
        <f ca="1">IFERROR(__xludf.DUMMYFUNCTION("""COMPUTED_VALUE"""),613.12)</f>
        <v>613.12</v>
      </c>
    </row>
    <row r="503" spans="1:13" x14ac:dyDescent="0.25">
      <c r="A503" s="2">
        <f ca="1">IFERROR(__xludf.DUMMYFUNCTION("""COMPUTED_VALUE"""),44559.6666666666)</f>
        <v>44559.666666666599</v>
      </c>
      <c r="B503" s="1">
        <f ca="1">IFERROR(__xludf.DUMMYFUNCTION("""COMPUTED_VALUE"""),179.38)</f>
        <v>179.38</v>
      </c>
      <c r="C503" s="1">
        <f ca="1">IFERROR(__xludf.DUMMYFUNCTION("""COMPUTED_VALUE"""),341.25)</f>
        <v>341.25</v>
      </c>
      <c r="D503" s="1">
        <f ca="1">IFERROR(__xludf.DUMMYFUNCTION("""COMPUTED_VALUE"""),170.66)</f>
        <v>170.66</v>
      </c>
      <c r="E503" s="1">
        <f ca="1">IFERROR(__xludf.DUMMYFUNCTION("""COMPUTED_VALUE"""),30.32)</f>
        <v>30.32</v>
      </c>
      <c r="F503" s="1">
        <f ca="1">IFERROR(__xludf.DUMMYFUNCTION("""COMPUTED_VALUE"""),346.22)</f>
        <v>346.22</v>
      </c>
      <c r="G503" s="1">
        <f ca="1">IFERROR(__xludf.DUMMYFUNCTION("""COMPUTED_VALUE"""),146.45)</f>
        <v>146.44999999999999</v>
      </c>
      <c r="H503" s="1">
        <f ca="1">IFERROR(__xludf.DUMMYFUNCTION("""COMPUTED_VALUE"""),362.82)</f>
        <v>362.82</v>
      </c>
      <c r="I503" s="1">
        <f ca="1">IFERROR(__xludf.DUMMYFUNCTION("""COMPUTED_VALUE"""),172.36)</f>
        <v>172.36</v>
      </c>
      <c r="J503" s="1">
        <f ca="1">IFERROR(__xludf.DUMMYFUNCTION("""COMPUTED_VALUE"""),564.64)</f>
        <v>564.64</v>
      </c>
      <c r="K503" s="1">
        <f ca="1">IFERROR(__xludf.DUMMYFUNCTION("""COMPUTED_VALUE"""),66.9)</f>
        <v>66.900000000000006</v>
      </c>
      <c r="L503" s="1">
        <f ca="1">IFERROR(__xludf.DUMMYFUNCTION("""COMPUTED_VALUE"""),569.36)</f>
        <v>569.36</v>
      </c>
      <c r="M503" s="1">
        <f ca="1">IFERROR(__xludf.DUMMYFUNCTION("""COMPUTED_VALUE"""),610.71)</f>
        <v>610.71</v>
      </c>
    </row>
    <row r="504" spans="1:13" x14ac:dyDescent="0.25">
      <c r="A504" s="2">
        <f ca="1">IFERROR(__xludf.DUMMYFUNCTION("""COMPUTED_VALUE"""),44560.6666666666)</f>
        <v>44560.666666666599</v>
      </c>
      <c r="B504" s="1">
        <f ca="1">IFERROR(__xludf.DUMMYFUNCTION("""COMPUTED_VALUE"""),178.2)</f>
        <v>178.2</v>
      </c>
      <c r="C504" s="1">
        <f ca="1">IFERROR(__xludf.DUMMYFUNCTION("""COMPUTED_VALUE"""),341.95)</f>
        <v>341.95</v>
      </c>
      <c r="D504" s="1">
        <f ca="1">IFERROR(__xludf.DUMMYFUNCTION("""COMPUTED_VALUE"""),169.2)</f>
        <v>169.2</v>
      </c>
      <c r="E504" s="1">
        <f ca="1">IFERROR(__xludf.DUMMYFUNCTION("""COMPUTED_VALUE"""),30)</f>
        <v>30</v>
      </c>
      <c r="F504" s="1">
        <f ca="1">IFERROR(__xludf.DUMMYFUNCTION("""COMPUTED_VALUE"""),342.94)</f>
        <v>342.94</v>
      </c>
      <c r="G504" s="1">
        <f ca="1">IFERROR(__xludf.DUMMYFUNCTION("""COMPUTED_VALUE"""),146.5)</f>
        <v>146.5</v>
      </c>
      <c r="H504" s="1">
        <f ca="1">IFERROR(__xludf.DUMMYFUNCTION("""COMPUTED_VALUE"""),362.06)</f>
        <v>362.06</v>
      </c>
      <c r="I504" s="1">
        <f ca="1">IFERROR(__xludf.DUMMYFUNCTION("""COMPUTED_VALUE"""),172.97)</f>
        <v>172.97</v>
      </c>
      <c r="J504" s="1">
        <f ca="1">IFERROR(__xludf.DUMMYFUNCTION("""COMPUTED_VALUE"""),567.77)</f>
        <v>567.77</v>
      </c>
      <c r="K504" s="1">
        <f ca="1">IFERROR(__xludf.DUMMYFUNCTION("""COMPUTED_VALUE"""),67.26)</f>
        <v>67.260000000000005</v>
      </c>
      <c r="L504" s="1">
        <f ca="1">IFERROR(__xludf.DUMMYFUNCTION("""COMPUTED_VALUE"""),569.29)</f>
        <v>569.29</v>
      </c>
      <c r="M504" s="1">
        <f ca="1">IFERROR(__xludf.DUMMYFUNCTION("""COMPUTED_VALUE"""),610.54)</f>
        <v>610.54</v>
      </c>
    </row>
    <row r="505" spans="1:13" x14ac:dyDescent="0.25">
      <c r="A505" s="2">
        <f ca="1">IFERROR(__xludf.DUMMYFUNCTION("""COMPUTED_VALUE"""),44561.6666666666)</f>
        <v>44561.666666666599</v>
      </c>
      <c r="B505" s="1">
        <f ca="1">IFERROR(__xludf.DUMMYFUNCTION("""COMPUTED_VALUE"""),177.57)</f>
        <v>177.57</v>
      </c>
      <c r="C505" s="1">
        <f ca="1">IFERROR(__xludf.DUMMYFUNCTION("""COMPUTED_VALUE"""),339.32)</f>
        <v>339.32</v>
      </c>
      <c r="D505" s="1">
        <f ca="1">IFERROR(__xludf.DUMMYFUNCTION("""COMPUTED_VALUE"""),168.64)</f>
        <v>168.64</v>
      </c>
      <c r="E505" s="1">
        <f ca="1">IFERROR(__xludf.DUMMYFUNCTION("""COMPUTED_VALUE"""),29.59)</f>
        <v>29.59</v>
      </c>
      <c r="F505" s="1">
        <f ca="1">IFERROR(__xludf.DUMMYFUNCTION("""COMPUTED_VALUE"""),344.36)</f>
        <v>344.36</v>
      </c>
      <c r="G505" s="1">
        <f ca="1">IFERROR(__xludf.DUMMYFUNCTION("""COMPUTED_VALUE"""),146)</f>
        <v>146</v>
      </c>
      <c r="H505" s="1">
        <f ca="1">IFERROR(__xludf.DUMMYFUNCTION("""COMPUTED_VALUE"""),356.78)</f>
        <v>356.78</v>
      </c>
      <c r="I505" s="1">
        <f ca="1">IFERROR(__xludf.DUMMYFUNCTION("""COMPUTED_VALUE"""),172.67)</f>
        <v>172.67</v>
      </c>
      <c r="J505" s="1">
        <f ca="1">IFERROR(__xludf.DUMMYFUNCTION("""COMPUTED_VALUE"""),563.91)</f>
        <v>563.91</v>
      </c>
      <c r="K505" s="1">
        <f ca="1">IFERROR(__xludf.DUMMYFUNCTION("""COMPUTED_VALUE"""),66.51)</f>
        <v>66.510000000000005</v>
      </c>
      <c r="L505" s="1">
        <f ca="1">IFERROR(__xludf.DUMMYFUNCTION("""COMPUTED_VALUE"""),570.53)</f>
        <v>570.53</v>
      </c>
      <c r="M505" s="1">
        <f ca="1">IFERROR(__xludf.DUMMYFUNCTION("""COMPUTED_VALUE"""),612.09)</f>
        <v>612.09</v>
      </c>
    </row>
    <row r="506" spans="1:13" x14ac:dyDescent="0.25">
      <c r="A506" s="2">
        <f ca="1">IFERROR(__xludf.DUMMYFUNCTION("""COMPUTED_VALUE"""),44564.6666666666)</f>
        <v>44564.666666666599</v>
      </c>
      <c r="B506" s="1">
        <f ca="1">IFERROR(__xludf.DUMMYFUNCTION("""COMPUTED_VALUE"""),182.01)</f>
        <v>182.01</v>
      </c>
      <c r="C506" s="1">
        <f ca="1">IFERROR(__xludf.DUMMYFUNCTION("""COMPUTED_VALUE"""),336.32)</f>
        <v>336.32</v>
      </c>
      <c r="D506" s="1">
        <f ca="1">IFERROR(__xludf.DUMMYFUNCTION("""COMPUTED_VALUE"""),166.72)</f>
        <v>166.72</v>
      </c>
      <c r="E506" s="1">
        <f ca="1">IFERROR(__xludf.DUMMYFUNCTION("""COMPUTED_VALUE"""),29.41)</f>
        <v>29.41</v>
      </c>
      <c r="F506" s="1">
        <f ca="1">IFERROR(__xludf.DUMMYFUNCTION("""COMPUTED_VALUE"""),336.35)</f>
        <v>336.35</v>
      </c>
      <c r="G506" s="1">
        <f ca="1">IFERROR(__xludf.DUMMYFUNCTION("""COMPUTED_VALUE"""),144.68)</f>
        <v>144.68</v>
      </c>
      <c r="H506" s="1">
        <f ca="1">IFERROR(__xludf.DUMMYFUNCTION("""COMPUTED_VALUE"""),352.26)</f>
        <v>352.26</v>
      </c>
      <c r="I506" s="1">
        <f ca="1">IFERROR(__xludf.DUMMYFUNCTION("""COMPUTED_VALUE"""),173.71)</f>
        <v>173.71</v>
      </c>
      <c r="J506" s="1">
        <f ca="1">IFERROR(__xludf.DUMMYFUNCTION("""COMPUTED_VALUE"""),567.7)</f>
        <v>567.70000000000005</v>
      </c>
      <c r="K506" s="1">
        <f ca="1">IFERROR(__xludf.DUMMYFUNCTION("""COMPUTED_VALUE"""),66.54)</f>
        <v>66.540000000000006</v>
      </c>
      <c r="L506" s="1">
        <f ca="1">IFERROR(__xludf.DUMMYFUNCTION("""COMPUTED_VALUE"""),567.06)</f>
        <v>567.05999999999995</v>
      </c>
      <c r="M506" s="1">
        <f ca="1">IFERROR(__xludf.DUMMYFUNCTION("""COMPUTED_VALUE"""),602.44)</f>
        <v>602.44000000000005</v>
      </c>
    </row>
    <row r="507" spans="1:13" x14ac:dyDescent="0.25">
      <c r="A507" s="2">
        <f ca="1">IFERROR(__xludf.DUMMYFUNCTION("""COMPUTED_VALUE"""),44565.6666666666)</f>
        <v>44565.666666666599</v>
      </c>
      <c r="B507" s="1">
        <f ca="1">IFERROR(__xludf.DUMMYFUNCTION("""COMPUTED_VALUE"""),179.7)</f>
        <v>179.7</v>
      </c>
      <c r="C507" s="1">
        <f ca="1">IFERROR(__xludf.DUMMYFUNCTION("""COMPUTED_VALUE"""),334.75)</f>
        <v>334.75</v>
      </c>
      <c r="D507" s="1">
        <f ca="1">IFERROR(__xludf.DUMMYFUNCTION("""COMPUTED_VALUE"""),170.4)</f>
        <v>170.4</v>
      </c>
      <c r="E507" s="1">
        <f ca="1">IFERROR(__xludf.DUMMYFUNCTION("""COMPUTED_VALUE"""),30.12)</f>
        <v>30.12</v>
      </c>
      <c r="F507" s="1">
        <f ca="1">IFERROR(__xludf.DUMMYFUNCTION("""COMPUTED_VALUE"""),338.54)</f>
        <v>338.54</v>
      </c>
      <c r="G507" s="1">
        <f ca="1">IFERROR(__xludf.DUMMYFUNCTION("""COMPUTED_VALUE"""),145.07)</f>
        <v>145.07</v>
      </c>
      <c r="H507" s="1">
        <f ca="1">IFERROR(__xludf.DUMMYFUNCTION("""COMPUTED_VALUE"""),399.93)</f>
        <v>399.93</v>
      </c>
      <c r="I507" s="1">
        <f ca="1">IFERROR(__xludf.DUMMYFUNCTION("""COMPUTED_VALUE"""),172.98)</f>
        <v>172.98</v>
      </c>
      <c r="J507" s="1">
        <f ca="1">IFERROR(__xludf.DUMMYFUNCTION("""COMPUTED_VALUE"""),566.71)</f>
        <v>566.71</v>
      </c>
      <c r="K507" s="1">
        <f ca="1">IFERROR(__xludf.DUMMYFUNCTION("""COMPUTED_VALUE"""),66.33)</f>
        <v>66.33</v>
      </c>
      <c r="L507" s="1">
        <f ca="1">IFERROR(__xludf.DUMMYFUNCTION("""COMPUTED_VALUE"""),564.37)</f>
        <v>564.37</v>
      </c>
      <c r="M507" s="1">
        <f ca="1">IFERROR(__xludf.DUMMYFUNCTION("""COMPUTED_VALUE"""),597.37)</f>
        <v>597.37</v>
      </c>
    </row>
    <row r="508" spans="1:13" x14ac:dyDescent="0.25">
      <c r="A508" s="2">
        <f ca="1">IFERROR(__xludf.DUMMYFUNCTION("""COMPUTED_VALUE"""),44566.6666666666)</f>
        <v>44566.666666666599</v>
      </c>
      <c r="B508" s="1">
        <f ca="1">IFERROR(__xludf.DUMMYFUNCTION("""COMPUTED_VALUE"""),174.92)</f>
        <v>174.92</v>
      </c>
      <c r="C508" s="1">
        <f ca="1">IFERROR(__xludf.DUMMYFUNCTION("""COMPUTED_VALUE"""),329.01)</f>
        <v>329.01</v>
      </c>
      <c r="D508" s="1">
        <f ca="1">IFERROR(__xludf.DUMMYFUNCTION("""COMPUTED_VALUE"""),167.52)</f>
        <v>167.52</v>
      </c>
      <c r="E508" s="1">
        <f ca="1">IFERROR(__xludf.DUMMYFUNCTION("""COMPUTED_VALUE"""),29.29)</f>
        <v>29.29</v>
      </c>
      <c r="F508" s="1">
        <f ca="1">IFERROR(__xludf.DUMMYFUNCTION("""COMPUTED_VALUE"""),336.53)</f>
        <v>336.53</v>
      </c>
      <c r="G508" s="1">
        <f ca="1">IFERROR(__xludf.DUMMYFUNCTION("""COMPUTED_VALUE"""),144.42)</f>
        <v>144.41999999999999</v>
      </c>
      <c r="H508" s="1">
        <f ca="1">IFERROR(__xludf.DUMMYFUNCTION("""COMPUTED_VALUE"""),383.2)</f>
        <v>383.2</v>
      </c>
      <c r="I508" s="1">
        <f ca="1">IFERROR(__xludf.DUMMYFUNCTION("""COMPUTED_VALUE"""),173.23)</f>
        <v>173.23</v>
      </c>
      <c r="J508" s="1">
        <f ca="1">IFERROR(__xludf.DUMMYFUNCTION("""COMPUTED_VALUE"""),564.23)</f>
        <v>564.23</v>
      </c>
      <c r="K508" s="1">
        <f ca="1">IFERROR(__xludf.DUMMYFUNCTION("""COMPUTED_VALUE"""),67.09)</f>
        <v>67.09</v>
      </c>
      <c r="L508" s="1">
        <f ca="1">IFERROR(__xludf.DUMMYFUNCTION("""COMPUTED_VALUE"""),554)</f>
        <v>554</v>
      </c>
      <c r="M508" s="1">
        <f ca="1">IFERROR(__xludf.DUMMYFUNCTION("""COMPUTED_VALUE"""),591.15)</f>
        <v>591.15</v>
      </c>
    </row>
    <row r="509" spans="1:13" x14ac:dyDescent="0.25">
      <c r="A509" s="2">
        <f ca="1">IFERROR(__xludf.DUMMYFUNCTION("""COMPUTED_VALUE"""),44567.6666666666)</f>
        <v>44567.666666666599</v>
      </c>
      <c r="B509" s="1">
        <f ca="1">IFERROR(__xludf.DUMMYFUNCTION("""COMPUTED_VALUE"""),172)</f>
        <v>172</v>
      </c>
      <c r="C509" s="1">
        <f ca="1">IFERROR(__xludf.DUMMYFUNCTION("""COMPUTED_VALUE"""),316.38)</f>
        <v>316.38</v>
      </c>
      <c r="D509" s="1">
        <f ca="1">IFERROR(__xludf.DUMMYFUNCTION("""COMPUTED_VALUE"""),164.36)</f>
        <v>164.36</v>
      </c>
      <c r="E509" s="1">
        <f ca="1">IFERROR(__xludf.DUMMYFUNCTION("""COMPUTED_VALUE"""),27.6)</f>
        <v>27.6</v>
      </c>
      <c r="F509" s="1">
        <f ca="1">IFERROR(__xludf.DUMMYFUNCTION("""COMPUTED_VALUE"""),324.17)</f>
        <v>324.17</v>
      </c>
      <c r="G509" s="1">
        <f ca="1">IFERROR(__xludf.DUMMYFUNCTION("""COMPUTED_VALUE"""),137.65)</f>
        <v>137.65</v>
      </c>
      <c r="H509" s="1">
        <f ca="1">IFERROR(__xludf.DUMMYFUNCTION("""COMPUTED_VALUE"""),362.71)</f>
        <v>362.71</v>
      </c>
      <c r="I509" s="1">
        <f ca="1">IFERROR(__xludf.DUMMYFUNCTION("""COMPUTED_VALUE"""),173.82)</f>
        <v>173.82</v>
      </c>
      <c r="J509" s="1">
        <f ca="1">IFERROR(__xludf.DUMMYFUNCTION("""COMPUTED_VALUE"""),549.92)</f>
        <v>549.91999999999996</v>
      </c>
      <c r="K509" s="1">
        <f ca="1">IFERROR(__xludf.DUMMYFUNCTION("""COMPUTED_VALUE"""),64.3)</f>
        <v>64.3</v>
      </c>
      <c r="L509" s="1">
        <f ca="1">IFERROR(__xludf.DUMMYFUNCTION("""COMPUTED_VALUE"""),514.43)</f>
        <v>514.42999999999995</v>
      </c>
      <c r="M509" s="1">
        <f ca="1">IFERROR(__xludf.DUMMYFUNCTION("""COMPUTED_VALUE"""),567.52)</f>
        <v>567.52</v>
      </c>
    </row>
    <row r="510" spans="1:13" x14ac:dyDescent="0.25">
      <c r="A510" s="2">
        <f ca="1">IFERROR(__xludf.DUMMYFUNCTION("""COMPUTED_VALUE"""),44568.6666666666)</f>
        <v>44568.666666666599</v>
      </c>
      <c r="B510" s="1">
        <f ca="1">IFERROR(__xludf.DUMMYFUNCTION("""COMPUTED_VALUE"""),172.17)</f>
        <v>172.17</v>
      </c>
      <c r="C510" s="1">
        <f ca="1">IFERROR(__xludf.DUMMYFUNCTION("""COMPUTED_VALUE"""),313.88)</f>
        <v>313.88</v>
      </c>
      <c r="D510" s="1">
        <f ca="1">IFERROR(__xludf.DUMMYFUNCTION("""COMPUTED_VALUE"""),163.25)</f>
        <v>163.25</v>
      </c>
      <c r="E510" s="1">
        <f ca="1">IFERROR(__xludf.DUMMYFUNCTION("""COMPUTED_VALUE"""),28.18)</f>
        <v>28.18</v>
      </c>
      <c r="F510" s="1">
        <f ca="1">IFERROR(__xludf.DUMMYFUNCTION("""COMPUTED_VALUE"""),332.46)</f>
        <v>332.46</v>
      </c>
      <c r="G510" s="1">
        <f ca="1">IFERROR(__xludf.DUMMYFUNCTION("""COMPUTED_VALUE"""),137.55)</f>
        <v>137.55000000000001</v>
      </c>
      <c r="H510" s="1">
        <f ca="1">IFERROR(__xludf.DUMMYFUNCTION("""COMPUTED_VALUE"""),354.9)</f>
        <v>354.9</v>
      </c>
      <c r="I510" s="1">
        <f ca="1">IFERROR(__xludf.DUMMYFUNCTION("""COMPUTED_VALUE"""),173.86)</f>
        <v>173.86</v>
      </c>
      <c r="J510" s="1">
        <f ca="1">IFERROR(__xludf.DUMMYFUNCTION("""COMPUTED_VALUE"""),549.8)</f>
        <v>549.79999999999995</v>
      </c>
      <c r="K510" s="1">
        <f ca="1">IFERROR(__xludf.DUMMYFUNCTION("""COMPUTED_VALUE"""),63.7)</f>
        <v>63.7</v>
      </c>
      <c r="L510" s="1">
        <f ca="1">IFERROR(__xludf.DUMMYFUNCTION("""COMPUTED_VALUE"""),514.12)</f>
        <v>514.12</v>
      </c>
      <c r="M510" s="1">
        <f ca="1">IFERROR(__xludf.DUMMYFUNCTION("""COMPUTED_VALUE"""),553.29)</f>
        <v>553.29</v>
      </c>
    </row>
    <row r="511" spans="1:13" x14ac:dyDescent="0.25">
      <c r="A511" s="2">
        <f ca="1">IFERROR(__xludf.DUMMYFUNCTION("""COMPUTED_VALUE"""),44571.6666666666)</f>
        <v>44571.666666666599</v>
      </c>
      <c r="B511" s="1">
        <f ca="1">IFERROR(__xludf.DUMMYFUNCTION("""COMPUTED_VALUE"""),172.19)</f>
        <v>172.19</v>
      </c>
      <c r="C511" s="1">
        <f ca="1">IFERROR(__xludf.DUMMYFUNCTION("""COMPUTED_VALUE"""),314.04)</f>
        <v>314.04000000000002</v>
      </c>
      <c r="D511" s="1">
        <f ca="1">IFERROR(__xludf.DUMMYFUNCTION("""COMPUTED_VALUE"""),162.55)</f>
        <v>162.55000000000001</v>
      </c>
      <c r="E511" s="1">
        <f ca="1">IFERROR(__xludf.DUMMYFUNCTION("""COMPUTED_VALUE"""),27.25)</f>
        <v>27.25</v>
      </c>
      <c r="F511" s="1">
        <f ca="1">IFERROR(__xludf.DUMMYFUNCTION("""COMPUTED_VALUE"""),331.79)</f>
        <v>331.79</v>
      </c>
      <c r="G511" s="1">
        <f ca="1">IFERROR(__xludf.DUMMYFUNCTION("""COMPUTED_VALUE"""),137)</f>
        <v>137</v>
      </c>
      <c r="H511" s="1">
        <f ca="1">IFERROR(__xludf.DUMMYFUNCTION("""COMPUTED_VALUE"""),342.32)</f>
        <v>342.32</v>
      </c>
      <c r="I511" s="1">
        <f ca="1">IFERROR(__xludf.DUMMYFUNCTION("""COMPUTED_VALUE"""),174.08)</f>
        <v>174.08</v>
      </c>
      <c r="J511" s="1">
        <f ca="1">IFERROR(__xludf.DUMMYFUNCTION("""COMPUTED_VALUE"""),536.18)</f>
        <v>536.17999999999995</v>
      </c>
      <c r="K511" s="1">
        <f ca="1">IFERROR(__xludf.DUMMYFUNCTION("""COMPUTED_VALUE"""),61.92)</f>
        <v>61.92</v>
      </c>
      <c r="L511" s="1">
        <f ca="1">IFERROR(__xludf.DUMMYFUNCTION("""COMPUTED_VALUE"""),510.7)</f>
        <v>510.7</v>
      </c>
      <c r="M511" s="1">
        <f ca="1">IFERROR(__xludf.DUMMYFUNCTION("""COMPUTED_VALUE"""),541.06)</f>
        <v>541.05999999999995</v>
      </c>
    </row>
    <row r="512" spans="1:13" x14ac:dyDescent="0.25">
      <c r="A512" s="2">
        <f ca="1">IFERROR(__xludf.DUMMYFUNCTION("""COMPUTED_VALUE"""),44572.6666666666)</f>
        <v>44572.666666666599</v>
      </c>
      <c r="B512" s="1">
        <f ca="1">IFERROR(__xludf.DUMMYFUNCTION("""COMPUTED_VALUE"""),175.08)</f>
        <v>175.08</v>
      </c>
      <c r="C512" s="1">
        <f ca="1">IFERROR(__xludf.DUMMYFUNCTION("""COMPUTED_VALUE"""),314.27)</f>
        <v>314.27</v>
      </c>
      <c r="D512" s="1">
        <f ca="1">IFERROR(__xludf.DUMMYFUNCTION("""COMPUTED_VALUE"""),161.49)</f>
        <v>161.49</v>
      </c>
      <c r="E512" s="1">
        <f ca="1">IFERROR(__xludf.DUMMYFUNCTION("""COMPUTED_VALUE"""),27.4)</f>
        <v>27.4</v>
      </c>
      <c r="F512" s="1">
        <f ca="1">IFERROR(__xludf.DUMMYFUNCTION("""COMPUTED_VALUE"""),328.07)</f>
        <v>328.07</v>
      </c>
      <c r="G512" s="1">
        <f ca="1">IFERROR(__xludf.DUMMYFUNCTION("""COMPUTED_VALUE"""),138.57)</f>
        <v>138.57</v>
      </c>
      <c r="H512" s="1">
        <f ca="1">IFERROR(__xludf.DUMMYFUNCTION("""COMPUTED_VALUE"""),352.71)</f>
        <v>352.71</v>
      </c>
      <c r="I512" s="1">
        <f ca="1">IFERROR(__xludf.DUMMYFUNCTION("""COMPUTED_VALUE"""),174.17)</f>
        <v>174.17</v>
      </c>
      <c r="J512" s="1">
        <f ca="1">IFERROR(__xludf.DUMMYFUNCTION("""COMPUTED_VALUE"""),518.8)</f>
        <v>518.79999999999995</v>
      </c>
      <c r="K512" s="1">
        <f ca="1">IFERROR(__xludf.DUMMYFUNCTION("""COMPUTED_VALUE"""),62.12)</f>
        <v>62.12</v>
      </c>
      <c r="L512" s="1">
        <f ca="1">IFERROR(__xludf.DUMMYFUNCTION("""COMPUTED_VALUE"""),525.83)</f>
        <v>525.83000000000004</v>
      </c>
      <c r="M512" s="1">
        <f ca="1">IFERROR(__xludf.DUMMYFUNCTION("""COMPUTED_VALUE"""),539.85)</f>
        <v>539.85</v>
      </c>
    </row>
    <row r="513" spans="1:13" x14ac:dyDescent="0.25">
      <c r="A513" s="2">
        <f ca="1">IFERROR(__xludf.DUMMYFUNCTION("""COMPUTED_VALUE"""),44573.6666666666)</f>
        <v>44573.666666666599</v>
      </c>
      <c r="B513" s="1">
        <f ca="1">IFERROR(__xludf.DUMMYFUNCTION("""COMPUTED_VALUE"""),175.53)</f>
        <v>175.53</v>
      </c>
      <c r="C513" s="1">
        <f ca="1">IFERROR(__xludf.DUMMYFUNCTION("""COMPUTED_VALUE"""),314.98)</f>
        <v>314.98</v>
      </c>
      <c r="D513" s="1">
        <f ca="1">IFERROR(__xludf.DUMMYFUNCTION("""COMPUTED_VALUE"""),165.36)</f>
        <v>165.36</v>
      </c>
      <c r="E513" s="1">
        <f ca="1">IFERROR(__xludf.DUMMYFUNCTION("""COMPUTED_VALUE"""),27.82)</f>
        <v>27.82</v>
      </c>
      <c r="F513" s="1">
        <f ca="1">IFERROR(__xludf.DUMMYFUNCTION("""COMPUTED_VALUE"""),334.37)</f>
        <v>334.37</v>
      </c>
      <c r="G513" s="1">
        <f ca="1">IFERROR(__xludf.DUMMYFUNCTION("""COMPUTED_VALUE"""),140.02)</f>
        <v>140.02000000000001</v>
      </c>
      <c r="H513" s="1">
        <f ca="1">IFERROR(__xludf.DUMMYFUNCTION("""COMPUTED_VALUE"""),354.8)</f>
        <v>354.8</v>
      </c>
      <c r="I513" s="1">
        <f ca="1">IFERROR(__xludf.DUMMYFUNCTION("""COMPUTED_VALUE"""),174.09)</f>
        <v>174.09</v>
      </c>
      <c r="J513" s="1">
        <f ca="1">IFERROR(__xludf.DUMMYFUNCTION("""COMPUTED_VALUE"""),522.03)</f>
        <v>522.03</v>
      </c>
      <c r="K513" s="1">
        <f ca="1">IFERROR(__xludf.DUMMYFUNCTION("""COMPUTED_VALUE"""),62.21)</f>
        <v>62.21</v>
      </c>
      <c r="L513" s="1">
        <f ca="1">IFERROR(__xludf.DUMMYFUNCTION("""COMPUTED_VALUE"""),529.89)</f>
        <v>529.89</v>
      </c>
      <c r="M513" s="1">
        <f ca="1">IFERROR(__xludf.DUMMYFUNCTION("""COMPUTED_VALUE"""),540.84)</f>
        <v>540.84</v>
      </c>
    </row>
    <row r="514" spans="1:13" x14ac:dyDescent="0.25">
      <c r="A514" s="2">
        <f ca="1">IFERROR(__xludf.DUMMYFUNCTION("""COMPUTED_VALUE"""),44574.6666666666)</f>
        <v>44574.666666666599</v>
      </c>
      <c r="B514" s="1">
        <f ca="1">IFERROR(__xludf.DUMMYFUNCTION("""COMPUTED_VALUE"""),172.19)</f>
        <v>172.19</v>
      </c>
      <c r="C514" s="1">
        <f ca="1">IFERROR(__xludf.DUMMYFUNCTION("""COMPUTED_VALUE"""),318.27)</f>
        <v>318.27</v>
      </c>
      <c r="D514" s="1">
        <f ca="1">IFERROR(__xludf.DUMMYFUNCTION("""COMPUTED_VALUE"""),165.21)</f>
        <v>165.21</v>
      </c>
      <c r="E514" s="1">
        <f ca="1">IFERROR(__xludf.DUMMYFUNCTION("""COMPUTED_VALUE"""),28)</f>
        <v>28</v>
      </c>
      <c r="F514" s="1">
        <f ca="1">IFERROR(__xludf.DUMMYFUNCTION("""COMPUTED_VALUE"""),333.26)</f>
        <v>333.26</v>
      </c>
      <c r="G514" s="1">
        <f ca="1">IFERROR(__xludf.DUMMYFUNCTION("""COMPUTED_VALUE"""),141.65)</f>
        <v>141.65</v>
      </c>
      <c r="H514" s="1">
        <f ca="1">IFERROR(__xludf.DUMMYFUNCTION("""COMPUTED_VALUE"""),368.74)</f>
        <v>368.74</v>
      </c>
      <c r="I514" s="1">
        <f ca="1">IFERROR(__xludf.DUMMYFUNCTION("""COMPUTED_VALUE"""),173.9)</f>
        <v>173.9</v>
      </c>
      <c r="J514" s="1">
        <f ca="1">IFERROR(__xludf.DUMMYFUNCTION("""COMPUTED_VALUE"""),525.8)</f>
        <v>525.79999999999995</v>
      </c>
      <c r="K514" s="1">
        <f ca="1">IFERROR(__xludf.DUMMYFUNCTION("""COMPUTED_VALUE"""),62.2)</f>
        <v>62.2</v>
      </c>
      <c r="L514" s="1">
        <f ca="1">IFERROR(__xludf.DUMMYFUNCTION("""COMPUTED_VALUE"""),532.37)</f>
        <v>532.37</v>
      </c>
      <c r="M514" s="1">
        <f ca="1">IFERROR(__xludf.DUMMYFUNCTION("""COMPUTED_VALUE"""),537.22)</f>
        <v>537.22</v>
      </c>
    </row>
    <row r="515" spans="1:13" x14ac:dyDescent="0.25">
      <c r="A515" s="2">
        <f ca="1">IFERROR(__xludf.DUMMYFUNCTION("""COMPUTED_VALUE"""),44575.6666666666)</f>
        <v>44575.666666666599</v>
      </c>
      <c r="B515" s="1">
        <f ca="1">IFERROR(__xludf.DUMMYFUNCTION("""COMPUTED_VALUE"""),173.07)</f>
        <v>173.07</v>
      </c>
      <c r="C515" s="1">
        <f ca="1">IFERROR(__xludf.DUMMYFUNCTION("""COMPUTED_VALUE"""),304.8)</f>
        <v>304.8</v>
      </c>
      <c r="D515" s="1">
        <f ca="1">IFERROR(__xludf.DUMMYFUNCTION("""COMPUTED_VALUE"""),161.21)</f>
        <v>161.21</v>
      </c>
      <c r="E515" s="1">
        <f ca="1">IFERROR(__xludf.DUMMYFUNCTION("""COMPUTED_VALUE"""),26.58)</f>
        <v>26.58</v>
      </c>
      <c r="F515" s="1">
        <f ca="1">IFERROR(__xludf.DUMMYFUNCTION("""COMPUTED_VALUE"""),326.48)</f>
        <v>326.48</v>
      </c>
      <c r="G515" s="1">
        <f ca="1">IFERROR(__xludf.DUMMYFUNCTION("""COMPUTED_VALUE"""),139.13)</f>
        <v>139.13</v>
      </c>
      <c r="H515" s="1">
        <f ca="1">IFERROR(__xludf.DUMMYFUNCTION("""COMPUTED_VALUE"""),343.85)</f>
        <v>343.85</v>
      </c>
      <c r="I515" s="1">
        <f ca="1">IFERROR(__xludf.DUMMYFUNCTION("""COMPUTED_VALUE"""),174.18)</f>
        <v>174.18</v>
      </c>
      <c r="J515" s="1">
        <f ca="1">IFERROR(__xludf.DUMMYFUNCTION("""COMPUTED_VALUE"""),516.88)</f>
        <v>516.88</v>
      </c>
      <c r="K515" s="1">
        <f ca="1">IFERROR(__xludf.DUMMYFUNCTION("""COMPUTED_VALUE"""),59.72)</f>
        <v>59.72</v>
      </c>
      <c r="L515" s="1">
        <f ca="1">IFERROR(__xludf.DUMMYFUNCTION("""COMPUTED_VALUE"""),516.9)</f>
        <v>516.9</v>
      </c>
      <c r="M515" s="1">
        <f ca="1">IFERROR(__xludf.DUMMYFUNCTION("""COMPUTED_VALUE"""),519.2)</f>
        <v>519.20000000000005</v>
      </c>
    </row>
    <row r="516" spans="1:13" x14ac:dyDescent="0.25">
      <c r="A516" s="2">
        <f ca="1">IFERROR(__xludf.DUMMYFUNCTION("""COMPUTED_VALUE"""),44579.6666666666)</f>
        <v>44579.666666666599</v>
      </c>
      <c r="B516" s="1">
        <f ca="1">IFERROR(__xludf.DUMMYFUNCTION("""COMPUTED_VALUE"""),169.8)</f>
        <v>169.8</v>
      </c>
      <c r="C516" s="1">
        <f ca="1">IFERROR(__xludf.DUMMYFUNCTION("""COMPUTED_VALUE"""),310.2)</f>
        <v>310.2</v>
      </c>
      <c r="D516" s="1">
        <f ca="1">IFERROR(__xludf.DUMMYFUNCTION("""COMPUTED_VALUE"""),162.14)</f>
        <v>162.13999999999999</v>
      </c>
      <c r="E516" s="1">
        <f ca="1">IFERROR(__xludf.DUMMYFUNCTION("""COMPUTED_VALUE"""),26.94)</f>
        <v>26.94</v>
      </c>
      <c r="F516" s="1">
        <f ca="1">IFERROR(__xludf.DUMMYFUNCTION("""COMPUTED_VALUE"""),331.9)</f>
        <v>331.9</v>
      </c>
      <c r="G516" s="1">
        <f ca="1">IFERROR(__xludf.DUMMYFUNCTION("""COMPUTED_VALUE"""),139.79)</f>
        <v>139.79</v>
      </c>
      <c r="H516" s="1">
        <f ca="1">IFERROR(__xludf.DUMMYFUNCTION("""COMPUTED_VALUE"""),349.87)</f>
        <v>349.87</v>
      </c>
      <c r="I516" s="1">
        <f ca="1">IFERROR(__xludf.DUMMYFUNCTION("""COMPUTED_VALUE"""),175.64)</f>
        <v>175.64</v>
      </c>
      <c r="J516" s="1">
        <f ca="1">IFERROR(__xludf.DUMMYFUNCTION("""COMPUTED_VALUE"""),502.99)</f>
        <v>502.99</v>
      </c>
      <c r="K516" s="1">
        <f ca="1">IFERROR(__xludf.DUMMYFUNCTION("""COMPUTED_VALUE"""),59.64)</f>
        <v>59.64</v>
      </c>
      <c r="L516" s="1">
        <f ca="1">IFERROR(__xludf.DUMMYFUNCTION("""COMPUTED_VALUE"""),520.6)</f>
        <v>520.6</v>
      </c>
      <c r="M516" s="1">
        <f ca="1">IFERROR(__xludf.DUMMYFUNCTION("""COMPUTED_VALUE"""),525.69)</f>
        <v>525.69000000000005</v>
      </c>
    </row>
    <row r="517" spans="1:13" x14ac:dyDescent="0.25">
      <c r="A517" s="2">
        <f ca="1">IFERROR(__xludf.DUMMYFUNCTION("""COMPUTED_VALUE"""),44580.6666666666)</f>
        <v>44580.666666666599</v>
      </c>
      <c r="B517" s="1">
        <f ca="1">IFERROR(__xludf.DUMMYFUNCTION("""COMPUTED_VALUE"""),166.23)</f>
        <v>166.23</v>
      </c>
      <c r="C517" s="1">
        <f ca="1">IFERROR(__xludf.DUMMYFUNCTION("""COMPUTED_VALUE"""),302.65)</f>
        <v>302.64999999999998</v>
      </c>
      <c r="D517" s="1">
        <f ca="1">IFERROR(__xludf.DUMMYFUNCTION("""COMPUTED_VALUE"""),158.92)</f>
        <v>158.91999999999999</v>
      </c>
      <c r="E517" s="1">
        <f ca="1">IFERROR(__xludf.DUMMYFUNCTION("""COMPUTED_VALUE"""),25.9)</f>
        <v>25.9</v>
      </c>
      <c r="F517" s="1">
        <f ca="1">IFERROR(__xludf.DUMMYFUNCTION("""COMPUTED_VALUE"""),318.15)</f>
        <v>318.14999999999998</v>
      </c>
      <c r="G517" s="1">
        <f ca="1">IFERROR(__xludf.DUMMYFUNCTION("""COMPUTED_VALUE"""),136.29)</f>
        <v>136.29</v>
      </c>
      <c r="H517" s="1">
        <f ca="1">IFERROR(__xludf.DUMMYFUNCTION("""COMPUTED_VALUE"""),343.5)</f>
        <v>343.5</v>
      </c>
      <c r="I517" s="1">
        <f ca="1">IFERROR(__xludf.DUMMYFUNCTION("""COMPUTED_VALUE"""),173.96)</f>
        <v>173.96</v>
      </c>
      <c r="J517" s="1">
        <f ca="1">IFERROR(__xludf.DUMMYFUNCTION("""COMPUTED_VALUE"""),488.07)</f>
        <v>488.07</v>
      </c>
      <c r="K517" s="1">
        <f ca="1">IFERROR(__xludf.DUMMYFUNCTION("""COMPUTED_VALUE"""),57.78)</f>
        <v>57.78</v>
      </c>
      <c r="L517" s="1">
        <f ca="1">IFERROR(__xludf.DUMMYFUNCTION("""COMPUTED_VALUE"""),513.34)</f>
        <v>513.34</v>
      </c>
      <c r="M517" s="1">
        <f ca="1">IFERROR(__xludf.DUMMYFUNCTION("""COMPUTED_VALUE"""),510.8)</f>
        <v>510.8</v>
      </c>
    </row>
    <row r="518" spans="1:13" x14ac:dyDescent="0.25">
      <c r="A518" s="2">
        <f ca="1">IFERROR(__xludf.DUMMYFUNCTION("""COMPUTED_VALUE"""),44581.6666666666)</f>
        <v>44581.666666666599</v>
      </c>
      <c r="B518" s="1">
        <f ca="1">IFERROR(__xludf.DUMMYFUNCTION("""COMPUTED_VALUE"""),164.51)</f>
        <v>164.51</v>
      </c>
      <c r="C518" s="1">
        <f ca="1">IFERROR(__xludf.DUMMYFUNCTION("""COMPUTED_VALUE"""),303.33)</f>
        <v>303.33</v>
      </c>
      <c r="D518" s="1">
        <f ca="1">IFERROR(__xludf.DUMMYFUNCTION("""COMPUTED_VALUE"""),156.3)</f>
        <v>156.30000000000001</v>
      </c>
      <c r="E518" s="1">
        <f ca="1">IFERROR(__xludf.DUMMYFUNCTION("""COMPUTED_VALUE"""),25.07)</f>
        <v>25.07</v>
      </c>
      <c r="F518" s="1">
        <f ca="1">IFERROR(__xludf.DUMMYFUNCTION("""COMPUTED_VALUE"""),319.59)</f>
        <v>319.58999999999997</v>
      </c>
      <c r="G518" s="1">
        <f ca="1">IFERROR(__xludf.DUMMYFUNCTION("""COMPUTED_VALUE"""),135.65)</f>
        <v>135.65</v>
      </c>
      <c r="H518" s="1">
        <f ca="1">IFERROR(__xludf.DUMMYFUNCTION("""COMPUTED_VALUE"""),331.88)</f>
        <v>331.88</v>
      </c>
      <c r="I518" s="1">
        <f ca="1">IFERROR(__xludf.DUMMYFUNCTION("""COMPUTED_VALUE"""),175.21)</f>
        <v>175.21</v>
      </c>
      <c r="J518" s="1">
        <f ca="1">IFERROR(__xludf.DUMMYFUNCTION("""COMPUTED_VALUE"""),490.16)</f>
        <v>490.16</v>
      </c>
      <c r="K518" s="1">
        <f ca="1">IFERROR(__xludf.DUMMYFUNCTION("""COMPUTED_VALUE"""),56.4)</f>
        <v>56.4</v>
      </c>
      <c r="L518" s="1">
        <f ca="1">IFERROR(__xludf.DUMMYFUNCTION("""COMPUTED_VALUE"""),516.58)</f>
        <v>516.58000000000004</v>
      </c>
      <c r="M518" s="1">
        <f ca="1">IFERROR(__xludf.DUMMYFUNCTION("""COMPUTED_VALUE"""),515.86)</f>
        <v>515.86</v>
      </c>
    </row>
    <row r="519" spans="1:13" x14ac:dyDescent="0.25">
      <c r="A519" s="2">
        <f ca="1">IFERROR(__xludf.DUMMYFUNCTION("""COMPUTED_VALUE"""),44582.6666666666)</f>
        <v>44582.666666666599</v>
      </c>
      <c r="B519" s="1">
        <f ca="1">IFERROR(__xludf.DUMMYFUNCTION("""COMPUTED_VALUE"""),162.41)</f>
        <v>162.41</v>
      </c>
      <c r="C519" s="1">
        <f ca="1">IFERROR(__xludf.DUMMYFUNCTION("""COMPUTED_VALUE"""),301.6)</f>
        <v>301.60000000000002</v>
      </c>
      <c r="D519" s="1">
        <f ca="1">IFERROR(__xludf.DUMMYFUNCTION("""COMPUTED_VALUE"""),151.67)</f>
        <v>151.66999999999999</v>
      </c>
      <c r="E519" s="1">
        <f ca="1">IFERROR(__xludf.DUMMYFUNCTION("""COMPUTED_VALUE"""),24.15)</f>
        <v>24.15</v>
      </c>
      <c r="F519" s="1">
        <f ca="1">IFERROR(__xludf.DUMMYFUNCTION("""COMPUTED_VALUE"""),316.56)</f>
        <v>316.56</v>
      </c>
      <c r="G519" s="1">
        <f ca="1">IFERROR(__xludf.DUMMYFUNCTION("""COMPUTED_VALUE"""),133.51)</f>
        <v>133.51</v>
      </c>
      <c r="H519" s="1">
        <f ca="1">IFERROR(__xludf.DUMMYFUNCTION("""COMPUTED_VALUE"""),332.09)</f>
        <v>332.09</v>
      </c>
      <c r="I519" s="1">
        <f ca="1">IFERROR(__xludf.DUMMYFUNCTION("""COMPUTED_VALUE"""),173.94)</f>
        <v>173.94</v>
      </c>
      <c r="J519" s="1">
        <f ca="1">IFERROR(__xludf.DUMMYFUNCTION("""COMPUTED_VALUE"""),482.82)</f>
        <v>482.82</v>
      </c>
      <c r="K519" s="1">
        <f ca="1">IFERROR(__xludf.DUMMYFUNCTION("""COMPUTED_VALUE"""),54.77)</f>
        <v>54.77</v>
      </c>
      <c r="L519" s="1">
        <f ca="1">IFERROR(__xludf.DUMMYFUNCTION("""COMPUTED_VALUE"""),510.85)</f>
        <v>510.85</v>
      </c>
      <c r="M519" s="1">
        <f ca="1">IFERROR(__xludf.DUMMYFUNCTION("""COMPUTED_VALUE"""),508.25)</f>
        <v>508.25</v>
      </c>
    </row>
    <row r="520" spans="1:13" x14ac:dyDescent="0.25">
      <c r="A520" s="2">
        <f ca="1">IFERROR(__xludf.DUMMYFUNCTION("""COMPUTED_VALUE"""),44585.6666666666)</f>
        <v>44585.666666666599</v>
      </c>
      <c r="B520" s="1">
        <f ca="1">IFERROR(__xludf.DUMMYFUNCTION("""COMPUTED_VALUE"""),161.62)</f>
        <v>161.62</v>
      </c>
      <c r="C520" s="1">
        <f ca="1">IFERROR(__xludf.DUMMYFUNCTION("""COMPUTED_VALUE"""),296.03)</f>
        <v>296.02999999999997</v>
      </c>
      <c r="D520" s="1">
        <f ca="1">IFERROR(__xludf.DUMMYFUNCTION("""COMPUTED_VALUE"""),142.64)</f>
        <v>142.63999999999999</v>
      </c>
      <c r="E520" s="1">
        <f ca="1">IFERROR(__xludf.DUMMYFUNCTION("""COMPUTED_VALUE"""),23.37)</f>
        <v>23.37</v>
      </c>
      <c r="F520" s="1">
        <f ca="1">IFERROR(__xludf.DUMMYFUNCTION("""COMPUTED_VALUE"""),303.17)</f>
        <v>303.17</v>
      </c>
      <c r="G520" s="1">
        <f ca="1">IFERROR(__xludf.DUMMYFUNCTION("""COMPUTED_VALUE"""),130.09)</f>
        <v>130.09</v>
      </c>
      <c r="H520" s="1">
        <f ca="1">IFERROR(__xludf.DUMMYFUNCTION("""COMPUTED_VALUE"""),314.63)</f>
        <v>314.63</v>
      </c>
      <c r="I520" s="1">
        <f ca="1">IFERROR(__xludf.DUMMYFUNCTION("""COMPUTED_VALUE"""),174.22)</f>
        <v>174.22</v>
      </c>
      <c r="J520" s="1">
        <f ca="1">IFERROR(__xludf.DUMMYFUNCTION("""COMPUTED_VALUE"""),481.61)</f>
        <v>481.61</v>
      </c>
      <c r="K520" s="1">
        <f ca="1">IFERROR(__xludf.DUMMYFUNCTION("""COMPUTED_VALUE"""),53.32)</f>
        <v>53.32</v>
      </c>
      <c r="L520" s="1">
        <f ca="1">IFERROR(__xludf.DUMMYFUNCTION("""COMPUTED_VALUE"""),499.91)</f>
        <v>499.91</v>
      </c>
      <c r="M520" s="1">
        <f ca="1">IFERROR(__xludf.DUMMYFUNCTION("""COMPUTED_VALUE"""),397.5)</f>
        <v>397.5</v>
      </c>
    </row>
    <row r="521" spans="1:13" x14ac:dyDescent="0.25">
      <c r="A521" s="2">
        <f ca="1">IFERROR(__xludf.DUMMYFUNCTION("""COMPUTED_VALUE"""),44586.6666666666)</f>
        <v>44586.666666666599</v>
      </c>
      <c r="B521" s="1">
        <f ca="1">IFERROR(__xludf.DUMMYFUNCTION("""COMPUTED_VALUE"""),159.78)</f>
        <v>159.78</v>
      </c>
      <c r="C521" s="1">
        <f ca="1">IFERROR(__xludf.DUMMYFUNCTION("""COMPUTED_VALUE"""),296.37)</f>
        <v>296.37</v>
      </c>
      <c r="D521" s="1">
        <f ca="1">IFERROR(__xludf.DUMMYFUNCTION("""COMPUTED_VALUE"""),144.54)</f>
        <v>144.54</v>
      </c>
      <c r="E521" s="1">
        <f ca="1">IFERROR(__xludf.DUMMYFUNCTION("""COMPUTED_VALUE"""),23.37)</f>
        <v>23.37</v>
      </c>
      <c r="F521" s="1">
        <f ca="1">IFERROR(__xludf.DUMMYFUNCTION("""COMPUTED_VALUE"""),308.71)</f>
        <v>308.70999999999998</v>
      </c>
      <c r="G521" s="1">
        <f ca="1">IFERROR(__xludf.DUMMYFUNCTION("""COMPUTED_VALUE"""),130.37)</f>
        <v>130.37</v>
      </c>
      <c r="H521" s="1">
        <f ca="1">IFERROR(__xludf.DUMMYFUNCTION("""COMPUTED_VALUE"""),310)</f>
        <v>310</v>
      </c>
      <c r="I521" s="1">
        <f ca="1">IFERROR(__xludf.DUMMYFUNCTION("""COMPUTED_VALUE"""),173.33)</f>
        <v>173.33</v>
      </c>
      <c r="J521" s="1">
        <f ca="1">IFERROR(__xludf.DUMMYFUNCTION("""COMPUTED_VALUE"""),488.9)</f>
        <v>488.9</v>
      </c>
      <c r="K521" s="1">
        <f ca="1">IFERROR(__xludf.DUMMYFUNCTION("""COMPUTED_VALUE"""),54.16)</f>
        <v>54.16</v>
      </c>
      <c r="L521" s="1">
        <f ca="1">IFERROR(__xludf.DUMMYFUNCTION("""COMPUTED_VALUE"""),519.66)</f>
        <v>519.66</v>
      </c>
      <c r="M521" s="1">
        <f ca="1">IFERROR(__xludf.DUMMYFUNCTION("""COMPUTED_VALUE"""),387.15)</f>
        <v>387.15</v>
      </c>
    </row>
    <row r="522" spans="1:13" x14ac:dyDescent="0.25">
      <c r="A522" s="2">
        <f ca="1">IFERROR(__xludf.DUMMYFUNCTION("""COMPUTED_VALUE"""),44587.6666666666)</f>
        <v>44587.666666666599</v>
      </c>
      <c r="B522" s="1">
        <f ca="1">IFERROR(__xludf.DUMMYFUNCTION("""COMPUTED_VALUE"""),159.69)</f>
        <v>159.69</v>
      </c>
      <c r="C522" s="1">
        <f ca="1">IFERROR(__xludf.DUMMYFUNCTION("""COMPUTED_VALUE"""),288.49)</f>
        <v>288.49</v>
      </c>
      <c r="D522" s="1">
        <f ca="1">IFERROR(__xludf.DUMMYFUNCTION("""COMPUTED_VALUE"""),139.99)</f>
        <v>139.99</v>
      </c>
      <c r="E522" s="1">
        <f ca="1">IFERROR(__xludf.DUMMYFUNCTION("""COMPUTED_VALUE"""),22.32)</f>
        <v>22.32</v>
      </c>
      <c r="F522" s="1">
        <f ca="1">IFERROR(__xludf.DUMMYFUNCTION("""COMPUTED_VALUE"""),300.15)</f>
        <v>300.14999999999998</v>
      </c>
      <c r="G522" s="1">
        <f ca="1">IFERROR(__xludf.DUMMYFUNCTION("""COMPUTED_VALUE"""),126.74)</f>
        <v>126.74</v>
      </c>
      <c r="H522" s="1">
        <f ca="1">IFERROR(__xludf.DUMMYFUNCTION("""COMPUTED_VALUE"""),306.13)</f>
        <v>306.13</v>
      </c>
      <c r="I522" s="1">
        <f ca="1">IFERROR(__xludf.DUMMYFUNCTION("""COMPUTED_VALUE"""),171.34)</f>
        <v>171.34</v>
      </c>
      <c r="J522" s="1">
        <f ca="1">IFERROR(__xludf.DUMMYFUNCTION("""COMPUTED_VALUE"""),477.32)</f>
        <v>477.32</v>
      </c>
      <c r="K522" s="1">
        <f ca="1">IFERROR(__xludf.DUMMYFUNCTION("""COMPUTED_VALUE"""),53.41)</f>
        <v>53.41</v>
      </c>
      <c r="L522" s="1">
        <f ca="1">IFERROR(__xludf.DUMMYFUNCTION("""COMPUTED_VALUE"""),502.72)</f>
        <v>502.72</v>
      </c>
      <c r="M522" s="1">
        <f ca="1">IFERROR(__xludf.DUMMYFUNCTION("""COMPUTED_VALUE"""),366.42)</f>
        <v>366.42</v>
      </c>
    </row>
    <row r="523" spans="1:13" x14ac:dyDescent="0.25">
      <c r="A523" s="2">
        <f ca="1">IFERROR(__xludf.DUMMYFUNCTION("""COMPUTED_VALUE"""),44588.6666666666)</f>
        <v>44588.666666666599</v>
      </c>
      <c r="B523" s="1">
        <f ca="1">IFERROR(__xludf.DUMMYFUNCTION("""COMPUTED_VALUE"""),159.22)</f>
        <v>159.22</v>
      </c>
      <c r="C523" s="1">
        <f ca="1">IFERROR(__xludf.DUMMYFUNCTION("""COMPUTED_VALUE"""),296.71)</f>
        <v>296.70999999999998</v>
      </c>
      <c r="D523" s="1">
        <f ca="1">IFERROR(__xludf.DUMMYFUNCTION("""COMPUTED_VALUE"""),138.87)</f>
        <v>138.87</v>
      </c>
      <c r="E523" s="1">
        <f ca="1">IFERROR(__xludf.DUMMYFUNCTION("""COMPUTED_VALUE"""),22.77)</f>
        <v>22.77</v>
      </c>
      <c r="F523" s="1">
        <f ca="1">IFERROR(__xludf.DUMMYFUNCTION("""COMPUTED_VALUE"""),294.63)</f>
        <v>294.63</v>
      </c>
      <c r="G523" s="1">
        <f ca="1">IFERROR(__xludf.DUMMYFUNCTION("""COMPUTED_VALUE"""),129.24)</f>
        <v>129.24</v>
      </c>
      <c r="H523" s="1">
        <f ca="1">IFERROR(__xludf.DUMMYFUNCTION("""COMPUTED_VALUE"""),312.47)</f>
        <v>312.47000000000003</v>
      </c>
      <c r="I523" s="1">
        <f ca="1">IFERROR(__xludf.DUMMYFUNCTION("""COMPUTED_VALUE"""),169.53)</f>
        <v>169.53</v>
      </c>
      <c r="J523" s="1">
        <f ca="1">IFERROR(__xludf.DUMMYFUNCTION("""COMPUTED_VALUE"""),483.47)</f>
        <v>483.47</v>
      </c>
      <c r="K523" s="1">
        <f ca="1">IFERROR(__xludf.DUMMYFUNCTION("""COMPUTED_VALUE"""),55.71)</f>
        <v>55.71</v>
      </c>
      <c r="L523" s="1">
        <f ca="1">IFERROR(__xludf.DUMMYFUNCTION("""COMPUTED_VALUE"""),500.81)</f>
        <v>500.81</v>
      </c>
      <c r="M523" s="1">
        <f ca="1">IFERROR(__xludf.DUMMYFUNCTION("""COMPUTED_VALUE"""),359.7)</f>
        <v>359.7</v>
      </c>
    </row>
    <row r="524" spans="1:13" x14ac:dyDescent="0.25">
      <c r="A524" s="2">
        <f ca="1">IFERROR(__xludf.DUMMYFUNCTION("""COMPUTED_VALUE"""),44589.6666666666)</f>
        <v>44589.666666666599</v>
      </c>
      <c r="B524" s="1">
        <f ca="1">IFERROR(__xludf.DUMMYFUNCTION("""COMPUTED_VALUE"""),170.33)</f>
        <v>170.33</v>
      </c>
      <c r="C524" s="1">
        <f ca="1">IFERROR(__xludf.DUMMYFUNCTION("""COMPUTED_VALUE"""),299.84)</f>
        <v>299.83999999999997</v>
      </c>
      <c r="D524" s="1">
        <f ca="1">IFERROR(__xludf.DUMMYFUNCTION("""COMPUTED_VALUE"""),139.64)</f>
        <v>139.63999999999999</v>
      </c>
      <c r="E524" s="1">
        <f ca="1">IFERROR(__xludf.DUMMYFUNCTION("""COMPUTED_VALUE"""),21.94)</f>
        <v>21.94</v>
      </c>
      <c r="F524" s="1">
        <f ca="1">IFERROR(__xludf.DUMMYFUNCTION("""COMPUTED_VALUE"""),294.64)</f>
        <v>294.64</v>
      </c>
      <c r="G524" s="1">
        <f ca="1">IFERROR(__xludf.DUMMYFUNCTION("""COMPUTED_VALUE"""),129.12)</f>
        <v>129.12</v>
      </c>
      <c r="H524" s="1">
        <f ca="1">IFERROR(__xludf.DUMMYFUNCTION("""COMPUTED_VALUE"""),276.37)</f>
        <v>276.37</v>
      </c>
      <c r="I524" s="1">
        <f ca="1">IFERROR(__xludf.DUMMYFUNCTION("""COMPUTED_VALUE"""),169.37)</f>
        <v>169.37</v>
      </c>
      <c r="J524" s="1">
        <f ca="1">IFERROR(__xludf.DUMMYFUNCTION("""COMPUTED_VALUE"""),482.52)</f>
        <v>482.52</v>
      </c>
      <c r="K524" s="1">
        <f ca="1">IFERROR(__xludf.DUMMYFUNCTION("""COMPUTED_VALUE"""),54.23)</f>
        <v>54.23</v>
      </c>
      <c r="L524" s="1">
        <f ca="1">IFERROR(__xludf.DUMMYFUNCTION("""COMPUTED_VALUE"""),493.05)</f>
        <v>493.05</v>
      </c>
      <c r="M524" s="1">
        <f ca="1">IFERROR(__xludf.DUMMYFUNCTION("""COMPUTED_VALUE"""),386.7)</f>
        <v>386.7</v>
      </c>
    </row>
    <row r="525" spans="1:13" x14ac:dyDescent="0.25">
      <c r="A525" s="2">
        <f ca="1">IFERROR(__xludf.DUMMYFUNCTION("""COMPUTED_VALUE"""),44592.6666666666)</f>
        <v>44592.666666666599</v>
      </c>
      <c r="B525" s="1">
        <f ca="1">IFERROR(__xludf.DUMMYFUNCTION("""COMPUTED_VALUE"""),174.78)</f>
        <v>174.78</v>
      </c>
      <c r="C525" s="1">
        <f ca="1">IFERROR(__xludf.DUMMYFUNCTION("""COMPUTED_VALUE"""),308.26)</f>
        <v>308.26</v>
      </c>
      <c r="D525" s="1">
        <f ca="1">IFERROR(__xludf.DUMMYFUNCTION("""COMPUTED_VALUE"""),143.98)</f>
        <v>143.97999999999999</v>
      </c>
      <c r="E525" s="1">
        <f ca="1">IFERROR(__xludf.DUMMYFUNCTION("""COMPUTED_VALUE"""),22.84)</f>
        <v>22.84</v>
      </c>
      <c r="F525" s="1">
        <f ca="1">IFERROR(__xludf.DUMMYFUNCTION("""COMPUTED_VALUE"""),301.71)</f>
        <v>301.70999999999998</v>
      </c>
      <c r="G525" s="1">
        <f ca="1">IFERROR(__xludf.DUMMYFUNCTION("""COMPUTED_VALUE"""),133.29)</f>
        <v>133.29</v>
      </c>
      <c r="H525" s="1">
        <f ca="1">IFERROR(__xludf.DUMMYFUNCTION("""COMPUTED_VALUE"""),282.12)</f>
        <v>282.12</v>
      </c>
      <c r="I525" s="1">
        <f ca="1">IFERROR(__xludf.DUMMYFUNCTION("""COMPUTED_VALUE"""),172.67)</f>
        <v>172.67</v>
      </c>
      <c r="J525" s="1">
        <f ca="1">IFERROR(__xludf.DUMMYFUNCTION("""COMPUTED_VALUE"""),492.43)</f>
        <v>492.43</v>
      </c>
      <c r="K525" s="1">
        <f ca="1">IFERROR(__xludf.DUMMYFUNCTION("""COMPUTED_VALUE"""),56.01)</f>
        <v>56.01</v>
      </c>
      <c r="L525" s="1">
        <f ca="1">IFERROR(__xludf.DUMMYFUNCTION("""COMPUTED_VALUE"""),518.16)</f>
        <v>518.16</v>
      </c>
      <c r="M525" s="1">
        <f ca="1">IFERROR(__xludf.DUMMYFUNCTION("""COMPUTED_VALUE"""),384.36)</f>
        <v>384.36</v>
      </c>
    </row>
    <row r="526" spans="1:13" x14ac:dyDescent="0.25">
      <c r="A526" s="2">
        <f ca="1">IFERROR(__xludf.DUMMYFUNCTION("""COMPUTED_VALUE"""),44593.6666666666)</f>
        <v>44593.666666666599</v>
      </c>
      <c r="B526" s="1">
        <f ca="1">IFERROR(__xludf.DUMMYFUNCTION("""COMPUTED_VALUE"""),174.61)</f>
        <v>174.61</v>
      </c>
      <c r="C526" s="1">
        <f ca="1">IFERROR(__xludf.DUMMYFUNCTION("""COMPUTED_VALUE"""),310.98)</f>
        <v>310.98</v>
      </c>
      <c r="D526" s="1">
        <f ca="1">IFERROR(__xludf.DUMMYFUNCTION("""COMPUTED_VALUE"""),149.57)</f>
        <v>149.57</v>
      </c>
      <c r="E526" s="1">
        <f ca="1">IFERROR(__xludf.DUMMYFUNCTION("""COMPUTED_VALUE"""),24.49)</f>
        <v>24.49</v>
      </c>
      <c r="F526" s="1">
        <f ca="1">IFERROR(__xludf.DUMMYFUNCTION("""COMPUTED_VALUE"""),313.26)</f>
        <v>313.26</v>
      </c>
      <c r="G526" s="1">
        <f ca="1">IFERROR(__xludf.DUMMYFUNCTION("""COMPUTED_VALUE"""),135.7)</f>
        <v>135.69999999999999</v>
      </c>
      <c r="H526" s="1">
        <f ca="1">IFERROR(__xludf.DUMMYFUNCTION("""COMPUTED_VALUE"""),312.24)</f>
        <v>312.24</v>
      </c>
      <c r="I526" s="1">
        <f ca="1">IFERROR(__xludf.DUMMYFUNCTION("""COMPUTED_VALUE"""),173.52)</f>
        <v>173.52</v>
      </c>
      <c r="J526" s="1">
        <f ca="1">IFERROR(__xludf.DUMMYFUNCTION("""COMPUTED_VALUE"""),505.13)</f>
        <v>505.13</v>
      </c>
      <c r="K526" s="1">
        <f ca="1">IFERROR(__xludf.DUMMYFUNCTION("""COMPUTED_VALUE"""),58.59)</f>
        <v>58.59</v>
      </c>
      <c r="L526" s="1">
        <f ca="1">IFERROR(__xludf.DUMMYFUNCTION("""COMPUTED_VALUE"""),534.3)</f>
        <v>534.29999999999995</v>
      </c>
      <c r="M526" s="1">
        <f ca="1">IFERROR(__xludf.DUMMYFUNCTION("""COMPUTED_VALUE"""),427.14)</f>
        <v>427.14</v>
      </c>
    </row>
    <row r="527" spans="1:13" x14ac:dyDescent="0.25">
      <c r="A527" s="2">
        <f ca="1">IFERROR(__xludf.DUMMYFUNCTION("""COMPUTED_VALUE"""),44594.6666666666)</f>
        <v>44594.666666666599</v>
      </c>
      <c r="B527" s="1">
        <f ca="1">IFERROR(__xludf.DUMMYFUNCTION("""COMPUTED_VALUE"""),175.84)</f>
        <v>175.84</v>
      </c>
      <c r="C527" s="1">
        <f ca="1">IFERROR(__xludf.DUMMYFUNCTION("""COMPUTED_VALUE"""),308.76)</f>
        <v>308.76</v>
      </c>
      <c r="D527" s="1">
        <f ca="1">IFERROR(__xludf.DUMMYFUNCTION("""COMPUTED_VALUE"""),151.19)</f>
        <v>151.19</v>
      </c>
      <c r="E527" s="1">
        <f ca="1">IFERROR(__xludf.DUMMYFUNCTION("""COMPUTED_VALUE"""),24.64)</f>
        <v>24.64</v>
      </c>
      <c r="F527" s="1">
        <f ca="1">IFERROR(__xludf.DUMMYFUNCTION("""COMPUTED_VALUE"""),319)</f>
        <v>319</v>
      </c>
      <c r="G527" s="1">
        <f ca="1">IFERROR(__xludf.DUMMYFUNCTION("""COMPUTED_VALUE"""),137.88)</f>
        <v>137.88</v>
      </c>
      <c r="H527" s="1">
        <f ca="1">IFERROR(__xludf.DUMMYFUNCTION("""COMPUTED_VALUE"""),310.42)</f>
        <v>310.42</v>
      </c>
      <c r="I527" s="1">
        <f ca="1">IFERROR(__xludf.DUMMYFUNCTION("""COMPUTED_VALUE"""),172.34)</f>
        <v>172.34</v>
      </c>
      <c r="J527" s="1">
        <f ca="1">IFERROR(__xludf.DUMMYFUNCTION("""COMPUTED_VALUE"""),508.41)</f>
        <v>508.41</v>
      </c>
      <c r="K527" s="1">
        <f ca="1">IFERROR(__xludf.DUMMYFUNCTION("""COMPUTED_VALUE"""),59.27)</f>
        <v>59.27</v>
      </c>
      <c r="L527" s="1">
        <f ca="1">IFERROR(__xludf.DUMMYFUNCTION("""COMPUTED_VALUE"""),535.98)</f>
        <v>535.98</v>
      </c>
      <c r="M527" s="1">
        <f ca="1">IFERROR(__xludf.DUMMYFUNCTION("""COMPUTED_VALUE"""),457.13)</f>
        <v>457.13</v>
      </c>
    </row>
    <row r="528" spans="1:13" x14ac:dyDescent="0.25">
      <c r="A528" s="2">
        <f ca="1">IFERROR(__xludf.DUMMYFUNCTION("""COMPUTED_VALUE"""),44595.6666666666)</f>
        <v>44595.666666666599</v>
      </c>
      <c r="B528" s="1">
        <f ca="1">IFERROR(__xludf.DUMMYFUNCTION("""COMPUTED_VALUE"""),172.9)</f>
        <v>172.9</v>
      </c>
      <c r="C528" s="1">
        <f ca="1">IFERROR(__xludf.DUMMYFUNCTION("""COMPUTED_VALUE"""),313.46)</f>
        <v>313.45999999999998</v>
      </c>
      <c r="D528" s="1">
        <f ca="1">IFERROR(__xludf.DUMMYFUNCTION("""COMPUTED_VALUE"""),150.61)</f>
        <v>150.61000000000001</v>
      </c>
      <c r="E528" s="1">
        <f ca="1">IFERROR(__xludf.DUMMYFUNCTION("""COMPUTED_VALUE"""),25.24)</f>
        <v>25.24</v>
      </c>
      <c r="F528" s="1">
        <f ca="1">IFERROR(__xludf.DUMMYFUNCTION("""COMPUTED_VALUE"""),323)</f>
        <v>323</v>
      </c>
      <c r="G528" s="1">
        <f ca="1">IFERROR(__xludf.DUMMYFUNCTION("""COMPUTED_VALUE"""),148.04)</f>
        <v>148.04</v>
      </c>
      <c r="H528" s="1">
        <f ca="1">IFERROR(__xludf.DUMMYFUNCTION("""COMPUTED_VALUE"""),301.89)</f>
        <v>301.89</v>
      </c>
      <c r="I528" s="1">
        <f ca="1">IFERROR(__xludf.DUMMYFUNCTION("""COMPUTED_VALUE"""),175.47)</f>
        <v>175.47</v>
      </c>
      <c r="J528" s="1">
        <f ca="1">IFERROR(__xludf.DUMMYFUNCTION("""COMPUTED_VALUE"""),522.02)</f>
        <v>522.02</v>
      </c>
      <c r="K528" s="1">
        <f ca="1">IFERROR(__xludf.DUMMYFUNCTION("""COMPUTED_VALUE"""),60.34)</f>
        <v>60.34</v>
      </c>
      <c r="L528" s="1">
        <f ca="1">IFERROR(__xludf.DUMMYFUNCTION("""COMPUTED_VALUE"""),533.09)</f>
        <v>533.09</v>
      </c>
      <c r="M528" s="1">
        <f ca="1">IFERROR(__xludf.DUMMYFUNCTION("""COMPUTED_VALUE"""),429.48)</f>
        <v>429.48</v>
      </c>
    </row>
    <row r="529" spans="1:13" x14ac:dyDescent="0.25">
      <c r="A529" s="2">
        <f ca="1">IFERROR(__xludf.DUMMYFUNCTION("""COMPUTED_VALUE"""),44596.6666666666)</f>
        <v>44596.666666666599</v>
      </c>
      <c r="B529" s="1">
        <f ca="1">IFERROR(__xludf.DUMMYFUNCTION("""COMPUTED_VALUE"""),172.39)</f>
        <v>172.39</v>
      </c>
      <c r="C529" s="1">
        <f ca="1">IFERROR(__xludf.DUMMYFUNCTION("""COMPUTED_VALUE"""),301.25)</f>
        <v>301.25</v>
      </c>
      <c r="D529" s="1">
        <f ca="1">IFERROR(__xludf.DUMMYFUNCTION("""COMPUTED_VALUE"""),138.85)</f>
        <v>138.85</v>
      </c>
      <c r="E529" s="1">
        <f ca="1">IFERROR(__xludf.DUMMYFUNCTION("""COMPUTED_VALUE"""),23.95)</f>
        <v>23.95</v>
      </c>
      <c r="F529" s="1">
        <f ca="1">IFERROR(__xludf.DUMMYFUNCTION("""COMPUTED_VALUE"""),237.76)</f>
        <v>237.76</v>
      </c>
      <c r="G529" s="1">
        <f ca="1">IFERROR(__xludf.DUMMYFUNCTION("""COMPUTED_VALUE"""),142.65)</f>
        <v>142.65</v>
      </c>
      <c r="H529" s="1">
        <f ca="1">IFERROR(__xludf.DUMMYFUNCTION("""COMPUTED_VALUE"""),297.05)</f>
        <v>297.05</v>
      </c>
      <c r="I529" s="1">
        <f ca="1">IFERROR(__xludf.DUMMYFUNCTION("""COMPUTED_VALUE"""),175.37)</f>
        <v>175.37</v>
      </c>
      <c r="J529" s="1">
        <f ca="1">IFERROR(__xludf.DUMMYFUNCTION("""COMPUTED_VALUE"""),521.77)</f>
        <v>521.77</v>
      </c>
      <c r="K529" s="1">
        <f ca="1">IFERROR(__xludf.DUMMYFUNCTION("""COMPUTED_VALUE"""),58.09)</f>
        <v>58.09</v>
      </c>
      <c r="L529" s="1">
        <f ca="1">IFERROR(__xludf.DUMMYFUNCTION("""COMPUTED_VALUE"""),510.83)</f>
        <v>510.83</v>
      </c>
      <c r="M529" s="1">
        <f ca="1">IFERROR(__xludf.DUMMYFUNCTION("""COMPUTED_VALUE"""),405.6)</f>
        <v>405.6</v>
      </c>
    </row>
    <row r="530" spans="1:13" x14ac:dyDescent="0.25">
      <c r="A530" s="2">
        <f ca="1">IFERROR(__xludf.DUMMYFUNCTION("""COMPUTED_VALUE"""),44599.6666666666)</f>
        <v>44599.666666666599</v>
      </c>
      <c r="B530" s="1">
        <f ca="1">IFERROR(__xludf.DUMMYFUNCTION("""COMPUTED_VALUE"""),171.66)</f>
        <v>171.66</v>
      </c>
      <c r="C530" s="1">
        <f ca="1">IFERROR(__xludf.DUMMYFUNCTION("""COMPUTED_VALUE"""),305.94)</f>
        <v>305.94</v>
      </c>
      <c r="D530" s="1">
        <f ca="1">IFERROR(__xludf.DUMMYFUNCTION("""COMPUTED_VALUE"""),157.64)</f>
        <v>157.63999999999999</v>
      </c>
      <c r="E530" s="1">
        <f ca="1">IFERROR(__xludf.DUMMYFUNCTION("""COMPUTED_VALUE"""),24.32)</f>
        <v>24.32</v>
      </c>
      <c r="F530" s="1">
        <f ca="1">IFERROR(__xludf.DUMMYFUNCTION("""COMPUTED_VALUE"""),237.09)</f>
        <v>237.09</v>
      </c>
      <c r="G530" s="1">
        <f ca="1">IFERROR(__xludf.DUMMYFUNCTION("""COMPUTED_VALUE"""),143.02)</f>
        <v>143.02000000000001</v>
      </c>
      <c r="H530" s="1">
        <f ca="1">IFERROR(__xludf.DUMMYFUNCTION("""COMPUTED_VALUE"""),307.77)</f>
        <v>307.77</v>
      </c>
      <c r="I530" s="1">
        <f ca="1">IFERROR(__xludf.DUMMYFUNCTION("""COMPUTED_VALUE"""),172.49)</f>
        <v>172.49</v>
      </c>
      <c r="J530" s="1">
        <f ca="1">IFERROR(__xludf.DUMMYFUNCTION("""COMPUTED_VALUE"""),519.77)</f>
        <v>519.77</v>
      </c>
      <c r="K530" s="1">
        <f ca="1">IFERROR(__xludf.DUMMYFUNCTION("""COMPUTED_VALUE"""),59.02)</f>
        <v>59.02</v>
      </c>
      <c r="L530" s="1">
        <f ca="1">IFERROR(__xludf.DUMMYFUNCTION("""COMPUTED_VALUE"""),513.54)</f>
        <v>513.54</v>
      </c>
      <c r="M530" s="1">
        <f ca="1">IFERROR(__xludf.DUMMYFUNCTION("""COMPUTED_VALUE"""),410.17)</f>
        <v>410.17</v>
      </c>
    </row>
    <row r="531" spans="1:13" x14ac:dyDescent="0.25">
      <c r="A531" s="2">
        <f ca="1">IFERROR(__xludf.DUMMYFUNCTION("""COMPUTED_VALUE"""),44600.6666666666)</f>
        <v>44600.666666666599</v>
      </c>
      <c r="B531" s="1">
        <f ca="1">IFERROR(__xludf.DUMMYFUNCTION("""COMPUTED_VALUE"""),174.83)</f>
        <v>174.83</v>
      </c>
      <c r="C531" s="1">
        <f ca="1">IFERROR(__xludf.DUMMYFUNCTION("""COMPUTED_VALUE"""),300.95)</f>
        <v>300.95</v>
      </c>
      <c r="D531" s="1">
        <f ca="1">IFERROR(__xludf.DUMMYFUNCTION("""COMPUTED_VALUE"""),157.94)</f>
        <v>157.94</v>
      </c>
      <c r="E531" s="1">
        <f ca="1">IFERROR(__xludf.DUMMYFUNCTION("""COMPUTED_VALUE"""),24.73)</f>
        <v>24.73</v>
      </c>
      <c r="F531" s="1">
        <f ca="1">IFERROR(__xludf.DUMMYFUNCTION("""COMPUTED_VALUE"""),224.91)</f>
        <v>224.91</v>
      </c>
      <c r="G531" s="1">
        <f ca="1">IFERROR(__xludf.DUMMYFUNCTION("""COMPUTED_VALUE"""),138.94)</f>
        <v>138.94</v>
      </c>
      <c r="H531" s="1">
        <f ca="1">IFERROR(__xludf.DUMMYFUNCTION("""COMPUTED_VALUE"""),302.45)</f>
        <v>302.45</v>
      </c>
      <c r="I531" s="1">
        <f ca="1">IFERROR(__xludf.DUMMYFUNCTION("""COMPUTED_VALUE"""),171.81)</f>
        <v>171.81</v>
      </c>
      <c r="J531" s="1">
        <f ca="1">IFERROR(__xludf.DUMMYFUNCTION("""COMPUTED_VALUE"""),515.89)</f>
        <v>515.89</v>
      </c>
      <c r="K531" s="1">
        <f ca="1">IFERROR(__xludf.DUMMYFUNCTION("""COMPUTED_VALUE"""),58.76)</f>
        <v>58.76</v>
      </c>
      <c r="L531" s="1">
        <f ca="1">IFERROR(__xludf.DUMMYFUNCTION("""COMPUTED_VALUE"""),507.1)</f>
        <v>507.1</v>
      </c>
      <c r="M531" s="1">
        <f ca="1">IFERROR(__xludf.DUMMYFUNCTION("""COMPUTED_VALUE"""),402.1)</f>
        <v>402.1</v>
      </c>
    </row>
    <row r="532" spans="1:13" x14ac:dyDescent="0.25">
      <c r="A532" s="2">
        <f ca="1">IFERROR(__xludf.DUMMYFUNCTION("""COMPUTED_VALUE"""),44601.6666666666)</f>
        <v>44601.666666666599</v>
      </c>
      <c r="B532" s="1">
        <f ca="1">IFERROR(__xludf.DUMMYFUNCTION("""COMPUTED_VALUE"""),176.28)</f>
        <v>176.28</v>
      </c>
      <c r="C532" s="1">
        <f ca="1">IFERROR(__xludf.DUMMYFUNCTION("""COMPUTED_VALUE"""),304.56)</f>
        <v>304.56</v>
      </c>
      <c r="D532" s="1">
        <f ca="1">IFERROR(__xludf.DUMMYFUNCTION("""COMPUTED_VALUE"""),161.41)</f>
        <v>161.41</v>
      </c>
      <c r="E532" s="1">
        <f ca="1">IFERROR(__xludf.DUMMYFUNCTION("""COMPUTED_VALUE"""),25.11)</f>
        <v>25.11</v>
      </c>
      <c r="F532" s="1">
        <f ca="1">IFERROR(__xludf.DUMMYFUNCTION("""COMPUTED_VALUE"""),220.18)</f>
        <v>220.18</v>
      </c>
      <c r="G532" s="1">
        <f ca="1">IFERROR(__xludf.DUMMYFUNCTION("""COMPUTED_VALUE"""),139.21)</f>
        <v>139.21</v>
      </c>
      <c r="H532" s="1">
        <f ca="1">IFERROR(__xludf.DUMMYFUNCTION("""COMPUTED_VALUE"""),307.33)</f>
        <v>307.33</v>
      </c>
      <c r="I532" s="1">
        <f ca="1">IFERROR(__xludf.DUMMYFUNCTION("""COMPUTED_VALUE"""),172.02)</f>
        <v>172.02</v>
      </c>
      <c r="J532" s="1">
        <f ca="1">IFERROR(__xludf.DUMMYFUNCTION("""COMPUTED_VALUE"""),521.15)</f>
        <v>521.15</v>
      </c>
      <c r="K532" s="1">
        <f ca="1">IFERROR(__xludf.DUMMYFUNCTION("""COMPUTED_VALUE"""),60.02)</f>
        <v>60.02</v>
      </c>
      <c r="L532" s="1">
        <f ca="1">IFERROR(__xludf.DUMMYFUNCTION("""COMPUTED_VALUE"""),511.31)</f>
        <v>511.31</v>
      </c>
      <c r="M532" s="1">
        <f ca="1">IFERROR(__xludf.DUMMYFUNCTION("""COMPUTED_VALUE"""),403.53)</f>
        <v>403.53</v>
      </c>
    </row>
    <row r="533" spans="1:13" x14ac:dyDescent="0.25">
      <c r="A533" s="2">
        <f ca="1">IFERROR(__xludf.DUMMYFUNCTION("""COMPUTED_VALUE"""),44602.6666666666)</f>
        <v>44602.666666666599</v>
      </c>
      <c r="B533" s="1">
        <f ca="1">IFERROR(__xludf.DUMMYFUNCTION("""COMPUTED_VALUE"""),172.12)</f>
        <v>172.12</v>
      </c>
      <c r="C533" s="1">
        <f ca="1">IFERROR(__xludf.DUMMYFUNCTION("""COMPUTED_VALUE"""),311.21)</f>
        <v>311.20999999999998</v>
      </c>
      <c r="D533" s="1">
        <f ca="1">IFERROR(__xludf.DUMMYFUNCTION("""COMPUTED_VALUE"""),161.19)</f>
        <v>161.19</v>
      </c>
      <c r="E533" s="1">
        <f ca="1">IFERROR(__xludf.DUMMYFUNCTION("""COMPUTED_VALUE"""),26.71)</f>
        <v>26.71</v>
      </c>
      <c r="F533" s="1">
        <f ca="1">IFERROR(__xludf.DUMMYFUNCTION("""COMPUTED_VALUE"""),232)</f>
        <v>232</v>
      </c>
      <c r="G533" s="1">
        <f ca="1">IFERROR(__xludf.DUMMYFUNCTION("""COMPUTED_VALUE"""),141.45)</f>
        <v>141.44999999999999</v>
      </c>
      <c r="H533" s="1">
        <f ca="1">IFERROR(__xludf.DUMMYFUNCTION("""COMPUTED_VALUE"""),310.67)</f>
        <v>310.67</v>
      </c>
      <c r="I533" s="1">
        <f ca="1">IFERROR(__xludf.DUMMYFUNCTION("""COMPUTED_VALUE"""),171.94)</f>
        <v>171.94</v>
      </c>
      <c r="J533" s="1">
        <f ca="1">IFERROR(__xludf.DUMMYFUNCTION("""COMPUTED_VALUE"""),528.83)</f>
        <v>528.83000000000004</v>
      </c>
      <c r="K533" s="1">
        <f ca="1">IFERROR(__xludf.DUMMYFUNCTION("""COMPUTED_VALUE"""),61.13)</f>
        <v>61.13</v>
      </c>
      <c r="L533" s="1">
        <f ca="1">IFERROR(__xludf.DUMMYFUNCTION("""COMPUTED_VALUE"""),521.75)</f>
        <v>521.75</v>
      </c>
      <c r="M533" s="1">
        <f ca="1">IFERROR(__xludf.DUMMYFUNCTION("""COMPUTED_VALUE"""),412.89)</f>
        <v>412.89</v>
      </c>
    </row>
    <row r="534" spans="1:13" x14ac:dyDescent="0.25">
      <c r="A534" s="2">
        <f ca="1">IFERROR(__xludf.DUMMYFUNCTION("""COMPUTED_VALUE"""),44603.6666666666)</f>
        <v>44603.666666666599</v>
      </c>
      <c r="B534" s="1">
        <f ca="1">IFERROR(__xludf.DUMMYFUNCTION("""COMPUTED_VALUE"""),168.64)</f>
        <v>168.64</v>
      </c>
      <c r="C534" s="1">
        <f ca="1">IFERROR(__xludf.DUMMYFUNCTION("""COMPUTED_VALUE"""),302.38)</f>
        <v>302.38</v>
      </c>
      <c r="D534" s="1">
        <f ca="1">IFERROR(__xludf.DUMMYFUNCTION("""COMPUTED_VALUE"""),159)</f>
        <v>159</v>
      </c>
      <c r="E534" s="1">
        <f ca="1">IFERROR(__xludf.DUMMYFUNCTION("""COMPUTED_VALUE"""),25.82)</f>
        <v>25.82</v>
      </c>
      <c r="F534" s="1">
        <f ca="1">IFERROR(__xludf.DUMMYFUNCTION("""COMPUTED_VALUE"""),228.07)</f>
        <v>228.07</v>
      </c>
      <c r="G534" s="1">
        <f ca="1">IFERROR(__xludf.DUMMYFUNCTION("""COMPUTED_VALUE"""),138.6)</f>
        <v>138.6</v>
      </c>
      <c r="H534" s="1">
        <f ca="1">IFERROR(__xludf.DUMMYFUNCTION("""COMPUTED_VALUE"""),301.52)</f>
        <v>301.52</v>
      </c>
      <c r="I534" s="1">
        <f ca="1">IFERROR(__xludf.DUMMYFUNCTION("""COMPUTED_VALUE"""),168.37)</f>
        <v>168.37</v>
      </c>
      <c r="J534" s="1">
        <f ca="1">IFERROR(__xludf.DUMMYFUNCTION("""COMPUTED_VALUE"""),518.48)</f>
        <v>518.48</v>
      </c>
      <c r="K534" s="1">
        <f ca="1">IFERROR(__xludf.DUMMYFUNCTION("""COMPUTED_VALUE"""),59.14)</f>
        <v>59.14</v>
      </c>
      <c r="L534" s="1">
        <f ca="1">IFERROR(__xludf.DUMMYFUNCTION("""COMPUTED_VALUE"""),495.02)</f>
        <v>495.02</v>
      </c>
      <c r="M534" s="1">
        <f ca="1">IFERROR(__xludf.DUMMYFUNCTION("""COMPUTED_VALUE"""),406.27)</f>
        <v>406.27</v>
      </c>
    </row>
    <row r="535" spans="1:13" x14ac:dyDescent="0.25">
      <c r="A535" s="2">
        <f ca="1">IFERROR(__xludf.DUMMYFUNCTION("""COMPUTED_VALUE"""),44606.6666666666)</f>
        <v>44606.666666666599</v>
      </c>
      <c r="B535" s="1">
        <f ca="1">IFERROR(__xludf.DUMMYFUNCTION("""COMPUTED_VALUE"""),168.88)</f>
        <v>168.88</v>
      </c>
      <c r="C535" s="1">
        <f ca="1">IFERROR(__xludf.DUMMYFUNCTION("""COMPUTED_VALUE"""),295.04)</f>
        <v>295.04000000000002</v>
      </c>
      <c r="D535" s="1">
        <f ca="1">IFERROR(__xludf.DUMMYFUNCTION("""COMPUTED_VALUE"""),153.29)</f>
        <v>153.29</v>
      </c>
      <c r="E535" s="1">
        <f ca="1">IFERROR(__xludf.DUMMYFUNCTION("""COMPUTED_VALUE"""),23.95)</f>
        <v>23.95</v>
      </c>
      <c r="F535" s="1">
        <f ca="1">IFERROR(__xludf.DUMMYFUNCTION("""COMPUTED_VALUE"""),219.55)</f>
        <v>219.55</v>
      </c>
      <c r="G535" s="1">
        <f ca="1">IFERROR(__xludf.DUMMYFUNCTION("""COMPUTED_VALUE"""),134.13)</f>
        <v>134.13</v>
      </c>
      <c r="H535" s="1">
        <f ca="1">IFERROR(__xludf.DUMMYFUNCTION("""COMPUTED_VALUE"""),286.67)</f>
        <v>286.67</v>
      </c>
      <c r="I535" s="1">
        <f ca="1">IFERROR(__xludf.DUMMYFUNCTION("""COMPUTED_VALUE"""),168.58)</f>
        <v>168.58</v>
      </c>
      <c r="J535" s="1">
        <f ca="1">IFERROR(__xludf.DUMMYFUNCTION("""COMPUTED_VALUE"""),509.67)</f>
        <v>509.67</v>
      </c>
      <c r="K535" s="1">
        <f ca="1">IFERROR(__xludf.DUMMYFUNCTION("""COMPUTED_VALUE"""),57.34)</f>
        <v>57.34</v>
      </c>
      <c r="L535" s="1">
        <f ca="1">IFERROR(__xludf.DUMMYFUNCTION("""COMPUTED_VALUE"""),473.97)</f>
        <v>473.97</v>
      </c>
      <c r="M535" s="1">
        <f ca="1">IFERROR(__xludf.DUMMYFUNCTION("""COMPUTED_VALUE"""),391.31)</f>
        <v>391.31</v>
      </c>
    </row>
    <row r="536" spans="1:13" x14ac:dyDescent="0.25">
      <c r="A536" s="2">
        <f ca="1">IFERROR(__xludf.DUMMYFUNCTION("""COMPUTED_VALUE"""),44607.6666666666)</f>
        <v>44607.666666666599</v>
      </c>
      <c r="B536" s="1">
        <f ca="1">IFERROR(__xludf.DUMMYFUNCTION("""COMPUTED_VALUE"""),172.79)</f>
        <v>172.79</v>
      </c>
      <c r="C536" s="1">
        <f ca="1">IFERROR(__xludf.DUMMYFUNCTION("""COMPUTED_VALUE"""),295)</f>
        <v>295</v>
      </c>
      <c r="D536" s="1">
        <f ca="1">IFERROR(__xludf.DUMMYFUNCTION("""COMPUTED_VALUE"""),155.17)</f>
        <v>155.16999999999999</v>
      </c>
      <c r="E536" s="1">
        <f ca="1">IFERROR(__xludf.DUMMYFUNCTION("""COMPUTED_VALUE"""),24.27)</f>
        <v>24.27</v>
      </c>
      <c r="F536" s="1">
        <f ca="1">IFERROR(__xludf.DUMMYFUNCTION("""COMPUTED_VALUE"""),217.7)</f>
        <v>217.7</v>
      </c>
      <c r="G536" s="1">
        <f ca="1">IFERROR(__xludf.DUMMYFUNCTION("""COMPUTED_VALUE"""),135.3)</f>
        <v>135.30000000000001</v>
      </c>
      <c r="H536" s="1">
        <f ca="1">IFERROR(__xludf.DUMMYFUNCTION("""COMPUTED_VALUE"""),291.92)</f>
        <v>291.92</v>
      </c>
      <c r="I536" s="1">
        <f ca="1">IFERROR(__xludf.DUMMYFUNCTION("""COMPUTED_VALUE"""),166.7)</f>
        <v>166.7</v>
      </c>
      <c r="J536" s="1">
        <f ca="1">IFERROR(__xludf.DUMMYFUNCTION("""COMPUTED_VALUE"""),506.56)</f>
        <v>506.56</v>
      </c>
      <c r="K536" s="1">
        <f ca="1">IFERROR(__xludf.DUMMYFUNCTION("""COMPUTED_VALUE"""),57.86)</f>
        <v>57.86</v>
      </c>
      <c r="L536" s="1">
        <f ca="1">IFERROR(__xludf.DUMMYFUNCTION("""COMPUTED_VALUE"""),474.01)</f>
        <v>474.01</v>
      </c>
      <c r="M536" s="1">
        <f ca="1">IFERROR(__xludf.DUMMYFUNCTION("""COMPUTED_VALUE"""),396.57)</f>
        <v>396.57</v>
      </c>
    </row>
    <row r="537" spans="1:13" x14ac:dyDescent="0.25">
      <c r="A537" s="2">
        <f ca="1">IFERROR(__xludf.DUMMYFUNCTION("""COMPUTED_VALUE"""),44608.6666666666)</f>
        <v>44608.666666666599</v>
      </c>
      <c r="B537" s="1">
        <f ca="1">IFERROR(__xludf.DUMMYFUNCTION("""COMPUTED_VALUE"""),172.55)</f>
        <v>172.55</v>
      </c>
      <c r="C537" s="1">
        <f ca="1">IFERROR(__xludf.DUMMYFUNCTION("""COMPUTED_VALUE"""),300.47)</f>
        <v>300.47000000000003</v>
      </c>
      <c r="D537" s="1">
        <f ca="1">IFERROR(__xludf.DUMMYFUNCTION("""COMPUTED_VALUE"""),156.51)</f>
        <v>156.51</v>
      </c>
      <c r="E537" s="1">
        <f ca="1">IFERROR(__xludf.DUMMYFUNCTION("""COMPUTED_VALUE"""),26.5)</f>
        <v>26.5</v>
      </c>
      <c r="F537" s="1">
        <f ca="1">IFERROR(__xludf.DUMMYFUNCTION("""COMPUTED_VALUE"""),221)</f>
        <v>221</v>
      </c>
      <c r="G537" s="1">
        <f ca="1">IFERROR(__xludf.DUMMYFUNCTION("""COMPUTED_VALUE"""),136.43)</f>
        <v>136.43</v>
      </c>
      <c r="H537" s="1">
        <f ca="1">IFERROR(__xludf.DUMMYFUNCTION("""COMPUTED_VALUE"""),307.48)</f>
        <v>307.48</v>
      </c>
      <c r="I537" s="1">
        <f ca="1">IFERROR(__xludf.DUMMYFUNCTION("""COMPUTED_VALUE"""),165.96)</f>
        <v>165.96</v>
      </c>
      <c r="J537" s="1">
        <f ca="1">IFERROR(__xludf.DUMMYFUNCTION("""COMPUTED_VALUE"""),513.92)</f>
        <v>513.91999999999996</v>
      </c>
      <c r="K537" s="1">
        <f ca="1">IFERROR(__xludf.DUMMYFUNCTION("""COMPUTED_VALUE"""),60.28)</f>
        <v>60.28</v>
      </c>
      <c r="L537" s="1">
        <f ca="1">IFERROR(__xludf.DUMMYFUNCTION("""COMPUTED_VALUE"""),479.5)</f>
        <v>479.5</v>
      </c>
      <c r="M537" s="1">
        <f ca="1">IFERROR(__xludf.DUMMYFUNCTION("""COMPUTED_VALUE"""),407.46)</f>
        <v>407.46</v>
      </c>
    </row>
    <row r="538" spans="1:13" x14ac:dyDescent="0.25">
      <c r="A538" s="2">
        <f ca="1">IFERROR(__xludf.DUMMYFUNCTION("""COMPUTED_VALUE"""),44609.6666666666)</f>
        <v>44609.666666666599</v>
      </c>
      <c r="B538" s="1">
        <f ca="1">IFERROR(__xludf.DUMMYFUNCTION("""COMPUTED_VALUE"""),168.88)</f>
        <v>168.88</v>
      </c>
      <c r="C538" s="1">
        <f ca="1">IFERROR(__xludf.DUMMYFUNCTION("""COMPUTED_VALUE"""),299.5)</f>
        <v>299.5</v>
      </c>
      <c r="D538" s="1">
        <f ca="1">IFERROR(__xludf.DUMMYFUNCTION("""COMPUTED_VALUE"""),158.1)</f>
        <v>158.1</v>
      </c>
      <c r="E538" s="1">
        <f ca="1">IFERROR(__xludf.DUMMYFUNCTION("""COMPUTED_VALUE"""),26.51)</f>
        <v>26.51</v>
      </c>
      <c r="F538" s="1">
        <f ca="1">IFERROR(__xludf.DUMMYFUNCTION("""COMPUTED_VALUE"""),216.54)</f>
        <v>216.54</v>
      </c>
      <c r="G538" s="1">
        <f ca="1">IFERROR(__xludf.DUMMYFUNCTION("""COMPUTED_VALUE"""),137.49)</f>
        <v>137.49</v>
      </c>
      <c r="H538" s="1">
        <f ca="1">IFERROR(__xludf.DUMMYFUNCTION("""COMPUTED_VALUE"""),307.8)</f>
        <v>307.8</v>
      </c>
      <c r="I538" s="1">
        <f ca="1">IFERROR(__xludf.DUMMYFUNCTION("""COMPUTED_VALUE"""),166.3)</f>
        <v>166.3</v>
      </c>
      <c r="J538" s="1">
        <f ca="1">IFERROR(__xludf.DUMMYFUNCTION("""COMPUTED_VALUE"""),512.4)</f>
        <v>512.4</v>
      </c>
      <c r="K538" s="1">
        <f ca="1">IFERROR(__xludf.DUMMYFUNCTION("""COMPUTED_VALUE"""),59.72)</f>
        <v>59.72</v>
      </c>
      <c r="L538" s="1">
        <f ca="1">IFERROR(__xludf.DUMMYFUNCTION("""COMPUTED_VALUE"""),477.7)</f>
        <v>477.7</v>
      </c>
      <c r="M538" s="1">
        <f ca="1">IFERROR(__xludf.DUMMYFUNCTION("""COMPUTED_VALUE"""),398.08)</f>
        <v>398.08</v>
      </c>
    </row>
    <row r="539" spans="1:13" x14ac:dyDescent="0.25">
      <c r="A539" s="2">
        <f ca="1">IFERROR(__xludf.DUMMYFUNCTION("""COMPUTED_VALUE"""),44610.6666666666)</f>
        <v>44610.666666666599</v>
      </c>
      <c r="B539" s="1">
        <f ca="1">IFERROR(__xludf.DUMMYFUNCTION("""COMPUTED_VALUE"""),167.3)</f>
        <v>167.3</v>
      </c>
      <c r="C539" s="1">
        <f ca="1">IFERROR(__xludf.DUMMYFUNCTION("""COMPUTED_VALUE"""),290.73)</f>
        <v>290.73</v>
      </c>
      <c r="D539" s="1">
        <f ca="1">IFERROR(__xludf.DUMMYFUNCTION("""COMPUTED_VALUE"""),154.65)</f>
        <v>154.65</v>
      </c>
      <c r="E539" s="1">
        <f ca="1">IFERROR(__xludf.DUMMYFUNCTION("""COMPUTED_VALUE"""),24.51)</f>
        <v>24.51</v>
      </c>
      <c r="F539" s="1">
        <f ca="1">IFERROR(__xludf.DUMMYFUNCTION("""COMPUTED_VALUE"""),207.71)</f>
        <v>207.71</v>
      </c>
      <c r="G539" s="1">
        <f ca="1">IFERROR(__xludf.DUMMYFUNCTION("""COMPUTED_VALUE"""),132.31)</f>
        <v>132.31</v>
      </c>
      <c r="H539" s="1">
        <f ca="1">IFERROR(__xludf.DUMMYFUNCTION("""COMPUTED_VALUE"""),292.12)</f>
        <v>292.12</v>
      </c>
      <c r="I539" s="1">
        <f ca="1">IFERROR(__xludf.DUMMYFUNCTION("""COMPUTED_VALUE"""),166.75)</f>
        <v>166.75</v>
      </c>
      <c r="J539" s="1">
        <f ca="1">IFERROR(__xludf.DUMMYFUNCTION("""COMPUTED_VALUE"""),515.01)</f>
        <v>515.01</v>
      </c>
      <c r="K539" s="1">
        <f ca="1">IFERROR(__xludf.DUMMYFUNCTION("""COMPUTED_VALUE"""),57.9)</f>
        <v>57.9</v>
      </c>
      <c r="L539" s="1">
        <f ca="1">IFERROR(__xludf.DUMMYFUNCTION("""COMPUTED_VALUE"""),457.71)</f>
        <v>457.71</v>
      </c>
      <c r="M539" s="1">
        <f ca="1">IFERROR(__xludf.DUMMYFUNCTION("""COMPUTED_VALUE"""),386.67)</f>
        <v>386.67</v>
      </c>
    </row>
    <row r="540" spans="1:13" x14ac:dyDescent="0.25">
      <c r="A540" s="2">
        <f ca="1">IFERROR(__xludf.DUMMYFUNCTION("""COMPUTED_VALUE"""),44614.6666666666)</f>
        <v>44614.666666666599</v>
      </c>
      <c r="B540" s="1">
        <f ca="1">IFERROR(__xludf.DUMMYFUNCTION("""COMPUTED_VALUE"""),164.32)</f>
        <v>164.32</v>
      </c>
      <c r="C540" s="1">
        <f ca="1">IFERROR(__xludf.DUMMYFUNCTION("""COMPUTED_VALUE"""),287.93)</f>
        <v>287.93</v>
      </c>
      <c r="D540" s="1">
        <f ca="1">IFERROR(__xludf.DUMMYFUNCTION("""COMPUTED_VALUE"""),152.6)</f>
        <v>152.6</v>
      </c>
      <c r="E540" s="1">
        <f ca="1">IFERROR(__xludf.DUMMYFUNCTION("""COMPUTED_VALUE"""),23.64)</f>
        <v>23.64</v>
      </c>
      <c r="F540" s="1">
        <f ca="1">IFERROR(__xludf.DUMMYFUNCTION("""COMPUTED_VALUE"""),206.16)</f>
        <v>206.16</v>
      </c>
      <c r="G540" s="1">
        <f ca="1">IFERROR(__xludf.DUMMYFUNCTION("""COMPUTED_VALUE"""),130.47)</f>
        <v>130.47</v>
      </c>
      <c r="H540" s="1">
        <f ca="1">IFERROR(__xludf.DUMMYFUNCTION("""COMPUTED_VALUE"""),285.66)</f>
        <v>285.66000000000003</v>
      </c>
      <c r="I540" s="1">
        <f ca="1">IFERROR(__xludf.DUMMYFUNCTION("""COMPUTED_VALUE"""),167.71)</f>
        <v>167.71</v>
      </c>
      <c r="J540" s="1">
        <f ca="1">IFERROR(__xludf.DUMMYFUNCTION("""COMPUTED_VALUE"""),512.67)</f>
        <v>512.66999999999996</v>
      </c>
      <c r="K540" s="1">
        <f ca="1">IFERROR(__xludf.DUMMYFUNCTION("""COMPUTED_VALUE"""),58)</f>
        <v>58</v>
      </c>
      <c r="L540" s="1">
        <f ca="1">IFERROR(__xludf.DUMMYFUNCTION("""COMPUTED_VALUE"""),442.56)</f>
        <v>442.56</v>
      </c>
      <c r="M540" s="1">
        <f ca="1">IFERROR(__xludf.DUMMYFUNCTION("""COMPUTED_VALUE"""),391.29)</f>
        <v>391.29</v>
      </c>
    </row>
    <row r="541" spans="1:13" x14ac:dyDescent="0.25">
      <c r="A541" s="2">
        <f ca="1">IFERROR(__xludf.DUMMYFUNCTION("""COMPUTED_VALUE"""),44615.6666666666)</f>
        <v>44615.666666666599</v>
      </c>
      <c r="B541" s="1">
        <f ca="1">IFERROR(__xludf.DUMMYFUNCTION("""COMPUTED_VALUE"""),160.07)</f>
        <v>160.07</v>
      </c>
      <c r="C541" s="1">
        <f ca="1">IFERROR(__xludf.DUMMYFUNCTION("""COMPUTED_VALUE"""),287.72)</f>
        <v>287.72000000000003</v>
      </c>
      <c r="D541" s="1">
        <f ca="1">IFERROR(__xludf.DUMMYFUNCTION("""COMPUTED_VALUE"""),150.2)</f>
        <v>150.19999999999999</v>
      </c>
      <c r="E541" s="1">
        <f ca="1">IFERROR(__xludf.DUMMYFUNCTION("""COMPUTED_VALUE"""),23.39)</f>
        <v>23.39</v>
      </c>
      <c r="F541" s="1">
        <f ca="1">IFERROR(__xludf.DUMMYFUNCTION("""COMPUTED_VALUE"""),202.08)</f>
        <v>202.08</v>
      </c>
      <c r="G541" s="1">
        <f ca="1">IFERROR(__xludf.DUMMYFUNCTION("""COMPUTED_VALUE"""),129.4)</f>
        <v>129.4</v>
      </c>
      <c r="H541" s="1">
        <f ca="1">IFERROR(__xludf.DUMMYFUNCTION("""COMPUTED_VALUE"""),273.84)</f>
        <v>273.83999999999997</v>
      </c>
      <c r="I541" s="1">
        <f ca="1">IFERROR(__xludf.DUMMYFUNCTION("""COMPUTED_VALUE"""),168.35)</f>
        <v>168.35</v>
      </c>
      <c r="J541" s="1">
        <f ca="1">IFERROR(__xludf.DUMMYFUNCTION("""COMPUTED_VALUE"""),502.18)</f>
        <v>502.18</v>
      </c>
      <c r="K541" s="1">
        <f ca="1">IFERROR(__xludf.DUMMYFUNCTION("""COMPUTED_VALUE"""),57.75)</f>
        <v>57.75</v>
      </c>
      <c r="L541" s="1">
        <f ca="1">IFERROR(__xludf.DUMMYFUNCTION("""COMPUTED_VALUE"""),438.4)</f>
        <v>438.4</v>
      </c>
      <c r="M541" s="1">
        <f ca="1">IFERROR(__xludf.DUMMYFUNCTION("""COMPUTED_VALUE"""),377.38)</f>
        <v>377.38</v>
      </c>
    </row>
    <row r="542" spans="1:13" x14ac:dyDescent="0.25">
      <c r="A542" s="2">
        <f ca="1">IFERROR(__xludf.DUMMYFUNCTION("""COMPUTED_VALUE"""),44616.6666666666)</f>
        <v>44616.666666666599</v>
      </c>
      <c r="B542" s="1">
        <f ca="1">IFERROR(__xludf.DUMMYFUNCTION("""COMPUTED_VALUE"""),162.74)</f>
        <v>162.74</v>
      </c>
      <c r="C542" s="1">
        <f ca="1">IFERROR(__xludf.DUMMYFUNCTION("""COMPUTED_VALUE"""),280.27)</f>
        <v>280.27</v>
      </c>
      <c r="D542" s="1">
        <f ca="1">IFERROR(__xludf.DUMMYFUNCTION("""COMPUTED_VALUE"""),144.83)</f>
        <v>144.83000000000001</v>
      </c>
      <c r="E542" s="1">
        <f ca="1">IFERROR(__xludf.DUMMYFUNCTION("""COMPUTED_VALUE"""),22.39)</f>
        <v>22.39</v>
      </c>
      <c r="F542" s="1">
        <f ca="1">IFERROR(__xludf.DUMMYFUNCTION("""COMPUTED_VALUE"""),198.45)</f>
        <v>198.45</v>
      </c>
      <c r="G542" s="1">
        <f ca="1">IFERROR(__xludf.DUMMYFUNCTION("""COMPUTED_VALUE"""),127.59)</f>
        <v>127.59</v>
      </c>
      <c r="H542" s="1">
        <f ca="1">IFERROR(__xludf.DUMMYFUNCTION("""COMPUTED_VALUE"""),254.68)</f>
        <v>254.68</v>
      </c>
      <c r="I542" s="1">
        <f ca="1">IFERROR(__xludf.DUMMYFUNCTION("""COMPUTED_VALUE"""),166.69)</f>
        <v>166.69</v>
      </c>
      <c r="J542" s="1">
        <f ca="1">IFERROR(__xludf.DUMMYFUNCTION("""COMPUTED_VALUE"""),495.26)</f>
        <v>495.26</v>
      </c>
      <c r="K542" s="1">
        <f ca="1">IFERROR(__xludf.DUMMYFUNCTION("""COMPUTED_VALUE"""),56.52)</f>
        <v>56.52</v>
      </c>
      <c r="L542" s="1">
        <f ca="1">IFERROR(__xludf.DUMMYFUNCTION("""COMPUTED_VALUE"""),429.45)</f>
        <v>429.45</v>
      </c>
      <c r="M542" s="1">
        <f ca="1">IFERROR(__xludf.DUMMYFUNCTION("""COMPUTED_VALUE"""),367.46)</f>
        <v>367.46</v>
      </c>
    </row>
    <row r="543" spans="1:13" x14ac:dyDescent="0.25">
      <c r="A543" s="2">
        <f ca="1">IFERROR(__xludf.DUMMYFUNCTION("""COMPUTED_VALUE"""),44617.6666666666)</f>
        <v>44617.666666666599</v>
      </c>
      <c r="B543" s="1">
        <f ca="1">IFERROR(__xludf.DUMMYFUNCTION("""COMPUTED_VALUE"""),164.85)</f>
        <v>164.85</v>
      </c>
      <c r="C543" s="1">
        <f ca="1">IFERROR(__xludf.DUMMYFUNCTION("""COMPUTED_VALUE"""),294.59)</f>
        <v>294.58999999999997</v>
      </c>
      <c r="D543" s="1">
        <f ca="1">IFERROR(__xludf.DUMMYFUNCTION("""COMPUTED_VALUE"""),151.36)</f>
        <v>151.36000000000001</v>
      </c>
      <c r="E543" s="1">
        <f ca="1">IFERROR(__xludf.DUMMYFUNCTION("""COMPUTED_VALUE"""),23.75)</f>
        <v>23.75</v>
      </c>
      <c r="F543" s="1">
        <f ca="1">IFERROR(__xludf.DUMMYFUNCTION("""COMPUTED_VALUE"""),207.6)</f>
        <v>207.6</v>
      </c>
      <c r="G543" s="1">
        <f ca="1">IFERROR(__xludf.DUMMYFUNCTION("""COMPUTED_VALUE"""),132.67)</f>
        <v>132.66999999999999</v>
      </c>
      <c r="H543" s="1">
        <f ca="1">IFERROR(__xludf.DUMMYFUNCTION("""COMPUTED_VALUE"""),266.92)</f>
        <v>266.92</v>
      </c>
      <c r="I543" s="1">
        <f ca="1">IFERROR(__xludf.DUMMYFUNCTION("""COMPUTED_VALUE"""),163.79)</f>
        <v>163.79</v>
      </c>
      <c r="J543" s="1">
        <f ca="1">IFERROR(__xludf.DUMMYFUNCTION("""COMPUTED_VALUE"""),505.58)</f>
        <v>505.58</v>
      </c>
      <c r="K543" s="1">
        <f ca="1">IFERROR(__xludf.DUMMYFUNCTION("""COMPUTED_VALUE"""),58)</f>
        <v>58</v>
      </c>
      <c r="L543" s="1">
        <f ca="1">IFERROR(__xludf.DUMMYFUNCTION("""COMPUTED_VALUE"""),463.82)</f>
        <v>463.82</v>
      </c>
      <c r="M543" s="1">
        <f ca="1">IFERROR(__xludf.DUMMYFUNCTION("""COMPUTED_VALUE"""),390.03)</f>
        <v>390.03</v>
      </c>
    </row>
    <row r="544" spans="1:13" x14ac:dyDescent="0.25">
      <c r="A544" s="2">
        <f ca="1">IFERROR(__xludf.DUMMYFUNCTION("""COMPUTED_VALUE"""),44620.6666666666)</f>
        <v>44620.666666666599</v>
      </c>
      <c r="B544" s="1">
        <f ca="1">IFERROR(__xludf.DUMMYFUNCTION("""COMPUTED_VALUE"""),165.12)</f>
        <v>165.12</v>
      </c>
      <c r="C544" s="1">
        <f ca="1">IFERROR(__xludf.DUMMYFUNCTION("""COMPUTED_VALUE"""),297.31)</f>
        <v>297.31</v>
      </c>
      <c r="D544" s="1">
        <f ca="1">IFERROR(__xludf.DUMMYFUNCTION("""COMPUTED_VALUE"""),153.79)</f>
        <v>153.79</v>
      </c>
      <c r="E544" s="1">
        <f ca="1">IFERROR(__xludf.DUMMYFUNCTION("""COMPUTED_VALUE"""),24.16)</f>
        <v>24.16</v>
      </c>
      <c r="F544" s="1">
        <f ca="1">IFERROR(__xludf.DUMMYFUNCTION("""COMPUTED_VALUE"""),210.48)</f>
        <v>210.48</v>
      </c>
      <c r="G544" s="1">
        <f ca="1">IFERROR(__xludf.DUMMYFUNCTION("""COMPUTED_VALUE"""),134.52)</f>
        <v>134.52000000000001</v>
      </c>
      <c r="H544" s="1">
        <f ca="1">IFERROR(__xludf.DUMMYFUNCTION("""COMPUTED_VALUE"""),269.96)</f>
        <v>269.95999999999998</v>
      </c>
      <c r="I544" s="1">
        <f ca="1">IFERROR(__xludf.DUMMYFUNCTION("""COMPUTED_VALUE"""),168.38)</f>
        <v>168.38</v>
      </c>
      <c r="J544" s="1">
        <f ca="1">IFERROR(__xludf.DUMMYFUNCTION("""COMPUTED_VALUE"""),517.49)</f>
        <v>517.49</v>
      </c>
      <c r="K544" s="1">
        <f ca="1">IFERROR(__xludf.DUMMYFUNCTION("""COMPUTED_VALUE"""),58.8)</f>
        <v>58.8</v>
      </c>
      <c r="L544" s="1">
        <f ca="1">IFERROR(__xludf.DUMMYFUNCTION("""COMPUTED_VALUE"""),465.54)</f>
        <v>465.54</v>
      </c>
      <c r="M544" s="1">
        <f ca="1">IFERROR(__xludf.DUMMYFUNCTION("""COMPUTED_VALUE"""),390.8)</f>
        <v>390.8</v>
      </c>
    </row>
    <row r="545" spans="1:13" x14ac:dyDescent="0.25">
      <c r="A545" s="2">
        <f ca="1">IFERROR(__xludf.DUMMYFUNCTION("""COMPUTED_VALUE"""),44621.6666666666)</f>
        <v>44621.666666666599</v>
      </c>
      <c r="B545" s="1">
        <f ca="1">IFERROR(__xludf.DUMMYFUNCTION("""COMPUTED_VALUE"""),163.2)</f>
        <v>163.19999999999999</v>
      </c>
      <c r="C545" s="1">
        <f ca="1">IFERROR(__xludf.DUMMYFUNCTION("""COMPUTED_VALUE"""),298.79)</f>
        <v>298.79000000000002</v>
      </c>
      <c r="D545" s="1">
        <f ca="1">IFERROR(__xludf.DUMMYFUNCTION("""COMPUTED_VALUE"""),153.56)</f>
        <v>153.56</v>
      </c>
      <c r="E545" s="1">
        <f ca="1">IFERROR(__xludf.DUMMYFUNCTION("""COMPUTED_VALUE"""),24.39)</f>
        <v>24.39</v>
      </c>
      <c r="F545" s="1">
        <f ca="1">IFERROR(__xludf.DUMMYFUNCTION("""COMPUTED_VALUE"""),211.03)</f>
        <v>211.03</v>
      </c>
      <c r="G545" s="1">
        <f ca="1">IFERROR(__xludf.DUMMYFUNCTION("""COMPUTED_VALUE"""),134.89)</f>
        <v>134.88999999999999</v>
      </c>
      <c r="H545" s="1">
        <f ca="1">IFERROR(__xludf.DUMMYFUNCTION("""COMPUTED_VALUE"""),290.14)</f>
        <v>290.14</v>
      </c>
      <c r="I545" s="1">
        <f ca="1">IFERROR(__xludf.DUMMYFUNCTION("""COMPUTED_VALUE"""),163.74)</f>
        <v>163.74</v>
      </c>
      <c r="J545" s="1">
        <f ca="1">IFERROR(__xludf.DUMMYFUNCTION("""COMPUTED_VALUE"""),519.25)</f>
        <v>519.25</v>
      </c>
      <c r="K545" s="1">
        <f ca="1">IFERROR(__xludf.DUMMYFUNCTION("""COMPUTED_VALUE"""),58.74)</f>
        <v>58.74</v>
      </c>
      <c r="L545" s="1">
        <f ca="1">IFERROR(__xludf.DUMMYFUNCTION("""COMPUTED_VALUE"""),467.68)</f>
        <v>467.68</v>
      </c>
      <c r="M545" s="1">
        <f ca="1">IFERROR(__xludf.DUMMYFUNCTION("""COMPUTED_VALUE"""),394.52)</f>
        <v>394.52</v>
      </c>
    </row>
    <row r="546" spans="1:13" x14ac:dyDescent="0.25">
      <c r="A546" s="2">
        <f ca="1">IFERROR(__xludf.DUMMYFUNCTION("""COMPUTED_VALUE"""),44622.6666666666)</f>
        <v>44622.666666666599</v>
      </c>
      <c r="B546" s="1">
        <f ca="1">IFERROR(__xludf.DUMMYFUNCTION("""COMPUTED_VALUE"""),166.56)</f>
        <v>166.56</v>
      </c>
      <c r="C546" s="1">
        <f ca="1">IFERROR(__xludf.DUMMYFUNCTION("""COMPUTED_VALUE"""),294.95)</f>
        <v>294.95</v>
      </c>
      <c r="D546" s="1">
        <f ca="1">IFERROR(__xludf.DUMMYFUNCTION("""COMPUTED_VALUE"""),151.14)</f>
        <v>151.13999999999999</v>
      </c>
      <c r="E546" s="1">
        <f ca="1">IFERROR(__xludf.DUMMYFUNCTION("""COMPUTED_VALUE"""),23.48)</f>
        <v>23.48</v>
      </c>
      <c r="F546" s="1">
        <f ca="1">IFERROR(__xludf.DUMMYFUNCTION("""COMPUTED_VALUE"""),203.49)</f>
        <v>203.49</v>
      </c>
      <c r="G546" s="1">
        <f ca="1">IFERROR(__xludf.DUMMYFUNCTION("""COMPUTED_VALUE"""),134.17)</f>
        <v>134.16999999999999</v>
      </c>
      <c r="H546" s="1">
        <f ca="1">IFERROR(__xludf.DUMMYFUNCTION("""COMPUTED_VALUE"""),288.12)</f>
        <v>288.12</v>
      </c>
      <c r="I546" s="1">
        <f ca="1">IFERROR(__xludf.DUMMYFUNCTION("""COMPUTED_VALUE"""),162.27)</f>
        <v>162.27000000000001</v>
      </c>
      <c r="J546" s="1">
        <f ca="1">IFERROR(__xludf.DUMMYFUNCTION("""COMPUTED_VALUE"""),522.93)</f>
        <v>522.92999999999995</v>
      </c>
      <c r="K546" s="1">
        <f ca="1">IFERROR(__xludf.DUMMYFUNCTION("""COMPUTED_VALUE"""),57.01)</f>
        <v>57.01</v>
      </c>
      <c r="L546" s="1">
        <f ca="1">IFERROR(__xludf.DUMMYFUNCTION("""COMPUTED_VALUE"""),466.68)</f>
        <v>466.68</v>
      </c>
      <c r="M546" s="1">
        <f ca="1">IFERROR(__xludf.DUMMYFUNCTION("""COMPUTED_VALUE"""),386.24)</f>
        <v>386.24</v>
      </c>
    </row>
    <row r="547" spans="1:13" x14ac:dyDescent="0.25">
      <c r="A547" s="2">
        <f ca="1">IFERROR(__xludf.DUMMYFUNCTION("""COMPUTED_VALUE"""),44623.6666666666)</f>
        <v>44623.666666666599</v>
      </c>
      <c r="B547" s="1">
        <f ca="1">IFERROR(__xludf.DUMMYFUNCTION("""COMPUTED_VALUE"""),166.23)</f>
        <v>166.23</v>
      </c>
      <c r="C547" s="1">
        <f ca="1">IFERROR(__xludf.DUMMYFUNCTION("""COMPUTED_VALUE"""),300.19)</f>
        <v>300.19</v>
      </c>
      <c r="D547" s="1">
        <f ca="1">IFERROR(__xludf.DUMMYFUNCTION("""COMPUTED_VALUE"""),152.05)</f>
        <v>152.05000000000001</v>
      </c>
      <c r="E547" s="1">
        <f ca="1">IFERROR(__xludf.DUMMYFUNCTION("""COMPUTED_VALUE"""),24.22)</f>
        <v>24.22</v>
      </c>
      <c r="F547" s="1">
        <f ca="1">IFERROR(__xludf.DUMMYFUNCTION("""COMPUTED_VALUE"""),208.11)</f>
        <v>208.11</v>
      </c>
      <c r="G547" s="1">
        <f ca="1">IFERROR(__xludf.DUMMYFUNCTION("""COMPUTED_VALUE"""),134.75)</f>
        <v>134.75</v>
      </c>
      <c r="H547" s="1">
        <f ca="1">IFERROR(__xludf.DUMMYFUNCTION("""COMPUTED_VALUE"""),293.3)</f>
        <v>293.3</v>
      </c>
      <c r="I547" s="1">
        <f ca="1">IFERROR(__xludf.DUMMYFUNCTION("""COMPUTED_VALUE"""),164.52)</f>
        <v>164.52</v>
      </c>
      <c r="J547" s="1">
        <f ca="1">IFERROR(__xludf.DUMMYFUNCTION("""COMPUTED_VALUE"""),528)</f>
        <v>528</v>
      </c>
      <c r="K547" s="1">
        <f ca="1">IFERROR(__xludf.DUMMYFUNCTION("""COMPUTED_VALUE"""),58.58)</f>
        <v>58.58</v>
      </c>
      <c r="L547" s="1">
        <f ca="1">IFERROR(__xludf.DUMMYFUNCTION("""COMPUTED_VALUE"""),471.18)</f>
        <v>471.18</v>
      </c>
      <c r="M547" s="1">
        <f ca="1">IFERROR(__xludf.DUMMYFUNCTION("""COMPUTED_VALUE"""),380.03)</f>
        <v>380.03</v>
      </c>
    </row>
    <row r="548" spans="1:13" x14ac:dyDescent="0.25">
      <c r="A548" s="2">
        <f ca="1">IFERROR(__xludf.DUMMYFUNCTION("""COMPUTED_VALUE"""),44624.6666666666)</f>
        <v>44624.666666666599</v>
      </c>
      <c r="B548" s="1">
        <f ca="1">IFERROR(__xludf.DUMMYFUNCTION("""COMPUTED_VALUE"""),163.17)</f>
        <v>163.16999999999999</v>
      </c>
      <c r="C548" s="1">
        <f ca="1">IFERROR(__xludf.DUMMYFUNCTION("""COMPUTED_VALUE"""),295.92)</f>
        <v>295.92</v>
      </c>
      <c r="D548" s="1">
        <f ca="1">IFERROR(__xludf.DUMMYFUNCTION("""COMPUTED_VALUE"""),147.9)</f>
        <v>147.9</v>
      </c>
      <c r="E548" s="1">
        <f ca="1">IFERROR(__xludf.DUMMYFUNCTION("""COMPUTED_VALUE"""),23.71)</f>
        <v>23.71</v>
      </c>
      <c r="F548" s="1">
        <f ca="1">IFERROR(__xludf.DUMMYFUNCTION("""COMPUTED_VALUE"""),202.97)</f>
        <v>202.97</v>
      </c>
      <c r="G548" s="1">
        <f ca="1">IFERROR(__xludf.DUMMYFUNCTION("""COMPUTED_VALUE"""),134.31)</f>
        <v>134.31</v>
      </c>
      <c r="H548" s="1">
        <f ca="1">IFERROR(__xludf.DUMMYFUNCTION("""COMPUTED_VALUE"""),279.76)</f>
        <v>279.76</v>
      </c>
      <c r="I548" s="1">
        <f ca="1">IFERROR(__xludf.DUMMYFUNCTION("""COMPUTED_VALUE"""),163.27)</f>
        <v>163.27000000000001</v>
      </c>
      <c r="J548" s="1">
        <f ca="1">IFERROR(__xludf.DUMMYFUNCTION("""COMPUTED_VALUE"""),533.05)</f>
        <v>533.04999999999995</v>
      </c>
      <c r="K548" s="1">
        <f ca="1">IFERROR(__xludf.DUMMYFUNCTION("""COMPUTED_VALUE"""),57.86)</f>
        <v>57.86</v>
      </c>
      <c r="L548" s="1">
        <f ca="1">IFERROR(__xludf.DUMMYFUNCTION("""COMPUTED_VALUE"""),459.08)</f>
        <v>459.08</v>
      </c>
      <c r="M548" s="1">
        <f ca="1">IFERROR(__xludf.DUMMYFUNCTION("""COMPUTED_VALUE"""),368.07)</f>
        <v>368.07</v>
      </c>
    </row>
    <row r="549" spans="1:13" x14ac:dyDescent="0.25">
      <c r="A549" s="2">
        <f ca="1">IFERROR(__xludf.DUMMYFUNCTION("""COMPUTED_VALUE"""),44627.6666666666)</f>
        <v>44627.666666666599</v>
      </c>
      <c r="B549" s="1">
        <f ca="1">IFERROR(__xludf.DUMMYFUNCTION("""COMPUTED_VALUE"""),159.3)</f>
        <v>159.30000000000001</v>
      </c>
      <c r="C549" s="1">
        <f ca="1">IFERROR(__xludf.DUMMYFUNCTION("""COMPUTED_VALUE"""),289.86)</f>
        <v>289.86</v>
      </c>
      <c r="D549" s="1">
        <f ca="1">IFERROR(__xludf.DUMMYFUNCTION("""COMPUTED_VALUE"""),145.64)</f>
        <v>145.63999999999999</v>
      </c>
      <c r="E549" s="1">
        <f ca="1">IFERROR(__xludf.DUMMYFUNCTION("""COMPUTED_VALUE"""),22.94)</f>
        <v>22.94</v>
      </c>
      <c r="F549" s="1">
        <f ca="1">IFERROR(__xludf.DUMMYFUNCTION("""COMPUTED_VALUE"""),200.06)</f>
        <v>200.06</v>
      </c>
      <c r="G549" s="1">
        <f ca="1">IFERROR(__xludf.DUMMYFUNCTION("""COMPUTED_VALUE"""),132.12)</f>
        <v>132.12</v>
      </c>
      <c r="H549" s="1">
        <f ca="1">IFERROR(__xludf.DUMMYFUNCTION("""COMPUTED_VALUE"""),279.43)</f>
        <v>279.43</v>
      </c>
      <c r="I549" s="1">
        <f ca="1">IFERROR(__xludf.DUMMYFUNCTION("""COMPUTED_VALUE"""),165.75)</f>
        <v>165.75</v>
      </c>
      <c r="J549" s="1">
        <f ca="1">IFERROR(__xludf.DUMMYFUNCTION("""COMPUTED_VALUE"""),525.5)</f>
        <v>525.5</v>
      </c>
      <c r="K549" s="1">
        <f ca="1">IFERROR(__xludf.DUMMYFUNCTION("""COMPUTED_VALUE"""),59.6)</f>
        <v>59.6</v>
      </c>
      <c r="L549" s="1">
        <f ca="1">IFERROR(__xludf.DUMMYFUNCTION("""COMPUTED_VALUE"""),452.13)</f>
        <v>452.13</v>
      </c>
      <c r="M549" s="1">
        <f ca="1">IFERROR(__xludf.DUMMYFUNCTION("""COMPUTED_VALUE"""),361.73)</f>
        <v>361.73</v>
      </c>
    </row>
    <row r="550" spans="1:13" x14ac:dyDescent="0.25">
      <c r="A550" s="2">
        <f ca="1">IFERROR(__xludf.DUMMYFUNCTION("""COMPUTED_VALUE"""),44628.6666666666)</f>
        <v>44628.666666666599</v>
      </c>
      <c r="B550" s="1">
        <f ca="1">IFERROR(__xludf.DUMMYFUNCTION("""COMPUTED_VALUE"""),157.44)</f>
        <v>157.44</v>
      </c>
      <c r="C550" s="1">
        <f ca="1">IFERROR(__xludf.DUMMYFUNCTION("""COMPUTED_VALUE"""),278.91)</f>
        <v>278.91000000000003</v>
      </c>
      <c r="D550" s="1">
        <f ca="1">IFERROR(__xludf.DUMMYFUNCTION("""COMPUTED_VALUE"""),137.45)</f>
        <v>137.44999999999999</v>
      </c>
      <c r="E550" s="1">
        <f ca="1">IFERROR(__xludf.DUMMYFUNCTION("""COMPUTED_VALUE"""),21.35)</f>
        <v>21.35</v>
      </c>
      <c r="F550" s="1">
        <f ca="1">IFERROR(__xludf.DUMMYFUNCTION("""COMPUTED_VALUE"""),187.47)</f>
        <v>187.47</v>
      </c>
      <c r="G550" s="1">
        <f ca="1">IFERROR(__xludf.DUMMYFUNCTION("""COMPUTED_VALUE"""),126.46)</f>
        <v>126.46</v>
      </c>
      <c r="H550" s="1">
        <f ca="1">IFERROR(__xludf.DUMMYFUNCTION("""COMPUTED_VALUE"""),268.19)</f>
        <v>268.19</v>
      </c>
      <c r="I550" s="1">
        <f ca="1">IFERROR(__xludf.DUMMYFUNCTION("""COMPUTED_VALUE"""),162.45)</f>
        <v>162.44999999999999</v>
      </c>
      <c r="J550" s="1">
        <f ca="1">IFERROR(__xludf.DUMMYFUNCTION("""COMPUTED_VALUE"""),528.52)</f>
        <v>528.52</v>
      </c>
      <c r="K550" s="1">
        <f ca="1">IFERROR(__xludf.DUMMYFUNCTION("""COMPUTED_VALUE"""),57.07)</f>
        <v>57.07</v>
      </c>
      <c r="L550" s="1">
        <f ca="1">IFERROR(__xludf.DUMMYFUNCTION("""COMPUTED_VALUE"""),437.97)</f>
        <v>437.97</v>
      </c>
      <c r="M550" s="1">
        <f ca="1">IFERROR(__xludf.DUMMYFUNCTION("""COMPUTED_VALUE"""),350.26)</f>
        <v>350.26</v>
      </c>
    </row>
    <row r="551" spans="1:13" x14ac:dyDescent="0.25">
      <c r="A551" s="2">
        <f ca="1">IFERROR(__xludf.DUMMYFUNCTION("""COMPUTED_VALUE"""),44629.6666666666)</f>
        <v>44629.666666666599</v>
      </c>
      <c r="B551" s="1">
        <f ca="1">IFERROR(__xludf.DUMMYFUNCTION("""COMPUTED_VALUE"""),162.95)</f>
        <v>162.94999999999999</v>
      </c>
      <c r="C551" s="1">
        <f ca="1">IFERROR(__xludf.DUMMYFUNCTION("""COMPUTED_VALUE"""),275.85)</f>
        <v>275.85000000000002</v>
      </c>
      <c r="D551" s="1">
        <f ca="1">IFERROR(__xludf.DUMMYFUNCTION("""COMPUTED_VALUE"""),136.01)</f>
        <v>136.01</v>
      </c>
      <c r="E551" s="1">
        <f ca="1">IFERROR(__xludf.DUMMYFUNCTION("""COMPUTED_VALUE"""),21.51)</f>
        <v>21.51</v>
      </c>
      <c r="F551" s="1">
        <f ca="1">IFERROR(__xludf.DUMMYFUNCTION("""COMPUTED_VALUE"""),190.29)</f>
        <v>190.29</v>
      </c>
      <c r="G551" s="1">
        <f ca="1">IFERROR(__xludf.DUMMYFUNCTION("""COMPUTED_VALUE"""),127.28)</f>
        <v>127.28</v>
      </c>
      <c r="H551" s="1">
        <f ca="1">IFERROR(__xludf.DUMMYFUNCTION("""COMPUTED_VALUE"""),274.8)</f>
        <v>274.8</v>
      </c>
      <c r="I551" s="1">
        <f ca="1">IFERROR(__xludf.DUMMYFUNCTION("""COMPUTED_VALUE"""),157.87)</f>
        <v>157.87</v>
      </c>
      <c r="J551" s="1">
        <f ca="1">IFERROR(__xludf.DUMMYFUNCTION("""COMPUTED_VALUE"""),523.36)</f>
        <v>523.36</v>
      </c>
      <c r="K551" s="1">
        <f ca="1">IFERROR(__xludf.DUMMYFUNCTION("""COMPUTED_VALUE"""),57.6)</f>
        <v>57.6</v>
      </c>
      <c r="L551" s="1">
        <f ca="1">IFERROR(__xludf.DUMMYFUNCTION("""COMPUTED_VALUE"""),431.53)</f>
        <v>431.53</v>
      </c>
      <c r="M551" s="1">
        <f ca="1">IFERROR(__xludf.DUMMYFUNCTION("""COMPUTED_VALUE"""),341.76)</f>
        <v>341.76</v>
      </c>
    </row>
    <row r="552" spans="1:13" x14ac:dyDescent="0.25">
      <c r="A552" s="2">
        <f ca="1">IFERROR(__xludf.DUMMYFUNCTION("""COMPUTED_VALUE"""),44630.6666666666)</f>
        <v>44630.666666666599</v>
      </c>
      <c r="B552" s="1">
        <f ca="1">IFERROR(__xludf.DUMMYFUNCTION("""COMPUTED_VALUE"""),158.52)</f>
        <v>158.52000000000001</v>
      </c>
      <c r="C552" s="1">
        <f ca="1">IFERROR(__xludf.DUMMYFUNCTION("""COMPUTED_VALUE"""),288.5)</f>
        <v>288.5</v>
      </c>
      <c r="D552" s="1">
        <f ca="1">IFERROR(__xludf.DUMMYFUNCTION("""COMPUTED_VALUE"""),139.28)</f>
        <v>139.28</v>
      </c>
      <c r="E552" s="1">
        <f ca="1">IFERROR(__xludf.DUMMYFUNCTION("""COMPUTED_VALUE"""),23.01)</f>
        <v>23.01</v>
      </c>
      <c r="F552" s="1">
        <f ca="1">IFERROR(__xludf.DUMMYFUNCTION("""COMPUTED_VALUE"""),198.5)</f>
        <v>198.5</v>
      </c>
      <c r="G552" s="1">
        <f ca="1">IFERROR(__xludf.DUMMYFUNCTION("""COMPUTED_VALUE"""),133.87)</f>
        <v>133.87</v>
      </c>
      <c r="H552" s="1">
        <f ca="1">IFERROR(__xludf.DUMMYFUNCTION("""COMPUTED_VALUE"""),286.32)</f>
        <v>286.32</v>
      </c>
      <c r="I552" s="1">
        <f ca="1">IFERROR(__xludf.DUMMYFUNCTION("""COMPUTED_VALUE"""),157.4)</f>
        <v>157.4</v>
      </c>
      <c r="J552" s="1">
        <f ca="1">IFERROR(__xludf.DUMMYFUNCTION("""COMPUTED_VALUE"""),527.65)</f>
        <v>527.65</v>
      </c>
      <c r="K552" s="1">
        <f ca="1">IFERROR(__xludf.DUMMYFUNCTION("""COMPUTED_VALUE"""),59.7)</f>
        <v>59.7</v>
      </c>
      <c r="L552" s="1">
        <f ca="1">IFERROR(__xludf.DUMMYFUNCTION("""COMPUTED_VALUE"""),450.87)</f>
        <v>450.87</v>
      </c>
      <c r="M552" s="1">
        <f ca="1">IFERROR(__xludf.DUMMYFUNCTION("""COMPUTED_VALUE"""),358.79)</f>
        <v>358.79</v>
      </c>
    </row>
    <row r="553" spans="1:13" x14ac:dyDescent="0.25">
      <c r="A553" s="2">
        <f ca="1">IFERROR(__xludf.DUMMYFUNCTION("""COMPUTED_VALUE"""),44631.6666666666)</f>
        <v>44631.666666666599</v>
      </c>
      <c r="B553" s="1">
        <f ca="1">IFERROR(__xludf.DUMMYFUNCTION("""COMPUTED_VALUE"""),154.73)</f>
        <v>154.72999999999999</v>
      </c>
      <c r="C553" s="1">
        <f ca="1">IFERROR(__xludf.DUMMYFUNCTION("""COMPUTED_VALUE"""),285.59)</f>
        <v>285.58999999999997</v>
      </c>
      <c r="D553" s="1">
        <f ca="1">IFERROR(__xludf.DUMMYFUNCTION("""COMPUTED_VALUE"""),146.82)</f>
        <v>146.82</v>
      </c>
      <c r="E553" s="1">
        <f ca="1">IFERROR(__xludf.DUMMYFUNCTION("""COMPUTED_VALUE"""),22.66)</f>
        <v>22.66</v>
      </c>
      <c r="F553" s="1">
        <f ca="1">IFERROR(__xludf.DUMMYFUNCTION("""COMPUTED_VALUE"""),195.21)</f>
        <v>195.21</v>
      </c>
      <c r="G553" s="1">
        <f ca="1">IFERROR(__xludf.DUMMYFUNCTION("""COMPUTED_VALUE"""),132.68)</f>
        <v>132.68</v>
      </c>
      <c r="H553" s="1">
        <f ca="1">IFERROR(__xludf.DUMMYFUNCTION("""COMPUTED_VALUE"""),279.43)</f>
        <v>279.43</v>
      </c>
      <c r="I553" s="1">
        <f ca="1">IFERROR(__xludf.DUMMYFUNCTION("""COMPUTED_VALUE"""),154.51)</f>
        <v>154.51</v>
      </c>
      <c r="J553" s="1">
        <f ca="1">IFERROR(__xludf.DUMMYFUNCTION("""COMPUTED_VALUE"""),532.72)</f>
        <v>532.72</v>
      </c>
      <c r="K553" s="1">
        <f ca="1">IFERROR(__xludf.DUMMYFUNCTION("""COMPUTED_VALUE"""),58.77)</f>
        <v>58.77</v>
      </c>
      <c r="L553" s="1">
        <f ca="1">IFERROR(__xludf.DUMMYFUNCTION("""COMPUTED_VALUE"""),438.95)</f>
        <v>438.95</v>
      </c>
      <c r="M553" s="1">
        <f ca="1">IFERROR(__xludf.DUMMYFUNCTION("""COMPUTED_VALUE"""),356.77)</f>
        <v>356.77</v>
      </c>
    </row>
    <row r="554" spans="1:13" x14ac:dyDescent="0.25">
      <c r="A554" s="2">
        <f ca="1">IFERROR(__xludf.DUMMYFUNCTION("""COMPUTED_VALUE"""),44634.6666666666)</f>
        <v>44634.666666666599</v>
      </c>
      <c r="B554" s="1">
        <f ca="1">IFERROR(__xludf.DUMMYFUNCTION("""COMPUTED_VALUE"""),150.62)</f>
        <v>150.62</v>
      </c>
      <c r="C554" s="1">
        <f ca="1">IFERROR(__xludf.DUMMYFUNCTION("""COMPUTED_VALUE"""),280.07)</f>
        <v>280.07</v>
      </c>
      <c r="D554" s="1">
        <f ca="1">IFERROR(__xludf.DUMMYFUNCTION("""COMPUTED_VALUE"""),145.52)</f>
        <v>145.52000000000001</v>
      </c>
      <c r="E554" s="1">
        <f ca="1">IFERROR(__xludf.DUMMYFUNCTION("""COMPUTED_VALUE"""),22.1)</f>
        <v>22.1</v>
      </c>
      <c r="F554" s="1">
        <f ca="1">IFERROR(__xludf.DUMMYFUNCTION("""COMPUTED_VALUE"""),187.61)</f>
        <v>187.61</v>
      </c>
      <c r="G554" s="1">
        <f ca="1">IFERROR(__xludf.DUMMYFUNCTION("""COMPUTED_VALUE"""),130.48)</f>
        <v>130.47999999999999</v>
      </c>
      <c r="H554" s="1">
        <f ca="1">IFERROR(__xludf.DUMMYFUNCTION("""COMPUTED_VALUE"""),265.12)</f>
        <v>265.12</v>
      </c>
      <c r="I554" s="1">
        <f ca="1">IFERROR(__xludf.DUMMYFUNCTION("""COMPUTED_VALUE"""),153.73)</f>
        <v>153.72999999999999</v>
      </c>
      <c r="J554" s="1">
        <f ca="1">IFERROR(__xludf.DUMMYFUNCTION("""COMPUTED_VALUE"""),527.42)</f>
        <v>527.41999999999996</v>
      </c>
      <c r="K554" s="1">
        <f ca="1">IFERROR(__xludf.DUMMYFUNCTION("""COMPUTED_VALUE"""),57.79)</f>
        <v>57.79</v>
      </c>
      <c r="L554" s="1">
        <f ca="1">IFERROR(__xludf.DUMMYFUNCTION("""COMPUTED_VALUE"""),416.38)</f>
        <v>416.38</v>
      </c>
      <c r="M554" s="1">
        <f ca="1">IFERROR(__xludf.DUMMYFUNCTION("""COMPUTED_VALUE"""),340.32)</f>
        <v>340.32</v>
      </c>
    </row>
    <row r="555" spans="1:13" x14ac:dyDescent="0.25">
      <c r="A555" s="2">
        <f ca="1">IFERROR(__xludf.DUMMYFUNCTION("""COMPUTED_VALUE"""),44635.6666666666)</f>
        <v>44635.666666666599</v>
      </c>
      <c r="B555" s="1">
        <f ca="1">IFERROR(__xludf.DUMMYFUNCTION("""COMPUTED_VALUE"""),155.09)</f>
        <v>155.09</v>
      </c>
      <c r="C555" s="1">
        <f ca="1">IFERROR(__xludf.DUMMYFUNCTION("""COMPUTED_VALUE"""),276.44)</f>
        <v>276.44</v>
      </c>
      <c r="D555" s="1">
        <f ca="1">IFERROR(__xludf.DUMMYFUNCTION("""COMPUTED_VALUE"""),141.85)</f>
        <v>141.85</v>
      </c>
      <c r="E555" s="1">
        <f ca="1">IFERROR(__xludf.DUMMYFUNCTION("""COMPUTED_VALUE"""),21.33)</f>
        <v>21.33</v>
      </c>
      <c r="F555" s="1">
        <f ca="1">IFERROR(__xludf.DUMMYFUNCTION("""COMPUTED_VALUE"""),186.63)</f>
        <v>186.63</v>
      </c>
      <c r="G555" s="1">
        <f ca="1">IFERROR(__xludf.DUMMYFUNCTION("""COMPUTED_VALUE"""),126.74)</f>
        <v>126.74</v>
      </c>
      <c r="H555" s="1">
        <f ca="1">IFERROR(__xludf.DUMMYFUNCTION("""COMPUTED_VALUE"""),255.46)</f>
        <v>255.46</v>
      </c>
      <c r="I555" s="1">
        <f ca="1">IFERROR(__xludf.DUMMYFUNCTION("""COMPUTED_VALUE"""),155.89)</f>
        <v>155.88999999999999</v>
      </c>
      <c r="J555" s="1">
        <f ca="1">IFERROR(__xludf.DUMMYFUNCTION("""COMPUTED_VALUE"""),525.95)</f>
        <v>525.95000000000005</v>
      </c>
      <c r="K555" s="1">
        <f ca="1">IFERROR(__xludf.DUMMYFUNCTION("""COMPUTED_VALUE"""),56.78)</f>
        <v>56.78</v>
      </c>
      <c r="L555" s="1">
        <f ca="1">IFERROR(__xludf.DUMMYFUNCTION("""COMPUTED_VALUE"""),411.5)</f>
        <v>411.5</v>
      </c>
      <c r="M555" s="1">
        <f ca="1">IFERROR(__xludf.DUMMYFUNCTION("""COMPUTED_VALUE"""),331.01)</f>
        <v>331.01</v>
      </c>
    </row>
    <row r="556" spans="1:13" x14ac:dyDescent="0.25">
      <c r="A556" s="2">
        <f ca="1">IFERROR(__xludf.DUMMYFUNCTION("""COMPUTED_VALUE"""),44636.6666666666)</f>
        <v>44636.666666666599</v>
      </c>
      <c r="B556" s="1">
        <f ca="1">IFERROR(__xludf.DUMMYFUNCTION("""COMPUTED_VALUE"""),159.59)</f>
        <v>159.59</v>
      </c>
      <c r="C556" s="1">
        <f ca="1">IFERROR(__xludf.DUMMYFUNCTION("""COMPUTED_VALUE"""),287.15)</f>
        <v>287.14999999999998</v>
      </c>
      <c r="D556" s="1">
        <f ca="1">IFERROR(__xludf.DUMMYFUNCTION("""COMPUTED_VALUE"""),147.37)</f>
        <v>147.37</v>
      </c>
      <c r="E556" s="1">
        <f ca="1">IFERROR(__xludf.DUMMYFUNCTION("""COMPUTED_VALUE"""),22.97)</f>
        <v>22.97</v>
      </c>
      <c r="F556" s="1">
        <f ca="1">IFERROR(__xludf.DUMMYFUNCTION("""COMPUTED_VALUE"""),192.03)</f>
        <v>192.03</v>
      </c>
      <c r="G556" s="1">
        <f ca="1">IFERROR(__xludf.DUMMYFUNCTION("""COMPUTED_VALUE"""),129.66)</f>
        <v>129.66</v>
      </c>
      <c r="H556" s="1">
        <f ca="1">IFERROR(__xludf.DUMMYFUNCTION("""COMPUTED_VALUE"""),267.3)</f>
        <v>267.3</v>
      </c>
      <c r="I556" s="1">
        <f ca="1">IFERROR(__xludf.DUMMYFUNCTION("""COMPUTED_VALUE"""),159)</f>
        <v>159</v>
      </c>
      <c r="J556" s="1">
        <f ca="1">IFERROR(__xludf.DUMMYFUNCTION("""COMPUTED_VALUE"""),542.32)</f>
        <v>542.32000000000005</v>
      </c>
      <c r="K556" s="1">
        <f ca="1">IFERROR(__xludf.DUMMYFUNCTION("""COMPUTED_VALUE"""),59.28)</f>
        <v>59.28</v>
      </c>
      <c r="L556" s="1">
        <f ca="1">IFERROR(__xludf.DUMMYFUNCTION("""COMPUTED_VALUE"""),421.66)</f>
        <v>421.66</v>
      </c>
      <c r="M556" s="1">
        <f ca="1">IFERROR(__xludf.DUMMYFUNCTION("""COMPUTED_VALUE"""),343.75)</f>
        <v>343.75</v>
      </c>
    </row>
    <row r="557" spans="1:13" x14ac:dyDescent="0.25">
      <c r="A557" s="2">
        <f ca="1">IFERROR(__xludf.DUMMYFUNCTION("""COMPUTED_VALUE"""),44637.6666666666)</f>
        <v>44637.666666666599</v>
      </c>
      <c r="B557" s="1">
        <f ca="1">IFERROR(__xludf.DUMMYFUNCTION("""COMPUTED_VALUE"""),160.62)</f>
        <v>160.62</v>
      </c>
      <c r="C557" s="1">
        <f ca="1">IFERROR(__xludf.DUMMYFUNCTION("""COMPUTED_VALUE"""),294.39)</f>
        <v>294.39</v>
      </c>
      <c r="D557" s="1">
        <f ca="1">IFERROR(__xludf.DUMMYFUNCTION("""COMPUTED_VALUE"""),153.1)</f>
        <v>153.1</v>
      </c>
      <c r="E557" s="1">
        <f ca="1">IFERROR(__xludf.DUMMYFUNCTION("""COMPUTED_VALUE"""),24.5)</f>
        <v>24.5</v>
      </c>
      <c r="F557" s="1">
        <f ca="1">IFERROR(__xludf.DUMMYFUNCTION("""COMPUTED_VALUE"""),203.63)</f>
        <v>203.63</v>
      </c>
      <c r="G557" s="1">
        <f ca="1">IFERROR(__xludf.DUMMYFUNCTION("""COMPUTED_VALUE"""),133.69)</f>
        <v>133.69</v>
      </c>
      <c r="H557" s="1">
        <f ca="1">IFERROR(__xludf.DUMMYFUNCTION("""COMPUTED_VALUE"""),280.08)</f>
        <v>280.08</v>
      </c>
      <c r="I557" s="1">
        <f ca="1">IFERROR(__xludf.DUMMYFUNCTION("""COMPUTED_VALUE"""),159.7)</f>
        <v>159.69999999999999</v>
      </c>
      <c r="J557" s="1">
        <f ca="1">IFERROR(__xludf.DUMMYFUNCTION("""COMPUTED_VALUE"""),543.39)</f>
        <v>543.39</v>
      </c>
      <c r="K557" s="1">
        <f ca="1">IFERROR(__xludf.DUMMYFUNCTION("""COMPUTED_VALUE"""),60.71)</f>
        <v>60.71</v>
      </c>
      <c r="L557" s="1">
        <f ca="1">IFERROR(__xludf.DUMMYFUNCTION("""COMPUTED_VALUE"""),442.36)</f>
        <v>442.36</v>
      </c>
      <c r="M557" s="1">
        <f ca="1">IFERROR(__xludf.DUMMYFUNCTION("""COMPUTED_VALUE"""),357.53)</f>
        <v>357.53</v>
      </c>
    </row>
    <row r="558" spans="1:13" x14ac:dyDescent="0.25">
      <c r="A558" s="2">
        <f ca="1">IFERROR(__xludf.DUMMYFUNCTION("""COMPUTED_VALUE"""),44638.6666666666)</f>
        <v>44638.666666666599</v>
      </c>
      <c r="B558" s="1">
        <f ca="1">IFERROR(__xludf.DUMMYFUNCTION("""COMPUTED_VALUE"""),163.98)</f>
        <v>163.98</v>
      </c>
      <c r="C558" s="1">
        <f ca="1">IFERROR(__xludf.DUMMYFUNCTION("""COMPUTED_VALUE"""),295.22)</f>
        <v>295.22000000000003</v>
      </c>
      <c r="D558" s="1">
        <f ca="1">IFERROR(__xludf.DUMMYFUNCTION("""COMPUTED_VALUE"""),157.24)</f>
        <v>157.24</v>
      </c>
      <c r="E558" s="1">
        <f ca="1">IFERROR(__xludf.DUMMYFUNCTION("""COMPUTED_VALUE"""),24.77)</f>
        <v>24.77</v>
      </c>
      <c r="F558" s="1">
        <f ca="1">IFERROR(__xludf.DUMMYFUNCTION("""COMPUTED_VALUE"""),207.84)</f>
        <v>207.84</v>
      </c>
      <c r="G558" s="1">
        <f ca="1">IFERROR(__xludf.DUMMYFUNCTION("""COMPUTED_VALUE"""),134.6)</f>
        <v>134.6</v>
      </c>
      <c r="H558" s="1">
        <f ca="1">IFERROR(__xludf.DUMMYFUNCTION("""COMPUTED_VALUE"""),290.53)</f>
        <v>290.52999999999997</v>
      </c>
      <c r="I558" s="1">
        <f ca="1">IFERROR(__xludf.DUMMYFUNCTION("""COMPUTED_VALUE"""),160.94)</f>
        <v>160.94</v>
      </c>
      <c r="J558" s="1">
        <f ca="1">IFERROR(__xludf.DUMMYFUNCTION("""COMPUTED_VALUE"""),552.79)</f>
        <v>552.79</v>
      </c>
      <c r="K558" s="1">
        <f ca="1">IFERROR(__xludf.DUMMYFUNCTION("""COMPUTED_VALUE"""),60.27)</f>
        <v>60.27</v>
      </c>
      <c r="L558" s="1">
        <f ca="1">IFERROR(__xludf.DUMMYFUNCTION("""COMPUTED_VALUE"""),444.36)</f>
        <v>444.36</v>
      </c>
      <c r="M558" s="1">
        <f ca="1">IFERROR(__xludf.DUMMYFUNCTION("""COMPUTED_VALUE"""),371.4)</f>
        <v>371.4</v>
      </c>
    </row>
    <row r="559" spans="1:13" x14ac:dyDescent="0.25">
      <c r="A559" s="2">
        <f ca="1">IFERROR(__xludf.DUMMYFUNCTION("""COMPUTED_VALUE"""),44641.6666666666)</f>
        <v>44641.666666666599</v>
      </c>
      <c r="B559" s="1">
        <f ca="1">IFERROR(__xludf.DUMMYFUNCTION("""COMPUTED_VALUE"""),165.38)</f>
        <v>165.38</v>
      </c>
      <c r="C559" s="1">
        <f ca="1">IFERROR(__xludf.DUMMYFUNCTION("""COMPUTED_VALUE"""),300.43)</f>
        <v>300.43</v>
      </c>
      <c r="D559" s="1">
        <f ca="1">IFERROR(__xludf.DUMMYFUNCTION("""COMPUTED_VALUE"""),161.25)</f>
        <v>161.25</v>
      </c>
      <c r="E559" s="1">
        <f ca="1">IFERROR(__xludf.DUMMYFUNCTION("""COMPUTED_VALUE"""),26.45)</f>
        <v>26.45</v>
      </c>
      <c r="F559" s="1">
        <f ca="1">IFERROR(__xludf.DUMMYFUNCTION("""COMPUTED_VALUE"""),216.49)</f>
        <v>216.49</v>
      </c>
      <c r="G559" s="1">
        <f ca="1">IFERROR(__xludf.DUMMYFUNCTION("""COMPUTED_VALUE"""),136.8)</f>
        <v>136.80000000000001</v>
      </c>
      <c r="H559" s="1">
        <f ca="1">IFERROR(__xludf.DUMMYFUNCTION("""COMPUTED_VALUE"""),301.8)</f>
        <v>301.8</v>
      </c>
      <c r="I559" s="1">
        <f ca="1">IFERROR(__xludf.DUMMYFUNCTION("""COMPUTED_VALUE"""),162.79)</f>
        <v>162.79</v>
      </c>
      <c r="J559" s="1">
        <f ca="1">IFERROR(__xludf.DUMMYFUNCTION("""COMPUTED_VALUE"""),561.35)</f>
        <v>561.35</v>
      </c>
      <c r="K559" s="1">
        <f ca="1">IFERROR(__xludf.DUMMYFUNCTION("""COMPUTED_VALUE"""),61.04)</f>
        <v>61.04</v>
      </c>
      <c r="L559" s="1">
        <f ca="1">IFERROR(__xludf.DUMMYFUNCTION("""COMPUTED_VALUE"""),453.33)</f>
        <v>453.33</v>
      </c>
      <c r="M559" s="1">
        <f ca="1">IFERROR(__xludf.DUMMYFUNCTION("""COMPUTED_VALUE"""),380.6)</f>
        <v>380.6</v>
      </c>
    </row>
    <row r="560" spans="1:13" x14ac:dyDescent="0.25">
      <c r="A560" s="2">
        <f ca="1">IFERROR(__xludf.DUMMYFUNCTION("""COMPUTED_VALUE"""),44642.6666666666)</f>
        <v>44642.666666666599</v>
      </c>
      <c r="B560" s="1">
        <f ca="1">IFERROR(__xludf.DUMMYFUNCTION("""COMPUTED_VALUE"""),168.82)</f>
        <v>168.82</v>
      </c>
      <c r="C560" s="1">
        <f ca="1">IFERROR(__xludf.DUMMYFUNCTION("""COMPUTED_VALUE"""),299.16)</f>
        <v>299.16000000000003</v>
      </c>
      <c r="D560" s="1">
        <f ca="1">IFERROR(__xludf.DUMMYFUNCTION("""COMPUTED_VALUE"""),161.49)</f>
        <v>161.49</v>
      </c>
      <c r="E560" s="1">
        <f ca="1">IFERROR(__xludf.DUMMYFUNCTION("""COMPUTED_VALUE"""),26.73)</f>
        <v>26.73</v>
      </c>
      <c r="F560" s="1">
        <f ca="1">IFERROR(__xludf.DUMMYFUNCTION("""COMPUTED_VALUE"""),211.49)</f>
        <v>211.49</v>
      </c>
      <c r="G560" s="1">
        <f ca="1">IFERROR(__xludf.DUMMYFUNCTION("""COMPUTED_VALUE"""),136.48)</f>
        <v>136.47999999999999</v>
      </c>
      <c r="H560" s="1">
        <f ca="1">IFERROR(__xludf.DUMMYFUNCTION("""COMPUTED_VALUE"""),307.05)</f>
        <v>307.05</v>
      </c>
      <c r="I560" s="1">
        <f ca="1">IFERROR(__xludf.DUMMYFUNCTION("""COMPUTED_VALUE"""),162.56)</f>
        <v>162.56</v>
      </c>
      <c r="J560" s="1">
        <f ca="1">IFERROR(__xludf.DUMMYFUNCTION("""COMPUTED_VALUE"""),555.53)</f>
        <v>555.53</v>
      </c>
      <c r="K560" s="1">
        <f ca="1">IFERROR(__xludf.DUMMYFUNCTION("""COMPUTED_VALUE"""),60.13)</f>
        <v>60.13</v>
      </c>
      <c r="L560" s="1">
        <f ca="1">IFERROR(__xludf.DUMMYFUNCTION("""COMPUTED_VALUE"""),453.59)</f>
        <v>453.59</v>
      </c>
      <c r="M560" s="1">
        <f ca="1">IFERROR(__xludf.DUMMYFUNCTION("""COMPUTED_VALUE"""),374.59)</f>
        <v>374.59</v>
      </c>
    </row>
    <row r="561" spans="1:13" x14ac:dyDescent="0.25">
      <c r="A561" s="2">
        <f ca="1">IFERROR(__xludf.DUMMYFUNCTION("""COMPUTED_VALUE"""),44643.6666666666)</f>
        <v>44643.666666666599</v>
      </c>
      <c r="B561" s="1">
        <f ca="1">IFERROR(__xludf.DUMMYFUNCTION("""COMPUTED_VALUE"""),170.21)</f>
        <v>170.21</v>
      </c>
      <c r="C561" s="1">
        <f ca="1">IFERROR(__xludf.DUMMYFUNCTION("""COMPUTED_VALUE"""),304.06)</f>
        <v>304.06</v>
      </c>
      <c r="D561" s="1">
        <f ca="1">IFERROR(__xludf.DUMMYFUNCTION("""COMPUTED_VALUE"""),164.89)</f>
        <v>164.89</v>
      </c>
      <c r="E561" s="1">
        <f ca="1">IFERROR(__xludf.DUMMYFUNCTION("""COMPUTED_VALUE"""),26.52)</f>
        <v>26.52</v>
      </c>
      <c r="F561" s="1">
        <f ca="1">IFERROR(__xludf.DUMMYFUNCTION("""COMPUTED_VALUE"""),216.65)</f>
        <v>216.65</v>
      </c>
      <c r="G561" s="1">
        <f ca="1">IFERROR(__xludf.DUMMYFUNCTION("""COMPUTED_VALUE"""),140.28)</f>
        <v>140.28</v>
      </c>
      <c r="H561" s="1">
        <f ca="1">IFERROR(__xludf.DUMMYFUNCTION("""COMPUTED_VALUE"""),331.33)</f>
        <v>331.33</v>
      </c>
      <c r="I561" s="1">
        <f ca="1">IFERROR(__xludf.DUMMYFUNCTION("""COMPUTED_VALUE"""),164.34)</f>
        <v>164.34</v>
      </c>
      <c r="J561" s="1">
        <f ca="1">IFERROR(__xludf.DUMMYFUNCTION("""COMPUTED_VALUE"""),559.42)</f>
        <v>559.41999999999996</v>
      </c>
      <c r="K561" s="1">
        <f ca="1">IFERROR(__xludf.DUMMYFUNCTION("""COMPUTED_VALUE"""),61.13)</f>
        <v>61.13</v>
      </c>
      <c r="L561" s="1">
        <f ca="1">IFERROR(__xludf.DUMMYFUNCTION("""COMPUTED_VALUE"""),466.45)</f>
        <v>466.45</v>
      </c>
      <c r="M561" s="1">
        <f ca="1">IFERROR(__xludf.DUMMYFUNCTION("""COMPUTED_VALUE"""),382.92)</f>
        <v>382.92</v>
      </c>
    </row>
    <row r="562" spans="1:13" x14ac:dyDescent="0.25">
      <c r="A562" s="2">
        <f ca="1">IFERROR(__xludf.DUMMYFUNCTION("""COMPUTED_VALUE"""),44644.6666666666)</f>
        <v>44644.666666666599</v>
      </c>
      <c r="B562" s="1">
        <f ca="1">IFERROR(__xludf.DUMMYFUNCTION("""COMPUTED_VALUE"""),174.07)</f>
        <v>174.07</v>
      </c>
      <c r="C562" s="1">
        <f ca="1">IFERROR(__xludf.DUMMYFUNCTION("""COMPUTED_VALUE"""),299.49)</f>
        <v>299.49</v>
      </c>
      <c r="D562" s="1">
        <f ca="1">IFERROR(__xludf.DUMMYFUNCTION("""COMPUTED_VALUE"""),163.41)</f>
        <v>163.41</v>
      </c>
      <c r="E562" s="1">
        <f ca="1">IFERROR(__xludf.DUMMYFUNCTION("""COMPUTED_VALUE"""),25.63)</f>
        <v>25.63</v>
      </c>
      <c r="F562" s="1">
        <f ca="1">IFERROR(__xludf.DUMMYFUNCTION("""COMPUTED_VALUE"""),213.46)</f>
        <v>213.46</v>
      </c>
      <c r="G562" s="1">
        <f ca="1">IFERROR(__xludf.DUMMYFUNCTION("""COMPUTED_VALUE"""),138.5)</f>
        <v>138.5</v>
      </c>
      <c r="H562" s="1">
        <f ca="1">IFERROR(__xludf.DUMMYFUNCTION("""COMPUTED_VALUE"""),333.04)</f>
        <v>333.04</v>
      </c>
      <c r="I562" s="1">
        <f ca="1">IFERROR(__xludf.DUMMYFUNCTION("""COMPUTED_VALUE"""),163.48)</f>
        <v>163.47999999999999</v>
      </c>
      <c r="J562" s="1">
        <f ca="1">IFERROR(__xludf.DUMMYFUNCTION("""COMPUTED_VALUE"""),554.02)</f>
        <v>554.02</v>
      </c>
      <c r="K562" s="1">
        <f ca="1">IFERROR(__xludf.DUMMYFUNCTION("""COMPUTED_VALUE"""),59.94)</f>
        <v>59.94</v>
      </c>
      <c r="L562" s="1">
        <f ca="1">IFERROR(__xludf.DUMMYFUNCTION("""COMPUTED_VALUE"""),422.9)</f>
        <v>422.9</v>
      </c>
      <c r="M562" s="1">
        <f ca="1">IFERROR(__xludf.DUMMYFUNCTION("""COMPUTED_VALUE"""),374.49)</f>
        <v>374.49</v>
      </c>
    </row>
    <row r="563" spans="1:13" x14ac:dyDescent="0.25">
      <c r="A563" s="2">
        <f ca="1">IFERROR(__xludf.DUMMYFUNCTION("""COMPUTED_VALUE"""),44645.6666666666)</f>
        <v>44645.666666666599</v>
      </c>
      <c r="B563" s="1">
        <f ca="1">IFERROR(__xludf.DUMMYFUNCTION("""COMPUTED_VALUE"""),174.72)</f>
        <v>174.72</v>
      </c>
      <c r="C563" s="1">
        <f ca="1">IFERROR(__xludf.DUMMYFUNCTION("""COMPUTED_VALUE"""),304.1)</f>
        <v>304.10000000000002</v>
      </c>
      <c r="D563" s="1">
        <f ca="1">IFERROR(__xludf.DUMMYFUNCTION("""COMPUTED_VALUE"""),163.65)</f>
        <v>163.65</v>
      </c>
      <c r="E563" s="1">
        <f ca="1">IFERROR(__xludf.DUMMYFUNCTION("""COMPUTED_VALUE"""),28.15)</f>
        <v>28.15</v>
      </c>
      <c r="F563" s="1">
        <f ca="1">IFERROR(__xludf.DUMMYFUNCTION("""COMPUTED_VALUE"""),219.57)</f>
        <v>219.57</v>
      </c>
      <c r="G563" s="1">
        <f ca="1">IFERROR(__xludf.DUMMYFUNCTION("""COMPUTED_VALUE"""),141.31)</f>
        <v>141.31</v>
      </c>
      <c r="H563" s="1">
        <f ca="1">IFERROR(__xludf.DUMMYFUNCTION("""COMPUTED_VALUE"""),337.97)</f>
        <v>337.97</v>
      </c>
      <c r="I563" s="1">
        <f ca="1">IFERROR(__xludf.DUMMYFUNCTION("""COMPUTED_VALUE"""),164.47)</f>
        <v>164.47</v>
      </c>
      <c r="J563" s="1">
        <f ca="1">IFERROR(__xludf.DUMMYFUNCTION("""COMPUTED_VALUE"""),558.11)</f>
        <v>558.11</v>
      </c>
      <c r="K563" s="1">
        <f ca="1">IFERROR(__xludf.DUMMYFUNCTION("""COMPUTED_VALUE"""),62.64)</f>
        <v>62.64</v>
      </c>
      <c r="L563" s="1">
        <f ca="1">IFERROR(__xludf.DUMMYFUNCTION("""COMPUTED_VALUE"""),432.14)</f>
        <v>432.14</v>
      </c>
      <c r="M563" s="1">
        <f ca="1">IFERROR(__xludf.DUMMYFUNCTION("""COMPUTED_VALUE"""),375.71)</f>
        <v>375.71</v>
      </c>
    </row>
    <row r="564" spans="1:13" x14ac:dyDescent="0.25">
      <c r="A564" s="2">
        <f ca="1">IFERROR(__xludf.DUMMYFUNCTION("""COMPUTED_VALUE"""),44648.6666666666)</f>
        <v>44648.666666666599</v>
      </c>
      <c r="B564" s="1">
        <f ca="1">IFERROR(__xludf.DUMMYFUNCTION("""COMPUTED_VALUE"""),175.6)</f>
        <v>175.6</v>
      </c>
      <c r="C564" s="1">
        <f ca="1">IFERROR(__xludf.DUMMYFUNCTION("""COMPUTED_VALUE"""),303.68)</f>
        <v>303.68</v>
      </c>
      <c r="D564" s="1">
        <f ca="1">IFERROR(__xludf.DUMMYFUNCTION("""COMPUTED_VALUE"""),164.77)</f>
        <v>164.77</v>
      </c>
      <c r="E564" s="1">
        <f ca="1">IFERROR(__xludf.DUMMYFUNCTION("""COMPUTED_VALUE"""),27.69)</f>
        <v>27.69</v>
      </c>
      <c r="F564" s="1">
        <f ca="1">IFERROR(__xludf.DUMMYFUNCTION("""COMPUTED_VALUE"""),221.82)</f>
        <v>221.82</v>
      </c>
      <c r="G564" s="1">
        <f ca="1">IFERROR(__xludf.DUMMYFUNCTION("""COMPUTED_VALUE"""),141.52)</f>
        <v>141.52000000000001</v>
      </c>
      <c r="H564" s="1">
        <f ca="1">IFERROR(__xludf.DUMMYFUNCTION("""COMPUTED_VALUE"""),336.88)</f>
        <v>336.88</v>
      </c>
      <c r="I564" s="1">
        <f ca="1">IFERROR(__xludf.DUMMYFUNCTION("""COMPUTED_VALUE"""),165.24)</f>
        <v>165.24</v>
      </c>
      <c r="J564" s="1">
        <f ca="1">IFERROR(__xludf.DUMMYFUNCTION("""COMPUTED_VALUE"""),555.71)</f>
        <v>555.71</v>
      </c>
      <c r="K564" s="1">
        <f ca="1">IFERROR(__xludf.DUMMYFUNCTION("""COMPUTED_VALUE"""),62.89)</f>
        <v>62.89</v>
      </c>
      <c r="L564" s="1">
        <f ca="1">IFERROR(__xludf.DUMMYFUNCTION("""COMPUTED_VALUE"""),431.62)</f>
        <v>431.62</v>
      </c>
      <c r="M564" s="1">
        <f ca="1">IFERROR(__xludf.DUMMYFUNCTION("""COMPUTED_VALUE"""),373.85)</f>
        <v>373.85</v>
      </c>
    </row>
    <row r="565" spans="1:13" x14ac:dyDescent="0.25">
      <c r="A565" s="2">
        <f ca="1">IFERROR(__xludf.DUMMYFUNCTION("""COMPUTED_VALUE"""),44649.6666666666)</f>
        <v>44649.666666666599</v>
      </c>
      <c r="B565" s="1">
        <f ca="1">IFERROR(__xludf.DUMMYFUNCTION("""COMPUTED_VALUE"""),178.96)</f>
        <v>178.96</v>
      </c>
      <c r="C565" s="1">
        <f ca="1">IFERROR(__xludf.DUMMYFUNCTION("""COMPUTED_VALUE"""),310.7)</f>
        <v>310.7</v>
      </c>
      <c r="D565" s="1">
        <f ca="1">IFERROR(__xludf.DUMMYFUNCTION("""COMPUTED_VALUE"""),168.99)</f>
        <v>168.99</v>
      </c>
      <c r="E565" s="1">
        <f ca="1">IFERROR(__xludf.DUMMYFUNCTION("""COMPUTED_VALUE"""),28.22)</f>
        <v>28.22</v>
      </c>
      <c r="F565" s="1">
        <f ca="1">IFERROR(__xludf.DUMMYFUNCTION("""COMPUTED_VALUE"""),223.59)</f>
        <v>223.59</v>
      </c>
      <c r="G565" s="1">
        <f ca="1">IFERROR(__xludf.DUMMYFUNCTION("""COMPUTED_VALUE"""),141.95)</f>
        <v>141.94999999999999</v>
      </c>
      <c r="H565" s="1">
        <f ca="1">IFERROR(__xludf.DUMMYFUNCTION("""COMPUTED_VALUE"""),363.95)</f>
        <v>363.95</v>
      </c>
      <c r="I565" s="1">
        <f ca="1">IFERROR(__xludf.DUMMYFUNCTION("""COMPUTED_VALUE"""),165.73)</f>
        <v>165.73</v>
      </c>
      <c r="J565" s="1">
        <f ca="1">IFERROR(__xludf.DUMMYFUNCTION("""COMPUTED_VALUE"""),565.21)</f>
        <v>565.21</v>
      </c>
      <c r="K565" s="1">
        <f ca="1">IFERROR(__xludf.DUMMYFUNCTION("""COMPUTED_VALUE"""),63.29)</f>
        <v>63.29</v>
      </c>
      <c r="L565" s="1">
        <f ca="1">IFERROR(__xludf.DUMMYFUNCTION("""COMPUTED_VALUE"""),450.01)</f>
        <v>450.01</v>
      </c>
      <c r="M565" s="1">
        <f ca="1">IFERROR(__xludf.DUMMYFUNCTION("""COMPUTED_VALUE"""),378.51)</f>
        <v>378.51</v>
      </c>
    </row>
    <row r="566" spans="1:13" x14ac:dyDescent="0.25">
      <c r="A566" s="2">
        <f ca="1">IFERROR(__xludf.DUMMYFUNCTION("""COMPUTED_VALUE"""),44650.6666666666)</f>
        <v>44650.666666666599</v>
      </c>
      <c r="B566" s="1">
        <f ca="1">IFERROR(__xludf.DUMMYFUNCTION("""COMPUTED_VALUE"""),177.77)</f>
        <v>177.77</v>
      </c>
      <c r="C566" s="1">
        <f ca="1">IFERROR(__xludf.DUMMYFUNCTION("""COMPUTED_VALUE"""),315.41)</f>
        <v>315.41000000000003</v>
      </c>
      <c r="D566" s="1">
        <f ca="1">IFERROR(__xludf.DUMMYFUNCTION("""COMPUTED_VALUE"""),169.32)</f>
        <v>169.32</v>
      </c>
      <c r="E566" s="1">
        <f ca="1">IFERROR(__xludf.DUMMYFUNCTION("""COMPUTED_VALUE"""),28.66)</f>
        <v>28.66</v>
      </c>
      <c r="F566" s="1">
        <f ca="1">IFERROR(__xludf.DUMMYFUNCTION("""COMPUTED_VALUE"""),229.86)</f>
        <v>229.86</v>
      </c>
      <c r="G566" s="1">
        <f ca="1">IFERROR(__xludf.DUMMYFUNCTION("""COMPUTED_VALUE"""),143.25)</f>
        <v>143.25</v>
      </c>
      <c r="H566" s="1">
        <f ca="1">IFERROR(__xludf.DUMMYFUNCTION("""COMPUTED_VALUE"""),366.52)</f>
        <v>366.52</v>
      </c>
      <c r="I566" s="1">
        <f ca="1">IFERROR(__xludf.DUMMYFUNCTION("""COMPUTED_VALUE"""),168.19)</f>
        <v>168.19</v>
      </c>
      <c r="J566" s="1">
        <f ca="1">IFERROR(__xludf.DUMMYFUNCTION("""COMPUTED_VALUE"""),569.98)</f>
        <v>569.98</v>
      </c>
      <c r="K566" s="1">
        <f ca="1">IFERROR(__xludf.DUMMYFUNCTION("""COMPUTED_VALUE"""),64.15)</f>
        <v>64.150000000000006</v>
      </c>
      <c r="L566" s="1">
        <f ca="1">IFERROR(__xludf.DUMMYFUNCTION("""COMPUTED_VALUE"""),466.33)</f>
        <v>466.33</v>
      </c>
      <c r="M566" s="1">
        <f ca="1">IFERROR(__xludf.DUMMYFUNCTION("""COMPUTED_VALUE"""),391.82)</f>
        <v>391.82</v>
      </c>
    </row>
    <row r="567" spans="1:13" x14ac:dyDescent="0.25">
      <c r="A567" s="2">
        <f ca="1">IFERROR(__xludf.DUMMYFUNCTION("""COMPUTED_VALUE"""),44651.6666666666)</f>
        <v>44651.666666666599</v>
      </c>
      <c r="B567" s="1">
        <f ca="1">IFERROR(__xludf.DUMMYFUNCTION("""COMPUTED_VALUE"""),174.61)</f>
        <v>174.61</v>
      </c>
      <c r="C567" s="1">
        <f ca="1">IFERROR(__xludf.DUMMYFUNCTION("""COMPUTED_VALUE"""),313.86)</f>
        <v>313.86</v>
      </c>
      <c r="D567" s="1">
        <f ca="1">IFERROR(__xludf.DUMMYFUNCTION("""COMPUTED_VALUE"""),166.3)</f>
        <v>166.3</v>
      </c>
      <c r="E567" s="1">
        <f ca="1">IFERROR(__xludf.DUMMYFUNCTION("""COMPUTED_VALUE"""),27.69)</f>
        <v>27.69</v>
      </c>
      <c r="F567" s="1">
        <f ca="1">IFERROR(__xludf.DUMMYFUNCTION("""COMPUTED_VALUE"""),227.85)</f>
        <v>227.85</v>
      </c>
      <c r="G567" s="1">
        <f ca="1">IFERROR(__xludf.DUMMYFUNCTION("""COMPUTED_VALUE"""),142.64)</f>
        <v>142.63999999999999</v>
      </c>
      <c r="H567" s="1">
        <f ca="1">IFERROR(__xludf.DUMMYFUNCTION("""COMPUTED_VALUE"""),364.66)</f>
        <v>364.66</v>
      </c>
      <c r="I567" s="1">
        <f ca="1">IFERROR(__xludf.DUMMYFUNCTION("""COMPUTED_VALUE"""),167.96)</f>
        <v>167.96</v>
      </c>
      <c r="J567" s="1">
        <f ca="1">IFERROR(__xludf.DUMMYFUNCTION("""COMPUTED_VALUE"""),576.47)</f>
        <v>576.47</v>
      </c>
      <c r="K567" s="1">
        <f ca="1">IFERROR(__xludf.DUMMYFUNCTION("""COMPUTED_VALUE"""),63.11)</f>
        <v>63.11</v>
      </c>
      <c r="L567" s="1">
        <f ca="1">IFERROR(__xludf.DUMMYFUNCTION("""COMPUTED_VALUE"""),460.06)</f>
        <v>460.06</v>
      </c>
      <c r="M567" s="1">
        <f ca="1">IFERROR(__xludf.DUMMYFUNCTION("""COMPUTED_VALUE"""),381.47)</f>
        <v>381.47</v>
      </c>
    </row>
    <row r="568" spans="1:13" x14ac:dyDescent="0.25">
      <c r="A568" s="2">
        <f ca="1">IFERROR(__xludf.DUMMYFUNCTION("""COMPUTED_VALUE"""),44652.6666666666)</f>
        <v>44652.666666666599</v>
      </c>
      <c r="B568" s="1">
        <f ca="1">IFERROR(__xludf.DUMMYFUNCTION("""COMPUTED_VALUE"""),174.31)</f>
        <v>174.31</v>
      </c>
      <c r="C568" s="1">
        <f ca="1">IFERROR(__xludf.DUMMYFUNCTION("""COMPUTED_VALUE"""),308.31)</f>
        <v>308.31</v>
      </c>
      <c r="D568" s="1">
        <f ca="1">IFERROR(__xludf.DUMMYFUNCTION("""COMPUTED_VALUE"""),163)</f>
        <v>163</v>
      </c>
      <c r="E568" s="1">
        <f ca="1">IFERROR(__xludf.DUMMYFUNCTION("""COMPUTED_VALUE"""),27.29)</f>
        <v>27.29</v>
      </c>
      <c r="F568" s="1">
        <f ca="1">IFERROR(__xludf.DUMMYFUNCTION("""COMPUTED_VALUE"""),222.36)</f>
        <v>222.36</v>
      </c>
      <c r="G568" s="1">
        <f ca="1">IFERROR(__xludf.DUMMYFUNCTION("""COMPUTED_VALUE"""),139.65)</f>
        <v>139.65</v>
      </c>
      <c r="H568" s="1">
        <f ca="1">IFERROR(__xludf.DUMMYFUNCTION("""COMPUTED_VALUE"""),359.2)</f>
        <v>359.2</v>
      </c>
      <c r="I568" s="1">
        <f ca="1">IFERROR(__xludf.DUMMYFUNCTION("""COMPUTED_VALUE"""),167.38)</f>
        <v>167.38</v>
      </c>
      <c r="J568" s="1">
        <f ca="1">IFERROR(__xludf.DUMMYFUNCTION("""COMPUTED_VALUE"""),575.85)</f>
        <v>575.85</v>
      </c>
      <c r="K568" s="1">
        <f ca="1">IFERROR(__xludf.DUMMYFUNCTION("""COMPUTED_VALUE"""),62.97)</f>
        <v>62.97</v>
      </c>
      <c r="L568" s="1">
        <f ca="1">IFERROR(__xludf.DUMMYFUNCTION("""COMPUTED_VALUE"""),455.62)</f>
        <v>455.62</v>
      </c>
      <c r="M568" s="1">
        <f ca="1">IFERROR(__xludf.DUMMYFUNCTION("""COMPUTED_VALUE"""),374.59)</f>
        <v>374.59</v>
      </c>
    </row>
    <row r="569" spans="1:13" x14ac:dyDescent="0.25">
      <c r="A569" s="2">
        <f ca="1">IFERROR(__xludf.DUMMYFUNCTION("""COMPUTED_VALUE"""),44655.6666666666)</f>
        <v>44655.666666666599</v>
      </c>
      <c r="B569" s="1">
        <f ca="1">IFERROR(__xludf.DUMMYFUNCTION("""COMPUTED_VALUE"""),178.44)</f>
        <v>178.44</v>
      </c>
      <c r="C569" s="1">
        <f ca="1">IFERROR(__xludf.DUMMYFUNCTION("""COMPUTED_VALUE"""),309.42)</f>
        <v>309.42</v>
      </c>
      <c r="D569" s="1">
        <f ca="1">IFERROR(__xludf.DUMMYFUNCTION("""COMPUTED_VALUE"""),163.56)</f>
        <v>163.56</v>
      </c>
      <c r="E569" s="1">
        <f ca="1">IFERROR(__xludf.DUMMYFUNCTION("""COMPUTED_VALUE"""),26.71)</f>
        <v>26.71</v>
      </c>
      <c r="F569" s="1">
        <f ca="1">IFERROR(__xludf.DUMMYFUNCTION("""COMPUTED_VALUE"""),224.85)</f>
        <v>224.85</v>
      </c>
      <c r="G569" s="1">
        <f ca="1">IFERROR(__xludf.DUMMYFUNCTION("""COMPUTED_VALUE"""),140.7)</f>
        <v>140.69999999999999</v>
      </c>
      <c r="H569" s="1">
        <f ca="1">IFERROR(__xludf.DUMMYFUNCTION("""COMPUTED_VALUE"""),361.53)</f>
        <v>361.53</v>
      </c>
      <c r="I569" s="1">
        <f ca="1">IFERROR(__xludf.DUMMYFUNCTION("""COMPUTED_VALUE"""),169.76)</f>
        <v>169.76</v>
      </c>
      <c r="J569" s="1">
        <f ca="1">IFERROR(__xludf.DUMMYFUNCTION("""COMPUTED_VALUE"""),575.57)</f>
        <v>575.57000000000005</v>
      </c>
      <c r="K569" s="1">
        <f ca="1">IFERROR(__xludf.DUMMYFUNCTION("""COMPUTED_VALUE"""),62.7)</f>
        <v>62.7</v>
      </c>
      <c r="L569" s="1">
        <f ca="1">IFERROR(__xludf.DUMMYFUNCTION("""COMPUTED_VALUE"""),458.19)</f>
        <v>458.19</v>
      </c>
      <c r="M569" s="1">
        <f ca="1">IFERROR(__xludf.DUMMYFUNCTION("""COMPUTED_VALUE"""),373.47)</f>
        <v>373.47</v>
      </c>
    </row>
    <row r="570" spans="1:13" x14ac:dyDescent="0.25">
      <c r="A570" s="2">
        <f ca="1">IFERROR(__xludf.DUMMYFUNCTION("""COMPUTED_VALUE"""),44656.6666666666)</f>
        <v>44656.666666666599</v>
      </c>
      <c r="B570" s="1">
        <f ca="1">IFERROR(__xludf.DUMMYFUNCTION("""COMPUTED_VALUE"""),175.06)</f>
        <v>175.06</v>
      </c>
      <c r="C570" s="1">
        <f ca="1">IFERROR(__xludf.DUMMYFUNCTION("""COMPUTED_VALUE"""),314.97)</f>
        <v>314.97000000000003</v>
      </c>
      <c r="D570" s="1">
        <f ca="1">IFERROR(__xludf.DUMMYFUNCTION("""COMPUTED_VALUE"""),168.35)</f>
        <v>168.35</v>
      </c>
      <c r="E570" s="1">
        <f ca="1">IFERROR(__xludf.DUMMYFUNCTION("""COMPUTED_VALUE"""),27.36)</f>
        <v>27.36</v>
      </c>
      <c r="F570" s="1">
        <f ca="1">IFERROR(__xludf.DUMMYFUNCTION("""COMPUTED_VALUE"""),233.89)</f>
        <v>233.89</v>
      </c>
      <c r="G570" s="1">
        <f ca="1">IFERROR(__xludf.DUMMYFUNCTION("""COMPUTED_VALUE"""),143.64)</f>
        <v>143.63999999999999</v>
      </c>
      <c r="H570" s="1">
        <f ca="1">IFERROR(__xludf.DUMMYFUNCTION("""COMPUTED_VALUE"""),381.82)</f>
        <v>381.82</v>
      </c>
      <c r="I570" s="1">
        <f ca="1">IFERROR(__xludf.DUMMYFUNCTION("""COMPUTED_VALUE"""),169.32)</f>
        <v>169.32</v>
      </c>
      <c r="J570" s="1">
        <f ca="1">IFERROR(__xludf.DUMMYFUNCTION("""COMPUTED_VALUE"""),575.13)</f>
        <v>575.13</v>
      </c>
      <c r="K570" s="1">
        <f ca="1">IFERROR(__xludf.DUMMYFUNCTION("""COMPUTED_VALUE"""),63.49)</f>
        <v>63.49</v>
      </c>
      <c r="L570" s="1">
        <f ca="1">IFERROR(__xludf.DUMMYFUNCTION("""COMPUTED_VALUE"""),468.81)</f>
        <v>468.81</v>
      </c>
      <c r="M570" s="1">
        <f ca="1">IFERROR(__xludf.DUMMYFUNCTION("""COMPUTED_VALUE"""),391.5)</f>
        <v>391.5</v>
      </c>
    </row>
    <row r="571" spans="1:13" x14ac:dyDescent="0.25">
      <c r="A571" s="2">
        <f ca="1">IFERROR(__xludf.DUMMYFUNCTION("""COMPUTED_VALUE"""),44657.6666666666)</f>
        <v>44657.666666666599</v>
      </c>
      <c r="B571" s="1">
        <f ca="1">IFERROR(__xludf.DUMMYFUNCTION("""COMPUTED_VALUE"""),171.83)</f>
        <v>171.83</v>
      </c>
      <c r="C571" s="1">
        <f ca="1">IFERROR(__xludf.DUMMYFUNCTION("""COMPUTED_VALUE"""),310.88)</f>
        <v>310.88</v>
      </c>
      <c r="D571" s="1">
        <f ca="1">IFERROR(__xludf.DUMMYFUNCTION("""COMPUTED_VALUE"""),164.06)</f>
        <v>164.06</v>
      </c>
      <c r="E571" s="1">
        <f ca="1">IFERROR(__xludf.DUMMYFUNCTION("""COMPUTED_VALUE"""),25.93)</f>
        <v>25.93</v>
      </c>
      <c r="F571" s="1">
        <f ca="1">IFERROR(__xludf.DUMMYFUNCTION("""COMPUTED_VALUE"""),231.84)</f>
        <v>231.84</v>
      </c>
      <c r="G571" s="1">
        <f ca="1">IFERROR(__xludf.DUMMYFUNCTION("""COMPUTED_VALUE"""),141.06)</f>
        <v>141.06</v>
      </c>
      <c r="H571" s="1">
        <f ca="1">IFERROR(__xludf.DUMMYFUNCTION("""COMPUTED_VALUE"""),363.75)</f>
        <v>363.75</v>
      </c>
      <c r="I571" s="1">
        <f ca="1">IFERROR(__xludf.DUMMYFUNCTION("""COMPUTED_VALUE"""),169.5)</f>
        <v>169.5</v>
      </c>
      <c r="J571" s="1">
        <f ca="1">IFERROR(__xludf.DUMMYFUNCTION("""COMPUTED_VALUE"""),575.32)</f>
        <v>575.32000000000005</v>
      </c>
      <c r="K571" s="1">
        <f ca="1">IFERROR(__xludf.DUMMYFUNCTION("""COMPUTED_VALUE"""),61.41)</f>
        <v>61.41</v>
      </c>
      <c r="L571" s="1">
        <f ca="1">IFERROR(__xludf.DUMMYFUNCTION("""COMPUTED_VALUE"""),458.58)</f>
        <v>458.58</v>
      </c>
      <c r="M571" s="1">
        <f ca="1">IFERROR(__xludf.DUMMYFUNCTION("""COMPUTED_VALUE"""),380.15)</f>
        <v>380.15</v>
      </c>
    </row>
    <row r="572" spans="1:13" x14ac:dyDescent="0.25">
      <c r="A572" s="2">
        <f ca="1">IFERROR(__xludf.DUMMYFUNCTION("""COMPUTED_VALUE"""),44658.6666666666)</f>
        <v>44658.666666666599</v>
      </c>
      <c r="B572" s="1">
        <f ca="1">IFERROR(__xludf.DUMMYFUNCTION("""COMPUTED_VALUE"""),172.14)</f>
        <v>172.14</v>
      </c>
      <c r="C572" s="1">
        <f ca="1">IFERROR(__xludf.DUMMYFUNCTION("""COMPUTED_VALUE"""),299.5)</f>
        <v>299.5</v>
      </c>
      <c r="D572" s="1">
        <f ca="1">IFERROR(__xludf.DUMMYFUNCTION("""COMPUTED_VALUE"""),158.76)</f>
        <v>158.76</v>
      </c>
      <c r="E572" s="1">
        <f ca="1">IFERROR(__xludf.DUMMYFUNCTION("""COMPUTED_VALUE"""),24.41)</f>
        <v>24.41</v>
      </c>
      <c r="F572" s="1">
        <f ca="1">IFERROR(__xludf.DUMMYFUNCTION("""COMPUTED_VALUE"""),223.3)</f>
        <v>223.3</v>
      </c>
      <c r="G572" s="1">
        <f ca="1">IFERROR(__xludf.DUMMYFUNCTION("""COMPUTED_VALUE"""),137.18)</f>
        <v>137.18</v>
      </c>
      <c r="H572" s="1">
        <f ca="1">IFERROR(__xludf.DUMMYFUNCTION("""COMPUTED_VALUE"""),348.59)</f>
        <v>348.59</v>
      </c>
      <c r="I572" s="1">
        <f ca="1">IFERROR(__xludf.DUMMYFUNCTION("""COMPUTED_VALUE"""),172.39)</f>
        <v>172.39</v>
      </c>
      <c r="J572" s="1">
        <f ca="1">IFERROR(__xludf.DUMMYFUNCTION("""COMPUTED_VALUE"""),584.79)</f>
        <v>584.79</v>
      </c>
      <c r="K572" s="1">
        <f ca="1">IFERROR(__xludf.DUMMYFUNCTION("""COMPUTED_VALUE"""),60.2)</f>
        <v>60.2</v>
      </c>
      <c r="L572" s="1">
        <f ca="1">IFERROR(__xludf.DUMMYFUNCTION("""COMPUTED_VALUE"""),444.33)</f>
        <v>444.33</v>
      </c>
      <c r="M572" s="1">
        <f ca="1">IFERROR(__xludf.DUMMYFUNCTION("""COMPUTED_VALUE"""),368.35)</f>
        <v>368.35</v>
      </c>
    </row>
    <row r="573" spans="1:13" x14ac:dyDescent="0.25">
      <c r="A573" s="2">
        <f ca="1">IFERROR(__xludf.DUMMYFUNCTION("""COMPUTED_VALUE"""),44659.6666666666)</f>
        <v>44659.666666666599</v>
      </c>
      <c r="B573" s="1">
        <f ca="1">IFERROR(__xludf.DUMMYFUNCTION("""COMPUTED_VALUE"""),170.09)</f>
        <v>170.09</v>
      </c>
      <c r="C573" s="1">
        <f ca="1">IFERROR(__xludf.DUMMYFUNCTION("""COMPUTED_VALUE"""),301.37)</f>
        <v>301.37</v>
      </c>
      <c r="D573" s="1">
        <f ca="1">IFERROR(__xludf.DUMMYFUNCTION("""COMPUTED_VALUE"""),157.78)</f>
        <v>157.78</v>
      </c>
      <c r="E573" s="1">
        <f ca="1">IFERROR(__xludf.DUMMYFUNCTION("""COMPUTED_VALUE"""),24.21)</f>
        <v>24.21</v>
      </c>
      <c r="F573" s="1">
        <f ca="1">IFERROR(__xludf.DUMMYFUNCTION("""COMPUTED_VALUE"""),222.95)</f>
        <v>222.95</v>
      </c>
      <c r="G573" s="1">
        <f ca="1">IFERROR(__xludf.DUMMYFUNCTION("""COMPUTED_VALUE"""),136.47)</f>
        <v>136.47</v>
      </c>
      <c r="H573" s="1">
        <f ca="1">IFERROR(__xludf.DUMMYFUNCTION("""COMPUTED_VALUE"""),352.42)</f>
        <v>352.42</v>
      </c>
      <c r="I573" s="1">
        <f ca="1">IFERROR(__xludf.DUMMYFUNCTION("""COMPUTED_VALUE"""),172.55)</f>
        <v>172.55</v>
      </c>
      <c r="J573" s="1">
        <f ca="1">IFERROR(__xludf.DUMMYFUNCTION("""COMPUTED_VALUE"""),608.05)</f>
        <v>608.04999999999995</v>
      </c>
      <c r="K573" s="1">
        <f ca="1">IFERROR(__xludf.DUMMYFUNCTION("""COMPUTED_VALUE"""),60.31)</f>
        <v>60.31</v>
      </c>
      <c r="L573" s="1">
        <f ca="1">IFERROR(__xludf.DUMMYFUNCTION("""COMPUTED_VALUE"""),452.72)</f>
        <v>452.72</v>
      </c>
      <c r="M573" s="1">
        <f ca="1">IFERROR(__xludf.DUMMYFUNCTION("""COMPUTED_VALUE"""),362.15)</f>
        <v>362.15</v>
      </c>
    </row>
    <row r="574" spans="1:13" x14ac:dyDescent="0.25">
      <c r="A574" s="2">
        <f ca="1">IFERROR(__xludf.DUMMYFUNCTION("""COMPUTED_VALUE"""),44662.6666666666)</f>
        <v>44662.666666666599</v>
      </c>
      <c r="B574" s="1">
        <f ca="1">IFERROR(__xludf.DUMMYFUNCTION("""COMPUTED_VALUE"""),165.75)</f>
        <v>165.75</v>
      </c>
      <c r="C574" s="1">
        <f ca="1">IFERROR(__xludf.DUMMYFUNCTION("""COMPUTED_VALUE"""),296.97)</f>
        <v>296.97000000000003</v>
      </c>
      <c r="D574" s="1">
        <f ca="1">IFERROR(__xludf.DUMMYFUNCTION("""COMPUTED_VALUE"""),154.46)</f>
        <v>154.46</v>
      </c>
      <c r="E574" s="1">
        <f ca="1">IFERROR(__xludf.DUMMYFUNCTION("""COMPUTED_VALUE"""),23.12)</f>
        <v>23.12</v>
      </c>
      <c r="F574" s="1">
        <f ca="1">IFERROR(__xludf.DUMMYFUNCTION("""COMPUTED_VALUE"""),222.33)</f>
        <v>222.33</v>
      </c>
      <c r="G574" s="1">
        <f ca="1">IFERROR(__xludf.DUMMYFUNCTION("""COMPUTED_VALUE"""),134.01)</f>
        <v>134.01</v>
      </c>
      <c r="H574" s="1">
        <f ca="1">IFERROR(__xludf.DUMMYFUNCTION("""COMPUTED_VALUE"""),341.83)</f>
        <v>341.83</v>
      </c>
      <c r="I574" s="1">
        <f ca="1">IFERROR(__xludf.DUMMYFUNCTION("""COMPUTED_VALUE"""),173.13)</f>
        <v>173.13</v>
      </c>
      <c r="J574" s="1">
        <f ca="1">IFERROR(__xludf.DUMMYFUNCTION("""COMPUTED_VALUE"""),600.04)</f>
        <v>600.04</v>
      </c>
      <c r="K574" s="1">
        <f ca="1">IFERROR(__xludf.DUMMYFUNCTION("""COMPUTED_VALUE"""),58.7)</f>
        <v>58.7</v>
      </c>
      <c r="L574" s="1">
        <f ca="1">IFERROR(__xludf.DUMMYFUNCTION("""COMPUTED_VALUE"""),445.34)</f>
        <v>445.34</v>
      </c>
      <c r="M574" s="1">
        <f ca="1">IFERROR(__xludf.DUMMYFUNCTION("""COMPUTED_VALUE"""),355.88)</f>
        <v>355.88</v>
      </c>
    </row>
    <row r="575" spans="1:13" x14ac:dyDescent="0.25">
      <c r="A575" s="2">
        <f ca="1">IFERROR(__xludf.DUMMYFUNCTION("""COMPUTED_VALUE"""),44663.6666666666)</f>
        <v>44663.666666666599</v>
      </c>
      <c r="B575" s="1">
        <f ca="1">IFERROR(__xludf.DUMMYFUNCTION("""COMPUTED_VALUE"""),167.66)</f>
        <v>167.66</v>
      </c>
      <c r="C575" s="1">
        <f ca="1">IFERROR(__xludf.DUMMYFUNCTION("""COMPUTED_VALUE"""),285.26)</f>
        <v>285.26</v>
      </c>
      <c r="D575" s="1">
        <f ca="1">IFERROR(__xludf.DUMMYFUNCTION("""COMPUTED_VALUE"""),151.12)</f>
        <v>151.12</v>
      </c>
      <c r="E575" s="1">
        <f ca="1">IFERROR(__xludf.DUMMYFUNCTION("""COMPUTED_VALUE"""),21.92)</f>
        <v>21.92</v>
      </c>
      <c r="F575" s="1">
        <f ca="1">IFERROR(__xludf.DUMMYFUNCTION("""COMPUTED_VALUE"""),216.46)</f>
        <v>216.46</v>
      </c>
      <c r="G575" s="1">
        <f ca="1">IFERROR(__xludf.DUMMYFUNCTION("""COMPUTED_VALUE"""),129.8)</f>
        <v>129.80000000000001</v>
      </c>
      <c r="H575" s="1">
        <f ca="1">IFERROR(__xludf.DUMMYFUNCTION("""COMPUTED_VALUE"""),325.31)</f>
        <v>325.31</v>
      </c>
      <c r="I575" s="1">
        <f ca="1">IFERROR(__xludf.DUMMYFUNCTION("""COMPUTED_VALUE"""),172.6)</f>
        <v>172.6</v>
      </c>
      <c r="J575" s="1">
        <f ca="1">IFERROR(__xludf.DUMMYFUNCTION("""COMPUTED_VALUE"""),584.67)</f>
        <v>584.66999999999996</v>
      </c>
      <c r="K575" s="1">
        <f ca="1">IFERROR(__xludf.DUMMYFUNCTION("""COMPUTED_VALUE"""),58.06)</f>
        <v>58.06</v>
      </c>
      <c r="L575" s="1">
        <f ca="1">IFERROR(__xludf.DUMMYFUNCTION("""COMPUTED_VALUE"""),434.44)</f>
        <v>434.44</v>
      </c>
      <c r="M575" s="1">
        <f ca="1">IFERROR(__xludf.DUMMYFUNCTION("""COMPUTED_VALUE"""),348)</f>
        <v>348</v>
      </c>
    </row>
    <row r="576" spans="1:13" x14ac:dyDescent="0.25">
      <c r="A576" s="2">
        <f ca="1">IFERROR(__xludf.DUMMYFUNCTION("""COMPUTED_VALUE"""),44664.6666666666)</f>
        <v>44664.666666666599</v>
      </c>
      <c r="B576" s="1">
        <f ca="1">IFERROR(__xludf.DUMMYFUNCTION("""COMPUTED_VALUE"""),170.4)</f>
        <v>170.4</v>
      </c>
      <c r="C576" s="1">
        <f ca="1">IFERROR(__xludf.DUMMYFUNCTION("""COMPUTED_VALUE"""),282.06)</f>
        <v>282.06</v>
      </c>
      <c r="D576" s="1">
        <f ca="1">IFERROR(__xludf.DUMMYFUNCTION("""COMPUTED_VALUE"""),150.79)</f>
        <v>150.79</v>
      </c>
      <c r="E576" s="1">
        <f ca="1">IFERROR(__xludf.DUMMYFUNCTION("""COMPUTED_VALUE"""),21.5)</f>
        <v>21.5</v>
      </c>
      <c r="F576" s="1">
        <f ca="1">IFERROR(__xludf.DUMMYFUNCTION("""COMPUTED_VALUE"""),214.14)</f>
        <v>214.14</v>
      </c>
      <c r="G576" s="1">
        <f ca="1">IFERROR(__xludf.DUMMYFUNCTION("""COMPUTED_VALUE"""),128.37)</f>
        <v>128.37</v>
      </c>
      <c r="H576" s="1">
        <f ca="1">IFERROR(__xludf.DUMMYFUNCTION("""COMPUTED_VALUE"""),328.98)</f>
        <v>328.98</v>
      </c>
      <c r="I576" s="1">
        <f ca="1">IFERROR(__xludf.DUMMYFUNCTION("""COMPUTED_VALUE"""),173.3)</f>
        <v>173.3</v>
      </c>
      <c r="J576" s="1">
        <f ca="1">IFERROR(__xludf.DUMMYFUNCTION("""COMPUTED_VALUE"""),581.36)</f>
        <v>581.36</v>
      </c>
      <c r="K576" s="1">
        <f ca="1">IFERROR(__xludf.DUMMYFUNCTION("""COMPUTED_VALUE"""),58.51)</f>
        <v>58.51</v>
      </c>
      <c r="L576" s="1">
        <f ca="1">IFERROR(__xludf.DUMMYFUNCTION("""COMPUTED_VALUE"""),426.77)</f>
        <v>426.77</v>
      </c>
      <c r="M576" s="1">
        <f ca="1">IFERROR(__xludf.DUMMYFUNCTION("""COMPUTED_VALUE"""),344.1)</f>
        <v>344.1</v>
      </c>
    </row>
    <row r="577" spans="1:13" x14ac:dyDescent="0.25">
      <c r="A577" s="2">
        <f ca="1">IFERROR(__xludf.DUMMYFUNCTION("""COMPUTED_VALUE"""),44665.6666666666)</f>
        <v>44665.666666666599</v>
      </c>
      <c r="B577" s="1">
        <f ca="1">IFERROR(__xludf.DUMMYFUNCTION("""COMPUTED_VALUE"""),165.29)</f>
        <v>165.29</v>
      </c>
      <c r="C577" s="1">
        <f ca="1">IFERROR(__xludf.DUMMYFUNCTION("""COMPUTED_VALUE"""),287.62)</f>
        <v>287.62</v>
      </c>
      <c r="D577" s="1">
        <f ca="1">IFERROR(__xludf.DUMMYFUNCTION("""COMPUTED_VALUE"""),155.54)</f>
        <v>155.54</v>
      </c>
      <c r="E577" s="1">
        <f ca="1">IFERROR(__xludf.DUMMYFUNCTION("""COMPUTED_VALUE"""),22.2)</f>
        <v>22.2</v>
      </c>
      <c r="F577" s="1">
        <f ca="1">IFERROR(__xludf.DUMMYFUNCTION("""COMPUTED_VALUE"""),214.99)</f>
        <v>214.99</v>
      </c>
      <c r="G577" s="1">
        <f ca="1">IFERROR(__xludf.DUMMYFUNCTION("""COMPUTED_VALUE"""),130.29)</f>
        <v>130.29</v>
      </c>
      <c r="H577" s="1">
        <f ca="1">IFERROR(__xludf.DUMMYFUNCTION("""COMPUTED_VALUE"""),340.79)</f>
        <v>340.79</v>
      </c>
      <c r="I577" s="1">
        <f ca="1">IFERROR(__xludf.DUMMYFUNCTION("""COMPUTED_VALUE"""),173)</f>
        <v>173</v>
      </c>
      <c r="J577" s="1">
        <f ca="1">IFERROR(__xludf.DUMMYFUNCTION("""COMPUTED_VALUE"""),591.09)</f>
        <v>591.09</v>
      </c>
      <c r="K577" s="1">
        <f ca="1">IFERROR(__xludf.DUMMYFUNCTION("""COMPUTED_VALUE"""),59.25)</f>
        <v>59.25</v>
      </c>
      <c r="L577" s="1">
        <f ca="1">IFERROR(__xludf.DUMMYFUNCTION("""COMPUTED_VALUE"""),431.67)</f>
        <v>431.67</v>
      </c>
      <c r="M577" s="1">
        <f ca="1">IFERROR(__xludf.DUMMYFUNCTION("""COMPUTED_VALUE"""),350.43)</f>
        <v>350.43</v>
      </c>
    </row>
    <row r="578" spans="1:13" x14ac:dyDescent="0.25">
      <c r="A578" s="2">
        <f ca="1">IFERROR(__xludf.DUMMYFUNCTION("""COMPUTED_VALUE"""),44669.6666666666)</f>
        <v>44669.666666666599</v>
      </c>
      <c r="B578" s="1">
        <f ca="1">IFERROR(__xludf.DUMMYFUNCTION("""COMPUTED_VALUE"""),165.07)</f>
        <v>165.07</v>
      </c>
      <c r="C578" s="1">
        <f ca="1">IFERROR(__xludf.DUMMYFUNCTION("""COMPUTED_VALUE"""),279.83)</f>
        <v>279.83</v>
      </c>
      <c r="D578" s="1">
        <f ca="1">IFERROR(__xludf.DUMMYFUNCTION("""COMPUTED_VALUE"""),151.71)</f>
        <v>151.71</v>
      </c>
      <c r="E578" s="1">
        <f ca="1">IFERROR(__xludf.DUMMYFUNCTION("""COMPUTED_VALUE"""),21.26)</f>
        <v>21.26</v>
      </c>
      <c r="F578" s="1">
        <f ca="1">IFERROR(__xludf.DUMMYFUNCTION("""COMPUTED_VALUE"""),210.18)</f>
        <v>210.18</v>
      </c>
      <c r="G578" s="1">
        <f ca="1">IFERROR(__xludf.DUMMYFUNCTION("""COMPUTED_VALUE"""),127.25)</f>
        <v>127.25</v>
      </c>
      <c r="H578" s="1">
        <f ca="1">IFERROR(__xludf.DUMMYFUNCTION("""COMPUTED_VALUE"""),328.33)</f>
        <v>328.33</v>
      </c>
      <c r="I578" s="1">
        <f ca="1">IFERROR(__xludf.DUMMYFUNCTION("""COMPUTED_VALUE"""),171.9)</f>
        <v>171.9</v>
      </c>
      <c r="J578" s="1">
        <f ca="1">IFERROR(__xludf.DUMMYFUNCTION("""COMPUTED_VALUE"""),590.39)</f>
        <v>590.39</v>
      </c>
      <c r="K578" s="1">
        <f ca="1">IFERROR(__xludf.DUMMYFUNCTION("""COMPUTED_VALUE"""),57.39)</f>
        <v>57.39</v>
      </c>
      <c r="L578" s="1">
        <f ca="1">IFERROR(__xludf.DUMMYFUNCTION("""COMPUTED_VALUE"""),420.44)</f>
        <v>420.44</v>
      </c>
      <c r="M578" s="1">
        <f ca="1">IFERROR(__xludf.DUMMYFUNCTION("""COMPUTED_VALUE"""),341.13)</f>
        <v>341.13</v>
      </c>
    </row>
    <row r="579" spans="1:13" x14ac:dyDescent="0.25">
      <c r="A579" s="2">
        <f ca="1">IFERROR(__xludf.DUMMYFUNCTION("""COMPUTED_VALUE"""),44670.6666666666)</f>
        <v>44670.666666666599</v>
      </c>
      <c r="B579" s="1">
        <f ca="1">IFERROR(__xludf.DUMMYFUNCTION("""COMPUTED_VALUE"""),167.4)</f>
        <v>167.4</v>
      </c>
      <c r="C579" s="1">
        <f ca="1">IFERROR(__xludf.DUMMYFUNCTION("""COMPUTED_VALUE"""),280.52)</f>
        <v>280.52</v>
      </c>
      <c r="D579" s="1">
        <f ca="1">IFERROR(__xludf.DUMMYFUNCTION("""COMPUTED_VALUE"""),152.79)</f>
        <v>152.79</v>
      </c>
      <c r="E579" s="1">
        <f ca="1">IFERROR(__xludf.DUMMYFUNCTION("""COMPUTED_VALUE"""),21.78)</f>
        <v>21.78</v>
      </c>
      <c r="F579" s="1">
        <f ca="1">IFERROR(__xludf.DUMMYFUNCTION("""COMPUTED_VALUE"""),210.77)</f>
        <v>210.77</v>
      </c>
      <c r="G579" s="1">
        <f ca="1">IFERROR(__xludf.DUMMYFUNCTION("""COMPUTED_VALUE"""),127.96)</f>
        <v>127.96</v>
      </c>
      <c r="H579" s="1">
        <f ca="1">IFERROR(__xludf.DUMMYFUNCTION("""COMPUTED_VALUE"""),334.76)</f>
        <v>334.76</v>
      </c>
      <c r="I579" s="1">
        <f ca="1">IFERROR(__xludf.DUMMYFUNCTION("""COMPUTED_VALUE"""),170.42)</f>
        <v>170.42</v>
      </c>
      <c r="J579" s="1">
        <f ca="1">IFERROR(__xludf.DUMMYFUNCTION("""COMPUTED_VALUE"""),582.12)</f>
        <v>582.12</v>
      </c>
      <c r="K579" s="1">
        <f ca="1">IFERROR(__xludf.DUMMYFUNCTION("""COMPUTED_VALUE"""),58.65)</f>
        <v>58.65</v>
      </c>
      <c r="L579" s="1">
        <f ca="1">IFERROR(__xludf.DUMMYFUNCTION("""COMPUTED_VALUE"""),425.47)</f>
        <v>425.47</v>
      </c>
      <c r="M579" s="1">
        <f ca="1">IFERROR(__xludf.DUMMYFUNCTION("""COMPUTED_VALUE"""),337.86)</f>
        <v>337.86</v>
      </c>
    </row>
    <row r="580" spans="1:13" x14ac:dyDescent="0.25">
      <c r="A580" s="2">
        <f ca="1">IFERROR(__xludf.DUMMYFUNCTION("""COMPUTED_VALUE"""),44671.6666666666)</f>
        <v>44671.666666666599</v>
      </c>
      <c r="B580" s="1">
        <f ca="1">IFERROR(__xludf.DUMMYFUNCTION("""COMPUTED_VALUE"""),167.23)</f>
        <v>167.23</v>
      </c>
      <c r="C580" s="1">
        <f ca="1">IFERROR(__xludf.DUMMYFUNCTION("""COMPUTED_VALUE"""),285.3)</f>
        <v>285.3</v>
      </c>
      <c r="D580" s="1">
        <f ca="1">IFERROR(__xludf.DUMMYFUNCTION("""COMPUTED_VALUE"""),158.12)</f>
        <v>158.12</v>
      </c>
      <c r="E580" s="1">
        <f ca="1">IFERROR(__xludf.DUMMYFUNCTION("""COMPUTED_VALUE"""),22.2)</f>
        <v>22.2</v>
      </c>
      <c r="F580" s="1">
        <f ca="1">IFERROR(__xludf.DUMMYFUNCTION("""COMPUTED_VALUE"""),217.31)</f>
        <v>217.31</v>
      </c>
      <c r="G580" s="1">
        <f ca="1">IFERROR(__xludf.DUMMYFUNCTION("""COMPUTED_VALUE"""),130.53)</f>
        <v>130.53</v>
      </c>
      <c r="H580" s="1">
        <f ca="1">IFERROR(__xludf.DUMMYFUNCTION("""COMPUTED_VALUE"""),342.72)</f>
        <v>342.72</v>
      </c>
      <c r="I580" s="1">
        <f ca="1">IFERROR(__xludf.DUMMYFUNCTION("""COMPUTED_VALUE"""),172.9)</f>
        <v>172.9</v>
      </c>
      <c r="J580" s="1">
        <f ca="1">IFERROR(__xludf.DUMMYFUNCTION("""COMPUTED_VALUE"""),594.3)</f>
        <v>594.29999999999995</v>
      </c>
      <c r="K580" s="1">
        <f ca="1">IFERROR(__xludf.DUMMYFUNCTION("""COMPUTED_VALUE"""),59.76)</f>
        <v>59.76</v>
      </c>
      <c r="L580" s="1">
        <f ca="1">IFERROR(__xludf.DUMMYFUNCTION("""COMPUTED_VALUE"""),436.4)</f>
        <v>436.4</v>
      </c>
      <c r="M580" s="1">
        <f ca="1">IFERROR(__xludf.DUMMYFUNCTION("""COMPUTED_VALUE"""),348.61)</f>
        <v>348.61</v>
      </c>
    </row>
    <row r="581" spans="1:13" x14ac:dyDescent="0.25">
      <c r="A581" s="2">
        <f ca="1">IFERROR(__xludf.DUMMYFUNCTION("""COMPUTED_VALUE"""),44672.6666666666)</f>
        <v>44672.666666666599</v>
      </c>
      <c r="B581" s="1">
        <f ca="1">IFERROR(__xludf.DUMMYFUNCTION("""COMPUTED_VALUE"""),166.42)</f>
        <v>166.42</v>
      </c>
      <c r="C581" s="1">
        <f ca="1">IFERROR(__xludf.DUMMYFUNCTION("""COMPUTED_VALUE"""),286.36)</f>
        <v>286.36</v>
      </c>
      <c r="D581" s="1">
        <f ca="1">IFERROR(__xludf.DUMMYFUNCTION("""COMPUTED_VALUE"""),154)</f>
        <v>154</v>
      </c>
      <c r="E581" s="1">
        <f ca="1">IFERROR(__xludf.DUMMYFUNCTION("""COMPUTED_VALUE"""),21.48)</f>
        <v>21.48</v>
      </c>
      <c r="F581" s="1">
        <f ca="1">IFERROR(__xludf.DUMMYFUNCTION("""COMPUTED_VALUE"""),200.42)</f>
        <v>200.42</v>
      </c>
      <c r="G581" s="1">
        <f ca="1">IFERROR(__xludf.DUMMYFUNCTION("""COMPUTED_VALUE"""),128.25)</f>
        <v>128.25</v>
      </c>
      <c r="H581" s="1">
        <f ca="1">IFERROR(__xludf.DUMMYFUNCTION("""COMPUTED_VALUE"""),325.73)</f>
        <v>325.73</v>
      </c>
      <c r="I581" s="1">
        <f ca="1">IFERROR(__xludf.DUMMYFUNCTION("""COMPUTED_VALUE"""),175.47)</f>
        <v>175.47</v>
      </c>
      <c r="J581" s="1">
        <f ca="1">IFERROR(__xludf.DUMMYFUNCTION("""COMPUTED_VALUE"""),603.53)</f>
        <v>603.53</v>
      </c>
      <c r="K581" s="1">
        <f ca="1">IFERROR(__xludf.DUMMYFUNCTION("""COMPUTED_VALUE"""),59.77)</f>
        <v>59.77</v>
      </c>
      <c r="L581" s="1">
        <f ca="1">IFERROR(__xludf.DUMMYFUNCTION("""COMPUTED_VALUE"""),428.11)</f>
        <v>428.11</v>
      </c>
      <c r="M581" s="1">
        <f ca="1">IFERROR(__xludf.DUMMYFUNCTION("""COMPUTED_VALUE"""),226.19)</f>
        <v>226.19</v>
      </c>
    </row>
    <row r="582" spans="1:13" x14ac:dyDescent="0.25">
      <c r="A582" s="2">
        <f ca="1">IFERROR(__xludf.DUMMYFUNCTION("""COMPUTED_VALUE"""),44673.6666666666)</f>
        <v>44673.666666666599</v>
      </c>
      <c r="B582" s="1">
        <f ca="1">IFERROR(__xludf.DUMMYFUNCTION("""COMPUTED_VALUE"""),161.79)</f>
        <v>161.79</v>
      </c>
      <c r="C582" s="1">
        <f ca="1">IFERROR(__xludf.DUMMYFUNCTION("""COMPUTED_VALUE"""),280.81)</f>
        <v>280.81</v>
      </c>
      <c r="D582" s="1">
        <f ca="1">IFERROR(__xludf.DUMMYFUNCTION("""COMPUTED_VALUE"""),148.3)</f>
        <v>148.30000000000001</v>
      </c>
      <c r="E582" s="1">
        <f ca="1">IFERROR(__xludf.DUMMYFUNCTION("""COMPUTED_VALUE"""),20.18)</f>
        <v>20.18</v>
      </c>
      <c r="F582" s="1">
        <f ca="1">IFERROR(__xludf.DUMMYFUNCTION("""COMPUTED_VALUE"""),188.07)</f>
        <v>188.07</v>
      </c>
      <c r="G582" s="1">
        <f ca="1">IFERROR(__xludf.DUMMYFUNCTION("""COMPUTED_VALUE"""),124.94)</f>
        <v>124.94</v>
      </c>
      <c r="H582" s="1">
        <f ca="1">IFERROR(__xludf.DUMMYFUNCTION("""COMPUTED_VALUE"""),336.26)</f>
        <v>336.26</v>
      </c>
      <c r="I582" s="1">
        <f ca="1">IFERROR(__xludf.DUMMYFUNCTION("""COMPUTED_VALUE"""),174.84)</f>
        <v>174.84</v>
      </c>
      <c r="J582" s="1">
        <f ca="1">IFERROR(__xludf.DUMMYFUNCTION("""COMPUTED_VALUE"""),591.74)</f>
        <v>591.74</v>
      </c>
      <c r="K582" s="1">
        <f ca="1">IFERROR(__xludf.DUMMYFUNCTION("""COMPUTED_VALUE"""),59.27)</f>
        <v>59.27</v>
      </c>
      <c r="L582" s="1">
        <f ca="1">IFERROR(__xludf.DUMMYFUNCTION("""COMPUTED_VALUE"""),417.48)</f>
        <v>417.48</v>
      </c>
      <c r="M582" s="1">
        <f ca="1">IFERROR(__xludf.DUMMYFUNCTION("""COMPUTED_VALUE"""),218.22)</f>
        <v>218.22</v>
      </c>
    </row>
    <row r="583" spans="1:13" x14ac:dyDescent="0.25">
      <c r="A583" s="2">
        <f ca="1">IFERROR(__xludf.DUMMYFUNCTION("""COMPUTED_VALUE"""),44676.6666666666)</f>
        <v>44676.666666666599</v>
      </c>
      <c r="B583" s="1">
        <f ca="1">IFERROR(__xludf.DUMMYFUNCTION("""COMPUTED_VALUE"""),162.88)</f>
        <v>162.88</v>
      </c>
      <c r="C583" s="1">
        <f ca="1">IFERROR(__xludf.DUMMYFUNCTION("""COMPUTED_VALUE"""),274.03)</f>
        <v>274.02999999999997</v>
      </c>
      <c r="D583" s="1">
        <f ca="1">IFERROR(__xludf.DUMMYFUNCTION("""COMPUTED_VALUE"""),144.35)</f>
        <v>144.35</v>
      </c>
      <c r="E583" s="1">
        <f ca="1">IFERROR(__xludf.DUMMYFUNCTION("""COMPUTED_VALUE"""),19.52)</f>
        <v>19.52</v>
      </c>
      <c r="F583" s="1">
        <f ca="1">IFERROR(__xludf.DUMMYFUNCTION("""COMPUTED_VALUE"""),184.11)</f>
        <v>184.11</v>
      </c>
      <c r="G583" s="1">
        <f ca="1">IFERROR(__xludf.DUMMYFUNCTION("""COMPUTED_VALUE"""),119.61)</f>
        <v>119.61</v>
      </c>
      <c r="H583" s="1">
        <f ca="1">IFERROR(__xludf.DUMMYFUNCTION("""COMPUTED_VALUE"""),335.02)</f>
        <v>335.02</v>
      </c>
      <c r="I583" s="1">
        <f ca="1">IFERROR(__xludf.DUMMYFUNCTION("""COMPUTED_VALUE"""),172.15)</f>
        <v>172.15</v>
      </c>
      <c r="J583" s="1">
        <f ca="1">IFERROR(__xludf.DUMMYFUNCTION("""COMPUTED_VALUE"""),571.7)</f>
        <v>571.70000000000005</v>
      </c>
      <c r="K583" s="1">
        <f ca="1">IFERROR(__xludf.DUMMYFUNCTION("""COMPUTED_VALUE"""),58.7)</f>
        <v>58.7</v>
      </c>
      <c r="L583" s="1">
        <f ca="1">IFERROR(__xludf.DUMMYFUNCTION("""COMPUTED_VALUE"""),408.67)</f>
        <v>408.67</v>
      </c>
      <c r="M583" s="1">
        <f ca="1">IFERROR(__xludf.DUMMYFUNCTION("""COMPUTED_VALUE"""),215.52)</f>
        <v>215.52</v>
      </c>
    </row>
    <row r="584" spans="1:13" x14ac:dyDescent="0.25">
      <c r="A584" s="2">
        <f ca="1">IFERROR(__xludf.DUMMYFUNCTION("""COMPUTED_VALUE"""),44677.6666666666)</f>
        <v>44677.666666666599</v>
      </c>
      <c r="B584" s="1">
        <f ca="1">IFERROR(__xludf.DUMMYFUNCTION("""COMPUTED_VALUE"""),156.8)</f>
        <v>156.80000000000001</v>
      </c>
      <c r="C584" s="1">
        <f ca="1">IFERROR(__xludf.DUMMYFUNCTION("""COMPUTED_VALUE"""),280.72)</f>
        <v>280.72000000000003</v>
      </c>
      <c r="D584" s="1">
        <f ca="1">IFERROR(__xludf.DUMMYFUNCTION("""COMPUTED_VALUE"""),146.07)</f>
        <v>146.07</v>
      </c>
      <c r="E584" s="1">
        <f ca="1">IFERROR(__xludf.DUMMYFUNCTION("""COMPUTED_VALUE"""),19.9)</f>
        <v>19.899999999999999</v>
      </c>
      <c r="F584" s="1">
        <f ca="1">IFERROR(__xludf.DUMMYFUNCTION("""COMPUTED_VALUE"""),186.99)</f>
        <v>186.99</v>
      </c>
      <c r="G584" s="1">
        <f ca="1">IFERROR(__xludf.DUMMYFUNCTION("""COMPUTED_VALUE"""),123.25)</f>
        <v>123.25</v>
      </c>
      <c r="H584" s="1">
        <f ca="1">IFERROR(__xludf.DUMMYFUNCTION("""COMPUTED_VALUE"""),332.67)</f>
        <v>332.67</v>
      </c>
      <c r="I584" s="1">
        <f ca="1">IFERROR(__xludf.DUMMYFUNCTION("""COMPUTED_VALUE"""),173.74)</f>
        <v>173.74</v>
      </c>
      <c r="J584" s="1">
        <f ca="1">IFERROR(__xludf.DUMMYFUNCTION("""COMPUTED_VALUE"""),568.21)</f>
        <v>568.21</v>
      </c>
      <c r="K584" s="1">
        <f ca="1">IFERROR(__xludf.DUMMYFUNCTION("""COMPUTED_VALUE"""),58.79)</f>
        <v>58.79</v>
      </c>
      <c r="L584" s="1">
        <f ca="1">IFERROR(__xludf.DUMMYFUNCTION("""COMPUTED_VALUE"""),413.95)</f>
        <v>413.95</v>
      </c>
      <c r="M584" s="1">
        <f ca="1">IFERROR(__xludf.DUMMYFUNCTION("""COMPUTED_VALUE"""),209.91)</f>
        <v>209.91</v>
      </c>
    </row>
    <row r="585" spans="1:13" x14ac:dyDescent="0.25">
      <c r="A585" s="2">
        <f ca="1">IFERROR(__xludf.DUMMYFUNCTION("""COMPUTED_VALUE"""),44678.6666666666)</f>
        <v>44678.666666666599</v>
      </c>
      <c r="B585" s="1">
        <f ca="1">IFERROR(__xludf.DUMMYFUNCTION("""COMPUTED_VALUE"""),156.57)</f>
        <v>156.57</v>
      </c>
      <c r="C585" s="1">
        <f ca="1">IFERROR(__xludf.DUMMYFUNCTION("""COMPUTED_VALUE"""),270.22)</f>
        <v>270.22000000000003</v>
      </c>
      <c r="D585" s="1">
        <f ca="1">IFERROR(__xludf.DUMMYFUNCTION("""COMPUTED_VALUE"""),139.39)</f>
        <v>139.38999999999999</v>
      </c>
      <c r="E585" s="1">
        <f ca="1">IFERROR(__xludf.DUMMYFUNCTION("""COMPUTED_VALUE"""),18.79)</f>
        <v>18.79</v>
      </c>
      <c r="F585" s="1">
        <f ca="1">IFERROR(__xludf.DUMMYFUNCTION("""COMPUTED_VALUE"""),180.95)</f>
        <v>180.95</v>
      </c>
      <c r="G585" s="1">
        <f ca="1">IFERROR(__xludf.DUMMYFUNCTION("""COMPUTED_VALUE"""),119.51)</f>
        <v>119.51</v>
      </c>
      <c r="H585" s="1">
        <f ca="1">IFERROR(__xludf.DUMMYFUNCTION("""COMPUTED_VALUE"""),292.14)</f>
        <v>292.14</v>
      </c>
      <c r="I585" s="1">
        <f ca="1">IFERROR(__xludf.DUMMYFUNCTION("""COMPUTED_VALUE"""),173.3)</f>
        <v>173.3</v>
      </c>
      <c r="J585" s="1">
        <f ca="1">IFERROR(__xludf.DUMMYFUNCTION("""COMPUTED_VALUE"""),553.76)</f>
        <v>553.76</v>
      </c>
      <c r="K585" s="1">
        <f ca="1">IFERROR(__xludf.DUMMYFUNCTION("""COMPUTED_VALUE"""),56.01)</f>
        <v>56.01</v>
      </c>
      <c r="L585" s="1">
        <f ca="1">IFERROR(__xludf.DUMMYFUNCTION("""COMPUTED_VALUE"""),399.12)</f>
        <v>399.12</v>
      </c>
      <c r="M585" s="1">
        <f ca="1">IFERROR(__xludf.DUMMYFUNCTION("""COMPUTED_VALUE"""),198.4)</f>
        <v>198.4</v>
      </c>
    </row>
    <row r="586" spans="1:13" x14ac:dyDescent="0.25">
      <c r="A586" s="2">
        <f ca="1">IFERROR(__xludf.DUMMYFUNCTION("""COMPUTED_VALUE"""),44679.6666666666)</f>
        <v>44679.666666666599</v>
      </c>
      <c r="B586" s="1">
        <f ca="1">IFERROR(__xludf.DUMMYFUNCTION("""COMPUTED_VALUE"""),163.64)</f>
        <v>163.63999999999999</v>
      </c>
      <c r="C586" s="1">
        <f ca="1">IFERROR(__xludf.DUMMYFUNCTION("""COMPUTED_VALUE"""),283.22)</f>
        <v>283.22000000000003</v>
      </c>
      <c r="D586" s="1">
        <f ca="1">IFERROR(__xludf.DUMMYFUNCTION("""COMPUTED_VALUE"""),138.17)</f>
        <v>138.16999999999999</v>
      </c>
      <c r="E586" s="1">
        <f ca="1">IFERROR(__xludf.DUMMYFUNCTION("""COMPUTED_VALUE"""),18.42)</f>
        <v>18.420000000000002</v>
      </c>
      <c r="F586" s="1">
        <f ca="1">IFERROR(__xludf.DUMMYFUNCTION("""COMPUTED_VALUE"""),174.95)</f>
        <v>174.95</v>
      </c>
      <c r="G586" s="1">
        <f ca="1">IFERROR(__xludf.DUMMYFUNCTION("""COMPUTED_VALUE"""),115.02)</f>
        <v>115.02</v>
      </c>
      <c r="H586" s="1">
        <f ca="1">IFERROR(__xludf.DUMMYFUNCTION("""COMPUTED_VALUE"""),293.84)</f>
        <v>293.83999999999997</v>
      </c>
      <c r="I586" s="1">
        <f ca="1">IFERROR(__xludf.DUMMYFUNCTION("""COMPUTED_VALUE"""),174.85)</f>
        <v>174.85</v>
      </c>
      <c r="J586" s="1">
        <f ca="1">IFERROR(__xludf.DUMMYFUNCTION("""COMPUTED_VALUE"""),554.08)</f>
        <v>554.08000000000004</v>
      </c>
      <c r="K586" s="1">
        <f ca="1">IFERROR(__xludf.DUMMYFUNCTION("""COMPUTED_VALUE"""),55.95)</f>
        <v>55.95</v>
      </c>
      <c r="L586" s="1">
        <f ca="1">IFERROR(__xludf.DUMMYFUNCTION("""COMPUTED_VALUE"""),397.9)</f>
        <v>397.9</v>
      </c>
      <c r="M586" s="1">
        <f ca="1">IFERROR(__xludf.DUMMYFUNCTION("""COMPUTED_VALUE"""),188.54)</f>
        <v>188.54</v>
      </c>
    </row>
    <row r="587" spans="1:13" x14ac:dyDescent="0.25">
      <c r="A587" s="2">
        <f ca="1">IFERROR(__xludf.DUMMYFUNCTION("""COMPUTED_VALUE"""),44680.6666666666)</f>
        <v>44680.666666666599</v>
      </c>
      <c r="B587" s="1">
        <f ca="1">IFERROR(__xludf.DUMMYFUNCTION("""COMPUTED_VALUE"""),157.65)</f>
        <v>157.65</v>
      </c>
      <c r="C587" s="1">
        <f ca="1">IFERROR(__xludf.DUMMYFUNCTION("""COMPUTED_VALUE"""),289.63)</f>
        <v>289.63</v>
      </c>
      <c r="D587" s="1">
        <f ca="1">IFERROR(__xludf.DUMMYFUNCTION("""COMPUTED_VALUE"""),144.6)</f>
        <v>144.6</v>
      </c>
      <c r="E587" s="1">
        <f ca="1">IFERROR(__xludf.DUMMYFUNCTION("""COMPUTED_VALUE"""),19.78)</f>
        <v>19.78</v>
      </c>
      <c r="F587" s="1">
        <f ca="1">IFERROR(__xludf.DUMMYFUNCTION("""COMPUTED_VALUE"""),205.73)</f>
        <v>205.73</v>
      </c>
      <c r="G587" s="1">
        <f ca="1">IFERROR(__xludf.DUMMYFUNCTION("""COMPUTED_VALUE"""),119.41)</f>
        <v>119.41</v>
      </c>
      <c r="H587" s="1">
        <f ca="1">IFERROR(__xludf.DUMMYFUNCTION("""COMPUTED_VALUE"""),292.5)</f>
        <v>292.5</v>
      </c>
      <c r="I587" s="1">
        <f ca="1">IFERROR(__xludf.DUMMYFUNCTION("""COMPUTED_VALUE"""),177.5)</f>
        <v>177.5</v>
      </c>
      <c r="J587" s="1">
        <f ca="1">IFERROR(__xludf.DUMMYFUNCTION("""COMPUTED_VALUE"""),562)</f>
        <v>562</v>
      </c>
      <c r="K587" s="1">
        <f ca="1">IFERROR(__xludf.DUMMYFUNCTION("""COMPUTED_VALUE"""),57.89)</f>
        <v>57.89</v>
      </c>
      <c r="L587" s="1">
        <f ca="1">IFERROR(__xludf.DUMMYFUNCTION("""COMPUTED_VALUE"""),410.53)</f>
        <v>410.53</v>
      </c>
      <c r="M587" s="1">
        <f ca="1">IFERROR(__xludf.DUMMYFUNCTION("""COMPUTED_VALUE"""),199.52)</f>
        <v>199.52</v>
      </c>
    </row>
    <row r="588" spans="1:13" x14ac:dyDescent="0.25">
      <c r="A588" s="2">
        <f ca="1">IFERROR(__xludf.DUMMYFUNCTION("""COMPUTED_VALUE"""),44683.6666666666)</f>
        <v>44683.666666666599</v>
      </c>
      <c r="B588" s="1">
        <f ca="1">IFERROR(__xludf.DUMMYFUNCTION("""COMPUTED_VALUE"""),157.96)</f>
        <v>157.96</v>
      </c>
      <c r="C588" s="1">
        <f ca="1">IFERROR(__xludf.DUMMYFUNCTION("""COMPUTED_VALUE"""),277.52)</f>
        <v>277.52</v>
      </c>
      <c r="D588" s="1">
        <f ca="1">IFERROR(__xludf.DUMMYFUNCTION("""COMPUTED_VALUE"""),124.28)</f>
        <v>124.28</v>
      </c>
      <c r="E588" s="1">
        <f ca="1">IFERROR(__xludf.DUMMYFUNCTION("""COMPUTED_VALUE"""),18.55)</f>
        <v>18.55</v>
      </c>
      <c r="F588" s="1">
        <f ca="1">IFERROR(__xludf.DUMMYFUNCTION("""COMPUTED_VALUE"""),200.47)</f>
        <v>200.47</v>
      </c>
      <c r="G588" s="1">
        <f ca="1">IFERROR(__xludf.DUMMYFUNCTION("""COMPUTED_VALUE"""),114.97)</f>
        <v>114.97</v>
      </c>
      <c r="H588" s="1">
        <f ca="1">IFERROR(__xludf.DUMMYFUNCTION("""COMPUTED_VALUE"""),290.25)</f>
        <v>290.25</v>
      </c>
      <c r="I588" s="1">
        <f ca="1">IFERROR(__xludf.DUMMYFUNCTION("""COMPUTED_VALUE"""),171.71)</f>
        <v>171.71</v>
      </c>
      <c r="J588" s="1">
        <f ca="1">IFERROR(__xludf.DUMMYFUNCTION("""COMPUTED_VALUE"""),531.72)</f>
        <v>531.72</v>
      </c>
      <c r="K588" s="1">
        <f ca="1">IFERROR(__xludf.DUMMYFUNCTION("""COMPUTED_VALUE"""),55.44)</f>
        <v>55.44</v>
      </c>
      <c r="L588" s="1">
        <f ca="1">IFERROR(__xludf.DUMMYFUNCTION("""COMPUTED_VALUE"""),395.95)</f>
        <v>395.95</v>
      </c>
      <c r="M588" s="1">
        <f ca="1">IFERROR(__xludf.DUMMYFUNCTION("""COMPUTED_VALUE"""),190.36)</f>
        <v>190.36</v>
      </c>
    </row>
    <row r="589" spans="1:13" x14ac:dyDescent="0.25">
      <c r="A589" s="2">
        <f ca="1">IFERROR(__xludf.DUMMYFUNCTION("""COMPUTED_VALUE"""),44684.6666666666)</f>
        <v>44684.666666666599</v>
      </c>
      <c r="B589" s="1">
        <f ca="1">IFERROR(__xludf.DUMMYFUNCTION("""COMPUTED_VALUE"""),159.48)</f>
        <v>159.47999999999999</v>
      </c>
      <c r="C589" s="1">
        <f ca="1">IFERROR(__xludf.DUMMYFUNCTION("""COMPUTED_VALUE"""),284.47)</f>
        <v>284.47000000000003</v>
      </c>
      <c r="D589" s="1">
        <f ca="1">IFERROR(__xludf.DUMMYFUNCTION("""COMPUTED_VALUE"""),124.5)</f>
        <v>124.5</v>
      </c>
      <c r="E589" s="1">
        <f ca="1">IFERROR(__xludf.DUMMYFUNCTION("""COMPUTED_VALUE"""),19.53)</f>
        <v>19.53</v>
      </c>
      <c r="F589" s="1">
        <f ca="1">IFERROR(__xludf.DUMMYFUNCTION("""COMPUTED_VALUE"""),211.13)</f>
        <v>211.13</v>
      </c>
      <c r="G589" s="1">
        <f ca="1">IFERROR(__xludf.DUMMYFUNCTION("""COMPUTED_VALUE"""),117.16)</f>
        <v>117.16</v>
      </c>
      <c r="H589" s="1">
        <f ca="1">IFERROR(__xludf.DUMMYFUNCTION("""COMPUTED_VALUE"""),300.98)</f>
        <v>300.98</v>
      </c>
      <c r="I589" s="1">
        <f ca="1">IFERROR(__xludf.DUMMYFUNCTION("""COMPUTED_VALUE"""),167.76)</f>
        <v>167.76</v>
      </c>
      <c r="J589" s="1">
        <f ca="1">IFERROR(__xludf.DUMMYFUNCTION("""COMPUTED_VALUE"""),528.95)</f>
        <v>528.95000000000005</v>
      </c>
      <c r="K589" s="1">
        <f ca="1">IFERROR(__xludf.DUMMYFUNCTION("""COMPUTED_VALUE"""),57.64)</f>
        <v>57.64</v>
      </c>
      <c r="L589" s="1">
        <f ca="1">IFERROR(__xludf.DUMMYFUNCTION("""COMPUTED_VALUE"""),407.29)</f>
        <v>407.29</v>
      </c>
      <c r="M589" s="1">
        <f ca="1">IFERROR(__xludf.DUMMYFUNCTION("""COMPUTED_VALUE"""),199.46)</f>
        <v>199.46</v>
      </c>
    </row>
    <row r="590" spans="1:13" x14ac:dyDescent="0.25">
      <c r="A590" s="2">
        <f ca="1">IFERROR(__xludf.DUMMYFUNCTION("""COMPUTED_VALUE"""),44685.6666666666)</f>
        <v>44685.666666666599</v>
      </c>
      <c r="B590" s="1">
        <f ca="1">IFERROR(__xludf.DUMMYFUNCTION("""COMPUTED_VALUE"""),166.02)</f>
        <v>166.02</v>
      </c>
      <c r="C590" s="1">
        <f ca="1">IFERROR(__xludf.DUMMYFUNCTION("""COMPUTED_VALUE"""),281.78)</f>
        <v>281.77999999999997</v>
      </c>
      <c r="D590" s="1">
        <f ca="1">IFERROR(__xludf.DUMMYFUNCTION("""COMPUTED_VALUE"""),124.25)</f>
        <v>124.25</v>
      </c>
      <c r="E590" s="1">
        <f ca="1">IFERROR(__xludf.DUMMYFUNCTION("""COMPUTED_VALUE"""),19.6)</f>
        <v>19.600000000000001</v>
      </c>
      <c r="F590" s="1">
        <f ca="1">IFERROR(__xludf.DUMMYFUNCTION("""COMPUTED_VALUE"""),212.03)</f>
        <v>212.03</v>
      </c>
      <c r="G590" s="1">
        <f ca="1">IFERROR(__xludf.DUMMYFUNCTION("""COMPUTED_VALUE"""),118.13)</f>
        <v>118.13</v>
      </c>
      <c r="H590" s="1">
        <f ca="1">IFERROR(__xludf.DUMMYFUNCTION("""COMPUTED_VALUE"""),303.08)</f>
        <v>303.08</v>
      </c>
      <c r="I590" s="1">
        <f ca="1">IFERROR(__xludf.DUMMYFUNCTION("""COMPUTED_VALUE"""),167.99)</f>
        <v>167.99</v>
      </c>
      <c r="J590" s="1">
        <f ca="1">IFERROR(__xludf.DUMMYFUNCTION("""COMPUTED_VALUE"""),528.08)</f>
        <v>528.08000000000004</v>
      </c>
      <c r="K590" s="1">
        <f ca="1">IFERROR(__xludf.DUMMYFUNCTION("""COMPUTED_VALUE"""),58.12)</f>
        <v>58.12</v>
      </c>
      <c r="L590" s="1">
        <f ca="1">IFERROR(__xludf.DUMMYFUNCTION("""COMPUTED_VALUE"""),407.58)</f>
        <v>407.58</v>
      </c>
      <c r="M590" s="1">
        <f ca="1">IFERROR(__xludf.DUMMYFUNCTION("""COMPUTED_VALUE"""),199.87)</f>
        <v>199.87</v>
      </c>
    </row>
    <row r="591" spans="1:13" x14ac:dyDescent="0.25">
      <c r="A591" s="2">
        <f ca="1">IFERROR(__xludf.DUMMYFUNCTION("""COMPUTED_VALUE"""),44686.6666666666)</f>
        <v>44686.666666666599</v>
      </c>
      <c r="B591" s="1">
        <f ca="1">IFERROR(__xludf.DUMMYFUNCTION("""COMPUTED_VALUE"""),156.77)</f>
        <v>156.77000000000001</v>
      </c>
      <c r="C591" s="1">
        <f ca="1">IFERROR(__xludf.DUMMYFUNCTION("""COMPUTED_VALUE"""),289.98)</f>
        <v>289.98</v>
      </c>
      <c r="D591" s="1">
        <f ca="1">IFERROR(__xludf.DUMMYFUNCTION("""COMPUTED_VALUE"""),125.93)</f>
        <v>125.93</v>
      </c>
      <c r="E591" s="1">
        <f ca="1">IFERROR(__xludf.DUMMYFUNCTION("""COMPUTED_VALUE"""),20.33)</f>
        <v>20.329999999999998</v>
      </c>
      <c r="F591" s="1">
        <f ca="1">IFERROR(__xludf.DUMMYFUNCTION("""COMPUTED_VALUE"""),223.41)</f>
        <v>223.41</v>
      </c>
      <c r="G591" s="1">
        <f ca="1">IFERROR(__xludf.DUMMYFUNCTION("""COMPUTED_VALUE"""),122.58)</f>
        <v>122.58</v>
      </c>
      <c r="H591" s="1">
        <f ca="1">IFERROR(__xludf.DUMMYFUNCTION("""COMPUTED_VALUE"""),317.54)</f>
        <v>317.54000000000002</v>
      </c>
      <c r="I591" s="1">
        <f ca="1">IFERROR(__xludf.DUMMYFUNCTION("""COMPUTED_VALUE"""),173.86)</f>
        <v>173.86</v>
      </c>
      <c r="J591" s="1">
        <f ca="1">IFERROR(__xludf.DUMMYFUNCTION("""COMPUTED_VALUE"""),544.43)</f>
        <v>544.42999999999995</v>
      </c>
      <c r="K591" s="1">
        <f ca="1">IFERROR(__xludf.DUMMYFUNCTION("""COMPUTED_VALUE"""),60.37)</f>
        <v>60.37</v>
      </c>
      <c r="L591" s="1">
        <f ca="1">IFERROR(__xludf.DUMMYFUNCTION("""COMPUTED_VALUE"""),423.35)</f>
        <v>423.35</v>
      </c>
      <c r="M591" s="1">
        <f ca="1">IFERROR(__xludf.DUMMYFUNCTION("""COMPUTED_VALUE"""),204.01)</f>
        <v>204.01</v>
      </c>
    </row>
    <row r="592" spans="1:13" x14ac:dyDescent="0.25">
      <c r="A592" s="2">
        <f ca="1">IFERROR(__xludf.DUMMYFUNCTION("""COMPUTED_VALUE"""),44687.6666666666)</f>
        <v>44687.666666666599</v>
      </c>
      <c r="B592" s="1">
        <f ca="1">IFERROR(__xludf.DUMMYFUNCTION("""COMPUTED_VALUE"""),157.28)</f>
        <v>157.28</v>
      </c>
      <c r="C592" s="1">
        <f ca="1">IFERROR(__xludf.DUMMYFUNCTION("""COMPUTED_VALUE"""),277.35)</f>
        <v>277.35000000000002</v>
      </c>
      <c r="D592" s="1">
        <f ca="1">IFERROR(__xludf.DUMMYFUNCTION("""COMPUTED_VALUE"""),116.41)</f>
        <v>116.41</v>
      </c>
      <c r="E592" s="1">
        <f ca="1">IFERROR(__xludf.DUMMYFUNCTION("""COMPUTED_VALUE"""),18.84)</f>
        <v>18.84</v>
      </c>
      <c r="F592" s="1">
        <f ca="1">IFERROR(__xludf.DUMMYFUNCTION("""COMPUTED_VALUE"""),208.28)</f>
        <v>208.28</v>
      </c>
      <c r="G592" s="1">
        <f ca="1">IFERROR(__xludf.DUMMYFUNCTION("""COMPUTED_VALUE"""),116.75)</f>
        <v>116.75</v>
      </c>
      <c r="H592" s="1">
        <f ca="1">IFERROR(__xludf.DUMMYFUNCTION("""COMPUTED_VALUE"""),291.09)</f>
        <v>291.08999999999997</v>
      </c>
      <c r="I592" s="1">
        <f ca="1">IFERROR(__xludf.DUMMYFUNCTION("""COMPUTED_VALUE"""),170.39)</f>
        <v>170.39</v>
      </c>
      <c r="J592" s="1">
        <f ca="1">IFERROR(__xludf.DUMMYFUNCTION("""COMPUTED_VALUE"""),517.32)</f>
        <v>517.32000000000005</v>
      </c>
      <c r="K592" s="1">
        <f ca="1">IFERROR(__xludf.DUMMYFUNCTION("""COMPUTED_VALUE"""),58)</f>
        <v>58</v>
      </c>
      <c r="L592" s="1">
        <f ca="1">IFERROR(__xludf.DUMMYFUNCTION("""COMPUTED_VALUE"""),400.51)</f>
        <v>400.51</v>
      </c>
      <c r="M592" s="1">
        <f ca="1">IFERROR(__xludf.DUMMYFUNCTION("""COMPUTED_VALUE"""),188.32)</f>
        <v>188.32</v>
      </c>
    </row>
    <row r="593" spans="1:13" x14ac:dyDescent="0.25">
      <c r="A593" s="2">
        <f ca="1">IFERROR(__xludf.DUMMYFUNCTION("""COMPUTED_VALUE"""),44690.6666666666)</f>
        <v>44690.666666666599</v>
      </c>
      <c r="B593" s="1">
        <f ca="1">IFERROR(__xludf.DUMMYFUNCTION("""COMPUTED_VALUE"""),152.06)</f>
        <v>152.06</v>
      </c>
      <c r="C593" s="1">
        <f ca="1">IFERROR(__xludf.DUMMYFUNCTION("""COMPUTED_VALUE"""),274.73)</f>
        <v>274.73</v>
      </c>
      <c r="D593" s="1">
        <f ca="1">IFERROR(__xludf.DUMMYFUNCTION("""COMPUTED_VALUE"""),114.77)</f>
        <v>114.77</v>
      </c>
      <c r="E593" s="1">
        <f ca="1">IFERROR(__xludf.DUMMYFUNCTION("""COMPUTED_VALUE"""),18.68)</f>
        <v>18.68</v>
      </c>
      <c r="F593" s="1">
        <f ca="1">IFERROR(__xludf.DUMMYFUNCTION("""COMPUTED_VALUE"""),203.77)</f>
        <v>203.77</v>
      </c>
      <c r="G593" s="1">
        <f ca="1">IFERROR(__xludf.DUMMYFUNCTION("""COMPUTED_VALUE"""),115.66)</f>
        <v>115.66</v>
      </c>
      <c r="H593" s="1">
        <f ca="1">IFERROR(__xludf.DUMMYFUNCTION("""COMPUTED_VALUE"""),288.55)</f>
        <v>288.55</v>
      </c>
      <c r="I593" s="1">
        <f ca="1">IFERROR(__xludf.DUMMYFUNCTION("""COMPUTED_VALUE"""),170.41)</f>
        <v>170.41</v>
      </c>
      <c r="J593" s="1">
        <f ca="1">IFERROR(__xludf.DUMMYFUNCTION("""COMPUTED_VALUE"""),503.36)</f>
        <v>503.36</v>
      </c>
      <c r="K593" s="1">
        <f ca="1">IFERROR(__xludf.DUMMYFUNCTION("""COMPUTED_VALUE"""),58.01)</f>
        <v>58.01</v>
      </c>
      <c r="L593" s="1">
        <f ca="1">IFERROR(__xludf.DUMMYFUNCTION("""COMPUTED_VALUE"""),391.01)</f>
        <v>391.01</v>
      </c>
      <c r="M593" s="1">
        <f ca="1">IFERROR(__xludf.DUMMYFUNCTION("""COMPUTED_VALUE"""),180.97)</f>
        <v>180.97</v>
      </c>
    </row>
    <row r="594" spans="1:13" x14ac:dyDescent="0.25">
      <c r="A594" s="2">
        <f ca="1">IFERROR(__xludf.DUMMYFUNCTION("""COMPUTED_VALUE"""),44691.6666666666)</f>
        <v>44691.666666666599</v>
      </c>
      <c r="B594" s="1">
        <f ca="1">IFERROR(__xludf.DUMMYFUNCTION("""COMPUTED_VALUE"""),154.51)</f>
        <v>154.51</v>
      </c>
      <c r="C594" s="1">
        <f ca="1">IFERROR(__xludf.DUMMYFUNCTION("""COMPUTED_VALUE"""),264.58)</f>
        <v>264.58</v>
      </c>
      <c r="D594" s="1">
        <f ca="1">IFERROR(__xludf.DUMMYFUNCTION("""COMPUTED_VALUE"""),108.79)</f>
        <v>108.79</v>
      </c>
      <c r="E594" s="1">
        <f ca="1">IFERROR(__xludf.DUMMYFUNCTION("""COMPUTED_VALUE"""),16.95)</f>
        <v>16.95</v>
      </c>
      <c r="F594" s="1">
        <f ca="1">IFERROR(__xludf.DUMMYFUNCTION("""COMPUTED_VALUE"""),196.21)</f>
        <v>196.21</v>
      </c>
      <c r="G594" s="1">
        <f ca="1">IFERROR(__xludf.DUMMYFUNCTION("""COMPUTED_VALUE"""),113.08)</f>
        <v>113.08</v>
      </c>
      <c r="H594" s="1">
        <f ca="1">IFERROR(__xludf.DUMMYFUNCTION("""COMPUTED_VALUE"""),262.37)</f>
        <v>262.37</v>
      </c>
      <c r="I594" s="1">
        <f ca="1">IFERROR(__xludf.DUMMYFUNCTION("""COMPUTED_VALUE"""),171.7)</f>
        <v>171.7</v>
      </c>
      <c r="J594" s="1">
        <f ca="1">IFERROR(__xludf.DUMMYFUNCTION("""COMPUTED_VALUE"""),498.83)</f>
        <v>498.83</v>
      </c>
      <c r="K594" s="1">
        <f ca="1">IFERROR(__xludf.DUMMYFUNCTION("""COMPUTED_VALUE"""),56.29)</f>
        <v>56.29</v>
      </c>
      <c r="L594" s="1">
        <f ca="1">IFERROR(__xludf.DUMMYFUNCTION("""COMPUTED_VALUE"""),376.91)</f>
        <v>376.91</v>
      </c>
      <c r="M594" s="1">
        <f ca="1">IFERROR(__xludf.DUMMYFUNCTION("""COMPUTED_VALUE"""),173.1)</f>
        <v>173.1</v>
      </c>
    </row>
    <row r="595" spans="1:13" x14ac:dyDescent="0.25">
      <c r="A595" s="2">
        <f ca="1">IFERROR(__xludf.DUMMYFUNCTION("""COMPUTED_VALUE"""),44692.6666666666)</f>
        <v>44692.666666666599</v>
      </c>
      <c r="B595" s="1">
        <f ca="1">IFERROR(__xludf.DUMMYFUNCTION("""COMPUTED_VALUE"""),146.5)</f>
        <v>146.5</v>
      </c>
      <c r="C595" s="1">
        <f ca="1">IFERROR(__xludf.DUMMYFUNCTION("""COMPUTED_VALUE"""),269.5)</f>
        <v>269.5</v>
      </c>
      <c r="D595" s="1">
        <f ca="1">IFERROR(__xludf.DUMMYFUNCTION("""COMPUTED_VALUE"""),108.86)</f>
        <v>108.86</v>
      </c>
      <c r="E595" s="1">
        <f ca="1">IFERROR(__xludf.DUMMYFUNCTION("""COMPUTED_VALUE"""),17.6)</f>
        <v>17.600000000000001</v>
      </c>
      <c r="F595" s="1">
        <f ca="1">IFERROR(__xludf.DUMMYFUNCTION("""COMPUTED_VALUE"""),197.65)</f>
        <v>197.65</v>
      </c>
      <c r="G595" s="1">
        <f ca="1">IFERROR(__xludf.DUMMYFUNCTION("""COMPUTED_VALUE"""),114.58)</f>
        <v>114.58</v>
      </c>
      <c r="H595" s="1">
        <f ca="1">IFERROR(__xludf.DUMMYFUNCTION("""COMPUTED_VALUE"""),266.68)</f>
        <v>266.68</v>
      </c>
      <c r="I595" s="1">
        <f ca="1">IFERROR(__xludf.DUMMYFUNCTION("""COMPUTED_VALUE"""),171.49)</f>
        <v>171.49</v>
      </c>
      <c r="J595" s="1">
        <f ca="1">IFERROR(__xludf.DUMMYFUNCTION("""COMPUTED_VALUE"""),501.46)</f>
        <v>501.46</v>
      </c>
      <c r="K595" s="1">
        <f ca="1">IFERROR(__xludf.DUMMYFUNCTION("""COMPUTED_VALUE"""),58.14)</f>
        <v>58.14</v>
      </c>
      <c r="L595" s="1">
        <f ca="1">IFERROR(__xludf.DUMMYFUNCTION("""COMPUTED_VALUE"""),393.03)</f>
        <v>393.03</v>
      </c>
      <c r="M595" s="1">
        <f ca="1">IFERROR(__xludf.DUMMYFUNCTION("""COMPUTED_VALUE"""),177.66)</f>
        <v>177.66</v>
      </c>
    </row>
    <row r="596" spans="1:13" x14ac:dyDescent="0.25">
      <c r="A596" s="2">
        <f ca="1">IFERROR(__xludf.DUMMYFUNCTION("""COMPUTED_VALUE"""),44693.6666666666)</f>
        <v>44693.666666666599</v>
      </c>
      <c r="B596" s="1">
        <f ca="1">IFERROR(__xludf.DUMMYFUNCTION("""COMPUTED_VALUE"""),142.56)</f>
        <v>142.56</v>
      </c>
      <c r="C596" s="1">
        <f ca="1">IFERROR(__xludf.DUMMYFUNCTION("""COMPUTED_VALUE"""),260.55)</f>
        <v>260.55</v>
      </c>
      <c r="D596" s="1">
        <f ca="1">IFERROR(__xludf.DUMMYFUNCTION("""COMPUTED_VALUE"""),105.37)</f>
        <v>105.37</v>
      </c>
      <c r="E596" s="1">
        <f ca="1">IFERROR(__xludf.DUMMYFUNCTION("""COMPUTED_VALUE"""),16.63)</f>
        <v>16.63</v>
      </c>
      <c r="F596" s="1">
        <f ca="1">IFERROR(__xludf.DUMMYFUNCTION("""COMPUTED_VALUE"""),188.74)</f>
        <v>188.74</v>
      </c>
      <c r="G596" s="1">
        <f ca="1">IFERROR(__xludf.DUMMYFUNCTION("""COMPUTED_VALUE"""),113.96)</f>
        <v>113.96</v>
      </c>
      <c r="H596" s="1">
        <f ca="1">IFERROR(__xludf.DUMMYFUNCTION("""COMPUTED_VALUE"""),244.67)</f>
        <v>244.67</v>
      </c>
      <c r="I596" s="1">
        <f ca="1">IFERROR(__xludf.DUMMYFUNCTION("""COMPUTED_VALUE"""),170.66)</f>
        <v>170.66</v>
      </c>
      <c r="J596" s="1">
        <f ca="1">IFERROR(__xludf.DUMMYFUNCTION("""COMPUTED_VALUE"""),489.08)</f>
        <v>489.08</v>
      </c>
      <c r="K596" s="1">
        <f ca="1">IFERROR(__xludf.DUMMYFUNCTION("""COMPUTED_VALUE"""),56.71)</f>
        <v>56.71</v>
      </c>
      <c r="L596" s="1">
        <f ca="1">IFERROR(__xludf.DUMMYFUNCTION("""COMPUTED_VALUE"""),379.33)</f>
        <v>379.33</v>
      </c>
      <c r="M596" s="1">
        <f ca="1">IFERROR(__xludf.DUMMYFUNCTION("""COMPUTED_VALUE"""),166.37)</f>
        <v>166.37</v>
      </c>
    </row>
    <row r="597" spans="1:13" x14ac:dyDescent="0.25">
      <c r="A597" s="2">
        <f ca="1">IFERROR(__xludf.DUMMYFUNCTION("""COMPUTED_VALUE"""),44694.6666666666)</f>
        <v>44694.666666666599</v>
      </c>
      <c r="B597" s="1">
        <f ca="1">IFERROR(__xludf.DUMMYFUNCTION("""COMPUTED_VALUE"""),147.11)</f>
        <v>147.11000000000001</v>
      </c>
      <c r="C597" s="1">
        <f ca="1">IFERROR(__xludf.DUMMYFUNCTION("""COMPUTED_VALUE"""),255.35)</f>
        <v>255.35</v>
      </c>
      <c r="D597" s="1">
        <f ca="1">IFERROR(__xludf.DUMMYFUNCTION("""COMPUTED_VALUE"""),106.93)</f>
        <v>106.93</v>
      </c>
      <c r="E597" s="1">
        <f ca="1">IFERROR(__xludf.DUMMYFUNCTION("""COMPUTED_VALUE"""),16.18)</f>
        <v>16.18</v>
      </c>
      <c r="F597" s="1">
        <f ca="1">IFERROR(__xludf.DUMMYFUNCTION("""COMPUTED_VALUE"""),191.24)</f>
        <v>191.24</v>
      </c>
      <c r="G597" s="1">
        <f ca="1">IFERROR(__xludf.DUMMYFUNCTION("""COMPUTED_VALUE"""),113.16)</f>
        <v>113.16</v>
      </c>
      <c r="H597" s="1">
        <f ca="1">IFERROR(__xludf.DUMMYFUNCTION("""COMPUTED_VALUE"""),242.67)</f>
        <v>242.67</v>
      </c>
      <c r="I597" s="1">
        <f ca="1">IFERROR(__xludf.DUMMYFUNCTION("""COMPUTED_VALUE"""),170.4)</f>
        <v>170.4</v>
      </c>
      <c r="J597" s="1">
        <f ca="1">IFERROR(__xludf.DUMMYFUNCTION("""COMPUTED_VALUE"""),486.18)</f>
        <v>486.18</v>
      </c>
      <c r="K597" s="1">
        <f ca="1">IFERROR(__xludf.DUMMYFUNCTION("""COMPUTED_VALUE"""),57.16)</f>
        <v>57.16</v>
      </c>
      <c r="L597" s="1">
        <f ca="1">IFERROR(__xludf.DUMMYFUNCTION("""COMPUTED_VALUE"""),388.49)</f>
        <v>388.49</v>
      </c>
      <c r="M597" s="1">
        <f ca="1">IFERROR(__xludf.DUMMYFUNCTION("""COMPUTED_VALUE"""),174.31)</f>
        <v>174.31</v>
      </c>
    </row>
    <row r="598" spans="1:13" x14ac:dyDescent="0.25">
      <c r="A598" s="2">
        <f ca="1">IFERROR(__xludf.DUMMYFUNCTION("""COMPUTED_VALUE"""),44697.6666666666)</f>
        <v>44697.666666666599</v>
      </c>
      <c r="B598" s="1">
        <f ca="1">IFERROR(__xludf.DUMMYFUNCTION("""COMPUTED_VALUE"""),145.54)</f>
        <v>145.54</v>
      </c>
      <c r="C598" s="1">
        <f ca="1">IFERROR(__xludf.DUMMYFUNCTION("""COMPUTED_VALUE"""),261.12)</f>
        <v>261.12</v>
      </c>
      <c r="D598" s="1">
        <f ca="1">IFERROR(__xludf.DUMMYFUNCTION("""COMPUTED_VALUE"""),113.06)</f>
        <v>113.06</v>
      </c>
      <c r="E598" s="1">
        <f ca="1">IFERROR(__xludf.DUMMYFUNCTION("""COMPUTED_VALUE"""),17.71)</f>
        <v>17.71</v>
      </c>
      <c r="F598" s="1">
        <f ca="1">IFERROR(__xludf.DUMMYFUNCTION("""COMPUTED_VALUE"""),198.62)</f>
        <v>198.62</v>
      </c>
      <c r="G598" s="1">
        <f ca="1">IFERROR(__xludf.DUMMYFUNCTION("""COMPUTED_VALUE"""),116.52)</f>
        <v>116.52</v>
      </c>
      <c r="H598" s="1">
        <f ca="1">IFERROR(__xludf.DUMMYFUNCTION("""COMPUTED_VALUE"""),256.53)</f>
        <v>256.52999999999997</v>
      </c>
      <c r="I598" s="1">
        <f ca="1">IFERROR(__xludf.DUMMYFUNCTION("""COMPUTED_VALUE"""),173.72)</f>
        <v>173.72</v>
      </c>
      <c r="J598" s="1">
        <f ca="1">IFERROR(__xludf.DUMMYFUNCTION("""COMPUTED_VALUE"""),497.27)</f>
        <v>497.27</v>
      </c>
      <c r="K598" s="1">
        <f ca="1">IFERROR(__xludf.DUMMYFUNCTION("""COMPUTED_VALUE"""),58.82)</f>
        <v>58.82</v>
      </c>
      <c r="L598" s="1">
        <f ca="1">IFERROR(__xludf.DUMMYFUNCTION("""COMPUTED_VALUE"""),405.45)</f>
        <v>405.45</v>
      </c>
      <c r="M598" s="1">
        <f ca="1">IFERROR(__xludf.DUMMYFUNCTION("""COMPUTED_VALUE"""),187.64)</f>
        <v>187.64</v>
      </c>
    </row>
    <row r="599" spans="1:13" x14ac:dyDescent="0.25">
      <c r="A599" s="2">
        <f ca="1">IFERROR(__xludf.DUMMYFUNCTION("""COMPUTED_VALUE"""),44698.6666666666)</f>
        <v>44698.666666666599</v>
      </c>
      <c r="B599" s="1">
        <f ca="1">IFERROR(__xludf.DUMMYFUNCTION("""COMPUTED_VALUE"""),149.24)</f>
        <v>149.24</v>
      </c>
      <c r="C599" s="1">
        <f ca="1">IFERROR(__xludf.DUMMYFUNCTION("""COMPUTED_VALUE"""),261.5)</f>
        <v>261.5</v>
      </c>
      <c r="D599" s="1">
        <f ca="1">IFERROR(__xludf.DUMMYFUNCTION("""COMPUTED_VALUE"""),110.81)</f>
        <v>110.81</v>
      </c>
      <c r="E599" s="1">
        <f ca="1">IFERROR(__xludf.DUMMYFUNCTION("""COMPUTED_VALUE"""),17.26)</f>
        <v>17.260000000000002</v>
      </c>
      <c r="F599" s="1">
        <f ca="1">IFERROR(__xludf.DUMMYFUNCTION("""COMPUTED_VALUE"""),200.04)</f>
        <v>200.04</v>
      </c>
      <c r="G599" s="1">
        <f ca="1">IFERROR(__xludf.DUMMYFUNCTION("""COMPUTED_VALUE"""),114.79)</f>
        <v>114.79</v>
      </c>
      <c r="H599" s="1">
        <f ca="1">IFERROR(__xludf.DUMMYFUNCTION("""COMPUTED_VALUE"""),241.46)</f>
        <v>241.46</v>
      </c>
      <c r="I599" s="1">
        <f ca="1">IFERROR(__xludf.DUMMYFUNCTION("""COMPUTED_VALUE"""),175.47)</f>
        <v>175.47</v>
      </c>
      <c r="J599" s="1">
        <f ca="1">IFERROR(__xludf.DUMMYFUNCTION("""COMPUTED_VALUE"""),494.53)</f>
        <v>494.53</v>
      </c>
      <c r="K599" s="1">
        <f ca="1">IFERROR(__xludf.DUMMYFUNCTION("""COMPUTED_VALUE"""),58.27)</f>
        <v>58.27</v>
      </c>
      <c r="L599" s="1">
        <f ca="1">IFERROR(__xludf.DUMMYFUNCTION("""COMPUTED_VALUE"""),402.86)</f>
        <v>402.86</v>
      </c>
      <c r="M599" s="1">
        <f ca="1">IFERROR(__xludf.DUMMYFUNCTION("""COMPUTED_VALUE"""),186.51)</f>
        <v>186.51</v>
      </c>
    </row>
    <row r="600" spans="1:13" x14ac:dyDescent="0.25">
      <c r="A600" s="2">
        <f ca="1">IFERROR(__xludf.DUMMYFUNCTION("""COMPUTED_VALUE"""),44699.6666666666)</f>
        <v>44699.666666666599</v>
      </c>
      <c r="B600" s="1">
        <f ca="1">IFERROR(__xludf.DUMMYFUNCTION("""COMPUTED_VALUE"""),140.82)</f>
        <v>140.82</v>
      </c>
      <c r="C600" s="1">
        <f ca="1">IFERROR(__xludf.DUMMYFUNCTION("""COMPUTED_VALUE"""),266.82)</f>
        <v>266.82</v>
      </c>
      <c r="D600" s="1">
        <f ca="1">IFERROR(__xludf.DUMMYFUNCTION("""COMPUTED_VALUE"""),115.37)</f>
        <v>115.37</v>
      </c>
      <c r="E600" s="1">
        <f ca="1">IFERROR(__xludf.DUMMYFUNCTION("""COMPUTED_VALUE"""),18.18)</f>
        <v>18.18</v>
      </c>
      <c r="F600" s="1">
        <f ca="1">IFERROR(__xludf.DUMMYFUNCTION("""COMPUTED_VALUE"""),202.62)</f>
        <v>202.62</v>
      </c>
      <c r="G600" s="1">
        <f ca="1">IFERROR(__xludf.DUMMYFUNCTION("""COMPUTED_VALUE"""),116.7)</f>
        <v>116.7</v>
      </c>
      <c r="H600" s="1">
        <f ca="1">IFERROR(__xludf.DUMMYFUNCTION("""COMPUTED_VALUE"""),253.87)</f>
        <v>253.87</v>
      </c>
      <c r="I600" s="1">
        <f ca="1">IFERROR(__xludf.DUMMYFUNCTION("""COMPUTED_VALUE"""),174.46)</f>
        <v>174.46</v>
      </c>
      <c r="J600" s="1">
        <f ca="1">IFERROR(__xludf.DUMMYFUNCTION("""COMPUTED_VALUE"""),490.47)</f>
        <v>490.47</v>
      </c>
      <c r="K600" s="1">
        <f ca="1">IFERROR(__xludf.DUMMYFUNCTION("""COMPUTED_VALUE"""),60.82)</f>
        <v>60.82</v>
      </c>
      <c r="L600" s="1">
        <f ca="1">IFERROR(__xludf.DUMMYFUNCTION("""COMPUTED_VALUE"""),409.65)</f>
        <v>409.65</v>
      </c>
      <c r="M600" s="1">
        <f ca="1">IFERROR(__xludf.DUMMYFUNCTION("""COMPUTED_VALUE"""),190.56)</f>
        <v>190.56</v>
      </c>
    </row>
    <row r="601" spans="1:13" x14ac:dyDescent="0.25">
      <c r="A601" s="2">
        <f ca="1">IFERROR(__xludf.DUMMYFUNCTION("""COMPUTED_VALUE"""),44700.6666666666)</f>
        <v>44700.666666666599</v>
      </c>
      <c r="B601" s="1">
        <f ca="1">IFERROR(__xludf.DUMMYFUNCTION("""COMPUTED_VALUE"""),137.35)</f>
        <v>137.35</v>
      </c>
      <c r="C601" s="1">
        <f ca="1">IFERROR(__xludf.DUMMYFUNCTION("""COMPUTED_VALUE"""),254.08)</f>
        <v>254.08</v>
      </c>
      <c r="D601" s="1">
        <f ca="1">IFERROR(__xludf.DUMMYFUNCTION("""COMPUTED_VALUE"""),107.11)</f>
        <v>107.11</v>
      </c>
      <c r="E601" s="1">
        <f ca="1">IFERROR(__xludf.DUMMYFUNCTION("""COMPUTED_VALUE"""),16.94)</f>
        <v>16.940000000000001</v>
      </c>
      <c r="F601" s="1">
        <f ca="1">IFERROR(__xludf.DUMMYFUNCTION("""COMPUTED_VALUE"""),192.24)</f>
        <v>192.24</v>
      </c>
      <c r="G601" s="1">
        <f ca="1">IFERROR(__xludf.DUMMYFUNCTION("""COMPUTED_VALUE"""),112.4)</f>
        <v>112.4</v>
      </c>
      <c r="H601" s="1">
        <f ca="1">IFERROR(__xludf.DUMMYFUNCTION("""COMPUTED_VALUE"""),236.6)</f>
        <v>236.6</v>
      </c>
      <c r="I601" s="1">
        <f ca="1">IFERROR(__xludf.DUMMYFUNCTION("""COMPUTED_VALUE"""),163.65)</f>
        <v>163.65</v>
      </c>
      <c r="J601" s="1">
        <f ca="1">IFERROR(__xludf.DUMMYFUNCTION("""COMPUTED_VALUE"""),429.4)</f>
        <v>429.4</v>
      </c>
      <c r="K601" s="1">
        <f ca="1">IFERROR(__xludf.DUMMYFUNCTION("""COMPUTED_VALUE"""),57.06)</f>
        <v>57.06</v>
      </c>
      <c r="L601" s="1">
        <f ca="1">IFERROR(__xludf.DUMMYFUNCTION("""COMPUTED_VALUE"""),397.88)</f>
        <v>397.88</v>
      </c>
      <c r="M601" s="1">
        <f ca="1">IFERROR(__xludf.DUMMYFUNCTION("""COMPUTED_VALUE"""),177.19)</f>
        <v>177.19</v>
      </c>
    </row>
    <row r="602" spans="1:13" x14ac:dyDescent="0.25">
      <c r="A602" s="2">
        <f ca="1">IFERROR(__xludf.DUMMYFUNCTION("""COMPUTED_VALUE"""),44701.6666666666)</f>
        <v>44701.666666666599</v>
      </c>
      <c r="B602" s="1">
        <f ca="1">IFERROR(__xludf.DUMMYFUNCTION("""COMPUTED_VALUE"""),137.59)</f>
        <v>137.59</v>
      </c>
      <c r="C602" s="1">
        <f ca="1">IFERROR(__xludf.DUMMYFUNCTION("""COMPUTED_VALUE"""),253.14)</f>
        <v>253.14</v>
      </c>
      <c r="D602" s="1">
        <f ca="1">IFERROR(__xludf.DUMMYFUNCTION("""COMPUTED_VALUE"""),107.32)</f>
        <v>107.32</v>
      </c>
      <c r="E602" s="1">
        <f ca="1">IFERROR(__xludf.DUMMYFUNCTION("""COMPUTED_VALUE"""),17.12)</f>
        <v>17.12</v>
      </c>
      <c r="F602" s="1">
        <f ca="1">IFERROR(__xludf.DUMMYFUNCTION("""COMPUTED_VALUE"""),191.29)</f>
        <v>191.29</v>
      </c>
      <c r="G602" s="1">
        <f ca="1">IFERROR(__xludf.DUMMYFUNCTION("""COMPUTED_VALUE"""),110.75)</f>
        <v>110.75</v>
      </c>
      <c r="H602" s="1">
        <f ca="1">IFERROR(__xludf.DUMMYFUNCTION("""COMPUTED_VALUE"""),236.47)</f>
        <v>236.47</v>
      </c>
      <c r="I602" s="1">
        <f ca="1">IFERROR(__xludf.DUMMYFUNCTION("""COMPUTED_VALUE"""),161.2)</f>
        <v>161.19999999999999</v>
      </c>
      <c r="J602" s="1">
        <f ca="1">IFERROR(__xludf.DUMMYFUNCTION("""COMPUTED_VALUE"""),422.93)</f>
        <v>422.93</v>
      </c>
      <c r="K602" s="1">
        <f ca="1">IFERROR(__xludf.DUMMYFUNCTION("""COMPUTED_VALUE"""),54.62)</f>
        <v>54.62</v>
      </c>
      <c r="L602" s="1">
        <f ca="1">IFERROR(__xludf.DUMMYFUNCTION("""COMPUTED_VALUE"""),394.38)</f>
        <v>394.38</v>
      </c>
      <c r="M602" s="1">
        <f ca="1">IFERROR(__xludf.DUMMYFUNCTION("""COMPUTED_VALUE"""),183.48)</f>
        <v>183.48</v>
      </c>
    </row>
    <row r="603" spans="1:13" x14ac:dyDescent="0.25">
      <c r="A603" s="2">
        <f ca="1">IFERROR(__xludf.DUMMYFUNCTION("""COMPUTED_VALUE"""),44704.6666666666)</f>
        <v>44704.666666666599</v>
      </c>
      <c r="B603" s="1">
        <f ca="1">IFERROR(__xludf.DUMMYFUNCTION("""COMPUTED_VALUE"""),143.11)</f>
        <v>143.11000000000001</v>
      </c>
      <c r="C603" s="1">
        <f ca="1">IFERROR(__xludf.DUMMYFUNCTION("""COMPUTED_VALUE"""),252.56)</f>
        <v>252.56</v>
      </c>
      <c r="D603" s="1">
        <f ca="1">IFERROR(__xludf.DUMMYFUNCTION("""COMPUTED_VALUE"""),107.59)</f>
        <v>107.59</v>
      </c>
      <c r="E603" s="1">
        <f ca="1">IFERROR(__xludf.DUMMYFUNCTION("""COMPUTED_VALUE"""),16.69)</f>
        <v>16.690000000000001</v>
      </c>
      <c r="F603" s="1">
        <f ca="1">IFERROR(__xludf.DUMMYFUNCTION("""COMPUTED_VALUE"""),193.54)</f>
        <v>193.54</v>
      </c>
      <c r="G603" s="1">
        <f ca="1">IFERROR(__xludf.DUMMYFUNCTION("""COMPUTED_VALUE"""),109.31)</f>
        <v>109.31</v>
      </c>
      <c r="H603" s="1">
        <f ca="1">IFERROR(__xludf.DUMMYFUNCTION("""COMPUTED_VALUE"""),221.3)</f>
        <v>221.3</v>
      </c>
      <c r="I603" s="1">
        <f ca="1">IFERROR(__xludf.DUMMYFUNCTION("""COMPUTED_VALUE"""),162.21)</f>
        <v>162.21</v>
      </c>
      <c r="J603" s="1">
        <f ca="1">IFERROR(__xludf.DUMMYFUNCTION("""COMPUTED_VALUE"""),416.43)</f>
        <v>416.43</v>
      </c>
      <c r="K603" s="1">
        <f ca="1">IFERROR(__xludf.DUMMYFUNCTION("""COMPUTED_VALUE"""),54.32)</f>
        <v>54.32</v>
      </c>
      <c r="L603" s="1">
        <f ca="1">IFERROR(__xludf.DUMMYFUNCTION("""COMPUTED_VALUE"""),399.09)</f>
        <v>399.09</v>
      </c>
      <c r="M603" s="1">
        <f ca="1">IFERROR(__xludf.DUMMYFUNCTION("""COMPUTED_VALUE"""),186.35)</f>
        <v>186.35</v>
      </c>
    </row>
    <row r="604" spans="1:13" x14ac:dyDescent="0.25">
      <c r="A604" s="2">
        <f ca="1">IFERROR(__xludf.DUMMYFUNCTION("""COMPUTED_VALUE"""),44705.6666666666)</f>
        <v>44705.666666666599</v>
      </c>
      <c r="B604" s="1">
        <f ca="1">IFERROR(__xludf.DUMMYFUNCTION("""COMPUTED_VALUE"""),140.36)</f>
        <v>140.36000000000001</v>
      </c>
      <c r="C604" s="1">
        <f ca="1">IFERROR(__xludf.DUMMYFUNCTION("""COMPUTED_VALUE"""),260.65)</f>
        <v>260.64999999999998</v>
      </c>
      <c r="D604" s="1">
        <f ca="1">IFERROR(__xludf.DUMMYFUNCTION("""COMPUTED_VALUE"""),107.56)</f>
        <v>107.56</v>
      </c>
      <c r="E604" s="1">
        <f ca="1">IFERROR(__xludf.DUMMYFUNCTION("""COMPUTED_VALUE"""),16.9)</f>
        <v>16.899999999999999</v>
      </c>
      <c r="F604" s="1">
        <f ca="1">IFERROR(__xludf.DUMMYFUNCTION("""COMPUTED_VALUE"""),196.23)</f>
        <v>196.23</v>
      </c>
      <c r="G604" s="1">
        <f ca="1">IFERROR(__xludf.DUMMYFUNCTION("""COMPUTED_VALUE"""),111.67)</f>
        <v>111.67</v>
      </c>
      <c r="H604" s="1">
        <f ca="1">IFERROR(__xludf.DUMMYFUNCTION("""COMPUTED_VALUE"""),224.97)</f>
        <v>224.97</v>
      </c>
      <c r="I604" s="1">
        <f ca="1">IFERROR(__xludf.DUMMYFUNCTION("""COMPUTED_VALUE"""),165.6)</f>
        <v>165.6</v>
      </c>
      <c r="J604" s="1">
        <f ca="1">IFERROR(__xludf.DUMMYFUNCTION("""COMPUTED_VALUE"""),429.48)</f>
        <v>429.48</v>
      </c>
      <c r="K604" s="1">
        <f ca="1">IFERROR(__xludf.DUMMYFUNCTION("""COMPUTED_VALUE"""),52.64)</f>
        <v>52.64</v>
      </c>
      <c r="L604" s="1">
        <f ca="1">IFERROR(__xludf.DUMMYFUNCTION("""COMPUTED_VALUE"""),406.76)</f>
        <v>406.76</v>
      </c>
      <c r="M604" s="1">
        <f ca="1">IFERROR(__xludf.DUMMYFUNCTION("""COMPUTED_VALUE"""),187.44)</f>
        <v>187.44</v>
      </c>
    </row>
    <row r="605" spans="1:13" x14ac:dyDescent="0.25">
      <c r="A605" s="2">
        <f ca="1">IFERROR(__xludf.DUMMYFUNCTION("""COMPUTED_VALUE"""),44706.6666666666)</f>
        <v>44706.666666666599</v>
      </c>
      <c r="B605" s="1">
        <f ca="1">IFERROR(__xludf.DUMMYFUNCTION("""COMPUTED_VALUE"""),140.52)</f>
        <v>140.52000000000001</v>
      </c>
      <c r="C605" s="1">
        <f ca="1">IFERROR(__xludf.DUMMYFUNCTION("""COMPUTED_VALUE"""),259.62)</f>
        <v>259.62</v>
      </c>
      <c r="D605" s="1">
        <f ca="1">IFERROR(__xludf.DUMMYFUNCTION("""COMPUTED_VALUE"""),104.1)</f>
        <v>104.1</v>
      </c>
      <c r="E605" s="1">
        <f ca="1">IFERROR(__xludf.DUMMYFUNCTION("""COMPUTED_VALUE"""),16.15)</f>
        <v>16.149999999999999</v>
      </c>
      <c r="F605" s="1">
        <f ca="1">IFERROR(__xludf.DUMMYFUNCTION("""COMPUTED_VALUE"""),181.28)</f>
        <v>181.28</v>
      </c>
      <c r="G605" s="1">
        <f ca="1">IFERROR(__xludf.DUMMYFUNCTION("""COMPUTED_VALUE"""),105.93)</f>
        <v>105.93</v>
      </c>
      <c r="H605" s="1">
        <f ca="1">IFERROR(__xludf.DUMMYFUNCTION("""COMPUTED_VALUE"""),209.39)</f>
        <v>209.39</v>
      </c>
      <c r="I605" s="1">
        <f ca="1">IFERROR(__xludf.DUMMYFUNCTION("""COMPUTED_VALUE"""),167.82)</f>
        <v>167.82</v>
      </c>
      <c r="J605" s="1">
        <f ca="1">IFERROR(__xludf.DUMMYFUNCTION("""COMPUTED_VALUE"""),437.71)</f>
        <v>437.71</v>
      </c>
      <c r="K605" s="1">
        <f ca="1">IFERROR(__xludf.DUMMYFUNCTION("""COMPUTED_VALUE"""),52.42)</f>
        <v>52.42</v>
      </c>
      <c r="L605" s="1">
        <f ca="1">IFERROR(__xludf.DUMMYFUNCTION("""COMPUTED_VALUE"""),398.41)</f>
        <v>398.41</v>
      </c>
      <c r="M605" s="1">
        <f ca="1">IFERROR(__xludf.DUMMYFUNCTION("""COMPUTED_VALUE"""),180.34)</f>
        <v>180.34</v>
      </c>
    </row>
    <row r="606" spans="1:13" x14ac:dyDescent="0.25">
      <c r="A606" s="2">
        <f ca="1">IFERROR(__xludf.DUMMYFUNCTION("""COMPUTED_VALUE"""),44707.6666666666)</f>
        <v>44707.666666666599</v>
      </c>
      <c r="B606" s="1">
        <f ca="1">IFERROR(__xludf.DUMMYFUNCTION("""COMPUTED_VALUE"""),143.78)</f>
        <v>143.78</v>
      </c>
      <c r="C606" s="1">
        <f ca="1">IFERROR(__xludf.DUMMYFUNCTION("""COMPUTED_VALUE"""),262.52)</f>
        <v>262.52</v>
      </c>
      <c r="D606" s="1">
        <f ca="1">IFERROR(__xludf.DUMMYFUNCTION("""COMPUTED_VALUE"""),106.78)</f>
        <v>106.78</v>
      </c>
      <c r="E606" s="1">
        <f ca="1">IFERROR(__xludf.DUMMYFUNCTION("""COMPUTED_VALUE"""),16.98)</f>
        <v>16.98</v>
      </c>
      <c r="F606" s="1">
        <f ca="1">IFERROR(__xludf.DUMMYFUNCTION("""COMPUTED_VALUE"""),183.83)</f>
        <v>183.83</v>
      </c>
      <c r="G606" s="1">
        <f ca="1">IFERROR(__xludf.DUMMYFUNCTION("""COMPUTED_VALUE"""),105.84)</f>
        <v>105.84</v>
      </c>
      <c r="H606" s="1">
        <f ca="1">IFERROR(__xludf.DUMMYFUNCTION("""COMPUTED_VALUE"""),219.6)</f>
        <v>219.6</v>
      </c>
      <c r="I606" s="1">
        <f ca="1">IFERROR(__xludf.DUMMYFUNCTION("""COMPUTED_VALUE"""),168.97)</f>
        <v>168.97</v>
      </c>
      <c r="J606" s="1">
        <f ca="1">IFERROR(__xludf.DUMMYFUNCTION("""COMPUTED_VALUE"""),440.11)</f>
        <v>440.11</v>
      </c>
      <c r="K606" s="1">
        <f ca="1">IFERROR(__xludf.DUMMYFUNCTION("""COMPUTED_VALUE"""),53.16)</f>
        <v>53.16</v>
      </c>
      <c r="L606" s="1">
        <f ca="1">IFERROR(__xludf.DUMMYFUNCTION("""COMPUTED_VALUE"""),402.5)</f>
        <v>402.5</v>
      </c>
      <c r="M606" s="1">
        <f ca="1">IFERROR(__xludf.DUMMYFUNCTION("""COMPUTED_VALUE"""),187.83)</f>
        <v>187.83</v>
      </c>
    </row>
    <row r="607" spans="1:13" x14ac:dyDescent="0.25">
      <c r="A607" s="2">
        <f ca="1">IFERROR(__xludf.DUMMYFUNCTION("""COMPUTED_VALUE"""),44708.6666666666)</f>
        <v>44708.666666666599</v>
      </c>
      <c r="B607" s="1">
        <f ca="1">IFERROR(__xludf.DUMMYFUNCTION("""COMPUTED_VALUE"""),149.64)</f>
        <v>149.63999999999999</v>
      </c>
      <c r="C607" s="1">
        <f ca="1">IFERROR(__xludf.DUMMYFUNCTION("""COMPUTED_VALUE"""),265.9)</f>
        <v>265.89999999999998</v>
      </c>
      <c r="D607" s="1">
        <f ca="1">IFERROR(__xludf.DUMMYFUNCTION("""COMPUTED_VALUE"""),111.08)</f>
        <v>111.08</v>
      </c>
      <c r="E607" s="1">
        <f ca="1">IFERROR(__xludf.DUMMYFUNCTION("""COMPUTED_VALUE"""),17.85)</f>
        <v>17.850000000000001</v>
      </c>
      <c r="F607" s="1">
        <f ca="1">IFERROR(__xludf.DUMMYFUNCTION("""COMPUTED_VALUE"""),191.63)</f>
        <v>191.63</v>
      </c>
      <c r="G607" s="1">
        <f ca="1">IFERROR(__xludf.DUMMYFUNCTION("""COMPUTED_VALUE"""),108.3)</f>
        <v>108.3</v>
      </c>
      <c r="H607" s="1">
        <f ca="1">IFERROR(__xludf.DUMMYFUNCTION("""COMPUTED_VALUE"""),235.91)</f>
        <v>235.91</v>
      </c>
      <c r="I607" s="1">
        <f ca="1">IFERROR(__xludf.DUMMYFUNCTION("""COMPUTED_VALUE"""),170.11)</f>
        <v>170.11</v>
      </c>
      <c r="J607" s="1">
        <f ca="1">IFERROR(__xludf.DUMMYFUNCTION("""COMPUTED_VALUE"""),464.99)</f>
        <v>464.99</v>
      </c>
      <c r="K607" s="1">
        <f ca="1">IFERROR(__xludf.DUMMYFUNCTION("""COMPUTED_VALUE"""),55.07)</f>
        <v>55.07</v>
      </c>
      <c r="L607" s="1">
        <f ca="1">IFERROR(__xludf.DUMMYFUNCTION("""COMPUTED_VALUE"""),408.6)</f>
        <v>408.6</v>
      </c>
      <c r="M607" s="1">
        <f ca="1">IFERROR(__xludf.DUMMYFUNCTION("""COMPUTED_VALUE"""),191.4)</f>
        <v>191.4</v>
      </c>
    </row>
    <row r="608" spans="1:13" x14ac:dyDescent="0.25">
      <c r="A608" s="2">
        <f ca="1">IFERROR(__xludf.DUMMYFUNCTION("""COMPUTED_VALUE"""),44712.6666666666)</f>
        <v>44712.666666666599</v>
      </c>
      <c r="B608" s="1">
        <f ca="1">IFERROR(__xludf.DUMMYFUNCTION("""COMPUTED_VALUE"""),148.84)</f>
        <v>148.84</v>
      </c>
      <c r="C608" s="1">
        <f ca="1">IFERROR(__xludf.DUMMYFUNCTION("""COMPUTED_VALUE"""),273.24)</f>
        <v>273.24</v>
      </c>
      <c r="D608" s="1">
        <f ca="1">IFERROR(__xludf.DUMMYFUNCTION("""COMPUTED_VALUE"""),115.15)</f>
        <v>115.15</v>
      </c>
      <c r="E608" s="1">
        <f ca="1">IFERROR(__xludf.DUMMYFUNCTION("""COMPUTED_VALUE"""),18.81)</f>
        <v>18.809999999999999</v>
      </c>
      <c r="F608" s="1">
        <f ca="1">IFERROR(__xludf.DUMMYFUNCTION("""COMPUTED_VALUE"""),195.13)</f>
        <v>195.13</v>
      </c>
      <c r="G608" s="1">
        <f ca="1">IFERROR(__xludf.DUMMYFUNCTION("""COMPUTED_VALUE"""),112.8)</f>
        <v>112.8</v>
      </c>
      <c r="H608" s="1">
        <f ca="1">IFERROR(__xludf.DUMMYFUNCTION("""COMPUTED_VALUE"""),253.21)</f>
        <v>253.21</v>
      </c>
      <c r="I608" s="1">
        <f ca="1">IFERROR(__xludf.DUMMYFUNCTION("""COMPUTED_VALUE"""),171.77)</f>
        <v>171.77</v>
      </c>
      <c r="J608" s="1">
        <f ca="1">IFERROR(__xludf.DUMMYFUNCTION("""COMPUTED_VALUE"""),470.76)</f>
        <v>470.76</v>
      </c>
      <c r="K608" s="1">
        <f ca="1">IFERROR(__xludf.DUMMYFUNCTION("""COMPUTED_VALUE"""),58.33)</f>
        <v>58.33</v>
      </c>
      <c r="L608" s="1">
        <f ca="1">IFERROR(__xludf.DUMMYFUNCTION("""COMPUTED_VALUE"""),428.22)</f>
        <v>428.22</v>
      </c>
      <c r="M608" s="1">
        <f ca="1">IFERROR(__xludf.DUMMYFUNCTION("""COMPUTED_VALUE"""),195.19)</f>
        <v>195.19</v>
      </c>
    </row>
    <row r="609" spans="1:13" x14ac:dyDescent="0.25">
      <c r="A609" s="2">
        <f ca="1">IFERROR(__xludf.DUMMYFUNCTION("""COMPUTED_VALUE"""),44713.6666666666)</f>
        <v>44713.666666666599</v>
      </c>
      <c r="B609" s="1">
        <f ca="1">IFERROR(__xludf.DUMMYFUNCTION("""COMPUTED_VALUE"""),148.71)</f>
        <v>148.71</v>
      </c>
      <c r="C609" s="1">
        <f ca="1">IFERROR(__xludf.DUMMYFUNCTION("""COMPUTED_VALUE"""),271.87)</f>
        <v>271.87</v>
      </c>
      <c r="D609" s="1">
        <f ca="1">IFERROR(__xludf.DUMMYFUNCTION("""COMPUTED_VALUE"""),120.21)</f>
        <v>120.21</v>
      </c>
      <c r="E609" s="1">
        <f ca="1">IFERROR(__xludf.DUMMYFUNCTION("""COMPUTED_VALUE"""),18.67)</f>
        <v>18.670000000000002</v>
      </c>
      <c r="F609" s="1">
        <f ca="1">IFERROR(__xludf.DUMMYFUNCTION("""COMPUTED_VALUE"""),193.64)</f>
        <v>193.64</v>
      </c>
      <c r="G609" s="1">
        <f ca="1">IFERROR(__xludf.DUMMYFUNCTION("""COMPUTED_VALUE"""),114.04)</f>
        <v>114.04</v>
      </c>
      <c r="H609" s="1">
        <f ca="1">IFERROR(__xludf.DUMMYFUNCTION("""COMPUTED_VALUE"""),252.75)</f>
        <v>252.75</v>
      </c>
      <c r="I609" s="1">
        <f ca="1">IFERROR(__xludf.DUMMYFUNCTION("""COMPUTED_VALUE"""),167.75)</f>
        <v>167.75</v>
      </c>
      <c r="J609" s="1">
        <f ca="1">IFERROR(__xludf.DUMMYFUNCTION("""COMPUTED_VALUE"""),466.22)</f>
        <v>466.22</v>
      </c>
      <c r="K609" s="1">
        <f ca="1">IFERROR(__xludf.DUMMYFUNCTION("""COMPUTED_VALUE"""),58.01)</f>
        <v>58.01</v>
      </c>
      <c r="L609" s="1">
        <f ca="1">IFERROR(__xludf.DUMMYFUNCTION("""COMPUTED_VALUE"""),416.48)</f>
        <v>416.48</v>
      </c>
      <c r="M609" s="1">
        <f ca="1">IFERROR(__xludf.DUMMYFUNCTION("""COMPUTED_VALUE"""),197.44)</f>
        <v>197.44</v>
      </c>
    </row>
    <row r="610" spans="1:13" x14ac:dyDescent="0.25">
      <c r="A610" s="2">
        <f ca="1">IFERROR(__xludf.DUMMYFUNCTION("""COMPUTED_VALUE"""),44714.6666666666)</f>
        <v>44714.666666666599</v>
      </c>
      <c r="B610" s="1">
        <f ca="1">IFERROR(__xludf.DUMMYFUNCTION("""COMPUTED_VALUE"""),151.21)</f>
        <v>151.21</v>
      </c>
      <c r="C610" s="1">
        <f ca="1">IFERROR(__xludf.DUMMYFUNCTION("""COMPUTED_VALUE"""),272.42)</f>
        <v>272.42</v>
      </c>
      <c r="D610" s="1">
        <f ca="1">IFERROR(__xludf.DUMMYFUNCTION("""COMPUTED_VALUE"""),121.68)</f>
        <v>121.68</v>
      </c>
      <c r="E610" s="1">
        <f ca="1">IFERROR(__xludf.DUMMYFUNCTION("""COMPUTED_VALUE"""),18.32)</f>
        <v>18.32</v>
      </c>
      <c r="F610" s="1">
        <f ca="1">IFERROR(__xludf.DUMMYFUNCTION("""COMPUTED_VALUE"""),188.64)</f>
        <v>188.64</v>
      </c>
      <c r="G610" s="1">
        <f ca="1">IFERROR(__xludf.DUMMYFUNCTION("""COMPUTED_VALUE"""),114.14)</f>
        <v>114.14</v>
      </c>
      <c r="H610" s="1">
        <f ca="1">IFERROR(__xludf.DUMMYFUNCTION("""COMPUTED_VALUE"""),246.79)</f>
        <v>246.79</v>
      </c>
      <c r="I610" s="1">
        <f ca="1">IFERROR(__xludf.DUMMYFUNCTION("""COMPUTED_VALUE"""),166.49)</f>
        <v>166.49</v>
      </c>
      <c r="J610" s="1">
        <f ca="1">IFERROR(__xludf.DUMMYFUNCTION("""COMPUTED_VALUE"""),456.99)</f>
        <v>456.99</v>
      </c>
      <c r="K610" s="1">
        <f ca="1">IFERROR(__xludf.DUMMYFUNCTION("""COMPUTED_VALUE"""),57.36)</f>
        <v>57.36</v>
      </c>
      <c r="L610" s="1">
        <f ca="1">IFERROR(__xludf.DUMMYFUNCTION("""COMPUTED_VALUE"""),418.16)</f>
        <v>418.16</v>
      </c>
      <c r="M610" s="1">
        <f ca="1">IFERROR(__xludf.DUMMYFUNCTION("""COMPUTED_VALUE"""),192.91)</f>
        <v>192.91</v>
      </c>
    </row>
    <row r="611" spans="1:13" x14ac:dyDescent="0.25">
      <c r="A611" s="2">
        <f ca="1">IFERROR(__xludf.DUMMYFUNCTION("""COMPUTED_VALUE"""),44715.6666666666)</f>
        <v>44715.666666666599</v>
      </c>
      <c r="B611" s="1">
        <f ca="1">IFERROR(__xludf.DUMMYFUNCTION("""COMPUTED_VALUE"""),145.38)</f>
        <v>145.38</v>
      </c>
      <c r="C611" s="1">
        <f ca="1">IFERROR(__xludf.DUMMYFUNCTION("""COMPUTED_VALUE"""),274.58)</f>
        <v>274.58</v>
      </c>
      <c r="D611" s="1">
        <f ca="1">IFERROR(__xludf.DUMMYFUNCTION("""COMPUTED_VALUE"""),125.51)</f>
        <v>125.51</v>
      </c>
      <c r="E611" s="1">
        <f ca="1">IFERROR(__xludf.DUMMYFUNCTION("""COMPUTED_VALUE"""),19.59)</f>
        <v>19.59</v>
      </c>
      <c r="F611" s="1">
        <f ca="1">IFERROR(__xludf.DUMMYFUNCTION("""COMPUTED_VALUE"""),198.86)</f>
        <v>198.86</v>
      </c>
      <c r="G611" s="1">
        <f ca="1">IFERROR(__xludf.DUMMYFUNCTION("""COMPUTED_VALUE"""),117.75)</f>
        <v>117.75</v>
      </c>
      <c r="H611" s="1">
        <f ca="1">IFERROR(__xludf.DUMMYFUNCTION("""COMPUTED_VALUE"""),258.33)</f>
        <v>258.33</v>
      </c>
      <c r="I611" s="1">
        <f ca="1">IFERROR(__xludf.DUMMYFUNCTION("""COMPUTED_VALUE"""),166.68)</f>
        <v>166.68</v>
      </c>
      <c r="J611" s="1">
        <f ca="1">IFERROR(__xludf.DUMMYFUNCTION("""COMPUTED_VALUE"""),487.61)</f>
        <v>487.61</v>
      </c>
      <c r="K611" s="1">
        <f ca="1">IFERROR(__xludf.DUMMYFUNCTION("""COMPUTED_VALUE"""),57.67)</f>
        <v>57.67</v>
      </c>
      <c r="L611" s="1">
        <f ca="1">IFERROR(__xludf.DUMMYFUNCTION("""COMPUTED_VALUE"""),441.28)</f>
        <v>441.28</v>
      </c>
      <c r="M611" s="1">
        <f ca="1">IFERROR(__xludf.DUMMYFUNCTION("""COMPUTED_VALUE"""),205.09)</f>
        <v>205.09</v>
      </c>
    </row>
    <row r="612" spans="1:13" x14ac:dyDescent="0.25">
      <c r="A612" s="2">
        <f ca="1">IFERROR(__xludf.DUMMYFUNCTION("""COMPUTED_VALUE"""),44718.6666666666)</f>
        <v>44718.666666666599</v>
      </c>
      <c r="B612" s="1">
        <f ca="1">IFERROR(__xludf.DUMMYFUNCTION("""COMPUTED_VALUE"""),146.14)</f>
        <v>146.13999999999999</v>
      </c>
      <c r="C612" s="1">
        <f ca="1">IFERROR(__xludf.DUMMYFUNCTION("""COMPUTED_VALUE"""),270.02)</f>
        <v>270.02</v>
      </c>
      <c r="D612" s="1">
        <f ca="1">IFERROR(__xludf.DUMMYFUNCTION("""COMPUTED_VALUE"""),122.35)</f>
        <v>122.35</v>
      </c>
      <c r="E612" s="1">
        <f ca="1">IFERROR(__xludf.DUMMYFUNCTION("""COMPUTED_VALUE"""),18.72)</f>
        <v>18.72</v>
      </c>
      <c r="F612" s="1">
        <f ca="1">IFERROR(__xludf.DUMMYFUNCTION("""COMPUTED_VALUE"""),190.78)</f>
        <v>190.78</v>
      </c>
      <c r="G612" s="1">
        <f ca="1">IFERROR(__xludf.DUMMYFUNCTION("""COMPUTED_VALUE"""),114.56)</f>
        <v>114.56</v>
      </c>
      <c r="H612" s="1">
        <f ca="1">IFERROR(__xludf.DUMMYFUNCTION("""COMPUTED_VALUE"""),234.52)</f>
        <v>234.52</v>
      </c>
      <c r="I612" s="1">
        <f ca="1">IFERROR(__xludf.DUMMYFUNCTION("""COMPUTED_VALUE"""),164.85)</f>
        <v>164.85</v>
      </c>
      <c r="J612" s="1">
        <f ca="1">IFERROR(__xludf.DUMMYFUNCTION("""COMPUTED_VALUE"""),476.25)</f>
        <v>476.25</v>
      </c>
      <c r="K612" s="1">
        <f ca="1">IFERROR(__xludf.DUMMYFUNCTION("""COMPUTED_VALUE"""),56.33)</f>
        <v>56.33</v>
      </c>
      <c r="L612" s="1">
        <f ca="1">IFERROR(__xludf.DUMMYFUNCTION("""COMPUTED_VALUE"""),429.76)</f>
        <v>429.76</v>
      </c>
      <c r="M612" s="1">
        <f ca="1">IFERROR(__xludf.DUMMYFUNCTION("""COMPUTED_VALUE"""),198.98)</f>
        <v>198.98</v>
      </c>
    </row>
    <row r="613" spans="1:13" x14ac:dyDescent="0.25">
      <c r="A613" s="2">
        <f ca="1">IFERROR(__xludf.DUMMYFUNCTION("""COMPUTED_VALUE"""),44719.6666666666)</f>
        <v>44719.666666666599</v>
      </c>
      <c r="B613" s="1">
        <f ca="1">IFERROR(__xludf.DUMMYFUNCTION("""COMPUTED_VALUE"""),148.71)</f>
        <v>148.71</v>
      </c>
      <c r="C613" s="1">
        <f ca="1">IFERROR(__xludf.DUMMYFUNCTION("""COMPUTED_VALUE"""),268.75)</f>
        <v>268.75</v>
      </c>
      <c r="D613" s="1">
        <f ca="1">IFERROR(__xludf.DUMMYFUNCTION("""COMPUTED_VALUE"""),124.79)</f>
        <v>124.79</v>
      </c>
      <c r="E613" s="1">
        <f ca="1">IFERROR(__xludf.DUMMYFUNCTION("""COMPUTED_VALUE"""),18.79)</f>
        <v>18.79</v>
      </c>
      <c r="F613" s="1">
        <f ca="1">IFERROR(__xludf.DUMMYFUNCTION("""COMPUTED_VALUE"""),194.25)</f>
        <v>194.25</v>
      </c>
      <c r="G613" s="1">
        <f ca="1">IFERROR(__xludf.DUMMYFUNCTION("""COMPUTED_VALUE"""),117.01)</f>
        <v>117.01</v>
      </c>
      <c r="H613" s="1">
        <f ca="1">IFERROR(__xludf.DUMMYFUNCTION("""COMPUTED_VALUE"""),238.28)</f>
        <v>238.28</v>
      </c>
      <c r="I613" s="1">
        <f ca="1">IFERROR(__xludf.DUMMYFUNCTION("""COMPUTED_VALUE"""),165.54)</f>
        <v>165.54</v>
      </c>
      <c r="J613" s="1">
        <f ca="1">IFERROR(__xludf.DUMMYFUNCTION("""COMPUTED_VALUE"""),472.47)</f>
        <v>472.47</v>
      </c>
      <c r="K613" s="1">
        <f ca="1">IFERROR(__xludf.DUMMYFUNCTION("""COMPUTED_VALUE"""),56.12)</f>
        <v>56.12</v>
      </c>
      <c r="L613" s="1">
        <f ca="1">IFERROR(__xludf.DUMMYFUNCTION("""COMPUTED_VALUE"""),429.46)</f>
        <v>429.46</v>
      </c>
      <c r="M613" s="1">
        <f ca="1">IFERROR(__xludf.DUMMYFUNCTION("""COMPUTED_VALUE"""),197.14)</f>
        <v>197.14</v>
      </c>
    </row>
    <row r="614" spans="1:13" x14ac:dyDescent="0.25">
      <c r="A614" s="2">
        <f ca="1">IFERROR(__xludf.DUMMYFUNCTION("""COMPUTED_VALUE"""),44720.6666666666)</f>
        <v>44720.666666666599</v>
      </c>
      <c r="B614" s="1">
        <f ca="1">IFERROR(__xludf.DUMMYFUNCTION("""COMPUTED_VALUE"""),147.96)</f>
        <v>147.96</v>
      </c>
      <c r="C614" s="1">
        <f ca="1">IFERROR(__xludf.DUMMYFUNCTION("""COMPUTED_VALUE"""),272.5)</f>
        <v>272.5</v>
      </c>
      <c r="D614" s="1">
        <f ca="1">IFERROR(__xludf.DUMMYFUNCTION("""COMPUTED_VALUE"""),123)</f>
        <v>123</v>
      </c>
      <c r="E614" s="1">
        <f ca="1">IFERROR(__xludf.DUMMYFUNCTION("""COMPUTED_VALUE"""),18.93)</f>
        <v>18.93</v>
      </c>
      <c r="F614" s="1">
        <f ca="1">IFERROR(__xludf.DUMMYFUNCTION("""COMPUTED_VALUE"""),195.65)</f>
        <v>195.65</v>
      </c>
      <c r="G614" s="1">
        <f ca="1">IFERROR(__xludf.DUMMYFUNCTION("""COMPUTED_VALUE"""),117.23)</f>
        <v>117.23</v>
      </c>
      <c r="H614" s="1">
        <f ca="1">IFERROR(__xludf.DUMMYFUNCTION("""COMPUTED_VALUE"""),238.89)</f>
        <v>238.89</v>
      </c>
      <c r="I614" s="1">
        <f ca="1">IFERROR(__xludf.DUMMYFUNCTION("""COMPUTED_VALUE"""),166.56)</f>
        <v>166.56</v>
      </c>
      <c r="J614" s="1">
        <f ca="1">IFERROR(__xludf.DUMMYFUNCTION("""COMPUTED_VALUE"""),471.78)</f>
        <v>471.78</v>
      </c>
      <c r="K614" s="1">
        <f ca="1">IFERROR(__xludf.DUMMYFUNCTION("""COMPUTED_VALUE"""),57.3)</f>
        <v>57.3</v>
      </c>
      <c r="L614" s="1">
        <f ca="1">IFERROR(__xludf.DUMMYFUNCTION("""COMPUTED_VALUE"""),433.42)</f>
        <v>433.42</v>
      </c>
      <c r="M614" s="1">
        <f ca="1">IFERROR(__xludf.DUMMYFUNCTION("""COMPUTED_VALUE"""),198.61)</f>
        <v>198.61</v>
      </c>
    </row>
    <row r="615" spans="1:13" x14ac:dyDescent="0.25">
      <c r="A615" s="2">
        <f ca="1">IFERROR(__xludf.DUMMYFUNCTION("""COMPUTED_VALUE"""),44721.6666666666)</f>
        <v>44721.666666666599</v>
      </c>
      <c r="B615" s="1">
        <f ca="1">IFERROR(__xludf.DUMMYFUNCTION("""COMPUTED_VALUE"""),142.64)</f>
        <v>142.63999999999999</v>
      </c>
      <c r="C615" s="1">
        <f ca="1">IFERROR(__xludf.DUMMYFUNCTION("""COMPUTED_VALUE"""),270.41)</f>
        <v>270.41000000000003</v>
      </c>
      <c r="D615" s="1">
        <f ca="1">IFERROR(__xludf.DUMMYFUNCTION("""COMPUTED_VALUE"""),121.18)</f>
        <v>121.18</v>
      </c>
      <c r="E615" s="1">
        <f ca="1">IFERROR(__xludf.DUMMYFUNCTION("""COMPUTED_VALUE"""),18.65)</f>
        <v>18.649999999999999</v>
      </c>
      <c r="F615" s="1">
        <f ca="1">IFERROR(__xludf.DUMMYFUNCTION("""COMPUTED_VALUE"""),196.64)</f>
        <v>196.64</v>
      </c>
      <c r="G615" s="1">
        <f ca="1">IFERROR(__xludf.DUMMYFUNCTION("""COMPUTED_VALUE"""),117.24)</f>
        <v>117.24</v>
      </c>
      <c r="H615" s="1">
        <f ca="1">IFERROR(__xludf.DUMMYFUNCTION("""COMPUTED_VALUE"""),241.87)</f>
        <v>241.87</v>
      </c>
      <c r="I615" s="1">
        <f ca="1">IFERROR(__xludf.DUMMYFUNCTION("""COMPUTED_VALUE"""),165.73)</f>
        <v>165.73</v>
      </c>
      <c r="J615" s="1">
        <f ca="1">IFERROR(__xludf.DUMMYFUNCTION("""COMPUTED_VALUE"""),467.99)</f>
        <v>467.99</v>
      </c>
      <c r="K615" s="1">
        <f ca="1">IFERROR(__xludf.DUMMYFUNCTION("""COMPUTED_VALUE"""),56.54)</f>
        <v>56.54</v>
      </c>
      <c r="L615" s="1">
        <f ca="1">IFERROR(__xludf.DUMMYFUNCTION("""COMPUTED_VALUE"""),428.84)</f>
        <v>428.84</v>
      </c>
      <c r="M615" s="1">
        <f ca="1">IFERROR(__xludf.DUMMYFUNCTION("""COMPUTED_VALUE"""),202.83)</f>
        <v>202.83</v>
      </c>
    </row>
    <row r="616" spans="1:13" x14ac:dyDescent="0.25">
      <c r="A616" s="2">
        <f ca="1">IFERROR(__xludf.DUMMYFUNCTION("""COMPUTED_VALUE"""),44722.6666666666)</f>
        <v>44722.666666666599</v>
      </c>
      <c r="B616" s="1">
        <f ca="1">IFERROR(__xludf.DUMMYFUNCTION("""COMPUTED_VALUE"""),137.13)</f>
        <v>137.13</v>
      </c>
      <c r="C616" s="1">
        <f ca="1">IFERROR(__xludf.DUMMYFUNCTION("""COMPUTED_VALUE"""),264.79)</f>
        <v>264.79000000000002</v>
      </c>
      <c r="D616" s="1">
        <f ca="1">IFERROR(__xludf.DUMMYFUNCTION("""COMPUTED_VALUE"""),116.15)</f>
        <v>116.15</v>
      </c>
      <c r="E616" s="1">
        <f ca="1">IFERROR(__xludf.DUMMYFUNCTION("""COMPUTED_VALUE"""),18.05)</f>
        <v>18.05</v>
      </c>
      <c r="F616" s="1">
        <f ca="1">IFERROR(__xludf.DUMMYFUNCTION("""COMPUTED_VALUE"""),184)</f>
        <v>184</v>
      </c>
      <c r="G616" s="1">
        <f ca="1">IFERROR(__xludf.DUMMYFUNCTION("""COMPUTED_VALUE"""),114.92)</f>
        <v>114.92</v>
      </c>
      <c r="H616" s="1">
        <f ca="1">IFERROR(__xludf.DUMMYFUNCTION("""COMPUTED_VALUE"""),239.71)</f>
        <v>239.71</v>
      </c>
      <c r="I616" s="1">
        <f ca="1">IFERROR(__xludf.DUMMYFUNCTION("""COMPUTED_VALUE"""),162.78)</f>
        <v>162.78</v>
      </c>
      <c r="J616" s="1">
        <f ca="1">IFERROR(__xludf.DUMMYFUNCTION("""COMPUTED_VALUE"""),472.05)</f>
        <v>472.05</v>
      </c>
      <c r="K616" s="1">
        <f ca="1">IFERROR(__xludf.DUMMYFUNCTION("""COMPUTED_VALUE"""),55.62)</f>
        <v>55.62</v>
      </c>
      <c r="L616" s="1">
        <f ca="1">IFERROR(__xludf.DUMMYFUNCTION("""COMPUTED_VALUE"""),426.42)</f>
        <v>426.42</v>
      </c>
      <c r="M616" s="1">
        <f ca="1">IFERROR(__xludf.DUMMYFUNCTION("""COMPUTED_VALUE"""),192.77)</f>
        <v>192.77</v>
      </c>
    </row>
    <row r="617" spans="1:13" x14ac:dyDescent="0.25">
      <c r="A617" s="2">
        <f ca="1">IFERROR(__xludf.DUMMYFUNCTION("""COMPUTED_VALUE"""),44725.6666666666)</f>
        <v>44725.666666666599</v>
      </c>
      <c r="B617" s="1">
        <f ca="1">IFERROR(__xludf.DUMMYFUNCTION("""COMPUTED_VALUE"""),131.88)</f>
        <v>131.88</v>
      </c>
      <c r="C617" s="1">
        <f ca="1">IFERROR(__xludf.DUMMYFUNCTION("""COMPUTED_VALUE"""),252.99)</f>
        <v>252.99</v>
      </c>
      <c r="D617" s="1">
        <f ca="1">IFERROR(__xludf.DUMMYFUNCTION("""COMPUTED_VALUE"""),109.65)</f>
        <v>109.65</v>
      </c>
      <c r="E617" s="1">
        <f ca="1">IFERROR(__xludf.DUMMYFUNCTION("""COMPUTED_VALUE"""),16.97)</f>
        <v>16.97</v>
      </c>
      <c r="F617" s="1">
        <f ca="1">IFERROR(__xludf.DUMMYFUNCTION("""COMPUTED_VALUE"""),175.57)</f>
        <v>175.57</v>
      </c>
      <c r="G617" s="1">
        <f ca="1">IFERROR(__xludf.DUMMYFUNCTION("""COMPUTED_VALUE"""),111.43)</f>
        <v>111.43</v>
      </c>
      <c r="H617" s="1">
        <f ca="1">IFERROR(__xludf.DUMMYFUNCTION("""COMPUTED_VALUE"""),232.23)</f>
        <v>232.23</v>
      </c>
      <c r="I617" s="1">
        <f ca="1">IFERROR(__xludf.DUMMYFUNCTION("""COMPUTED_VALUE"""),162.52)</f>
        <v>162.52000000000001</v>
      </c>
      <c r="J617" s="1">
        <f ca="1">IFERROR(__xludf.DUMMYFUNCTION("""COMPUTED_VALUE"""),463.31)</f>
        <v>463.31</v>
      </c>
      <c r="K617" s="1">
        <f ca="1">IFERROR(__xludf.DUMMYFUNCTION("""COMPUTED_VALUE"""),54.13)</f>
        <v>54.13</v>
      </c>
      <c r="L617" s="1">
        <f ca="1">IFERROR(__xludf.DUMMYFUNCTION("""COMPUTED_VALUE"""),393.84)</f>
        <v>393.84</v>
      </c>
      <c r="M617" s="1">
        <f ca="1">IFERROR(__xludf.DUMMYFUNCTION("""COMPUTED_VALUE"""),182.94)</f>
        <v>182.94</v>
      </c>
    </row>
    <row r="618" spans="1:13" x14ac:dyDescent="0.25">
      <c r="A618" s="2">
        <f ca="1">IFERROR(__xludf.DUMMYFUNCTION("""COMPUTED_VALUE"""),44726.6666666666)</f>
        <v>44726.666666666599</v>
      </c>
      <c r="B618" s="1">
        <f ca="1">IFERROR(__xludf.DUMMYFUNCTION("""COMPUTED_VALUE"""),132.76)</f>
        <v>132.76</v>
      </c>
      <c r="C618" s="1">
        <f ca="1">IFERROR(__xludf.DUMMYFUNCTION("""COMPUTED_VALUE"""),242.26)</f>
        <v>242.26</v>
      </c>
      <c r="D618" s="1">
        <f ca="1">IFERROR(__xludf.DUMMYFUNCTION("""COMPUTED_VALUE"""),103.67)</f>
        <v>103.67</v>
      </c>
      <c r="E618" s="1">
        <f ca="1">IFERROR(__xludf.DUMMYFUNCTION("""COMPUTED_VALUE"""),15.65)</f>
        <v>15.65</v>
      </c>
      <c r="F618" s="1">
        <f ca="1">IFERROR(__xludf.DUMMYFUNCTION("""COMPUTED_VALUE"""),164.26)</f>
        <v>164.26</v>
      </c>
      <c r="G618" s="1">
        <f ca="1">IFERROR(__xludf.DUMMYFUNCTION("""COMPUTED_VALUE"""),106.88)</f>
        <v>106.88</v>
      </c>
      <c r="H618" s="1">
        <f ca="1">IFERROR(__xludf.DUMMYFUNCTION("""COMPUTED_VALUE"""),215.74)</f>
        <v>215.74</v>
      </c>
      <c r="I618" s="1">
        <f ca="1">IFERROR(__xludf.DUMMYFUNCTION("""COMPUTED_VALUE"""),159.74)</f>
        <v>159.74</v>
      </c>
      <c r="J618" s="1">
        <f ca="1">IFERROR(__xludf.DUMMYFUNCTION("""COMPUTED_VALUE"""),452.25)</f>
        <v>452.25</v>
      </c>
      <c r="K618" s="1">
        <f ca="1">IFERROR(__xludf.DUMMYFUNCTION("""COMPUTED_VALUE"""),51.76)</f>
        <v>51.76</v>
      </c>
      <c r="L618" s="1">
        <f ca="1">IFERROR(__xludf.DUMMYFUNCTION("""COMPUTED_VALUE"""),371.65)</f>
        <v>371.65</v>
      </c>
      <c r="M618" s="1">
        <f ca="1">IFERROR(__xludf.DUMMYFUNCTION("""COMPUTED_VALUE"""),169.69)</f>
        <v>169.69</v>
      </c>
    </row>
    <row r="619" spans="1:13" x14ac:dyDescent="0.25">
      <c r="A619" s="2">
        <f ca="1">IFERROR(__xludf.DUMMYFUNCTION("""COMPUTED_VALUE"""),44727.6666666666)</f>
        <v>44727.666666666599</v>
      </c>
      <c r="B619" s="1">
        <f ca="1">IFERROR(__xludf.DUMMYFUNCTION("""COMPUTED_VALUE"""),135.43)</f>
        <v>135.43</v>
      </c>
      <c r="C619" s="1">
        <f ca="1">IFERROR(__xludf.DUMMYFUNCTION("""COMPUTED_VALUE"""),244.49)</f>
        <v>244.49</v>
      </c>
      <c r="D619" s="1">
        <f ca="1">IFERROR(__xludf.DUMMYFUNCTION("""COMPUTED_VALUE"""),102.31)</f>
        <v>102.31</v>
      </c>
      <c r="E619" s="1">
        <f ca="1">IFERROR(__xludf.DUMMYFUNCTION("""COMPUTED_VALUE"""),15.84)</f>
        <v>15.84</v>
      </c>
      <c r="F619" s="1">
        <f ca="1">IFERROR(__xludf.DUMMYFUNCTION("""COMPUTED_VALUE"""),163.73)</f>
        <v>163.72999999999999</v>
      </c>
      <c r="G619" s="1">
        <f ca="1">IFERROR(__xludf.DUMMYFUNCTION("""COMPUTED_VALUE"""),107.19)</f>
        <v>107.19</v>
      </c>
      <c r="H619" s="1">
        <f ca="1">IFERROR(__xludf.DUMMYFUNCTION("""COMPUTED_VALUE"""),220.89)</f>
        <v>220.89</v>
      </c>
      <c r="I619" s="1">
        <f ca="1">IFERROR(__xludf.DUMMYFUNCTION("""COMPUTED_VALUE"""),156.12)</f>
        <v>156.12</v>
      </c>
      <c r="J619" s="1">
        <f ca="1">IFERROR(__xludf.DUMMYFUNCTION("""COMPUTED_VALUE"""),454.8)</f>
        <v>454.8</v>
      </c>
      <c r="K619" s="1">
        <f ca="1">IFERROR(__xludf.DUMMYFUNCTION("""COMPUTED_VALUE"""),52.02)</f>
        <v>52.02</v>
      </c>
      <c r="L619" s="1">
        <f ca="1">IFERROR(__xludf.DUMMYFUNCTION("""COMPUTED_VALUE"""),370.82)</f>
        <v>370.82</v>
      </c>
      <c r="M619" s="1">
        <f ca="1">IFERROR(__xludf.DUMMYFUNCTION("""COMPUTED_VALUE"""),167.54)</f>
        <v>167.54</v>
      </c>
    </row>
    <row r="620" spans="1:13" x14ac:dyDescent="0.25">
      <c r="A620" s="2">
        <f ca="1">IFERROR(__xludf.DUMMYFUNCTION("""COMPUTED_VALUE"""),44728.6666666666)</f>
        <v>44728.666666666599</v>
      </c>
      <c r="B620" s="1">
        <f ca="1">IFERROR(__xludf.DUMMYFUNCTION("""COMPUTED_VALUE"""),130.06)</f>
        <v>130.06</v>
      </c>
      <c r="C620" s="1">
        <f ca="1">IFERROR(__xludf.DUMMYFUNCTION("""COMPUTED_VALUE"""),251.76)</f>
        <v>251.76</v>
      </c>
      <c r="D620" s="1">
        <f ca="1">IFERROR(__xludf.DUMMYFUNCTION("""COMPUTED_VALUE"""),107.67)</f>
        <v>107.67</v>
      </c>
      <c r="E620" s="1">
        <f ca="1">IFERROR(__xludf.DUMMYFUNCTION("""COMPUTED_VALUE"""),16.53)</f>
        <v>16.53</v>
      </c>
      <c r="F620" s="1">
        <f ca="1">IFERROR(__xludf.DUMMYFUNCTION("""COMPUTED_VALUE"""),169.35)</f>
        <v>169.35</v>
      </c>
      <c r="G620" s="1">
        <f ca="1">IFERROR(__xludf.DUMMYFUNCTION("""COMPUTED_VALUE"""),110.39)</f>
        <v>110.39</v>
      </c>
      <c r="H620" s="1">
        <f ca="1">IFERROR(__xludf.DUMMYFUNCTION("""COMPUTED_VALUE"""),233)</f>
        <v>233</v>
      </c>
      <c r="I620" s="1">
        <f ca="1">IFERROR(__xludf.DUMMYFUNCTION("""COMPUTED_VALUE"""),157.79)</f>
        <v>157.79</v>
      </c>
      <c r="J620" s="1">
        <f ca="1">IFERROR(__xludf.DUMMYFUNCTION("""COMPUTED_VALUE"""),458.79)</f>
        <v>458.79</v>
      </c>
      <c r="K620" s="1">
        <f ca="1">IFERROR(__xludf.DUMMYFUNCTION("""COMPUTED_VALUE"""),52.67)</f>
        <v>52.67</v>
      </c>
      <c r="L620" s="1">
        <f ca="1">IFERROR(__xludf.DUMMYFUNCTION("""COMPUTED_VALUE"""),376.92)</f>
        <v>376.92</v>
      </c>
      <c r="M620" s="1">
        <f ca="1">IFERROR(__xludf.DUMMYFUNCTION("""COMPUTED_VALUE"""),180.11)</f>
        <v>180.11</v>
      </c>
    </row>
    <row r="621" spans="1:13" x14ac:dyDescent="0.25">
      <c r="A621" s="2">
        <f ca="1">IFERROR(__xludf.DUMMYFUNCTION("""COMPUTED_VALUE"""),44729.6666666666)</f>
        <v>44729.666666666599</v>
      </c>
      <c r="B621" s="1">
        <f ca="1">IFERROR(__xludf.DUMMYFUNCTION("""COMPUTED_VALUE"""),131.56)</f>
        <v>131.56</v>
      </c>
      <c r="C621" s="1">
        <f ca="1">IFERROR(__xludf.DUMMYFUNCTION("""COMPUTED_VALUE"""),244.97)</f>
        <v>244.97</v>
      </c>
      <c r="D621" s="1">
        <f ca="1">IFERROR(__xludf.DUMMYFUNCTION("""COMPUTED_VALUE"""),103.66)</f>
        <v>103.66</v>
      </c>
      <c r="E621" s="1">
        <f ca="1">IFERROR(__xludf.DUMMYFUNCTION("""COMPUTED_VALUE"""),15.6)</f>
        <v>15.6</v>
      </c>
      <c r="F621" s="1">
        <f ca="1">IFERROR(__xludf.DUMMYFUNCTION("""COMPUTED_VALUE"""),160.87)</f>
        <v>160.87</v>
      </c>
      <c r="G621" s="1">
        <f ca="1">IFERROR(__xludf.DUMMYFUNCTION("""COMPUTED_VALUE"""),106.64)</f>
        <v>106.64</v>
      </c>
      <c r="H621" s="1">
        <f ca="1">IFERROR(__xludf.DUMMYFUNCTION("""COMPUTED_VALUE"""),213.1)</f>
        <v>213.1</v>
      </c>
      <c r="I621" s="1">
        <f ca="1">IFERROR(__xludf.DUMMYFUNCTION("""COMPUTED_VALUE"""),157.03)</f>
        <v>157.03</v>
      </c>
      <c r="J621" s="1">
        <f ca="1">IFERROR(__xludf.DUMMYFUNCTION("""COMPUTED_VALUE"""),451.76)</f>
        <v>451.76</v>
      </c>
      <c r="K621" s="1">
        <f ca="1">IFERROR(__xludf.DUMMYFUNCTION("""COMPUTED_VALUE"""),49.72)</f>
        <v>49.72</v>
      </c>
      <c r="L621" s="1">
        <f ca="1">IFERROR(__xludf.DUMMYFUNCTION("""COMPUTED_VALUE"""),365.08)</f>
        <v>365.08</v>
      </c>
      <c r="M621" s="1">
        <f ca="1">IFERROR(__xludf.DUMMYFUNCTION("""COMPUTED_VALUE"""),173.35)</f>
        <v>173.35</v>
      </c>
    </row>
    <row r="622" spans="1:13" x14ac:dyDescent="0.25">
      <c r="A622" s="2">
        <f ca="1">IFERROR(__xludf.DUMMYFUNCTION("""COMPUTED_VALUE"""),44733.6666666666)</f>
        <v>44733.666666666599</v>
      </c>
      <c r="B622" s="1">
        <f ca="1">IFERROR(__xludf.DUMMYFUNCTION("""COMPUTED_VALUE"""),135.87)</f>
        <v>135.87</v>
      </c>
      <c r="C622" s="1">
        <f ca="1">IFERROR(__xludf.DUMMYFUNCTION("""COMPUTED_VALUE"""),247.65)</f>
        <v>247.65</v>
      </c>
      <c r="D622" s="1">
        <f ca="1">IFERROR(__xludf.DUMMYFUNCTION("""COMPUTED_VALUE"""),106.22)</f>
        <v>106.22</v>
      </c>
      <c r="E622" s="1">
        <f ca="1">IFERROR(__xludf.DUMMYFUNCTION("""COMPUTED_VALUE"""),15.88)</f>
        <v>15.88</v>
      </c>
      <c r="F622" s="1">
        <f ca="1">IFERROR(__xludf.DUMMYFUNCTION("""COMPUTED_VALUE"""),163.74)</f>
        <v>163.74</v>
      </c>
      <c r="G622" s="1">
        <f ca="1">IFERROR(__xludf.DUMMYFUNCTION("""COMPUTED_VALUE"""),107.87)</f>
        <v>107.87</v>
      </c>
      <c r="H622" s="1">
        <f ca="1">IFERROR(__xludf.DUMMYFUNCTION("""COMPUTED_VALUE"""),216.76)</f>
        <v>216.76</v>
      </c>
      <c r="I622" s="1">
        <f ca="1">IFERROR(__xludf.DUMMYFUNCTION("""COMPUTED_VALUE"""),157.06)</f>
        <v>157.06</v>
      </c>
      <c r="J622" s="1">
        <f ca="1">IFERROR(__xludf.DUMMYFUNCTION("""COMPUTED_VALUE"""),446.69)</f>
        <v>446.69</v>
      </c>
      <c r="K622" s="1">
        <f ca="1">IFERROR(__xludf.DUMMYFUNCTION("""COMPUTED_VALUE"""),49.87)</f>
        <v>49.87</v>
      </c>
      <c r="L622" s="1">
        <f ca="1">IFERROR(__xludf.DUMMYFUNCTION("""COMPUTED_VALUE"""),360.79)</f>
        <v>360.79</v>
      </c>
      <c r="M622" s="1">
        <f ca="1">IFERROR(__xludf.DUMMYFUNCTION("""COMPUTED_VALUE"""),175.51)</f>
        <v>175.51</v>
      </c>
    </row>
    <row r="623" spans="1:13" x14ac:dyDescent="0.25">
      <c r="A623" s="2">
        <f ca="1">IFERROR(__xludf.DUMMYFUNCTION("""COMPUTED_VALUE"""),44734.6666666666)</f>
        <v>44734.666666666599</v>
      </c>
      <c r="B623" s="1">
        <f ca="1">IFERROR(__xludf.DUMMYFUNCTION("""COMPUTED_VALUE"""),135.35)</f>
        <v>135.35</v>
      </c>
      <c r="C623" s="1">
        <f ca="1">IFERROR(__xludf.DUMMYFUNCTION("""COMPUTED_VALUE"""),253.74)</f>
        <v>253.74</v>
      </c>
      <c r="D623" s="1">
        <f ca="1">IFERROR(__xludf.DUMMYFUNCTION("""COMPUTED_VALUE"""),108.68)</f>
        <v>108.68</v>
      </c>
      <c r="E623" s="1">
        <f ca="1">IFERROR(__xludf.DUMMYFUNCTION("""COMPUTED_VALUE"""),16.57)</f>
        <v>16.57</v>
      </c>
      <c r="F623" s="1">
        <f ca="1">IFERROR(__xludf.DUMMYFUNCTION("""COMPUTED_VALUE"""),157.05)</f>
        <v>157.05000000000001</v>
      </c>
      <c r="G623" s="1">
        <f ca="1">IFERROR(__xludf.DUMMYFUNCTION("""COMPUTED_VALUE"""),112.02)</f>
        <v>112.02</v>
      </c>
      <c r="H623" s="1">
        <f ca="1">IFERROR(__xludf.DUMMYFUNCTION("""COMPUTED_VALUE"""),237.04)</f>
        <v>237.04</v>
      </c>
      <c r="I623" s="1">
        <f ca="1">IFERROR(__xludf.DUMMYFUNCTION("""COMPUTED_VALUE"""),160.71)</f>
        <v>160.71</v>
      </c>
      <c r="J623" s="1">
        <f ca="1">IFERROR(__xludf.DUMMYFUNCTION("""COMPUTED_VALUE"""),463.11)</f>
        <v>463.11</v>
      </c>
      <c r="K623" s="1">
        <f ca="1">IFERROR(__xludf.DUMMYFUNCTION("""COMPUTED_VALUE"""),50.38)</f>
        <v>50.38</v>
      </c>
      <c r="L623" s="1">
        <f ca="1">IFERROR(__xludf.DUMMYFUNCTION("""COMPUTED_VALUE"""),362.99)</f>
        <v>362.99</v>
      </c>
      <c r="M623" s="1">
        <f ca="1">IFERROR(__xludf.DUMMYFUNCTION("""COMPUTED_VALUE"""),170.91)</f>
        <v>170.91</v>
      </c>
    </row>
    <row r="624" spans="1:13" x14ac:dyDescent="0.25">
      <c r="A624" s="2">
        <f ca="1">IFERROR(__xludf.DUMMYFUNCTION("""COMPUTED_VALUE"""),44735.6666666666)</f>
        <v>44735.666666666599</v>
      </c>
      <c r="B624" s="1">
        <f ca="1">IFERROR(__xludf.DUMMYFUNCTION("""COMPUTED_VALUE"""),138.27)</f>
        <v>138.27000000000001</v>
      </c>
      <c r="C624" s="1">
        <f ca="1">IFERROR(__xludf.DUMMYFUNCTION("""COMPUTED_VALUE"""),253.13)</f>
        <v>253.13</v>
      </c>
      <c r="D624" s="1">
        <f ca="1">IFERROR(__xludf.DUMMYFUNCTION("""COMPUTED_VALUE"""),108.95)</f>
        <v>108.95</v>
      </c>
      <c r="E624" s="1">
        <f ca="1">IFERROR(__xludf.DUMMYFUNCTION("""COMPUTED_VALUE"""),16.36)</f>
        <v>16.36</v>
      </c>
      <c r="F624" s="1">
        <f ca="1">IFERROR(__xludf.DUMMYFUNCTION("""COMPUTED_VALUE"""),155.85)</f>
        <v>155.85</v>
      </c>
      <c r="G624" s="1">
        <f ca="1">IFERROR(__xludf.DUMMYFUNCTION("""COMPUTED_VALUE"""),112.03)</f>
        <v>112.03</v>
      </c>
      <c r="H624" s="1">
        <f ca="1">IFERROR(__xludf.DUMMYFUNCTION("""COMPUTED_VALUE"""),236.09)</f>
        <v>236.09</v>
      </c>
      <c r="I624" s="1">
        <f ca="1">IFERROR(__xludf.DUMMYFUNCTION("""COMPUTED_VALUE"""),162.03)</f>
        <v>162.03</v>
      </c>
      <c r="J624" s="1">
        <f ca="1">IFERROR(__xludf.DUMMYFUNCTION("""COMPUTED_VALUE"""),459.96)</f>
        <v>459.96</v>
      </c>
      <c r="K624" s="1">
        <f ca="1">IFERROR(__xludf.DUMMYFUNCTION("""COMPUTED_VALUE"""),49.61)</f>
        <v>49.61</v>
      </c>
      <c r="L624" s="1">
        <f ca="1">IFERROR(__xludf.DUMMYFUNCTION("""COMPUTED_VALUE"""),365.33)</f>
        <v>365.33</v>
      </c>
      <c r="M624" s="1">
        <f ca="1">IFERROR(__xludf.DUMMYFUNCTION("""COMPUTED_VALUE"""),178.89)</f>
        <v>178.89</v>
      </c>
    </row>
    <row r="625" spans="1:13" x14ac:dyDescent="0.25">
      <c r="A625" s="2">
        <f ca="1">IFERROR(__xludf.DUMMYFUNCTION("""COMPUTED_VALUE"""),44736.6666666666)</f>
        <v>44736.666666666599</v>
      </c>
      <c r="B625" s="1">
        <f ca="1">IFERROR(__xludf.DUMMYFUNCTION("""COMPUTED_VALUE"""),141.66)</f>
        <v>141.66</v>
      </c>
      <c r="C625" s="1">
        <f ca="1">IFERROR(__xludf.DUMMYFUNCTION("""COMPUTED_VALUE"""),258.86)</f>
        <v>258.86</v>
      </c>
      <c r="D625" s="1">
        <f ca="1">IFERROR(__xludf.DUMMYFUNCTION("""COMPUTED_VALUE"""),112.44)</f>
        <v>112.44</v>
      </c>
      <c r="E625" s="1">
        <f ca="1">IFERROR(__xludf.DUMMYFUNCTION("""COMPUTED_VALUE"""),16.23)</f>
        <v>16.23</v>
      </c>
      <c r="F625" s="1">
        <f ca="1">IFERROR(__xludf.DUMMYFUNCTION("""COMPUTED_VALUE"""),158.75)</f>
        <v>158.75</v>
      </c>
      <c r="G625" s="1">
        <f ca="1">IFERROR(__xludf.DUMMYFUNCTION("""COMPUTED_VALUE"""),112.68)</f>
        <v>112.68</v>
      </c>
      <c r="H625" s="1">
        <f ca="1">IFERROR(__xludf.DUMMYFUNCTION("""COMPUTED_VALUE"""),235.07)</f>
        <v>235.07</v>
      </c>
      <c r="I625" s="1">
        <f ca="1">IFERROR(__xludf.DUMMYFUNCTION("""COMPUTED_VALUE"""),164.1)</f>
        <v>164.1</v>
      </c>
      <c r="J625" s="1">
        <f ca="1">IFERROR(__xludf.DUMMYFUNCTION("""COMPUTED_VALUE"""),475)</f>
        <v>475</v>
      </c>
      <c r="K625" s="1">
        <f ca="1">IFERROR(__xludf.DUMMYFUNCTION("""COMPUTED_VALUE"""),49.66)</f>
        <v>49.66</v>
      </c>
      <c r="L625" s="1">
        <f ca="1">IFERROR(__xludf.DUMMYFUNCTION("""COMPUTED_VALUE"""),376.64)</f>
        <v>376.64</v>
      </c>
      <c r="M625" s="1">
        <f ca="1">IFERROR(__xludf.DUMMYFUNCTION("""COMPUTED_VALUE"""),181.71)</f>
        <v>181.71</v>
      </c>
    </row>
    <row r="626" spans="1:13" x14ac:dyDescent="0.25">
      <c r="A626" s="2">
        <f ca="1">IFERROR(__xludf.DUMMYFUNCTION("""COMPUTED_VALUE"""),44739.6666666666)</f>
        <v>44739.666666666599</v>
      </c>
      <c r="B626" s="1">
        <f ca="1">IFERROR(__xludf.DUMMYFUNCTION("""COMPUTED_VALUE"""),141.66)</f>
        <v>141.66</v>
      </c>
      <c r="C626" s="1">
        <f ca="1">IFERROR(__xludf.DUMMYFUNCTION("""COMPUTED_VALUE"""),267.7)</f>
        <v>267.7</v>
      </c>
      <c r="D626" s="1">
        <f ca="1">IFERROR(__xludf.DUMMYFUNCTION("""COMPUTED_VALUE"""),116.46)</f>
        <v>116.46</v>
      </c>
      <c r="E626" s="1">
        <f ca="1">IFERROR(__xludf.DUMMYFUNCTION("""COMPUTED_VALUE"""),17.13)</f>
        <v>17.13</v>
      </c>
      <c r="F626" s="1">
        <f ca="1">IFERROR(__xludf.DUMMYFUNCTION("""COMPUTED_VALUE"""),170.16)</f>
        <v>170.16</v>
      </c>
      <c r="G626" s="1">
        <f ca="1">IFERROR(__xludf.DUMMYFUNCTION("""COMPUTED_VALUE"""),118.54)</f>
        <v>118.54</v>
      </c>
      <c r="H626" s="1">
        <f ca="1">IFERROR(__xludf.DUMMYFUNCTION("""COMPUTED_VALUE"""),245.71)</f>
        <v>245.71</v>
      </c>
      <c r="I626" s="1">
        <f ca="1">IFERROR(__xludf.DUMMYFUNCTION("""COMPUTED_VALUE"""),166.13)</f>
        <v>166.13</v>
      </c>
      <c r="J626" s="1">
        <f ca="1">IFERROR(__xludf.DUMMYFUNCTION("""COMPUTED_VALUE"""),484.37)</f>
        <v>484.37</v>
      </c>
      <c r="K626" s="1">
        <f ca="1">IFERROR(__xludf.DUMMYFUNCTION("""COMPUTED_VALUE"""),50.91)</f>
        <v>50.91</v>
      </c>
      <c r="L626" s="1">
        <f ca="1">IFERROR(__xludf.DUMMYFUNCTION("""COMPUTED_VALUE"""),387.72)</f>
        <v>387.72</v>
      </c>
      <c r="M626" s="1">
        <f ca="1">IFERROR(__xludf.DUMMYFUNCTION("""COMPUTED_VALUE"""),190.85)</f>
        <v>190.85</v>
      </c>
    </row>
    <row r="627" spans="1:13" x14ac:dyDescent="0.25">
      <c r="A627" s="2">
        <f ca="1">IFERROR(__xludf.DUMMYFUNCTION("""COMPUTED_VALUE"""),44740.6666666666)</f>
        <v>44740.666666666599</v>
      </c>
      <c r="B627" s="1">
        <f ca="1">IFERROR(__xludf.DUMMYFUNCTION("""COMPUTED_VALUE"""),137.44)</f>
        <v>137.44</v>
      </c>
      <c r="C627" s="1">
        <f ca="1">IFERROR(__xludf.DUMMYFUNCTION("""COMPUTED_VALUE"""),264.89)</f>
        <v>264.89</v>
      </c>
      <c r="D627" s="1">
        <f ca="1">IFERROR(__xludf.DUMMYFUNCTION("""COMPUTED_VALUE"""),113.22)</f>
        <v>113.22</v>
      </c>
      <c r="E627" s="1">
        <f ca="1">IFERROR(__xludf.DUMMYFUNCTION("""COMPUTED_VALUE"""),16.87)</f>
        <v>16.87</v>
      </c>
      <c r="F627" s="1">
        <f ca="1">IFERROR(__xludf.DUMMYFUNCTION("""COMPUTED_VALUE"""),169.49)</f>
        <v>169.49</v>
      </c>
      <c r="G627" s="1">
        <f ca="1">IFERROR(__xludf.DUMMYFUNCTION("""COMPUTED_VALUE"""),116.62)</f>
        <v>116.62</v>
      </c>
      <c r="H627" s="1">
        <f ca="1">IFERROR(__xludf.DUMMYFUNCTION("""COMPUTED_VALUE"""),244.92)</f>
        <v>244.92</v>
      </c>
      <c r="I627" s="1">
        <f ca="1">IFERROR(__xludf.DUMMYFUNCTION("""COMPUTED_VALUE"""),166.35)</f>
        <v>166.35</v>
      </c>
      <c r="J627" s="1">
        <f ca="1">IFERROR(__xludf.DUMMYFUNCTION("""COMPUTED_VALUE"""),481.75)</f>
        <v>481.75</v>
      </c>
      <c r="K627" s="1">
        <f ca="1">IFERROR(__xludf.DUMMYFUNCTION("""COMPUTED_VALUE"""),50.57)</f>
        <v>50.57</v>
      </c>
      <c r="L627" s="1">
        <f ca="1">IFERROR(__xludf.DUMMYFUNCTION("""COMPUTED_VALUE"""),381.07)</f>
        <v>381.07</v>
      </c>
      <c r="M627" s="1">
        <f ca="1">IFERROR(__xludf.DUMMYFUNCTION("""COMPUTED_VALUE"""),189.14)</f>
        <v>189.14</v>
      </c>
    </row>
    <row r="628" spans="1:13" x14ac:dyDescent="0.25">
      <c r="A628" s="2">
        <f ca="1">IFERROR(__xludf.DUMMYFUNCTION("""COMPUTED_VALUE"""),44741.6666666666)</f>
        <v>44741.666666666599</v>
      </c>
      <c r="B628" s="1">
        <f ca="1">IFERROR(__xludf.DUMMYFUNCTION("""COMPUTED_VALUE"""),139.23)</f>
        <v>139.22999999999999</v>
      </c>
      <c r="C628" s="1">
        <f ca="1">IFERROR(__xludf.DUMMYFUNCTION("""COMPUTED_VALUE"""),256.48)</f>
        <v>256.48</v>
      </c>
      <c r="D628" s="1">
        <f ca="1">IFERROR(__xludf.DUMMYFUNCTION("""COMPUTED_VALUE"""),107.4)</f>
        <v>107.4</v>
      </c>
      <c r="E628" s="1">
        <f ca="1">IFERROR(__xludf.DUMMYFUNCTION("""COMPUTED_VALUE"""),15.98)</f>
        <v>15.98</v>
      </c>
      <c r="F628" s="1">
        <f ca="1">IFERROR(__xludf.DUMMYFUNCTION("""COMPUTED_VALUE"""),160.68)</f>
        <v>160.68</v>
      </c>
      <c r="G628" s="1">
        <f ca="1">IFERROR(__xludf.DUMMYFUNCTION("""COMPUTED_VALUE"""),112.57)</f>
        <v>112.57</v>
      </c>
      <c r="H628" s="1">
        <f ca="1">IFERROR(__xludf.DUMMYFUNCTION("""COMPUTED_VALUE"""),232.66)</f>
        <v>232.66</v>
      </c>
      <c r="I628" s="1">
        <f ca="1">IFERROR(__xludf.DUMMYFUNCTION("""COMPUTED_VALUE"""),164.01)</f>
        <v>164.01</v>
      </c>
      <c r="J628" s="1">
        <f ca="1">IFERROR(__xludf.DUMMYFUNCTION("""COMPUTED_VALUE"""),468.61)</f>
        <v>468.61</v>
      </c>
      <c r="K628" s="1">
        <f ca="1">IFERROR(__xludf.DUMMYFUNCTION("""COMPUTED_VALUE"""),49.85)</f>
        <v>49.85</v>
      </c>
      <c r="L628" s="1">
        <f ca="1">IFERROR(__xludf.DUMMYFUNCTION("""COMPUTED_VALUE"""),365.63)</f>
        <v>365.63</v>
      </c>
      <c r="M628" s="1">
        <f ca="1">IFERROR(__xludf.DUMMYFUNCTION("""COMPUTED_VALUE"""),179.6)</f>
        <v>179.6</v>
      </c>
    </row>
    <row r="629" spans="1:13" x14ac:dyDescent="0.25">
      <c r="A629" s="2">
        <f ca="1">IFERROR(__xludf.DUMMYFUNCTION("""COMPUTED_VALUE"""),44742.6666666666)</f>
        <v>44742.666666666599</v>
      </c>
      <c r="B629" s="1">
        <f ca="1">IFERROR(__xludf.DUMMYFUNCTION("""COMPUTED_VALUE"""),136.72)</f>
        <v>136.72</v>
      </c>
      <c r="C629" s="1">
        <f ca="1">IFERROR(__xludf.DUMMYFUNCTION("""COMPUTED_VALUE"""),260.26)</f>
        <v>260.26</v>
      </c>
      <c r="D629" s="1">
        <f ca="1">IFERROR(__xludf.DUMMYFUNCTION("""COMPUTED_VALUE"""),108.92)</f>
        <v>108.92</v>
      </c>
      <c r="E629" s="1">
        <f ca="1">IFERROR(__xludf.DUMMYFUNCTION("""COMPUTED_VALUE"""),15.54)</f>
        <v>15.54</v>
      </c>
      <c r="F629" s="1">
        <f ca="1">IFERROR(__xludf.DUMMYFUNCTION("""COMPUTED_VALUE"""),163.94)</f>
        <v>163.94</v>
      </c>
      <c r="G629" s="1">
        <f ca="1">IFERROR(__xludf.DUMMYFUNCTION("""COMPUTED_VALUE"""),112.26)</f>
        <v>112.26</v>
      </c>
      <c r="H629" s="1">
        <f ca="1">IFERROR(__xludf.DUMMYFUNCTION("""COMPUTED_VALUE"""),228.49)</f>
        <v>228.49</v>
      </c>
      <c r="I629" s="1">
        <f ca="1">IFERROR(__xludf.DUMMYFUNCTION("""COMPUTED_VALUE"""),166.73)</f>
        <v>166.73</v>
      </c>
      <c r="J629" s="1">
        <f ca="1">IFERROR(__xludf.DUMMYFUNCTION("""COMPUTED_VALUE"""),469.84)</f>
        <v>469.84</v>
      </c>
      <c r="K629" s="1">
        <f ca="1">IFERROR(__xludf.DUMMYFUNCTION("""COMPUTED_VALUE"""),49.04)</f>
        <v>49.04</v>
      </c>
      <c r="L629" s="1">
        <f ca="1">IFERROR(__xludf.DUMMYFUNCTION("""COMPUTED_VALUE"""),368.5)</f>
        <v>368.5</v>
      </c>
      <c r="M629" s="1">
        <f ca="1">IFERROR(__xludf.DUMMYFUNCTION("""COMPUTED_VALUE"""),178.36)</f>
        <v>178.36</v>
      </c>
    </row>
    <row r="630" spans="1:13" x14ac:dyDescent="0.25">
      <c r="A630" s="2">
        <f ca="1">IFERROR(__xludf.DUMMYFUNCTION("""COMPUTED_VALUE"""),44743.6666666666)</f>
        <v>44743.666666666599</v>
      </c>
      <c r="B630" s="1">
        <f ca="1">IFERROR(__xludf.DUMMYFUNCTION("""COMPUTED_VALUE"""),138.93)</f>
        <v>138.93</v>
      </c>
      <c r="C630" s="1">
        <f ca="1">IFERROR(__xludf.DUMMYFUNCTION("""COMPUTED_VALUE"""),256.83)</f>
        <v>256.83</v>
      </c>
      <c r="D630" s="1">
        <f ca="1">IFERROR(__xludf.DUMMYFUNCTION("""COMPUTED_VALUE"""),106.21)</f>
        <v>106.21</v>
      </c>
      <c r="E630" s="1">
        <f ca="1">IFERROR(__xludf.DUMMYFUNCTION("""COMPUTED_VALUE"""),15.16)</f>
        <v>15.16</v>
      </c>
      <c r="F630" s="1">
        <f ca="1">IFERROR(__xludf.DUMMYFUNCTION("""COMPUTED_VALUE"""),161.25)</f>
        <v>161.25</v>
      </c>
      <c r="G630" s="1">
        <f ca="1">IFERROR(__xludf.DUMMYFUNCTION("""COMPUTED_VALUE"""),109.37)</f>
        <v>109.37</v>
      </c>
      <c r="H630" s="1">
        <f ca="1">IFERROR(__xludf.DUMMYFUNCTION("""COMPUTED_VALUE"""),224.47)</f>
        <v>224.47</v>
      </c>
      <c r="I630" s="1">
        <f ca="1">IFERROR(__xludf.DUMMYFUNCTION("""COMPUTED_VALUE"""),166.66)</f>
        <v>166.66</v>
      </c>
      <c r="J630" s="1">
        <f ca="1">IFERROR(__xludf.DUMMYFUNCTION("""COMPUTED_VALUE"""),479.28)</f>
        <v>479.28</v>
      </c>
      <c r="K630" s="1">
        <f ca="1">IFERROR(__xludf.DUMMYFUNCTION("""COMPUTED_VALUE"""),48.58)</f>
        <v>48.58</v>
      </c>
      <c r="L630" s="1">
        <f ca="1">IFERROR(__xludf.DUMMYFUNCTION("""COMPUTED_VALUE"""),366.06)</f>
        <v>366.06</v>
      </c>
      <c r="M630" s="1">
        <f ca="1">IFERROR(__xludf.DUMMYFUNCTION("""COMPUTED_VALUE"""),174.87)</f>
        <v>174.87</v>
      </c>
    </row>
    <row r="631" spans="1:13" x14ac:dyDescent="0.25">
      <c r="A631" s="2">
        <f ca="1">IFERROR(__xludf.DUMMYFUNCTION("""COMPUTED_VALUE"""),44747.6666666666)</f>
        <v>44747.666666666599</v>
      </c>
      <c r="B631" s="1">
        <f ca="1">IFERROR(__xludf.DUMMYFUNCTION("""COMPUTED_VALUE"""),141.56)</f>
        <v>141.56</v>
      </c>
      <c r="C631" s="1">
        <f ca="1">IFERROR(__xludf.DUMMYFUNCTION("""COMPUTED_VALUE"""),259.58)</f>
        <v>259.58</v>
      </c>
      <c r="D631" s="1">
        <f ca="1">IFERROR(__xludf.DUMMYFUNCTION("""COMPUTED_VALUE"""),109.56)</f>
        <v>109.56</v>
      </c>
      <c r="E631" s="1">
        <f ca="1">IFERROR(__xludf.DUMMYFUNCTION("""COMPUTED_VALUE"""),14.52)</f>
        <v>14.52</v>
      </c>
      <c r="F631" s="1">
        <f ca="1">IFERROR(__xludf.DUMMYFUNCTION("""COMPUTED_VALUE"""),160.03)</f>
        <v>160.03</v>
      </c>
      <c r="G631" s="1">
        <f ca="1">IFERROR(__xludf.DUMMYFUNCTION("""COMPUTED_VALUE"""),109.08)</f>
        <v>109.08</v>
      </c>
      <c r="H631" s="1">
        <f ca="1">IFERROR(__xludf.DUMMYFUNCTION("""COMPUTED_VALUE"""),227.26)</f>
        <v>227.26</v>
      </c>
      <c r="I631" s="1">
        <f ca="1">IFERROR(__xludf.DUMMYFUNCTION("""COMPUTED_VALUE"""),169.39)</f>
        <v>169.39</v>
      </c>
      <c r="J631" s="1">
        <f ca="1">IFERROR(__xludf.DUMMYFUNCTION("""COMPUTED_VALUE"""),485.76)</f>
        <v>485.76</v>
      </c>
      <c r="K631" s="1">
        <f ca="1">IFERROR(__xludf.DUMMYFUNCTION("""COMPUTED_VALUE"""),47.78)</f>
        <v>47.78</v>
      </c>
      <c r="L631" s="1">
        <f ca="1">IFERROR(__xludf.DUMMYFUNCTION("""COMPUTED_VALUE"""),368.48)</f>
        <v>368.48</v>
      </c>
      <c r="M631" s="1">
        <f ca="1">IFERROR(__xludf.DUMMYFUNCTION("""COMPUTED_VALUE"""),179.95)</f>
        <v>179.95</v>
      </c>
    </row>
    <row r="632" spans="1:13" x14ac:dyDescent="0.25">
      <c r="A632" s="2">
        <f ca="1">IFERROR(__xludf.DUMMYFUNCTION("""COMPUTED_VALUE"""),44748.6666666666)</f>
        <v>44748.666666666599</v>
      </c>
      <c r="B632" s="1">
        <f ca="1">IFERROR(__xludf.DUMMYFUNCTION("""COMPUTED_VALUE"""),142.92)</f>
        <v>142.91999999999999</v>
      </c>
      <c r="C632" s="1">
        <f ca="1">IFERROR(__xludf.DUMMYFUNCTION("""COMPUTED_VALUE"""),262.85)</f>
        <v>262.85000000000002</v>
      </c>
      <c r="D632" s="1">
        <f ca="1">IFERROR(__xludf.DUMMYFUNCTION("""COMPUTED_VALUE"""),113.5)</f>
        <v>113.5</v>
      </c>
      <c r="E632" s="1">
        <f ca="1">IFERROR(__xludf.DUMMYFUNCTION("""COMPUTED_VALUE"""),14.96)</f>
        <v>14.96</v>
      </c>
      <c r="F632" s="1">
        <f ca="1">IFERROR(__xludf.DUMMYFUNCTION("""COMPUTED_VALUE"""),168.19)</f>
        <v>168.19</v>
      </c>
      <c r="G632" s="1">
        <f ca="1">IFERROR(__xludf.DUMMYFUNCTION("""COMPUTED_VALUE"""),113.89)</f>
        <v>113.89</v>
      </c>
      <c r="H632" s="1">
        <f ca="1">IFERROR(__xludf.DUMMYFUNCTION("""COMPUTED_VALUE"""),233.07)</f>
        <v>233.07</v>
      </c>
      <c r="I632" s="1">
        <f ca="1">IFERROR(__xludf.DUMMYFUNCTION("""COMPUTED_VALUE"""),169.01)</f>
        <v>169.01</v>
      </c>
      <c r="J632" s="1">
        <f ca="1">IFERROR(__xludf.DUMMYFUNCTION("""COMPUTED_VALUE"""),488.26)</f>
        <v>488.26</v>
      </c>
      <c r="K632" s="1">
        <f ca="1">IFERROR(__xludf.DUMMYFUNCTION("""COMPUTED_VALUE"""),47.63)</f>
        <v>47.63</v>
      </c>
      <c r="L632" s="1">
        <f ca="1">IFERROR(__xludf.DUMMYFUNCTION("""COMPUTED_VALUE"""),376.49)</f>
        <v>376.49</v>
      </c>
      <c r="M632" s="1">
        <f ca="1">IFERROR(__xludf.DUMMYFUNCTION("""COMPUTED_VALUE"""),185.88)</f>
        <v>185.88</v>
      </c>
    </row>
    <row r="633" spans="1:13" x14ac:dyDescent="0.25">
      <c r="A633" s="2">
        <f ca="1">IFERROR(__xludf.DUMMYFUNCTION("""COMPUTED_VALUE"""),44749.6666666666)</f>
        <v>44749.666666666599</v>
      </c>
      <c r="B633" s="1">
        <f ca="1">IFERROR(__xludf.DUMMYFUNCTION("""COMPUTED_VALUE"""),146.35)</f>
        <v>146.35</v>
      </c>
      <c r="C633" s="1">
        <f ca="1">IFERROR(__xludf.DUMMYFUNCTION("""COMPUTED_VALUE"""),266.21)</f>
        <v>266.20999999999998</v>
      </c>
      <c r="D633" s="1">
        <f ca="1">IFERROR(__xludf.DUMMYFUNCTION("""COMPUTED_VALUE"""),114.33)</f>
        <v>114.33</v>
      </c>
      <c r="E633" s="1">
        <f ca="1">IFERROR(__xludf.DUMMYFUNCTION("""COMPUTED_VALUE"""),15.13)</f>
        <v>15.13</v>
      </c>
      <c r="F633" s="1">
        <f ca="1">IFERROR(__xludf.DUMMYFUNCTION("""COMPUTED_VALUE"""),169.77)</f>
        <v>169.77</v>
      </c>
      <c r="G633" s="1">
        <f ca="1">IFERROR(__xludf.DUMMYFUNCTION("""COMPUTED_VALUE"""),115.21)</f>
        <v>115.21</v>
      </c>
      <c r="H633" s="1">
        <f ca="1">IFERROR(__xludf.DUMMYFUNCTION("""COMPUTED_VALUE"""),231.73)</f>
        <v>231.73</v>
      </c>
      <c r="I633" s="1">
        <f ca="1">IFERROR(__xludf.DUMMYFUNCTION("""COMPUTED_VALUE"""),170.7)</f>
        <v>170.7</v>
      </c>
      <c r="J633" s="1">
        <f ca="1">IFERROR(__xludf.DUMMYFUNCTION("""COMPUTED_VALUE"""),492.65)</f>
        <v>492.65</v>
      </c>
      <c r="K633" s="1">
        <f ca="1">IFERROR(__xludf.DUMMYFUNCTION("""COMPUTED_VALUE"""),48.26)</f>
        <v>48.26</v>
      </c>
      <c r="L633" s="1">
        <f ca="1">IFERROR(__xludf.DUMMYFUNCTION("""COMPUTED_VALUE"""),382.83)</f>
        <v>382.83</v>
      </c>
      <c r="M633" s="1">
        <f ca="1">IFERROR(__xludf.DUMMYFUNCTION("""COMPUTED_VALUE"""),184.06)</f>
        <v>184.06</v>
      </c>
    </row>
    <row r="634" spans="1:13" x14ac:dyDescent="0.25">
      <c r="A634" s="2">
        <f ca="1">IFERROR(__xludf.DUMMYFUNCTION("""COMPUTED_VALUE"""),44750.6666666666)</f>
        <v>44750.666666666599</v>
      </c>
      <c r="B634" s="1">
        <f ca="1">IFERROR(__xludf.DUMMYFUNCTION("""COMPUTED_VALUE"""),147.04)</f>
        <v>147.04</v>
      </c>
      <c r="C634" s="1">
        <f ca="1">IFERROR(__xludf.DUMMYFUNCTION("""COMPUTED_VALUE"""),268.4)</f>
        <v>268.39999999999998</v>
      </c>
      <c r="D634" s="1">
        <f ca="1">IFERROR(__xludf.DUMMYFUNCTION("""COMPUTED_VALUE"""),116.33)</f>
        <v>116.33</v>
      </c>
      <c r="E634" s="1">
        <f ca="1">IFERROR(__xludf.DUMMYFUNCTION("""COMPUTED_VALUE"""),15.86)</f>
        <v>15.86</v>
      </c>
      <c r="F634" s="1">
        <f ca="1">IFERROR(__xludf.DUMMYFUNCTION("""COMPUTED_VALUE"""),172.19)</f>
        <v>172.19</v>
      </c>
      <c r="G634" s="1">
        <f ca="1">IFERROR(__xludf.DUMMYFUNCTION("""COMPUTED_VALUE"""),119.31)</f>
        <v>119.31</v>
      </c>
      <c r="H634" s="1">
        <f ca="1">IFERROR(__xludf.DUMMYFUNCTION("""COMPUTED_VALUE"""),244.54)</f>
        <v>244.54</v>
      </c>
      <c r="I634" s="1">
        <f ca="1">IFERROR(__xludf.DUMMYFUNCTION("""COMPUTED_VALUE"""),170.36)</f>
        <v>170.36</v>
      </c>
      <c r="J634" s="1">
        <f ca="1">IFERROR(__xludf.DUMMYFUNCTION("""COMPUTED_VALUE"""),494.95)</f>
        <v>494.95</v>
      </c>
      <c r="K634" s="1">
        <f ca="1">IFERROR(__xludf.DUMMYFUNCTION("""COMPUTED_VALUE"""),49.85)</f>
        <v>49.85</v>
      </c>
      <c r="L634" s="1">
        <f ca="1">IFERROR(__xludf.DUMMYFUNCTION("""COMPUTED_VALUE"""),390.89)</f>
        <v>390.89</v>
      </c>
      <c r="M634" s="1">
        <f ca="1">IFERROR(__xludf.DUMMYFUNCTION("""COMPUTED_VALUE"""),189.27)</f>
        <v>189.27</v>
      </c>
    </row>
    <row r="635" spans="1:13" x14ac:dyDescent="0.25">
      <c r="A635" s="2">
        <f ca="1">IFERROR(__xludf.DUMMYFUNCTION("""COMPUTED_VALUE"""),44753.6666666666)</f>
        <v>44753.666666666599</v>
      </c>
      <c r="B635" s="1">
        <f ca="1">IFERROR(__xludf.DUMMYFUNCTION("""COMPUTED_VALUE"""),144.87)</f>
        <v>144.87</v>
      </c>
      <c r="C635" s="1">
        <f ca="1">IFERROR(__xludf.DUMMYFUNCTION("""COMPUTED_VALUE"""),267.66)</f>
        <v>267.66000000000003</v>
      </c>
      <c r="D635" s="1">
        <f ca="1">IFERROR(__xludf.DUMMYFUNCTION("""COMPUTED_VALUE"""),115.54)</f>
        <v>115.54</v>
      </c>
      <c r="E635" s="1">
        <f ca="1">IFERROR(__xludf.DUMMYFUNCTION("""COMPUTED_VALUE"""),15.84)</f>
        <v>15.84</v>
      </c>
      <c r="F635" s="1">
        <f ca="1">IFERROR(__xludf.DUMMYFUNCTION("""COMPUTED_VALUE"""),170.88)</f>
        <v>170.88</v>
      </c>
      <c r="G635" s="1">
        <f ca="1">IFERROR(__xludf.DUMMYFUNCTION("""COMPUTED_VALUE"""),120.17)</f>
        <v>120.17</v>
      </c>
      <c r="H635" s="1">
        <f ca="1">IFERROR(__xludf.DUMMYFUNCTION("""COMPUTED_VALUE"""),250.76)</f>
        <v>250.76</v>
      </c>
      <c r="I635" s="1">
        <f ca="1">IFERROR(__xludf.DUMMYFUNCTION("""COMPUTED_VALUE"""),171.88)</f>
        <v>171.88</v>
      </c>
      <c r="J635" s="1">
        <f ca="1">IFERROR(__xludf.DUMMYFUNCTION("""COMPUTED_VALUE"""),501.54)</f>
        <v>501.54</v>
      </c>
      <c r="K635" s="1">
        <f ca="1">IFERROR(__xludf.DUMMYFUNCTION("""COMPUTED_VALUE"""),49.87)</f>
        <v>49.87</v>
      </c>
      <c r="L635" s="1">
        <f ca="1">IFERROR(__xludf.DUMMYFUNCTION("""COMPUTED_VALUE"""),389.44)</f>
        <v>389.44</v>
      </c>
      <c r="M635" s="1">
        <f ca="1">IFERROR(__xludf.DUMMYFUNCTION("""COMPUTED_VALUE"""),186.98)</f>
        <v>186.98</v>
      </c>
    </row>
    <row r="636" spans="1:13" x14ac:dyDescent="0.25">
      <c r="A636" s="2">
        <f ca="1">IFERROR(__xludf.DUMMYFUNCTION("""COMPUTED_VALUE"""),44754.6666666666)</f>
        <v>44754.666666666599</v>
      </c>
      <c r="B636" s="1">
        <f ca="1">IFERROR(__xludf.DUMMYFUNCTION("""COMPUTED_VALUE"""),145.86)</f>
        <v>145.86000000000001</v>
      </c>
      <c r="C636" s="1">
        <f ca="1">IFERROR(__xludf.DUMMYFUNCTION("""COMPUTED_VALUE"""),264.51)</f>
        <v>264.51</v>
      </c>
      <c r="D636" s="1">
        <f ca="1">IFERROR(__xludf.DUMMYFUNCTION("""COMPUTED_VALUE"""),111.75)</f>
        <v>111.75</v>
      </c>
      <c r="E636" s="1">
        <f ca="1">IFERROR(__xludf.DUMMYFUNCTION("""COMPUTED_VALUE"""),15.15)</f>
        <v>15.15</v>
      </c>
      <c r="F636" s="1">
        <f ca="1">IFERROR(__xludf.DUMMYFUNCTION("""COMPUTED_VALUE"""),162.88)</f>
        <v>162.88</v>
      </c>
      <c r="G636" s="1">
        <f ca="1">IFERROR(__xludf.DUMMYFUNCTION("""COMPUTED_VALUE"""),116.52)</f>
        <v>116.52</v>
      </c>
      <c r="H636" s="1">
        <f ca="1">IFERROR(__xludf.DUMMYFUNCTION("""COMPUTED_VALUE"""),234.34)</f>
        <v>234.34</v>
      </c>
      <c r="I636" s="1">
        <f ca="1">IFERROR(__xludf.DUMMYFUNCTION("""COMPUTED_VALUE"""),170.47)</f>
        <v>170.47</v>
      </c>
      <c r="J636" s="1">
        <f ca="1">IFERROR(__xludf.DUMMYFUNCTION("""COMPUTED_VALUE"""),498.9)</f>
        <v>498.9</v>
      </c>
      <c r="K636" s="1">
        <f ca="1">IFERROR(__xludf.DUMMYFUNCTION("""COMPUTED_VALUE"""),48.29)</f>
        <v>48.29</v>
      </c>
      <c r="L636" s="1">
        <f ca="1">IFERROR(__xludf.DUMMYFUNCTION("""COMPUTED_VALUE"""),384.16)</f>
        <v>384.16</v>
      </c>
      <c r="M636" s="1">
        <f ca="1">IFERROR(__xludf.DUMMYFUNCTION("""COMPUTED_VALUE"""),177.34)</f>
        <v>177.34</v>
      </c>
    </row>
    <row r="637" spans="1:13" x14ac:dyDescent="0.25">
      <c r="A637" s="2">
        <f ca="1">IFERROR(__xludf.DUMMYFUNCTION("""COMPUTED_VALUE"""),44755.6666666666)</f>
        <v>44755.666666666599</v>
      </c>
      <c r="B637" s="1">
        <f ca="1">IFERROR(__xludf.DUMMYFUNCTION("""COMPUTED_VALUE"""),145.49)</f>
        <v>145.49</v>
      </c>
      <c r="C637" s="1">
        <f ca="1">IFERROR(__xludf.DUMMYFUNCTION("""COMPUTED_VALUE"""),253.67)</f>
        <v>253.67</v>
      </c>
      <c r="D637" s="1">
        <f ca="1">IFERROR(__xludf.DUMMYFUNCTION("""COMPUTED_VALUE"""),109.22)</f>
        <v>109.22</v>
      </c>
      <c r="E637" s="1">
        <f ca="1">IFERROR(__xludf.DUMMYFUNCTION("""COMPUTED_VALUE"""),15.08)</f>
        <v>15.08</v>
      </c>
      <c r="F637" s="1">
        <f ca="1">IFERROR(__xludf.DUMMYFUNCTION("""COMPUTED_VALUE"""),163.27)</f>
        <v>163.27000000000001</v>
      </c>
      <c r="G637" s="1">
        <f ca="1">IFERROR(__xludf.DUMMYFUNCTION("""COMPUTED_VALUE"""),114.85)</f>
        <v>114.85</v>
      </c>
      <c r="H637" s="1">
        <f ca="1">IFERROR(__xludf.DUMMYFUNCTION("""COMPUTED_VALUE"""),233.07)</f>
        <v>233.07</v>
      </c>
      <c r="I637" s="1">
        <f ca="1">IFERROR(__xludf.DUMMYFUNCTION("""COMPUTED_VALUE"""),169.5)</f>
        <v>169.5</v>
      </c>
      <c r="J637" s="1">
        <f ca="1">IFERROR(__xludf.DUMMYFUNCTION("""COMPUTED_VALUE"""),490.57)</f>
        <v>490.57</v>
      </c>
      <c r="K637" s="1">
        <f ca="1">IFERROR(__xludf.DUMMYFUNCTION("""COMPUTED_VALUE"""),48.14)</f>
        <v>48.14</v>
      </c>
      <c r="L637" s="1">
        <f ca="1">IFERROR(__xludf.DUMMYFUNCTION("""COMPUTED_VALUE"""),375.54)</f>
        <v>375.54</v>
      </c>
      <c r="M637" s="1">
        <f ca="1">IFERROR(__xludf.DUMMYFUNCTION("""COMPUTED_VALUE"""),174.45)</f>
        <v>174.45</v>
      </c>
    </row>
    <row r="638" spans="1:13" x14ac:dyDescent="0.25">
      <c r="A638" s="2">
        <f ca="1">IFERROR(__xludf.DUMMYFUNCTION("""COMPUTED_VALUE"""),44756.6666666666)</f>
        <v>44756.666666666599</v>
      </c>
      <c r="B638" s="1">
        <f ca="1">IFERROR(__xludf.DUMMYFUNCTION("""COMPUTED_VALUE"""),148.47)</f>
        <v>148.47</v>
      </c>
      <c r="C638" s="1">
        <f ca="1">IFERROR(__xludf.DUMMYFUNCTION("""COMPUTED_VALUE"""),252.72)</f>
        <v>252.72</v>
      </c>
      <c r="D638" s="1">
        <f ca="1">IFERROR(__xludf.DUMMYFUNCTION("""COMPUTED_VALUE"""),110.4)</f>
        <v>110.4</v>
      </c>
      <c r="E638" s="1">
        <f ca="1">IFERROR(__xludf.DUMMYFUNCTION("""COMPUTED_VALUE"""),15.16)</f>
        <v>15.16</v>
      </c>
      <c r="F638" s="1">
        <f ca="1">IFERROR(__xludf.DUMMYFUNCTION("""COMPUTED_VALUE"""),163.49)</f>
        <v>163.49</v>
      </c>
      <c r="G638" s="1">
        <f ca="1">IFERROR(__xludf.DUMMYFUNCTION("""COMPUTED_VALUE"""),112.19)</f>
        <v>112.19</v>
      </c>
      <c r="H638" s="1">
        <f ca="1">IFERROR(__xludf.DUMMYFUNCTION("""COMPUTED_VALUE"""),237.04)</f>
        <v>237.04</v>
      </c>
      <c r="I638" s="1">
        <f ca="1">IFERROR(__xludf.DUMMYFUNCTION("""COMPUTED_VALUE"""),170.1)</f>
        <v>170.1</v>
      </c>
      <c r="J638" s="1">
        <f ca="1">IFERROR(__xludf.DUMMYFUNCTION("""COMPUTED_VALUE"""),492.22)</f>
        <v>492.22</v>
      </c>
      <c r="K638" s="1">
        <f ca="1">IFERROR(__xludf.DUMMYFUNCTION("""COMPUTED_VALUE"""),48.17)</f>
        <v>48.17</v>
      </c>
      <c r="L638" s="1">
        <f ca="1">IFERROR(__xludf.DUMMYFUNCTION("""COMPUTED_VALUE"""),371.94)</f>
        <v>371.94</v>
      </c>
      <c r="M638" s="1">
        <f ca="1">IFERROR(__xludf.DUMMYFUNCTION("""COMPUTED_VALUE"""),176.56)</f>
        <v>176.56</v>
      </c>
    </row>
    <row r="639" spans="1:13" x14ac:dyDescent="0.25">
      <c r="A639" s="2">
        <f ca="1">IFERROR(__xludf.DUMMYFUNCTION("""COMPUTED_VALUE"""),44757.6666666666)</f>
        <v>44757.666666666599</v>
      </c>
      <c r="B639" s="1">
        <f ca="1">IFERROR(__xludf.DUMMYFUNCTION("""COMPUTED_VALUE"""),150.17)</f>
        <v>150.16999999999999</v>
      </c>
      <c r="C639" s="1">
        <f ca="1">IFERROR(__xludf.DUMMYFUNCTION("""COMPUTED_VALUE"""),254.08)</f>
        <v>254.08</v>
      </c>
      <c r="D639" s="1">
        <f ca="1">IFERROR(__xludf.DUMMYFUNCTION("""COMPUTED_VALUE"""),110.63)</f>
        <v>110.63</v>
      </c>
      <c r="E639" s="1">
        <f ca="1">IFERROR(__xludf.DUMMYFUNCTION("""COMPUTED_VALUE"""),15.37)</f>
        <v>15.37</v>
      </c>
      <c r="F639" s="1">
        <f ca="1">IFERROR(__xludf.DUMMYFUNCTION("""COMPUTED_VALUE"""),158.05)</f>
        <v>158.05000000000001</v>
      </c>
      <c r="G639" s="1">
        <f ca="1">IFERROR(__xludf.DUMMYFUNCTION("""COMPUTED_VALUE"""),111.44)</f>
        <v>111.44</v>
      </c>
      <c r="H639" s="1">
        <f ca="1">IFERROR(__xludf.DUMMYFUNCTION("""COMPUTED_VALUE"""),238.31)</f>
        <v>238.31</v>
      </c>
      <c r="I639" s="1">
        <f ca="1">IFERROR(__xludf.DUMMYFUNCTION("""COMPUTED_VALUE"""),170.98)</f>
        <v>170.98</v>
      </c>
      <c r="J639" s="1">
        <f ca="1">IFERROR(__xludf.DUMMYFUNCTION("""COMPUTED_VALUE"""),511.94)</f>
        <v>511.94</v>
      </c>
      <c r="K639" s="1">
        <f ca="1">IFERROR(__xludf.DUMMYFUNCTION("""COMPUTED_VALUE"""),48.46)</f>
        <v>48.46</v>
      </c>
      <c r="L639" s="1">
        <f ca="1">IFERROR(__xludf.DUMMYFUNCTION("""COMPUTED_VALUE"""),372.96)</f>
        <v>372.96</v>
      </c>
      <c r="M639" s="1">
        <f ca="1">IFERROR(__xludf.DUMMYFUNCTION("""COMPUTED_VALUE"""),174.78)</f>
        <v>174.78</v>
      </c>
    </row>
    <row r="640" spans="1:13" x14ac:dyDescent="0.25">
      <c r="A640" s="2">
        <f ca="1">IFERROR(__xludf.DUMMYFUNCTION("""COMPUTED_VALUE"""),44760.6666666666)</f>
        <v>44760.666666666599</v>
      </c>
      <c r="B640" s="1">
        <f ca="1">IFERROR(__xludf.DUMMYFUNCTION("""COMPUTED_VALUE"""),147.07)</f>
        <v>147.07</v>
      </c>
      <c r="C640" s="1">
        <f ca="1">IFERROR(__xludf.DUMMYFUNCTION("""COMPUTED_VALUE"""),256.72)</f>
        <v>256.72000000000003</v>
      </c>
      <c r="D640" s="1">
        <f ca="1">IFERROR(__xludf.DUMMYFUNCTION("""COMPUTED_VALUE"""),113.55)</f>
        <v>113.55</v>
      </c>
      <c r="E640" s="1">
        <f ca="1">IFERROR(__xludf.DUMMYFUNCTION("""COMPUTED_VALUE"""),15.76)</f>
        <v>15.76</v>
      </c>
      <c r="F640" s="1">
        <f ca="1">IFERROR(__xludf.DUMMYFUNCTION("""COMPUTED_VALUE"""),164.7)</f>
        <v>164.7</v>
      </c>
      <c r="G640" s="1">
        <f ca="1">IFERROR(__xludf.DUMMYFUNCTION("""COMPUTED_VALUE"""),112.77)</f>
        <v>112.77</v>
      </c>
      <c r="H640" s="1">
        <f ca="1">IFERROR(__xludf.DUMMYFUNCTION("""COMPUTED_VALUE"""),240.07)</f>
        <v>240.07</v>
      </c>
      <c r="I640" s="1">
        <f ca="1">IFERROR(__xludf.DUMMYFUNCTION("""COMPUTED_VALUE"""),171.12)</f>
        <v>171.12</v>
      </c>
      <c r="J640" s="1">
        <f ca="1">IFERROR(__xludf.DUMMYFUNCTION("""COMPUTED_VALUE"""),522.95)</f>
        <v>522.95000000000005</v>
      </c>
      <c r="K640" s="1">
        <f ca="1">IFERROR(__xludf.DUMMYFUNCTION("""COMPUTED_VALUE"""),49.45)</f>
        <v>49.45</v>
      </c>
      <c r="L640" s="1">
        <f ca="1">IFERROR(__xludf.DUMMYFUNCTION("""COMPUTED_VALUE"""),379.86)</f>
        <v>379.86</v>
      </c>
      <c r="M640" s="1">
        <f ca="1">IFERROR(__xludf.DUMMYFUNCTION("""COMPUTED_VALUE"""),189.11)</f>
        <v>189.11</v>
      </c>
    </row>
    <row r="641" spans="1:13" x14ac:dyDescent="0.25">
      <c r="A641" s="2">
        <f ca="1">IFERROR(__xludf.DUMMYFUNCTION("""COMPUTED_VALUE"""),44761.6666666666)</f>
        <v>44761.666666666599</v>
      </c>
      <c r="B641" s="1">
        <f ca="1">IFERROR(__xludf.DUMMYFUNCTION("""COMPUTED_VALUE"""),151)</f>
        <v>151</v>
      </c>
      <c r="C641" s="1">
        <f ca="1">IFERROR(__xludf.DUMMYFUNCTION("""COMPUTED_VALUE"""),254.25)</f>
        <v>254.25</v>
      </c>
      <c r="D641" s="1">
        <f ca="1">IFERROR(__xludf.DUMMYFUNCTION("""COMPUTED_VALUE"""),113.76)</f>
        <v>113.76</v>
      </c>
      <c r="E641" s="1">
        <f ca="1">IFERROR(__xludf.DUMMYFUNCTION("""COMPUTED_VALUE"""),16.1)</f>
        <v>16.100000000000001</v>
      </c>
      <c r="F641" s="1">
        <f ca="1">IFERROR(__xludf.DUMMYFUNCTION("""COMPUTED_VALUE"""),167.23)</f>
        <v>167.23</v>
      </c>
      <c r="G641" s="1">
        <f ca="1">IFERROR(__xludf.DUMMYFUNCTION("""COMPUTED_VALUE"""),109.91)</f>
        <v>109.91</v>
      </c>
      <c r="H641" s="1">
        <f ca="1">IFERROR(__xludf.DUMMYFUNCTION("""COMPUTED_VALUE"""),240.55)</f>
        <v>240.55</v>
      </c>
      <c r="I641" s="1">
        <f ca="1">IFERROR(__xludf.DUMMYFUNCTION("""COMPUTED_VALUE"""),168.26)</f>
        <v>168.26</v>
      </c>
      <c r="J641" s="1">
        <f ca="1">IFERROR(__xludf.DUMMYFUNCTION("""COMPUTED_VALUE"""),516.3)</f>
        <v>516.29999999999995</v>
      </c>
      <c r="K641" s="1">
        <f ca="1">IFERROR(__xludf.DUMMYFUNCTION("""COMPUTED_VALUE"""),49.11)</f>
        <v>49.11</v>
      </c>
      <c r="L641" s="1">
        <f ca="1">IFERROR(__xludf.DUMMYFUNCTION("""COMPUTED_VALUE"""),375.23)</f>
        <v>375.23</v>
      </c>
      <c r="M641" s="1">
        <f ca="1">IFERROR(__xludf.DUMMYFUNCTION("""COMPUTED_VALUE"""),190.92)</f>
        <v>190.92</v>
      </c>
    </row>
    <row r="642" spans="1:13" x14ac:dyDescent="0.25">
      <c r="A642" s="2">
        <f ca="1">IFERROR(__xludf.DUMMYFUNCTION("""COMPUTED_VALUE"""),44762.6666666666)</f>
        <v>44762.666666666599</v>
      </c>
      <c r="B642" s="1">
        <f ca="1">IFERROR(__xludf.DUMMYFUNCTION("""COMPUTED_VALUE"""),153.04)</f>
        <v>153.04</v>
      </c>
      <c r="C642" s="1">
        <f ca="1">IFERROR(__xludf.DUMMYFUNCTION("""COMPUTED_VALUE"""),259.53)</f>
        <v>259.52999999999997</v>
      </c>
      <c r="D642" s="1">
        <f ca="1">IFERROR(__xludf.DUMMYFUNCTION("""COMPUTED_VALUE"""),118.21)</f>
        <v>118.21</v>
      </c>
      <c r="E642" s="1">
        <f ca="1">IFERROR(__xludf.DUMMYFUNCTION("""COMPUTED_VALUE"""),16.99)</f>
        <v>16.989999999999998</v>
      </c>
      <c r="F642" s="1">
        <f ca="1">IFERROR(__xludf.DUMMYFUNCTION("""COMPUTED_VALUE"""),175.78)</f>
        <v>175.78</v>
      </c>
      <c r="G642" s="1">
        <f ca="1">IFERROR(__xludf.DUMMYFUNCTION("""COMPUTED_VALUE"""),114.62)</f>
        <v>114.62</v>
      </c>
      <c r="H642" s="1">
        <f ca="1">IFERROR(__xludf.DUMMYFUNCTION("""COMPUTED_VALUE"""),245.53)</f>
        <v>245.53</v>
      </c>
      <c r="I642" s="1">
        <f ca="1">IFERROR(__xludf.DUMMYFUNCTION("""COMPUTED_VALUE"""),170.06)</f>
        <v>170.06</v>
      </c>
      <c r="J642" s="1">
        <f ca="1">IFERROR(__xludf.DUMMYFUNCTION("""COMPUTED_VALUE"""),520.23)</f>
        <v>520.23</v>
      </c>
      <c r="K642" s="1">
        <f ca="1">IFERROR(__xludf.DUMMYFUNCTION("""COMPUTED_VALUE"""),50.9)</f>
        <v>50.9</v>
      </c>
      <c r="L642" s="1">
        <f ca="1">IFERROR(__xludf.DUMMYFUNCTION("""COMPUTED_VALUE"""),387.83)</f>
        <v>387.83</v>
      </c>
      <c r="M642" s="1">
        <f ca="1">IFERROR(__xludf.DUMMYFUNCTION("""COMPUTED_VALUE"""),201.63)</f>
        <v>201.63</v>
      </c>
    </row>
    <row r="643" spans="1:13" x14ac:dyDescent="0.25">
      <c r="A643" s="2">
        <f ca="1">IFERROR(__xludf.DUMMYFUNCTION("""COMPUTED_VALUE"""),44763.6666666666)</f>
        <v>44763.666666666599</v>
      </c>
      <c r="B643" s="1">
        <f ca="1">IFERROR(__xludf.DUMMYFUNCTION("""COMPUTED_VALUE"""),155.35)</f>
        <v>155.35</v>
      </c>
      <c r="C643" s="1">
        <f ca="1">IFERROR(__xludf.DUMMYFUNCTION("""COMPUTED_VALUE"""),262.27)</f>
        <v>262.27</v>
      </c>
      <c r="D643" s="1">
        <f ca="1">IFERROR(__xludf.DUMMYFUNCTION("""COMPUTED_VALUE"""),122.77)</f>
        <v>122.77</v>
      </c>
      <c r="E643" s="1">
        <f ca="1">IFERROR(__xludf.DUMMYFUNCTION("""COMPUTED_VALUE"""),17.81)</f>
        <v>17.809999999999999</v>
      </c>
      <c r="F643" s="1">
        <f ca="1">IFERROR(__xludf.DUMMYFUNCTION("""COMPUTED_VALUE"""),183.09)</f>
        <v>183.09</v>
      </c>
      <c r="G643" s="1">
        <f ca="1">IFERROR(__xludf.DUMMYFUNCTION("""COMPUTED_VALUE"""),114.7)</f>
        <v>114.7</v>
      </c>
      <c r="H643" s="1">
        <f ca="1">IFERROR(__xludf.DUMMYFUNCTION("""COMPUTED_VALUE"""),247.5)</f>
        <v>247.5</v>
      </c>
      <c r="I643" s="1">
        <f ca="1">IFERROR(__xludf.DUMMYFUNCTION("""COMPUTED_VALUE"""),168.26)</f>
        <v>168.26</v>
      </c>
      <c r="J643" s="1">
        <f ca="1">IFERROR(__xludf.DUMMYFUNCTION("""COMPUTED_VALUE"""),524.2)</f>
        <v>524.20000000000005</v>
      </c>
      <c r="K643" s="1">
        <f ca="1">IFERROR(__xludf.DUMMYFUNCTION("""COMPUTED_VALUE"""),51.18)</f>
        <v>51.18</v>
      </c>
      <c r="L643" s="1">
        <f ca="1">IFERROR(__xludf.DUMMYFUNCTION("""COMPUTED_VALUE"""),401.49)</f>
        <v>401.49</v>
      </c>
      <c r="M643" s="1">
        <f ca="1">IFERROR(__xludf.DUMMYFUNCTION("""COMPUTED_VALUE"""),216.44)</f>
        <v>216.44</v>
      </c>
    </row>
    <row r="644" spans="1:13" x14ac:dyDescent="0.25">
      <c r="A644" s="2">
        <f ca="1">IFERROR(__xludf.DUMMYFUNCTION("""COMPUTED_VALUE"""),44764.6666666666)</f>
        <v>44764.666666666599</v>
      </c>
      <c r="B644" s="1">
        <f ca="1">IFERROR(__xludf.DUMMYFUNCTION("""COMPUTED_VALUE"""),154.09)</f>
        <v>154.09</v>
      </c>
      <c r="C644" s="1">
        <f ca="1">IFERROR(__xludf.DUMMYFUNCTION("""COMPUTED_VALUE"""),264.84)</f>
        <v>264.83999999999997</v>
      </c>
      <c r="D644" s="1">
        <f ca="1">IFERROR(__xludf.DUMMYFUNCTION("""COMPUTED_VALUE"""),124.63)</f>
        <v>124.63</v>
      </c>
      <c r="E644" s="1">
        <f ca="1">IFERROR(__xludf.DUMMYFUNCTION("""COMPUTED_VALUE"""),18.05)</f>
        <v>18.05</v>
      </c>
      <c r="F644" s="1">
        <f ca="1">IFERROR(__xludf.DUMMYFUNCTION("""COMPUTED_VALUE"""),183.17)</f>
        <v>183.17</v>
      </c>
      <c r="G644" s="1">
        <f ca="1">IFERROR(__xludf.DUMMYFUNCTION("""COMPUTED_VALUE"""),115.04)</f>
        <v>115.04</v>
      </c>
      <c r="H644" s="1">
        <f ca="1">IFERROR(__xludf.DUMMYFUNCTION("""COMPUTED_VALUE"""),271.71)</f>
        <v>271.70999999999998</v>
      </c>
      <c r="I644" s="1">
        <f ca="1">IFERROR(__xludf.DUMMYFUNCTION("""COMPUTED_VALUE"""),168.51)</f>
        <v>168.51</v>
      </c>
      <c r="J644" s="1">
        <f ca="1">IFERROR(__xludf.DUMMYFUNCTION("""COMPUTED_VALUE"""),529.46)</f>
        <v>529.46</v>
      </c>
      <c r="K644" s="1">
        <f ca="1">IFERROR(__xludf.DUMMYFUNCTION("""COMPUTED_VALUE"""),51.77)</f>
        <v>51.77</v>
      </c>
      <c r="L644" s="1">
        <f ca="1">IFERROR(__xludf.DUMMYFUNCTION("""COMPUTED_VALUE"""),408.91)</f>
        <v>408.91</v>
      </c>
      <c r="M644" s="1">
        <f ca="1">IFERROR(__xludf.DUMMYFUNCTION("""COMPUTED_VALUE"""),223.88)</f>
        <v>223.88</v>
      </c>
    </row>
    <row r="645" spans="1:13" x14ac:dyDescent="0.25">
      <c r="A645" s="2">
        <f ca="1">IFERROR(__xludf.DUMMYFUNCTION("""COMPUTED_VALUE"""),44767.6666666666)</f>
        <v>44767.666666666599</v>
      </c>
      <c r="B645" s="1">
        <f ca="1">IFERROR(__xludf.DUMMYFUNCTION("""COMPUTED_VALUE"""),152.95)</f>
        <v>152.94999999999999</v>
      </c>
      <c r="C645" s="1">
        <f ca="1">IFERROR(__xludf.DUMMYFUNCTION("""COMPUTED_VALUE"""),260.36)</f>
        <v>260.36</v>
      </c>
      <c r="D645" s="1">
        <f ca="1">IFERROR(__xludf.DUMMYFUNCTION("""COMPUTED_VALUE"""),122.42)</f>
        <v>122.42</v>
      </c>
      <c r="E645" s="1">
        <f ca="1">IFERROR(__xludf.DUMMYFUNCTION("""COMPUTED_VALUE"""),17.32)</f>
        <v>17.32</v>
      </c>
      <c r="F645" s="1">
        <f ca="1">IFERROR(__xludf.DUMMYFUNCTION("""COMPUTED_VALUE"""),169.27)</f>
        <v>169.27</v>
      </c>
      <c r="G645" s="1">
        <f ca="1">IFERROR(__xludf.DUMMYFUNCTION("""COMPUTED_VALUE"""),108.36)</f>
        <v>108.36</v>
      </c>
      <c r="H645" s="1">
        <f ca="1">IFERROR(__xludf.DUMMYFUNCTION("""COMPUTED_VALUE"""),272.24)</f>
        <v>272.24</v>
      </c>
      <c r="I645" s="1">
        <f ca="1">IFERROR(__xludf.DUMMYFUNCTION("""COMPUTED_VALUE"""),169.61)</f>
        <v>169.61</v>
      </c>
      <c r="J645" s="1">
        <f ca="1">IFERROR(__xludf.DUMMYFUNCTION("""COMPUTED_VALUE"""),529.72)</f>
        <v>529.72</v>
      </c>
      <c r="K645" s="1">
        <f ca="1">IFERROR(__xludf.DUMMYFUNCTION("""COMPUTED_VALUE"""),51.25)</f>
        <v>51.25</v>
      </c>
      <c r="L645" s="1">
        <f ca="1">IFERROR(__xludf.DUMMYFUNCTION("""COMPUTED_VALUE"""),401.9)</f>
        <v>401.9</v>
      </c>
      <c r="M645" s="1">
        <f ca="1">IFERROR(__xludf.DUMMYFUNCTION("""COMPUTED_VALUE"""),220.44)</f>
        <v>220.44</v>
      </c>
    </row>
    <row r="646" spans="1:13" x14ac:dyDescent="0.25">
      <c r="A646" s="2">
        <f ca="1">IFERROR(__xludf.DUMMYFUNCTION("""COMPUTED_VALUE"""),44768.6666666666)</f>
        <v>44768.666666666599</v>
      </c>
      <c r="B646" s="1">
        <f ca="1">IFERROR(__xludf.DUMMYFUNCTION("""COMPUTED_VALUE"""),151.6)</f>
        <v>151.6</v>
      </c>
      <c r="C646" s="1">
        <f ca="1">IFERROR(__xludf.DUMMYFUNCTION("""COMPUTED_VALUE"""),258.83)</f>
        <v>258.83</v>
      </c>
      <c r="D646" s="1">
        <f ca="1">IFERROR(__xludf.DUMMYFUNCTION("""COMPUTED_VALUE"""),121.14)</f>
        <v>121.14</v>
      </c>
      <c r="E646" s="1">
        <f ca="1">IFERROR(__xludf.DUMMYFUNCTION("""COMPUTED_VALUE"""),17.02)</f>
        <v>17.02</v>
      </c>
      <c r="F646" s="1">
        <f ca="1">IFERROR(__xludf.DUMMYFUNCTION("""COMPUTED_VALUE"""),166.65)</f>
        <v>166.65</v>
      </c>
      <c r="G646" s="1">
        <f ca="1">IFERROR(__xludf.DUMMYFUNCTION("""COMPUTED_VALUE"""),108.21)</f>
        <v>108.21</v>
      </c>
      <c r="H646" s="1">
        <f ca="1">IFERROR(__xludf.DUMMYFUNCTION("""COMPUTED_VALUE"""),268.43)</f>
        <v>268.43</v>
      </c>
      <c r="I646" s="1">
        <f ca="1">IFERROR(__xludf.DUMMYFUNCTION("""COMPUTED_VALUE"""),169.85)</f>
        <v>169.85</v>
      </c>
      <c r="J646" s="1">
        <f ca="1">IFERROR(__xludf.DUMMYFUNCTION("""COMPUTED_VALUE"""),529.14)</f>
        <v>529.14</v>
      </c>
      <c r="K646" s="1">
        <f ca="1">IFERROR(__xludf.DUMMYFUNCTION("""COMPUTED_VALUE"""),51.31)</f>
        <v>51.31</v>
      </c>
      <c r="L646" s="1">
        <f ca="1">IFERROR(__xludf.DUMMYFUNCTION("""COMPUTED_VALUE"""),391.96)</f>
        <v>391.96</v>
      </c>
      <c r="M646" s="1">
        <f ca="1">IFERROR(__xludf.DUMMYFUNCTION("""COMPUTED_VALUE"""),218.51)</f>
        <v>218.51</v>
      </c>
    </row>
    <row r="647" spans="1:13" x14ac:dyDescent="0.25">
      <c r="A647" s="2">
        <f ca="1">IFERROR(__xludf.DUMMYFUNCTION("""COMPUTED_VALUE"""),44769.6666666666)</f>
        <v>44769.666666666599</v>
      </c>
      <c r="B647" s="1">
        <f ca="1">IFERROR(__xludf.DUMMYFUNCTION("""COMPUTED_VALUE"""),156.79)</f>
        <v>156.79</v>
      </c>
      <c r="C647" s="1">
        <f ca="1">IFERROR(__xludf.DUMMYFUNCTION("""COMPUTED_VALUE"""),251.9)</f>
        <v>251.9</v>
      </c>
      <c r="D647" s="1">
        <f ca="1">IFERROR(__xludf.DUMMYFUNCTION("""COMPUTED_VALUE"""),114.81)</f>
        <v>114.81</v>
      </c>
      <c r="E647" s="1">
        <f ca="1">IFERROR(__xludf.DUMMYFUNCTION("""COMPUTED_VALUE"""),16.53)</f>
        <v>16.53</v>
      </c>
      <c r="F647" s="1">
        <f ca="1">IFERROR(__xludf.DUMMYFUNCTION("""COMPUTED_VALUE"""),159.15)</f>
        <v>159.15</v>
      </c>
      <c r="G647" s="1">
        <f ca="1">IFERROR(__xludf.DUMMYFUNCTION("""COMPUTED_VALUE"""),105.44)</f>
        <v>105.44</v>
      </c>
      <c r="H647" s="1">
        <f ca="1">IFERROR(__xludf.DUMMYFUNCTION("""COMPUTED_VALUE"""),258.86)</f>
        <v>258.86</v>
      </c>
      <c r="I647" s="1">
        <f ca="1">IFERROR(__xludf.DUMMYFUNCTION("""COMPUTED_VALUE"""),171.83)</f>
        <v>171.83</v>
      </c>
      <c r="J647" s="1">
        <f ca="1">IFERROR(__xludf.DUMMYFUNCTION("""COMPUTED_VALUE"""),511.93)</f>
        <v>511.93</v>
      </c>
      <c r="K647" s="1">
        <f ca="1">IFERROR(__xludf.DUMMYFUNCTION("""COMPUTED_VALUE"""),51.11)</f>
        <v>51.11</v>
      </c>
      <c r="L647" s="1">
        <f ca="1">IFERROR(__xludf.DUMMYFUNCTION("""COMPUTED_VALUE"""),379.26)</f>
        <v>379.26</v>
      </c>
      <c r="M647" s="1">
        <f ca="1">IFERROR(__xludf.DUMMYFUNCTION("""COMPUTED_VALUE"""),213.91)</f>
        <v>213.91</v>
      </c>
    </row>
    <row r="648" spans="1:13" x14ac:dyDescent="0.25">
      <c r="A648" s="2">
        <f ca="1">IFERROR(__xludf.DUMMYFUNCTION("""COMPUTED_VALUE"""),44770.6666666666)</f>
        <v>44770.666666666599</v>
      </c>
      <c r="B648" s="1">
        <f ca="1">IFERROR(__xludf.DUMMYFUNCTION("""COMPUTED_VALUE"""),157.35)</f>
        <v>157.35</v>
      </c>
      <c r="C648" s="1">
        <f ca="1">IFERROR(__xludf.DUMMYFUNCTION("""COMPUTED_VALUE"""),268.74)</f>
        <v>268.74</v>
      </c>
      <c r="D648" s="1">
        <f ca="1">IFERROR(__xludf.DUMMYFUNCTION("""COMPUTED_VALUE"""),120.97)</f>
        <v>120.97</v>
      </c>
      <c r="E648" s="1">
        <f ca="1">IFERROR(__xludf.DUMMYFUNCTION("""COMPUTED_VALUE"""),17.79)</f>
        <v>17.79</v>
      </c>
      <c r="F648" s="1">
        <f ca="1">IFERROR(__xludf.DUMMYFUNCTION("""COMPUTED_VALUE"""),169.58)</f>
        <v>169.58</v>
      </c>
      <c r="G648" s="1">
        <f ca="1">IFERROR(__xludf.DUMMYFUNCTION("""COMPUTED_VALUE"""),113.6)</f>
        <v>113.6</v>
      </c>
      <c r="H648" s="1">
        <f ca="1">IFERROR(__xludf.DUMMYFUNCTION("""COMPUTED_VALUE"""),274.82)</f>
        <v>274.82</v>
      </c>
      <c r="I648" s="1">
        <f ca="1">IFERROR(__xludf.DUMMYFUNCTION("""COMPUTED_VALUE"""),171.59)</f>
        <v>171.59</v>
      </c>
      <c r="J648" s="1">
        <f ca="1">IFERROR(__xludf.DUMMYFUNCTION("""COMPUTED_VALUE"""),522.31)</f>
        <v>522.30999999999995</v>
      </c>
      <c r="K648" s="1">
        <f ca="1">IFERROR(__xludf.DUMMYFUNCTION("""COMPUTED_VALUE"""),52.78)</f>
        <v>52.78</v>
      </c>
      <c r="L648" s="1">
        <f ca="1">IFERROR(__xludf.DUMMYFUNCTION("""COMPUTED_VALUE"""),392.78)</f>
        <v>392.78</v>
      </c>
      <c r="M648" s="1">
        <f ca="1">IFERROR(__xludf.DUMMYFUNCTION("""COMPUTED_VALUE"""),226.75)</f>
        <v>226.75</v>
      </c>
    </row>
    <row r="649" spans="1:13" x14ac:dyDescent="0.25">
      <c r="A649" s="2">
        <f ca="1">IFERROR(__xludf.DUMMYFUNCTION("""COMPUTED_VALUE"""),44771.6666666666)</f>
        <v>44771.666666666599</v>
      </c>
      <c r="B649" s="1">
        <f ca="1">IFERROR(__xludf.DUMMYFUNCTION("""COMPUTED_VALUE"""),162.51)</f>
        <v>162.51</v>
      </c>
      <c r="C649" s="1">
        <f ca="1">IFERROR(__xludf.DUMMYFUNCTION("""COMPUTED_VALUE"""),276.41)</f>
        <v>276.41000000000003</v>
      </c>
      <c r="D649" s="1">
        <f ca="1">IFERROR(__xludf.DUMMYFUNCTION("""COMPUTED_VALUE"""),122.28)</f>
        <v>122.28</v>
      </c>
      <c r="E649" s="1">
        <f ca="1">IFERROR(__xludf.DUMMYFUNCTION("""COMPUTED_VALUE"""),17.98)</f>
        <v>17.98</v>
      </c>
      <c r="F649" s="1">
        <f ca="1">IFERROR(__xludf.DUMMYFUNCTION("""COMPUTED_VALUE"""),160.72)</f>
        <v>160.72</v>
      </c>
      <c r="G649" s="1">
        <f ca="1">IFERROR(__xludf.DUMMYFUNCTION("""COMPUTED_VALUE"""),114.59)</f>
        <v>114.59</v>
      </c>
      <c r="H649" s="1">
        <f ca="1">IFERROR(__xludf.DUMMYFUNCTION("""COMPUTED_VALUE"""),280.9)</f>
        <v>280.89999999999998</v>
      </c>
      <c r="I649" s="1">
        <f ca="1">IFERROR(__xludf.DUMMYFUNCTION("""COMPUTED_VALUE"""),174.84)</f>
        <v>174.84</v>
      </c>
      <c r="J649" s="1">
        <f ca="1">IFERROR(__xludf.DUMMYFUNCTION("""COMPUTED_VALUE"""),536.18)</f>
        <v>536.17999999999995</v>
      </c>
      <c r="K649" s="1">
        <f ca="1">IFERROR(__xludf.DUMMYFUNCTION("""COMPUTED_VALUE"""),53.36)</f>
        <v>53.36</v>
      </c>
      <c r="L649" s="1">
        <f ca="1">IFERROR(__xludf.DUMMYFUNCTION("""COMPUTED_VALUE"""),403.5)</f>
        <v>403.5</v>
      </c>
      <c r="M649" s="1">
        <f ca="1">IFERROR(__xludf.DUMMYFUNCTION("""COMPUTED_VALUE"""),226.02)</f>
        <v>226.02</v>
      </c>
    </row>
    <row r="650" spans="1:13" x14ac:dyDescent="0.25">
      <c r="A650" s="2">
        <f ca="1">IFERROR(__xludf.DUMMYFUNCTION("""COMPUTED_VALUE"""),44774.6666666666)</f>
        <v>44774.666666666599</v>
      </c>
      <c r="B650" s="1">
        <f ca="1">IFERROR(__xludf.DUMMYFUNCTION("""COMPUTED_VALUE"""),161.51)</f>
        <v>161.51</v>
      </c>
      <c r="C650" s="1">
        <f ca="1">IFERROR(__xludf.DUMMYFUNCTION("""COMPUTED_VALUE"""),280.74)</f>
        <v>280.74</v>
      </c>
      <c r="D650" s="1">
        <f ca="1">IFERROR(__xludf.DUMMYFUNCTION("""COMPUTED_VALUE"""),134.95)</f>
        <v>134.94999999999999</v>
      </c>
      <c r="E650" s="1">
        <f ca="1">IFERROR(__xludf.DUMMYFUNCTION("""COMPUTED_VALUE"""),18.16)</f>
        <v>18.16</v>
      </c>
      <c r="F650" s="1">
        <f ca="1">IFERROR(__xludf.DUMMYFUNCTION("""COMPUTED_VALUE"""),159.1)</f>
        <v>159.1</v>
      </c>
      <c r="G650" s="1">
        <f ca="1">IFERROR(__xludf.DUMMYFUNCTION("""COMPUTED_VALUE"""),116.64)</f>
        <v>116.64</v>
      </c>
      <c r="H650" s="1">
        <f ca="1">IFERROR(__xludf.DUMMYFUNCTION("""COMPUTED_VALUE"""),297.15)</f>
        <v>297.14999999999998</v>
      </c>
      <c r="I650" s="1">
        <f ca="1">IFERROR(__xludf.DUMMYFUNCTION("""COMPUTED_VALUE"""),174.96)</f>
        <v>174.96</v>
      </c>
      <c r="J650" s="1">
        <f ca="1">IFERROR(__xludf.DUMMYFUNCTION("""COMPUTED_VALUE"""),541.3)</f>
        <v>541.29999999999995</v>
      </c>
      <c r="K650" s="1">
        <f ca="1">IFERROR(__xludf.DUMMYFUNCTION("""COMPUTED_VALUE"""),53.55)</f>
        <v>53.55</v>
      </c>
      <c r="L650" s="1">
        <f ca="1">IFERROR(__xludf.DUMMYFUNCTION("""COMPUTED_VALUE"""),410.12)</f>
        <v>410.12</v>
      </c>
      <c r="M650" s="1">
        <f ca="1">IFERROR(__xludf.DUMMYFUNCTION("""COMPUTED_VALUE"""),224.9)</f>
        <v>224.9</v>
      </c>
    </row>
    <row r="651" spans="1:13" x14ac:dyDescent="0.25">
      <c r="A651" s="2">
        <f ca="1">IFERROR(__xludf.DUMMYFUNCTION("""COMPUTED_VALUE"""),44775.6666666666)</f>
        <v>44775.666666666599</v>
      </c>
      <c r="B651" s="1">
        <f ca="1">IFERROR(__xludf.DUMMYFUNCTION("""COMPUTED_VALUE"""),160.01)</f>
        <v>160.01</v>
      </c>
      <c r="C651" s="1">
        <f ca="1">IFERROR(__xludf.DUMMYFUNCTION("""COMPUTED_VALUE"""),278.01)</f>
        <v>278.01</v>
      </c>
      <c r="D651" s="1">
        <f ca="1">IFERROR(__xludf.DUMMYFUNCTION("""COMPUTED_VALUE"""),135.39)</f>
        <v>135.38999999999999</v>
      </c>
      <c r="E651" s="1">
        <f ca="1">IFERROR(__xludf.DUMMYFUNCTION("""COMPUTED_VALUE"""),18.44)</f>
        <v>18.440000000000001</v>
      </c>
      <c r="F651" s="1">
        <f ca="1">IFERROR(__xludf.DUMMYFUNCTION("""COMPUTED_VALUE"""),159.93)</f>
        <v>159.93</v>
      </c>
      <c r="G651" s="1">
        <f ca="1">IFERROR(__xludf.DUMMYFUNCTION("""COMPUTED_VALUE"""),115.48)</f>
        <v>115.48</v>
      </c>
      <c r="H651" s="1">
        <f ca="1">IFERROR(__xludf.DUMMYFUNCTION("""COMPUTED_VALUE"""),297.28)</f>
        <v>297.27999999999997</v>
      </c>
      <c r="I651" s="1">
        <f ca="1">IFERROR(__xludf.DUMMYFUNCTION("""COMPUTED_VALUE"""),176.95)</f>
        <v>176.95</v>
      </c>
      <c r="J651" s="1">
        <f ca="1">IFERROR(__xludf.DUMMYFUNCTION("""COMPUTED_VALUE"""),546.81)</f>
        <v>546.80999999999995</v>
      </c>
      <c r="K651" s="1">
        <f ca="1">IFERROR(__xludf.DUMMYFUNCTION("""COMPUTED_VALUE"""),53.64)</f>
        <v>53.64</v>
      </c>
      <c r="L651" s="1">
        <f ca="1">IFERROR(__xludf.DUMMYFUNCTION("""COMPUTED_VALUE"""),411.09)</f>
        <v>411.09</v>
      </c>
      <c r="M651" s="1">
        <f ca="1">IFERROR(__xludf.DUMMYFUNCTION("""COMPUTED_VALUE"""),226.21)</f>
        <v>226.21</v>
      </c>
    </row>
    <row r="652" spans="1:13" x14ac:dyDescent="0.25">
      <c r="A652" s="2">
        <f ca="1">IFERROR(__xludf.DUMMYFUNCTION("""COMPUTED_VALUE"""),44776.6666666666)</f>
        <v>44776.666666666599</v>
      </c>
      <c r="B652" s="1">
        <f ca="1">IFERROR(__xludf.DUMMYFUNCTION("""COMPUTED_VALUE"""),166.13)</f>
        <v>166.13</v>
      </c>
      <c r="C652" s="1">
        <f ca="1">IFERROR(__xludf.DUMMYFUNCTION("""COMPUTED_VALUE"""),274.82)</f>
        <v>274.82</v>
      </c>
      <c r="D652" s="1">
        <f ca="1">IFERROR(__xludf.DUMMYFUNCTION("""COMPUTED_VALUE"""),134.16)</f>
        <v>134.16</v>
      </c>
      <c r="E652" s="1">
        <f ca="1">IFERROR(__xludf.DUMMYFUNCTION("""COMPUTED_VALUE"""),18.53)</f>
        <v>18.53</v>
      </c>
      <c r="F652" s="1">
        <f ca="1">IFERROR(__xludf.DUMMYFUNCTION("""COMPUTED_VALUE"""),160.19)</f>
        <v>160.19</v>
      </c>
      <c r="G652" s="1">
        <f ca="1">IFERROR(__xludf.DUMMYFUNCTION("""COMPUTED_VALUE"""),115.9)</f>
        <v>115.9</v>
      </c>
      <c r="H652" s="1">
        <f ca="1">IFERROR(__xludf.DUMMYFUNCTION("""COMPUTED_VALUE"""),300.59)</f>
        <v>300.58999999999997</v>
      </c>
      <c r="I652" s="1">
        <f ca="1">IFERROR(__xludf.DUMMYFUNCTION("""COMPUTED_VALUE"""),175.49)</f>
        <v>175.49</v>
      </c>
      <c r="J652" s="1">
        <f ca="1">IFERROR(__xludf.DUMMYFUNCTION("""COMPUTED_VALUE"""),543.46)</f>
        <v>543.46</v>
      </c>
      <c r="K652" s="1">
        <f ca="1">IFERROR(__xludf.DUMMYFUNCTION("""COMPUTED_VALUE"""),53.12)</f>
        <v>53.12</v>
      </c>
      <c r="L652" s="1">
        <f ca="1">IFERROR(__xludf.DUMMYFUNCTION("""COMPUTED_VALUE"""),409.96)</f>
        <v>409.96</v>
      </c>
      <c r="M652" s="1">
        <f ca="1">IFERROR(__xludf.DUMMYFUNCTION("""COMPUTED_VALUE"""),221.42)</f>
        <v>221.42</v>
      </c>
    </row>
    <row r="653" spans="1:13" x14ac:dyDescent="0.25">
      <c r="A653" s="2">
        <f ca="1">IFERROR(__xludf.DUMMYFUNCTION("""COMPUTED_VALUE"""),44777.6666666666)</f>
        <v>44777.666666666599</v>
      </c>
      <c r="B653" s="1">
        <f ca="1">IFERROR(__xludf.DUMMYFUNCTION("""COMPUTED_VALUE"""),165.81)</f>
        <v>165.81</v>
      </c>
      <c r="C653" s="1">
        <f ca="1">IFERROR(__xludf.DUMMYFUNCTION("""COMPUTED_VALUE"""),282.47)</f>
        <v>282.47000000000003</v>
      </c>
      <c r="D653" s="1">
        <f ca="1">IFERROR(__xludf.DUMMYFUNCTION("""COMPUTED_VALUE"""),139.52)</f>
        <v>139.52000000000001</v>
      </c>
      <c r="E653" s="1">
        <f ca="1">IFERROR(__xludf.DUMMYFUNCTION("""COMPUTED_VALUE"""),18.89)</f>
        <v>18.89</v>
      </c>
      <c r="F653" s="1">
        <f ca="1">IFERROR(__xludf.DUMMYFUNCTION("""COMPUTED_VALUE"""),168.8)</f>
        <v>168.8</v>
      </c>
      <c r="G653" s="1">
        <f ca="1">IFERROR(__xludf.DUMMYFUNCTION("""COMPUTED_VALUE"""),118.78)</f>
        <v>118.78</v>
      </c>
      <c r="H653" s="1">
        <f ca="1">IFERROR(__xludf.DUMMYFUNCTION("""COMPUTED_VALUE"""),307.4)</f>
        <v>307.39999999999998</v>
      </c>
      <c r="I653" s="1">
        <f ca="1">IFERROR(__xludf.DUMMYFUNCTION("""COMPUTED_VALUE"""),176.83)</f>
        <v>176.83</v>
      </c>
      <c r="J653" s="1">
        <f ca="1">IFERROR(__xludf.DUMMYFUNCTION("""COMPUTED_VALUE"""),547.01)</f>
        <v>547.01</v>
      </c>
      <c r="K653" s="1">
        <f ca="1">IFERROR(__xludf.DUMMYFUNCTION("""COMPUTED_VALUE"""),54.67)</f>
        <v>54.67</v>
      </c>
      <c r="L653" s="1">
        <f ca="1">IFERROR(__xludf.DUMMYFUNCTION("""COMPUTED_VALUE"""),424.54)</f>
        <v>424.54</v>
      </c>
      <c r="M653" s="1">
        <f ca="1">IFERROR(__xludf.DUMMYFUNCTION("""COMPUTED_VALUE"""),226.73)</f>
        <v>226.73</v>
      </c>
    </row>
    <row r="654" spans="1:13" x14ac:dyDescent="0.25">
      <c r="A654" s="2">
        <f ca="1">IFERROR(__xludf.DUMMYFUNCTION("""COMPUTED_VALUE"""),44778.6666666666)</f>
        <v>44778.666666666599</v>
      </c>
      <c r="B654" s="1">
        <f ca="1">IFERROR(__xludf.DUMMYFUNCTION("""COMPUTED_VALUE"""),165.35)</f>
        <v>165.35</v>
      </c>
      <c r="C654" s="1">
        <f ca="1">IFERROR(__xludf.DUMMYFUNCTION("""COMPUTED_VALUE"""),283.65)</f>
        <v>283.64999999999998</v>
      </c>
      <c r="D654" s="1">
        <f ca="1">IFERROR(__xludf.DUMMYFUNCTION("""COMPUTED_VALUE"""),142.57)</f>
        <v>142.57</v>
      </c>
      <c r="E654" s="1">
        <f ca="1">IFERROR(__xludf.DUMMYFUNCTION("""COMPUTED_VALUE"""),19.22)</f>
        <v>19.22</v>
      </c>
      <c r="F654" s="1">
        <f ca="1">IFERROR(__xludf.DUMMYFUNCTION("""COMPUTED_VALUE"""),170.57)</f>
        <v>170.57</v>
      </c>
      <c r="G654" s="1">
        <f ca="1">IFERROR(__xludf.DUMMYFUNCTION("""COMPUTED_VALUE"""),118.87)</f>
        <v>118.87</v>
      </c>
      <c r="H654" s="1">
        <f ca="1">IFERROR(__xludf.DUMMYFUNCTION("""COMPUTED_VALUE"""),308.63)</f>
        <v>308.63</v>
      </c>
      <c r="I654" s="1">
        <f ca="1">IFERROR(__xludf.DUMMYFUNCTION("""COMPUTED_VALUE"""),175.87)</f>
        <v>175.87</v>
      </c>
      <c r="J654" s="1">
        <f ca="1">IFERROR(__xludf.DUMMYFUNCTION("""COMPUTED_VALUE"""),543.28)</f>
        <v>543.28</v>
      </c>
      <c r="K654" s="1">
        <f ca="1">IFERROR(__xludf.DUMMYFUNCTION("""COMPUTED_VALUE"""),55.28)</f>
        <v>55.28</v>
      </c>
      <c r="L654" s="1">
        <f ca="1">IFERROR(__xludf.DUMMYFUNCTION("""COMPUTED_VALUE"""),430.59)</f>
        <v>430.59</v>
      </c>
      <c r="M654" s="1">
        <f ca="1">IFERROR(__xludf.DUMMYFUNCTION("""COMPUTED_VALUE"""),229.91)</f>
        <v>229.91</v>
      </c>
    </row>
    <row r="655" spans="1:13" x14ac:dyDescent="0.25">
      <c r="A655" s="2">
        <f ca="1">IFERROR(__xludf.DUMMYFUNCTION("""COMPUTED_VALUE"""),44781.6666666666)</f>
        <v>44781.666666666599</v>
      </c>
      <c r="B655" s="1">
        <f ca="1">IFERROR(__xludf.DUMMYFUNCTION("""COMPUTED_VALUE"""),164.87)</f>
        <v>164.87</v>
      </c>
      <c r="C655" s="1">
        <f ca="1">IFERROR(__xludf.DUMMYFUNCTION("""COMPUTED_VALUE"""),282.91)</f>
        <v>282.91000000000003</v>
      </c>
      <c r="D655" s="1">
        <f ca="1">IFERROR(__xludf.DUMMYFUNCTION("""COMPUTED_VALUE"""),140.8)</f>
        <v>140.80000000000001</v>
      </c>
      <c r="E655" s="1">
        <f ca="1">IFERROR(__xludf.DUMMYFUNCTION("""COMPUTED_VALUE"""),18.99)</f>
        <v>18.989999999999998</v>
      </c>
      <c r="F655" s="1">
        <f ca="1">IFERROR(__xludf.DUMMYFUNCTION("""COMPUTED_VALUE"""),167.11)</f>
        <v>167.11</v>
      </c>
      <c r="G655" s="1">
        <f ca="1">IFERROR(__xludf.DUMMYFUNCTION("""COMPUTED_VALUE"""),118.22)</f>
        <v>118.22</v>
      </c>
      <c r="H655" s="1">
        <f ca="1">IFERROR(__xludf.DUMMYFUNCTION("""COMPUTED_VALUE"""),288.17)</f>
        <v>288.17</v>
      </c>
      <c r="I655" s="1">
        <f ca="1">IFERROR(__xludf.DUMMYFUNCTION("""COMPUTED_VALUE"""),174.55)</f>
        <v>174.55</v>
      </c>
      <c r="J655" s="1">
        <f ca="1">IFERROR(__xludf.DUMMYFUNCTION("""COMPUTED_VALUE"""),540.67)</f>
        <v>540.66999999999996</v>
      </c>
      <c r="K655" s="1">
        <f ca="1">IFERROR(__xludf.DUMMYFUNCTION("""COMPUTED_VALUE"""),55.14)</f>
        <v>55.14</v>
      </c>
      <c r="L655" s="1">
        <f ca="1">IFERROR(__xludf.DUMMYFUNCTION("""COMPUTED_VALUE"""),433.43)</f>
        <v>433.43</v>
      </c>
      <c r="M655" s="1">
        <f ca="1">IFERROR(__xludf.DUMMYFUNCTION("""COMPUTED_VALUE"""),226.78)</f>
        <v>226.78</v>
      </c>
    </row>
    <row r="656" spans="1:13" x14ac:dyDescent="0.25">
      <c r="A656" s="2">
        <f ca="1">IFERROR(__xludf.DUMMYFUNCTION("""COMPUTED_VALUE"""),44782.6666666666)</f>
        <v>44782.666666666599</v>
      </c>
      <c r="B656" s="1">
        <f ca="1">IFERROR(__xludf.DUMMYFUNCTION("""COMPUTED_VALUE"""),164.92)</f>
        <v>164.92</v>
      </c>
      <c r="C656" s="1">
        <f ca="1">IFERROR(__xludf.DUMMYFUNCTION("""COMPUTED_VALUE"""),280.32)</f>
        <v>280.32</v>
      </c>
      <c r="D656" s="1">
        <f ca="1">IFERROR(__xludf.DUMMYFUNCTION("""COMPUTED_VALUE"""),139.41)</f>
        <v>139.41</v>
      </c>
      <c r="E656" s="1">
        <f ca="1">IFERROR(__xludf.DUMMYFUNCTION("""COMPUTED_VALUE"""),17.79)</f>
        <v>17.79</v>
      </c>
      <c r="F656" s="1">
        <f ca="1">IFERROR(__xludf.DUMMYFUNCTION("""COMPUTED_VALUE"""),170.25)</f>
        <v>170.25</v>
      </c>
      <c r="G656" s="1">
        <f ca="1">IFERROR(__xludf.DUMMYFUNCTION("""COMPUTED_VALUE"""),118.14)</f>
        <v>118.14</v>
      </c>
      <c r="H656" s="1">
        <f ca="1">IFERROR(__xludf.DUMMYFUNCTION("""COMPUTED_VALUE"""),290.42)</f>
        <v>290.42</v>
      </c>
      <c r="I656" s="1">
        <f ca="1">IFERROR(__xludf.DUMMYFUNCTION("""COMPUTED_VALUE"""),173.85)</f>
        <v>173.85</v>
      </c>
      <c r="J656" s="1">
        <f ca="1">IFERROR(__xludf.DUMMYFUNCTION("""COMPUTED_VALUE"""),541.9)</f>
        <v>541.9</v>
      </c>
      <c r="K656" s="1">
        <f ca="1">IFERROR(__xludf.DUMMYFUNCTION("""COMPUTED_VALUE"""),54.55)</f>
        <v>54.55</v>
      </c>
      <c r="L656" s="1">
        <f ca="1">IFERROR(__xludf.DUMMYFUNCTION("""COMPUTED_VALUE"""),434.34)</f>
        <v>434.34</v>
      </c>
      <c r="M656" s="1">
        <f ca="1">IFERROR(__xludf.DUMMYFUNCTION("""COMPUTED_VALUE"""),233.49)</f>
        <v>233.49</v>
      </c>
    </row>
    <row r="657" spans="1:13" x14ac:dyDescent="0.25">
      <c r="A657" s="2">
        <f ca="1">IFERROR(__xludf.DUMMYFUNCTION("""COMPUTED_VALUE"""),44783.6666666666)</f>
        <v>44783.666666666599</v>
      </c>
      <c r="B657" s="1">
        <f ca="1">IFERROR(__xludf.DUMMYFUNCTION("""COMPUTED_VALUE"""),169.24)</f>
        <v>169.24</v>
      </c>
      <c r="C657" s="1">
        <f ca="1">IFERROR(__xludf.DUMMYFUNCTION("""COMPUTED_VALUE"""),282.3)</f>
        <v>282.3</v>
      </c>
      <c r="D657" s="1">
        <f ca="1">IFERROR(__xludf.DUMMYFUNCTION("""COMPUTED_VALUE"""),137.83)</f>
        <v>137.83000000000001</v>
      </c>
      <c r="E657" s="1">
        <f ca="1">IFERROR(__xludf.DUMMYFUNCTION("""COMPUTED_VALUE"""),17.09)</f>
        <v>17.09</v>
      </c>
      <c r="F657" s="1">
        <f ca="1">IFERROR(__xludf.DUMMYFUNCTION("""COMPUTED_VALUE"""),168.53)</f>
        <v>168.53</v>
      </c>
      <c r="G657" s="1">
        <f ca="1">IFERROR(__xludf.DUMMYFUNCTION("""COMPUTED_VALUE"""),117.5)</f>
        <v>117.5</v>
      </c>
      <c r="H657" s="1">
        <f ca="1">IFERROR(__xludf.DUMMYFUNCTION("""COMPUTED_VALUE"""),283.33)</f>
        <v>283.33</v>
      </c>
      <c r="I657" s="1">
        <f ca="1">IFERROR(__xludf.DUMMYFUNCTION("""COMPUTED_VALUE"""),174.5)</f>
        <v>174.5</v>
      </c>
      <c r="J657" s="1">
        <f ca="1">IFERROR(__xludf.DUMMYFUNCTION("""COMPUTED_VALUE"""),535.82)</f>
        <v>535.82000000000005</v>
      </c>
      <c r="K657" s="1">
        <f ca="1">IFERROR(__xludf.DUMMYFUNCTION("""COMPUTED_VALUE"""),53.28)</f>
        <v>53.28</v>
      </c>
      <c r="L657" s="1">
        <f ca="1">IFERROR(__xludf.DUMMYFUNCTION("""COMPUTED_VALUE"""),426.57)</f>
        <v>426.57</v>
      </c>
      <c r="M657" s="1">
        <f ca="1">IFERROR(__xludf.DUMMYFUNCTION("""COMPUTED_VALUE"""),229.94)</f>
        <v>229.94</v>
      </c>
    </row>
    <row r="658" spans="1:13" x14ac:dyDescent="0.25">
      <c r="A658" s="2">
        <f ca="1">IFERROR(__xludf.DUMMYFUNCTION("""COMPUTED_VALUE"""),44784.6666666666)</f>
        <v>44784.666666666599</v>
      </c>
      <c r="B658" s="1">
        <f ca="1">IFERROR(__xludf.DUMMYFUNCTION("""COMPUTED_VALUE"""),168.49)</f>
        <v>168.49</v>
      </c>
      <c r="C658" s="1">
        <f ca="1">IFERROR(__xludf.DUMMYFUNCTION("""COMPUTED_VALUE"""),289.16)</f>
        <v>289.16000000000003</v>
      </c>
      <c r="D658" s="1">
        <f ca="1">IFERROR(__xludf.DUMMYFUNCTION("""COMPUTED_VALUE"""),142.69)</f>
        <v>142.69</v>
      </c>
      <c r="E658" s="1">
        <f ca="1">IFERROR(__xludf.DUMMYFUNCTION("""COMPUTED_VALUE"""),18.1)</f>
        <v>18.100000000000001</v>
      </c>
      <c r="F658" s="1">
        <f ca="1">IFERROR(__xludf.DUMMYFUNCTION("""COMPUTED_VALUE"""),178.34)</f>
        <v>178.34</v>
      </c>
      <c r="G658" s="1">
        <f ca="1">IFERROR(__xludf.DUMMYFUNCTION("""COMPUTED_VALUE"""),120.65)</f>
        <v>120.65</v>
      </c>
      <c r="H658" s="1">
        <f ca="1">IFERROR(__xludf.DUMMYFUNCTION("""COMPUTED_VALUE"""),294.36)</f>
        <v>294.36</v>
      </c>
      <c r="I658" s="1">
        <f ca="1">IFERROR(__xludf.DUMMYFUNCTION("""COMPUTED_VALUE"""),175.94)</f>
        <v>175.94</v>
      </c>
      <c r="J658" s="1">
        <f ca="1">IFERROR(__xludf.DUMMYFUNCTION("""COMPUTED_VALUE"""),539.82)</f>
        <v>539.82000000000005</v>
      </c>
      <c r="K658" s="1">
        <f ca="1">IFERROR(__xludf.DUMMYFUNCTION("""COMPUTED_VALUE"""),55.04)</f>
        <v>55.04</v>
      </c>
      <c r="L658" s="1">
        <f ca="1">IFERROR(__xludf.DUMMYFUNCTION("""COMPUTED_VALUE"""),438.4)</f>
        <v>438.4</v>
      </c>
      <c r="M658" s="1">
        <f ca="1">IFERROR(__xludf.DUMMYFUNCTION("""COMPUTED_VALUE"""),244.11)</f>
        <v>244.11</v>
      </c>
    </row>
    <row r="659" spans="1:13" x14ac:dyDescent="0.25">
      <c r="A659" s="2">
        <f ca="1">IFERROR(__xludf.DUMMYFUNCTION("""COMPUTED_VALUE"""),44785.6666666666)</f>
        <v>44785.666666666599</v>
      </c>
      <c r="B659" s="1">
        <f ca="1">IFERROR(__xludf.DUMMYFUNCTION("""COMPUTED_VALUE"""),172.1)</f>
        <v>172.1</v>
      </c>
      <c r="C659" s="1">
        <f ca="1">IFERROR(__xludf.DUMMYFUNCTION("""COMPUTED_VALUE"""),287.02)</f>
        <v>287.02</v>
      </c>
      <c r="D659" s="1">
        <f ca="1">IFERROR(__xludf.DUMMYFUNCTION("""COMPUTED_VALUE"""),140.64)</f>
        <v>140.63999999999999</v>
      </c>
      <c r="E659" s="1">
        <f ca="1">IFERROR(__xludf.DUMMYFUNCTION("""COMPUTED_VALUE"""),17.94)</f>
        <v>17.940000000000001</v>
      </c>
      <c r="F659" s="1">
        <f ca="1">IFERROR(__xludf.DUMMYFUNCTION("""COMPUTED_VALUE"""),177.49)</f>
        <v>177.49</v>
      </c>
      <c r="G659" s="1">
        <f ca="1">IFERROR(__xludf.DUMMYFUNCTION("""COMPUTED_VALUE"""),119.82)</f>
        <v>119.82</v>
      </c>
      <c r="H659" s="1">
        <f ca="1">IFERROR(__xludf.DUMMYFUNCTION("""COMPUTED_VALUE"""),286.63)</f>
        <v>286.63</v>
      </c>
      <c r="I659" s="1">
        <f ca="1">IFERROR(__xludf.DUMMYFUNCTION("""COMPUTED_VALUE"""),175.04)</f>
        <v>175.04</v>
      </c>
      <c r="J659" s="1">
        <f ca="1">IFERROR(__xludf.DUMMYFUNCTION("""COMPUTED_VALUE"""),532.2)</f>
        <v>532.20000000000005</v>
      </c>
      <c r="K659" s="1">
        <f ca="1">IFERROR(__xludf.DUMMYFUNCTION("""COMPUTED_VALUE"""),54.54)</f>
        <v>54.54</v>
      </c>
      <c r="L659" s="1">
        <f ca="1">IFERROR(__xludf.DUMMYFUNCTION("""COMPUTED_VALUE"""),434.89)</f>
        <v>434.89</v>
      </c>
      <c r="M659" s="1">
        <f ca="1">IFERROR(__xludf.DUMMYFUNCTION("""COMPUTED_VALUE"""),242.7)</f>
        <v>242.7</v>
      </c>
    </row>
    <row r="660" spans="1:13" x14ac:dyDescent="0.25">
      <c r="A660" s="2">
        <f ca="1">IFERROR(__xludf.DUMMYFUNCTION("""COMPUTED_VALUE"""),44788.6666666666)</f>
        <v>44788.666666666599</v>
      </c>
      <c r="B660" s="1">
        <f ca="1">IFERROR(__xludf.DUMMYFUNCTION("""COMPUTED_VALUE"""),173.19)</f>
        <v>173.19</v>
      </c>
      <c r="C660" s="1">
        <f ca="1">IFERROR(__xludf.DUMMYFUNCTION("""COMPUTED_VALUE"""),291.91)</f>
        <v>291.91000000000003</v>
      </c>
      <c r="D660" s="1">
        <f ca="1">IFERROR(__xludf.DUMMYFUNCTION("""COMPUTED_VALUE"""),143.55)</f>
        <v>143.55000000000001</v>
      </c>
      <c r="E660" s="1">
        <f ca="1">IFERROR(__xludf.DUMMYFUNCTION("""COMPUTED_VALUE"""),18.71)</f>
        <v>18.71</v>
      </c>
      <c r="F660" s="1">
        <f ca="1">IFERROR(__xludf.DUMMYFUNCTION("""COMPUTED_VALUE"""),180.5)</f>
        <v>180.5</v>
      </c>
      <c r="G660" s="1">
        <f ca="1">IFERROR(__xludf.DUMMYFUNCTION("""COMPUTED_VALUE"""),122.65)</f>
        <v>122.65</v>
      </c>
      <c r="H660" s="1">
        <f ca="1">IFERROR(__xludf.DUMMYFUNCTION("""COMPUTED_VALUE"""),300.03)</f>
        <v>300.02999999999997</v>
      </c>
      <c r="I660" s="1">
        <f ca="1">IFERROR(__xludf.DUMMYFUNCTION("""COMPUTED_VALUE"""),177.33)</f>
        <v>177.33</v>
      </c>
      <c r="J660" s="1">
        <f ca="1">IFERROR(__xludf.DUMMYFUNCTION("""COMPUTED_VALUE"""),537.21)</f>
        <v>537.21</v>
      </c>
      <c r="K660" s="1">
        <f ca="1">IFERROR(__xludf.DUMMYFUNCTION("""COMPUTED_VALUE"""),55.82)</f>
        <v>55.82</v>
      </c>
      <c r="L660" s="1">
        <f ca="1">IFERROR(__xludf.DUMMYFUNCTION("""COMPUTED_VALUE"""),445.67)</f>
        <v>445.67</v>
      </c>
      <c r="M660" s="1">
        <f ca="1">IFERROR(__xludf.DUMMYFUNCTION("""COMPUTED_VALUE"""),249.3)</f>
        <v>249.3</v>
      </c>
    </row>
    <row r="661" spans="1:13" x14ac:dyDescent="0.25">
      <c r="A661" s="2">
        <f ca="1">IFERROR(__xludf.DUMMYFUNCTION("""COMPUTED_VALUE"""),44789.6666666666)</f>
        <v>44789.666666666599</v>
      </c>
      <c r="B661" s="1">
        <f ca="1">IFERROR(__xludf.DUMMYFUNCTION("""COMPUTED_VALUE"""),173.03)</f>
        <v>173.03</v>
      </c>
      <c r="C661" s="1">
        <f ca="1">IFERROR(__xludf.DUMMYFUNCTION("""COMPUTED_VALUE"""),293.47)</f>
        <v>293.47000000000003</v>
      </c>
      <c r="D661" s="1">
        <f ca="1">IFERROR(__xludf.DUMMYFUNCTION("""COMPUTED_VALUE"""),143.18)</f>
        <v>143.18</v>
      </c>
      <c r="E661" s="1">
        <f ca="1">IFERROR(__xludf.DUMMYFUNCTION("""COMPUTED_VALUE"""),19.03)</f>
        <v>19.03</v>
      </c>
      <c r="F661" s="1">
        <f ca="1">IFERROR(__xludf.DUMMYFUNCTION("""COMPUTED_VALUE"""),180.89)</f>
        <v>180.89</v>
      </c>
      <c r="G661" s="1">
        <f ca="1">IFERROR(__xludf.DUMMYFUNCTION("""COMPUTED_VALUE"""),122.88)</f>
        <v>122.88</v>
      </c>
      <c r="H661" s="1">
        <f ca="1">IFERROR(__xludf.DUMMYFUNCTION("""COMPUTED_VALUE"""),309.32)</f>
        <v>309.32</v>
      </c>
      <c r="I661" s="1">
        <f ca="1">IFERROR(__xludf.DUMMYFUNCTION("""COMPUTED_VALUE"""),179.28)</f>
        <v>179.28</v>
      </c>
      <c r="J661" s="1">
        <f ca="1">IFERROR(__xludf.DUMMYFUNCTION("""COMPUTED_VALUE"""),545.75)</f>
        <v>545.75</v>
      </c>
      <c r="K661" s="1">
        <f ca="1">IFERROR(__xludf.DUMMYFUNCTION("""COMPUTED_VALUE"""),55.9)</f>
        <v>55.9</v>
      </c>
      <c r="L661" s="1">
        <f ca="1">IFERROR(__xludf.DUMMYFUNCTION("""COMPUTED_VALUE"""),451.02)</f>
        <v>451.02</v>
      </c>
      <c r="M661" s="1">
        <f ca="1">IFERROR(__xludf.DUMMYFUNCTION("""COMPUTED_VALUE"""),249.11)</f>
        <v>249.11</v>
      </c>
    </row>
    <row r="662" spans="1:13" x14ac:dyDescent="0.25">
      <c r="A662" s="2">
        <f ca="1">IFERROR(__xludf.DUMMYFUNCTION("""COMPUTED_VALUE"""),44790.6666666666)</f>
        <v>44790.666666666599</v>
      </c>
      <c r="B662" s="1">
        <f ca="1">IFERROR(__xludf.DUMMYFUNCTION("""COMPUTED_VALUE"""),174.55)</f>
        <v>174.55</v>
      </c>
      <c r="C662" s="1">
        <f ca="1">IFERROR(__xludf.DUMMYFUNCTION("""COMPUTED_VALUE"""),292.71)</f>
        <v>292.70999999999998</v>
      </c>
      <c r="D662" s="1">
        <f ca="1">IFERROR(__xludf.DUMMYFUNCTION("""COMPUTED_VALUE"""),144.78)</f>
        <v>144.78</v>
      </c>
      <c r="E662" s="1">
        <f ca="1">IFERROR(__xludf.DUMMYFUNCTION("""COMPUTED_VALUE"""),18.88)</f>
        <v>18.88</v>
      </c>
      <c r="F662" s="1">
        <f ca="1">IFERROR(__xludf.DUMMYFUNCTION("""COMPUTED_VALUE"""),179.47)</f>
        <v>179.47</v>
      </c>
      <c r="G662" s="1">
        <f ca="1">IFERROR(__xludf.DUMMYFUNCTION("""COMPUTED_VALUE"""),122.51)</f>
        <v>122.51</v>
      </c>
      <c r="H662" s="1">
        <f ca="1">IFERROR(__xludf.DUMMYFUNCTION("""COMPUTED_VALUE"""),306.56)</f>
        <v>306.56</v>
      </c>
      <c r="I662" s="1">
        <f ca="1">IFERROR(__xludf.DUMMYFUNCTION("""COMPUTED_VALUE"""),180.32)</f>
        <v>180.32</v>
      </c>
      <c r="J662" s="1">
        <f ca="1">IFERROR(__xludf.DUMMYFUNCTION("""COMPUTED_VALUE"""),553.02)</f>
        <v>553.02</v>
      </c>
      <c r="K662" s="1">
        <f ca="1">IFERROR(__xludf.DUMMYFUNCTION("""COMPUTED_VALUE"""),55.17)</f>
        <v>55.17</v>
      </c>
      <c r="L662" s="1">
        <f ca="1">IFERROR(__xludf.DUMMYFUNCTION("""COMPUTED_VALUE"""),447.56)</f>
        <v>447.56</v>
      </c>
      <c r="M662" s="1">
        <f ca="1">IFERROR(__xludf.DUMMYFUNCTION("""COMPUTED_VALUE"""),245.69)</f>
        <v>245.69</v>
      </c>
    </row>
    <row r="663" spans="1:13" x14ac:dyDescent="0.25">
      <c r="A663" s="2">
        <f ca="1">IFERROR(__xludf.DUMMYFUNCTION("""COMPUTED_VALUE"""),44791.6666666666)</f>
        <v>44791.666666666599</v>
      </c>
      <c r="B663" s="1">
        <f ca="1">IFERROR(__xludf.DUMMYFUNCTION("""COMPUTED_VALUE"""),174.15)</f>
        <v>174.15</v>
      </c>
      <c r="C663" s="1">
        <f ca="1">IFERROR(__xludf.DUMMYFUNCTION("""COMPUTED_VALUE"""),291.32)</f>
        <v>291.32</v>
      </c>
      <c r="D663" s="1">
        <f ca="1">IFERROR(__xludf.DUMMYFUNCTION("""COMPUTED_VALUE"""),142.1)</f>
        <v>142.1</v>
      </c>
      <c r="E663" s="1">
        <f ca="1">IFERROR(__xludf.DUMMYFUNCTION("""COMPUTED_VALUE"""),18.34)</f>
        <v>18.34</v>
      </c>
      <c r="F663" s="1">
        <f ca="1">IFERROR(__xludf.DUMMYFUNCTION("""COMPUTED_VALUE"""),174.85)</f>
        <v>174.85</v>
      </c>
      <c r="G663" s="1">
        <f ca="1">IFERROR(__xludf.DUMMYFUNCTION("""COMPUTED_VALUE"""),120.32)</f>
        <v>120.32</v>
      </c>
      <c r="H663" s="1">
        <f ca="1">IFERROR(__xludf.DUMMYFUNCTION("""COMPUTED_VALUE"""),304)</f>
        <v>304</v>
      </c>
      <c r="I663" s="1">
        <f ca="1">IFERROR(__xludf.DUMMYFUNCTION("""COMPUTED_VALUE"""),180.22)</f>
        <v>180.22</v>
      </c>
      <c r="J663" s="1">
        <f ca="1">IFERROR(__xludf.DUMMYFUNCTION("""COMPUTED_VALUE"""),556.32)</f>
        <v>556.32000000000005</v>
      </c>
      <c r="K663" s="1">
        <f ca="1">IFERROR(__xludf.DUMMYFUNCTION("""COMPUTED_VALUE"""),53.86)</f>
        <v>53.86</v>
      </c>
      <c r="L663" s="1">
        <f ca="1">IFERROR(__xludf.DUMMYFUNCTION("""COMPUTED_VALUE"""),437.82)</f>
        <v>437.82</v>
      </c>
      <c r="M663" s="1">
        <f ca="1">IFERROR(__xludf.DUMMYFUNCTION("""COMPUTED_VALUE"""),241.15)</f>
        <v>241.15</v>
      </c>
    </row>
    <row r="664" spans="1:13" x14ac:dyDescent="0.25">
      <c r="A664" s="2">
        <f ca="1">IFERROR(__xludf.DUMMYFUNCTION("""COMPUTED_VALUE"""),44792.6666666666)</f>
        <v>44792.666666666599</v>
      </c>
      <c r="B664" s="1">
        <f ca="1">IFERROR(__xludf.DUMMYFUNCTION("""COMPUTED_VALUE"""),171.52)</f>
        <v>171.52</v>
      </c>
      <c r="C664" s="1">
        <f ca="1">IFERROR(__xludf.DUMMYFUNCTION("""COMPUTED_VALUE"""),290.17)</f>
        <v>290.17</v>
      </c>
      <c r="D664" s="1">
        <f ca="1">IFERROR(__xludf.DUMMYFUNCTION("""COMPUTED_VALUE"""),142.3)</f>
        <v>142.30000000000001</v>
      </c>
      <c r="E664" s="1">
        <f ca="1">IFERROR(__xludf.DUMMYFUNCTION("""COMPUTED_VALUE"""),18.77)</f>
        <v>18.77</v>
      </c>
      <c r="F664" s="1">
        <f ca="1">IFERROR(__xludf.DUMMYFUNCTION("""COMPUTED_VALUE"""),174.66)</f>
        <v>174.66</v>
      </c>
      <c r="G664" s="1">
        <f ca="1">IFERROR(__xludf.DUMMYFUNCTION("""COMPUTED_VALUE"""),120.86)</f>
        <v>120.86</v>
      </c>
      <c r="H664" s="1">
        <f ca="1">IFERROR(__xludf.DUMMYFUNCTION("""COMPUTED_VALUE"""),302.87)</f>
        <v>302.87</v>
      </c>
      <c r="I664" s="1">
        <f ca="1">IFERROR(__xludf.DUMMYFUNCTION("""COMPUTED_VALUE"""),180.4)</f>
        <v>180.4</v>
      </c>
      <c r="J664" s="1">
        <f ca="1">IFERROR(__xludf.DUMMYFUNCTION("""COMPUTED_VALUE"""),560.96)</f>
        <v>560.96</v>
      </c>
      <c r="K664" s="1">
        <f ca="1">IFERROR(__xludf.DUMMYFUNCTION("""COMPUTED_VALUE"""),55.85)</f>
        <v>55.85</v>
      </c>
      <c r="L664" s="1">
        <f ca="1">IFERROR(__xludf.DUMMYFUNCTION("""COMPUTED_VALUE"""),439.03)</f>
        <v>439.03</v>
      </c>
      <c r="M664" s="1">
        <f ca="1">IFERROR(__xludf.DUMMYFUNCTION("""COMPUTED_VALUE"""),245.17)</f>
        <v>245.17</v>
      </c>
    </row>
    <row r="665" spans="1:13" x14ac:dyDescent="0.25">
      <c r="A665" s="2">
        <f ca="1">IFERROR(__xludf.DUMMYFUNCTION("""COMPUTED_VALUE"""),44795.6666666666)</f>
        <v>44795.666666666599</v>
      </c>
      <c r="B665" s="1">
        <f ca="1">IFERROR(__xludf.DUMMYFUNCTION("""COMPUTED_VALUE"""),167.57)</f>
        <v>167.57</v>
      </c>
      <c r="C665" s="1">
        <f ca="1">IFERROR(__xludf.DUMMYFUNCTION("""COMPUTED_VALUE"""),286.15)</f>
        <v>286.14999999999998</v>
      </c>
      <c r="D665" s="1">
        <f ca="1">IFERROR(__xludf.DUMMYFUNCTION("""COMPUTED_VALUE"""),138.23)</f>
        <v>138.22999999999999</v>
      </c>
      <c r="E665" s="1">
        <f ca="1">IFERROR(__xludf.DUMMYFUNCTION("""COMPUTED_VALUE"""),17.85)</f>
        <v>17.850000000000001</v>
      </c>
      <c r="F665" s="1">
        <f ca="1">IFERROR(__xludf.DUMMYFUNCTION("""COMPUTED_VALUE"""),167.96)</f>
        <v>167.96</v>
      </c>
      <c r="G665" s="1">
        <f ca="1">IFERROR(__xludf.DUMMYFUNCTION("""COMPUTED_VALUE"""),118.12)</f>
        <v>118.12</v>
      </c>
      <c r="H665" s="1">
        <f ca="1">IFERROR(__xludf.DUMMYFUNCTION("""COMPUTED_VALUE"""),296.67)</f>
        <v>296.67</v>
      </c>
      <c r="I665" s="1">
        <f ca="1">IFERROR(__xludf.DUMMYFUNCTION("""COMPUTED_VALUE"""),180.17)</f>
        <v>180.17</v>
      </c>
      <c r="J665" s="1">
        <f ca="1">IFERROR(__xludf.DUMMYFUNCTION("""COMPUTED_VALUE"""),554.53)</f>
        <v>554.53</v>
      </c>
      <c r="K665" s="1">
        <f ca="1">IFERROR(__xludf.DUMMYFUNCTION("""COMPUTED_VALUE"""),54.84)</f>
        <v>54.84</v>
      </c>
      <c r="L665" s="1">
        <f ca="1">IFERROR(__xludf.DUMMYFUNCTION("""COMPUTED_VALUE"""),425.06)</f>
        <v>425.06</v>
      </c>
      <c r="M665" s="1">
        <f ca="1">IFERROR(__xludf.DUMMYFUNCTION("""COMPUTED_VALUE"""),241.16)</f>
        <v>241.16</v>
      </c>
    </row>
    <row r="666" spans="1:13" x14ac:dyDescent="0.25">
      <c r="A666" s="2">
        <f ca="1">IFERROR(__xludf.DUMMYFUNCTION("""COMPUTED_VALUE"""),44796.6666666666)</f>
        <v>44796.666666666599</v>
      </c>
      <c r="B666" s="1">
        <f ca="1">IFERROR(__xludf.DUMMYFUNCTION("""COMPUTED_VALUE"""),167.23)</f>
        <v>167.23</v>
      </c>
      <c r="C666" s="1">
        <f ca="1">IFERROR(__xludf.DUMMYFUNCTION("""COMPUTED_VALUE"""),277.75)</f>
        <v>277.75</v>
      </c>
      <c r="D666" s="1">
        <f ca="1">IFERROR(__xludf.DUMMYFUNCTION("""COMPUTED_VALUE"""),133.22)</f>
        <v>133.22</v>
      </c>
      <c r="E666" s="1">
        <f ca="1">IFERROR(__xludf.DUMMYFUNCTION("""COMPUTED_VALUE"""),17.03)</f>
        <v>17.03</v>
      </c>
      <c r="F666" s="1">
        <f ca="1">IFERROR(__xludf.DUMMYFUNCTION("""COMPUTED_VALUE"""),163.05)</f>
        <v>163.05000000000001</v>
      </c>
      <c r="G666" s="1">
        <f ca="1">IFERROR(__xludf.DUMMYFUNCTION("""COMPUTED_VALUE"""),115.07)</f>
        <v>115.07</v>
      </c>
      <c r="H666" s="1">
        <f ca="1">IFERROR(__xludf.DUMMYFUNCTION("""COMPUTED_VALUE"""),289.91)</f>
        <v>289.91000000000003</v>
      </c>
      <c r="I666" s="1">
        <f ca="1">IFERROR(__xludf.DUMMYFUNCTION("""COMPUTED_VALUE"""),178.45)</f>
        <v>178.45</v>
      </c>
      <c r="J666" s="1">
        <f ca="1">IFERROR(__xludf.DUMMYFUNCTION("""COMPUTED_VALUE"""),545.47)</f>
        <v>545.47</v>
      </c>
      <c r="K666" s="1">
        <f ca="1">IFERROR(__xludf.DUMMYFUNCTION("""COMPUTED_VALUE"""),52.88)</f>
        <v>52.88</v>
      </c>
      <c r="L666" s="1">
        <f ca="1">IFERROR(__xludf.DUMMYFUNCTION("""COMPUTED_VALUE"""),411.35)</f>
        <v>411.35</v>
      </c>
      <c r="M666" s="1">
        <f ca="1">IFERROR(__xludf.DUMMYFUNCTION("""COMPUTED_VALUE"""),226.54)</f>
        <v>226.54</v>
      </c>
    </row>
    <row r="667" spans="1:13" x14ac:dyDescent="0.25">
      <c r="A667" s="2">
        <f ca="1">IFERROR(__xludf.DUMMYFUNCTION("""COMPUTED_VALUE"""),44797.6666666666)</f>
        <v>44797.666666666599</v>
      </c>
      <c r="B667" s="1">
        <f ca="1">IFERROR(__xludf.DUMMYFUNCTION("""COMPUTED_VALUE"""),167.53)</f>
        <v>167.53</v>
      </c>
      <c r="C667" s="1">
        <f ca="1">IFERROR(__xludf.DUMMYFUNCTION("""COMPUTED_VALUE"""),276.44)</f>
        <v>276.44</v>
      </c>
      <c r="D667" s="1">
        <f ca="1">IFERROR(__xludf.DUMMYFUNCTION("""COMPUTED_VALUE"""),133.62)</f>
        <v>133.62</v>
      </c>
      <c r="E667" s="1">
        <f ca="1">IFERROR(__xludf.DUMMYFUNCTION("""COMPUTED_VALUE"""),17.18)</f>
        <v>17.18</v>
      </c>
      <c r="F667" s="1">
        <f ca="1">IFERROR(__xludf.DUMMYFUNCTION("""COMPUTED_VALUE"""),161.11)</f>
        <v>161.11000000000001</v>
      </c>
      <c r="G667" s="1">
        <f ca="1">IFERROR(__xludf.DUMMYFUNCTION("""COMPUTED_VALUE"""),114.77)</f>
        <v>114.77</v>
      </c>
      <c r="H667" s="1">
        <f ca="1">IFERROR(__xludf.DUMMYFUNCTION("""COMPUTED_VALUE"""),296.45)</f>
        <v>296.45</v>
      </c>
      <c r="I667" s="1">
        <f ca="1">IFERROR(__xludf.DUMMYFUNCTION("""COMPUTED_VALUE"""),178.37)</f>
        <v>178.37</v>
      </c>
      <c r="J667" s="1">
        <f ca="1">IFERROR(__xludf.DUMMYFUNCTION("""COMPUTED_VALUE"""),542.07)</f>
        <v>542.07000000000005</v>
      </c>
      <c r="K667" s="1">
        <f ca="1">IFERROR(__xludf.DUMMYFUNCTION("""COMPUTED_VALUE"""),52.98)</f>
        <v>52.98</v>
      </c>
      <c r="L667" s="1">
        <f ca="1">IFERROR(__xludf.DUMMYFUNCTION("""COMPUTED_VALUE"""),410.41)</f>
        <v>410.41</v>
      </c>
      <c r="M667" s="1">
        <f ca="1">IFERROR(__xludf.DUMMYFUNCTION("""COMPUTED_VALUE"""),224.55)</f>
        <v>224.55</v>
      </c>
    </row>
    <row r="668" spans="1:13" x14ac:dyDescent="0.25">
      <c r="A668" s="2">
        <f ca="1">IFERROR(__xludf.DUMMYFUNCTION("""COMPUTED_VALUE"""),44798.6666666666)</f>
        <v>44798.666666666599</v>
      </c>
      <c r="B668" s="1">
        <f ca="1">IFERROR(__xludf.DUMMYFUNCTION("""COMPUTED_VALUE"""),170.03)</f>
        <v>170.03</v>
      </c>
      <c r="C668" s="1">
        <f ca="1">IFERROR(__xludf.DUMMYFUNCTION("""COMPUTED_VALUE"""),275.79)</f>
        <v>275.79000000000002</v>
      </c>
      <c r="D668" s="1">
        <f ca="1">IFERROR(__xludf.DUMMYFUNCTION("""COMPUTED_VALUE"""),133.8)</f>
        <v>133.80000000000001</v>
      </c>
      <c r="E668" s="1">
        <f ca="1">IFERROR(__xludf.DUMMYFUNCTION("""COMPUTED_VALUE"""),17.22)</f>
        <v>17.22</v>
      </c>
      <c r="F668" s="1">
        <f ca="1">IFERROR(__xludf.DUMMYFUNCTION("""COMPUTED_VALUE"""),163.26)</f>
        <v>163.26</v>
      </c>
      <c r="G668" s="1">
        <f ca="1">IFERROR(__xludf.DUMMYFUNCTION("""COMPUTED_VALUE"""),114.7)</f>
        <v>114.7</v>
      </c>
      <c r="H668" s="1">
        <f ca="1">IFERROR(__xludf.DUMMYFUNCTION("""COMPUTED_VALUE"""),297.1)</f>
        <v>297.10000000000002</v>
      </c>
      <c r="I668" s="1">
        <f ca="1">IFERROR(__xludf.DUMMYFUNCTION("""COMPUTED_VALUE"""),179.26)</f>
        <v>179.26</v>
      </c>
      <c r="J668" s="1">
        <f ca="1">IFERROR(__xludf.DUMMYFUNCTION("""COMPUTED_VALUE"""),543.22)</f>
        <v>543.22</v>
      </c>
      <c r="K668" s="1">
        <f ca="1">IFERROR(__xludf.DUMMYFUNCTION("""COMPUTED_VALUE"""),53.08)</f>
        <v>53.08</v>
      </c>
      <c r="L668" s="1">
        <f ca="1">IFERROR(__xludf.DUMMYFUNCTION("""COMPUTED_VALUE"""),405.65)</f>
        <v>405.65</v>
      </c>
      <c r="M668" s="1">
        <f ca="1">IFERROR(__xludf.DUMMYFUNCTION("""COMPUTED_VALUE"""),229.61)</f>
        <v>229.61</v>
      </c>
    </row>
    <row r="669" spans="1:13" x14ac:dyDescent="0.25">
      <c r="A669" s="2">
        <f ca="1">IFERROR(__xludf.DUMMYFUNCTION("""COMPUTED_VALUE"""),44799.6666666666)</f>
        <v>44799.666666666599</v>
      </c>
      <c r="B669" s="1">
        <f ca="1">IFERROR(__xludf.DUMMYFUNCTION("""COMPUTED_VALUE"""),163.62)</f>
        <v>163.62</v>
      </c>
      <c r="C669" s="1">
        <f ca="1">IFERROR(__xludf.DUMMYFUNCTION("""COMPUTED_VALUE"""),278.85)</f>
        <v>278.85000000000002</v>
      </c>
      <c r="D669" s="1">
        <f ca="1">IFERROR(__xludf.DUMMYFUNCTION("""COMPUTED_VALUE"""),137.28)</f>
        <v>137.28</v>
      </c>
      <c r="E669" s="1">
        <f ca="1">IFERROR(__xludf.DUMMYFUNCTION("""COMPUTED_VALUE"""),17.91)</f>
        <v>17.91</v>
      </c>
      <c r="F669" s="1">
        <f ca="1">IFERROR(__xludf.DUMMYFUNCTION("""COMPUTED_VALUE"""),168.78)</f>
        <v>168.78</v>
      </c>
      <c r="G669" s="1">
        <f ca="1">IFERROR(__xludf.DUMMYFUNCTION("""COMPUTED_VALUE"""),117.7)</f>
        <v>117.7</v>
      </c>
      <c r="H669" s="1">
        <f ca="1">IFERROR(__xludf.DUMMYFUNCTION("""COMPUTED_VALUE"""),296.07)</f>
        <v>296.07</v>
      </c>
      <c r="I669" s="1">
        <f ca="1">IFERROR(__xludf.DUMMYFUNCTION("""COMPUTED_VALUE"""),179.27)</f>
        <v>179.27</v>
      </c>
      <c r="J669" s="1">
        <f ca="1">IFERROR(__xludf.DUMMYFUNCTION("""COMPUTED_VALUE"""),550.77)</f>
        <v>550.77</v>
      </c>
      <c r="K669" s="1">
        <f ca="1">IFERROR(__xludf.DUMMYFUNCTION("""COMPUTED_VALUE"""),55.01)</f>
        <v>55.01</v>
      </c>
      <c r="L669" s="1">
        <f ca="1">IFERROR(__xludf.DUMMYFUNCTION("""COMPUTED_VALUE"""),403.93)</f>
        <v>403.93</v>
      </c>
      <c r="M669" s="1">
        <f ca="1">IFERROR(__xludf.DUMMYFUNCTION("""COMPUTED_VALUE"""),233.98)</f>
        <v>233.98</v>
      </c>
    </row>
    <row r="670" spans="1:13" x14ac:dyDescent="0.25">
      <c r="A670" s="2">
        <f ca="1">IFERROR(__xludf.DUMMYFUNCTION("""COMPUTED_VALUE"""),44802.6666666666)</f>
        <v>44802.666666666599</v>
      </c>
      <c r="B670" s="1">
        <f ca="1">IFERROR(__xludf.DUMMYFUNCTION("""COMPUTED_VALUE"""),161.38)</f>
        <v>161.38</v>
      </c>
      <c r="C670" s="1">
        <f ca="1">IFERROR(__xludf.DUMMYFUNCTION("""COMPUTED_VALUE"""),268.09)</f>
        <v>268.08999999999997</v>
      </c>
      <c r="D670" s="1">
        <f ca="1">IFERROR(__xludf.DUMMYFUNCTION("""COMPUTED_VALUE"""),130.75)</f>
        <v>130.75</v>
      </c>
      <c r="E670" s="1">
        <f ca="1">IFERROR(__xludf.DUMMYFUNCTION("""COMPUTED_VALUE"""),16.26)</f>
        <v>16.260000000000002</v>
      </c>
      <c r="F670" s="1">
        <f ca="1">IFERROR(__xludf.DUMMYFUNCTION("""COMPUTED_VALUE"""),161.78)</f>
        <v>161.78</v>
      </c>
      <c r="G670" s="1">
        <f ca="1">IFERROR(__xludf.DUMMYFUNCTION("""COMPUTED_VALUE"""),111.3)</f>
        <v>111.3</v>
      </c>
      <c r="H670" s="1">
        <f ca="1">IFERROR(__xludf.DUMMYFUNCTION("""COMPUTED_VALUE"""),288.09)</f>
        <v>288.08999999999997</v>
      </c>
      <c r="I670" s="1">
        <f ca="1">IFERROR(__xludf.DUMMYFUNCTION("""COMPUTED_VALUE"""),175.04)</f>
        <v>175.04</v>
      </c>
      <c r="J670" s="1">
        <f ca="1">IFERROR(__xludf.DUMMYFUNCTION("""COMPUTED_VALUE"""),531.82)</f>
        <v>531.82000000000005</v>
      </c>
      <c r="K670" s="1">
        <f ca="1">IFERROR(__xludf.DUMMYFUNCTION("""COMPUTED_VALUE"""),52.09)</f>
        <v>52.09</v>
      </c>
      <c r="L670" s="1">
        <f ca="1">IFERROR(__xludf.DUMMYFUNCTION("""COMPUTED_VALUE"""),381.02)</f>
        <v>381.02</v>
      </c>
      <c r="M670" s="1">
        <f ca="1">IFERROR(__xludf.DUMMYFUNCTION("""COMPUTED_VALUE"""),223.28)</f>
        <v>223.28</v>
      </c>
    </row>
    <row r="671" spans="1:13" x14ac:dyDescent="0.25">
      <c r="A671" s="2">
        <f ca="1">IFERROR(__xludf.DUMMYFUNCTION("""COMPUTED_VALUE"""),44803.6666666666)</f>
        <v>44803.666666666599</v>
      </c>
      <c r="B671" s="1">
        <f ca="1">IFERROR(__xludf.DUMMYFUNCTION("""COMPUTED_VALUE"""),158.91)</f>
        <v>158.91</v>
      </c>
      <c r="C671" s="1">
        <f ca="1">IFERROR(__xludf.DUMMYFUNCTION("""COMPUTED_VALUE"""),265.23)</f>
        <v>265.23</v>
      </c>
      <c r="D671" s="1">
        <f ca="1">IFERROR(__xludf.DUMMYFUNCTION("""COMPUTED_VALUE"""),129.79)</f>
        <v>129.79</v>
      </c>
      <c r="E671" s="1">
        <f ca="1">IFERROR(__xludf.DUMMYFUNCTION("""COMPUTED_VALUE"""),15.8)</f>
        <v>15.8</v>
      </c>
      <c r="F671" s="1">
        <f ca="1">IFERROR(__xludf.DUMMYFUNCTION("""COMPUTED_VALUE"""),159.17)</f>
        <v>159.16999999999999</v>
      </c>
      <c r="G671" s="1">
        <f ca="1">IFERROR(__xludf.DUMMYFUNCTION("""COMPUTED_VALUE"""),110.34)</f>
        <v>110.34</v>
      </c>
      <c r="H671" s="1">
        <f ca="1">IFERROR(__xludf.DUMMYFUNCTION("""COMPUTED_VALUE"""),284.82)</f>
        <v>284.82</v>
      </c>
      <c r="I671" s="1">
        <f ca="1">IFERROR(__xludf.DUMMYFUNCTION("""COMPUTED_VALUE"""),174.49)</f>
        <v>174.49</v>
      </c>
      <c r="J671" s="1">
        <f ca="1">IFERROR(__xludf.DUMMYFUNCTION("""COMPUTED_VALUE"""),531.06)</f>
        <v>531.05999999999995</v>
      </c>
      <c r="K671" s="1">
        <f ca="1">IFERROR(__xludf.DUMMYFUNCTION("""COMPUTED_VALUE"""),51.42)</f>
        <v>51.42</v>
      </c>
      <c r="L671" s="1">
        <f ca="1">IFERROR(__xludf.DUMMYFUNCTION("""COMPUTED_VALUE"""),375.26)</f>
        <v>375.26</v>
      </c>
      <c r="M671" s="1">
        <f ca="1">IFERROR(__xludf.DUMMYFUNCTION("""COMPUTED_VALUE"""),224.57)</f>
        <v>224.57</v>
      </c>
    </row>
    <row r="672" spans="1:13" x14ac:dyDescent="0.25">
      <c r="A672" s="2">
        <f ca="1">IFERROR(__xludf.DUMMYFUNCTION("""COMPUTED_VALUE"""),44804.6666666666)</f>
        <v>44804.666666666599</v>
      </c>
      <c r="B672" s="1">
        <f ca="1">IFERROR(__xludf.DUMMYFUNCTION("""COMPUTED_VALUE"""),157.22)</f>
        <v>157.22</v>
      </c>
      <c r="C672" s="1">
        <f ca="1">IFERROR(__xludf.DUMMYFUNCTION("""COMPUTED_VALUE"""),262.97)</f>
        <v>262.97000000000003</v>
      </c>
      <c r="D672" s="1">
        <f ca="1">IFERROR(__xludf.DUMMYFUNCTION("""COMPUTED_VALUE"""),128.73)</f>
        <v>128.72999999999999</v>
      </c>
      <c r="E672" s="1">
        <f ca="1">IFERROR(__xludf.DUMMYFUNCTION("""COMPUTED_VALUE"""),15.47)</f>
        <v>15.47</v>
      </c>
      <c r="F672" s="1">
        <f ca="1">IFERROR(__xludf.DUMMYFUNCTION("""COMPUTED_VALUE"""),157.16)</f>
        <v>157.16</v>
      </c>
      <c r="G672" s="1">
        <f ca="1">IFERROR(__xludf.DUMMYFUNCTION("""COMPUTED_VALUE"""),109.91)</f>
        <v>109.91</v>
      </c>
      <c r="H672" s="1">
        <f ca="1">IFERROR(__xludf.DUMMYFUNCTION("""COMPUTED_VALUE"""),277.7)</f>
        <v>277.7</v>
      </c>
      <c r="I672" s="1">
        <f ca="1">IFERROR(__xludf.DUMMYFUNCTION("""COMPUTED_VALUE"""),172.99)</f>
        <v>172.99</v>
      </c>
      <c r="J672" s="1">
        <f ca="1">IFERROR(__xludf.DUMMYFUNCTION("""COMPUTED_VALUE"""),524.14)</f>
        <v>524.14</v>
      </c>
      <c r="K672" s="1">
        <f ca="1">IFERROR(__xludf.DUMMYFUNCTION("""COMPUTED_VALUE"""),50.64)</f>
        <v>50.64</v>
      </c>
      <c r="L672" s="1">
        <f ca="1">IFERROR(__xludf.DUMMYFUNCTION("""COMPUTED_VALUE"""),375.07)</f>
        <v>375.07</v>
      </c>
      <c r="M672" s="1">
        <f ca="1">IFERROR(__xludf.DUMMYFUNCTION("""COMPUTED_VALUE"""),220.65)</f>
        <v>220.65</v>
      </c>
    </row>
    <row r="673" spans="1:13" x14ac:dyDescent="0.25">
      <c r="A673" s="2">
        <f ca="1">IFERROR(__xludf.DUMMYFUNCTION("""COMPUTED_VALUE"""),44805.6666666666)</f>
        <v>44805.666666666599</v>
      </c>
      <c r="B673" s="1">
        <f ca="1">IFERROR(__xludf.DUMMYFUNCTION("""COMPUTED_VALUE"""),157.96)</f>
        <v>157.96</v>
      </c>
      <c r="C673" s="1">
        <f ca="1">IFERROR(__xludf.DUMMYFUNCTION("""COMPUTED_VALUE"""),261.47)</f>
        <v>261.47000000000003</v>
      </c>
      <c r="D673" s="1">
        <f ca="1">IFERROR(__xludf.DUMMYFUNCTION("""COMPUTED_VALUE"""),126.77)</f>
        <v>126.77</v>
      </c>
      <c r="E673" s="1">
        <f ca="1">IFERROR(__xludf.DUMMYFUNCTION("""COMPUTED_VALUE"""),15.09)</f>
        <v>15.09</v>
      </c>
      <c r="F673" s="1">
        <f ca="1">IFERROR(__xludf.DUMMYFUNCTION("""COMPUTED_VALUE"""),162.93)</f>
        <v>162.93</v>
      </c>
      <c r="G673" s="1">
        <f ca="1">IFERROR(__xludf.DUMMYFUNCTION("""COMPUTED_VALUE"""),109.15)</f>
        <v>109.15</v>
      </c>
      <c r="H673" s="1">
        <f ca="1">IFERROR(__xludf.DUMMYFUNCTION("""COMPUTED_VALUE"""),275.61)</f>
        <v>275.61</v>
      </c>
      <c r="I673" s="1">
        <f ca="1">IFERROR(__xludf.DUMMYFUNCTION("""COMPUTED_VALUE"""),172.27)</f>
        <v>172.27</v>
      </c>
      <c r="J673" s="1">
        <f ca="1">IFERROR(__xludf.DUMMYFUNCTION("""COMPUTED_VALUE"""),522.1)</f>
        <v>522.1</v>
      </c>
      <c r="K673" s="1">
        <f ca="1">IFERROR(__xludf.DUMMYFUNCTION("""COMPUTED_VALUE"""),49.91)</f>
        <v>49.91</v>
      </c>
      <c r="L673" s="1">
        <f ca="1">IFERROR(__xludf.DUMMYFUNCTION("""COMPUTED_VALUE"""),373.44)</f>
        <v>373.44</v>
      </c>
      <c r="M673" s="1">
        <f ca="1">IFERROR(__xludf.DUMMYFUNCTION("""COMPUTED_VALUE"""),223.56)</f>
        <v>223.56</v>
      </c>
    </row>
    <row r="674" spans="1:13" x14ac:dyDescent="0.25">
      <c r="A674" s="2">
        <f ca="1">IFERROR(__xludf.DUMMYFUNCTION("""COMPUTED_VALUE"""),44806.6666666666)</f>
        <v>44806.666666666599</v>
      </c>
      <c r="B674" s="1">
        <f ca="1">IFERROR(__xludf.DUMMYFUNCTION("""COMPUTED_VALUE"""),155.81)</f>
        <v>155.81</v>
      </c>
      <c r="C674" s="1">
        <f ca="1">IFERROR(__xludf.DUMMYFUNCTION("""COMPUTED_VALUE"""),260.4)</f>
        <v>260.39999999999998</v>
      </c>
      <c r="D674" s="1">
        <f ca="1">IFERROR(__xludf.DUMMYFUNCTION("""COMPUTED_VALUE"""),127.82)</f>
        <v>127.82</v>
      </c>
      <c r="E674" s="1">
        <f ca="1">IFERROR(__xludf.DUMMYFUNCTION("""COMPUTED_VALUE"""),13.94)</f>
        <v>13.94</v>
      </c>
      <c r="F674" s="1">
        <f ca="1">IFERROR(__xludf.DUMMYFUNCTION("""COMPUTED_VALUE"""),165.36)</f>
        <v>165.36</v>
      </c>
      <c r="G674" s="1">
        <f ca="1">IFERROR(__xludf.DUMMYFUNCTION("""COMPUTED_VALUE"""),110.55)</f>
        <v>110.55</v>
      </c>
      <c r="H674" s="1">
        <f ca="1">IFERROR(__xludf.DUMMYFUNCTION("""COMPUTED_VALUE"""),277.16)</f>
        <v>277.16000000000003</v>
      </c>
      <c r="I674" s="1">
        <f ca="1">IFERROR(__xludf.DUMMYFUNCTION("""COMPUTED_VALUE"""),172.85)</f>
        <v>172.85</v>
      </c>
      <c r="J674" s="1">
        <f ca="1">IFERROR(__xludf.DUMMYFUNCTION("""COMPUTED_VALUE"""),529.17)</f>
        <v>529.16999999999996</v>
      </c>
      <c r="K674" s="1">
        <f ca="1">IFERROR(__xludf.DUMMYFUNCTION("""COMPUTED_VALUE"""),49.2)</f>
        <v>49.2</v>
      </c>
      <c r="L674" s="1">
        <f ca="1">IFERROR(__xludf.DUMMYFUNCTION("""COMPUTED_VALUE"""),370.53)</f>
        <v>370.53</v>
      </c>
      <c r="M674" s="1">
        <f ca="1">IFERROR(__xludf.DUMMYFUNCTION("""COMPUTED_VALUE"""),230.04)</f>
        <v>230.04</v>
      </c>
    </row>
    <row r="675" spans="1:13" x14ac:dyDescent="0.25">
      <c r="A675" s="2">
        <f ca="1">IFERROR(__xludf.DUMMYFUNCTION("""COMPUTED_VALUE"""),44810.6666666666)</f>
        <v>44810.666666666599</v>
      </c>
      <c r="B675" s="1">
        <f ca="1">IFERROR(__xludf.DUMMYFUNCTION("""COMPUTED_VALUE"""),154.53)</f>
        <v>154.53</v>
      </c>
      <c r="C675" s="1">
        <f ca="1">IFERROR(__xludf.DUMMYFUNCTION("""COMPUTED_VALUE"""),256.06)</f>
        <v>256.06</v>
      </c>
      <c r="D675" s="1">
        <f ca="1">IFERROR(__xludf.DUMMYFUNCTION("""COMPUTED_VALUE"""),127.51)</f>
        <v>127.51</v>
      </c>
      <c r="E675" s="1">
        <f ca="1">IFERROR(__xludf.DUMMYFUNCTION("""COMPUTED_VALUE"""),13.65)</f>
        <v>13.65</v>
      </c>
      <c r="F675" s="1">
        <f ca="1">IFERROR(__xludf.DUMMYFUNCTION("""COMPUTED_VALUE"""),160.32)</f>
        <v>160.32</v>
      </c>
      <c r="G675" s="1">
        <f ca="1">IFERROR(__xludf.DUMMYFUNCTION("""COMPUTED_VALUE"""),108.68)</f>
        <v>108.68</v>
      </c>
      <c r="H675" s="1">
        <f ca="1">IFERROR(__xludf.DUMMYFUNCTION("""COMPUTED_VALUE"""),270.21)</f>
        <v>270.20999999999998</v>
      </c>
      <c r="I675" s="1">
        <f ca="1">IFERROR(__xludf.DUMMYFUNCTION("""COMPUTED_VALUE"""),170.66)</f>
        <v>170.66</v>
      </c>
      <c r="J675" s="1">
        <f ca="1">IFERROR(__xludf.DUMMYFUNCTION("""COMPUTED_VALUE"""),519.11)</f>
        <v>519.11</v>
      </c>
      <c r="K675" s="1">
        <f ca="1">IFERROR(__xludf.DUMMYFUNCTION("""COMPUTED_VALUE"""),50.02)</f>
        <v>50.02</v>
      </c>
      <c r="L675" s="1">
        <f ca="1">IFERROR(__xludf.DUMMYFUNCTION("""COMPUTED_VALUE"""),368.14)</f>
        <v>368.14</v>
      </c>
      <c r="M675" s="1">
        <f ca="1">IFERROR(__xludf.DUMMYFUNCTION("""COMPUTED_VALUE"""),226.11)</f>
        <v>226.11</v>
      </c>
    </row>
    <row r="676" spans="1:13" x14ac:dyDescent="0.25">
      <c r="A676" s="2">
        <f ca="1">IFERROR(__xludf.DUMMYFUNCTION("""COMPUTED_VALUE"""),44811.6666666666)</f>
        <v>44811.666666666599</v>
      </c>
      <c r="B676" s="1">
        <f ca="1">IFERROR(__xludf.DUMMYFUNCTION("""COMPUTED_VALUE"""),155.96)</f>
        <v>155.96</v>
      </c>
      <c r="C676" s="1">
        <f ca="1">IFERROR(__xludf.DUMMYFUNCTION("""COMPUTED_VALUE"""),253.25)</f>
        <v>253.25</v>
      </c>
      <c r="D676" s="1">
        <f ca="1">IFERROR(__xludf.DUMMYFUNCTION("""COMPUTED_VALUE"""),126.11)</f>
        <v>126.11</v>
      </c>
      <c r="E676" s="1">
        <f ca="1">IFERROR(__xludf.DUMMYFUNCTION("""COMPUTED_VALUE"""),13.47)</f>
        <v>13.47</v>
      </c>
      <c r="F676" s="1">
        <f ca="1">IFERROR(__xludf.DUMMYFUNCTION("""COMPUTED_VALUE"""),158.54)</f>
        <v>158.54</v>
      </c>
      <c r="G676" s="1">
        <f ca="1">IFERROR(__xludf.DUMMYFUNCTION("""COMPUTED_VALUE"""),107.48)</f>
        <v>107.48</v>
      </c>
      <c r="H676" s="1">
        <f ca="1">IFERROR(__xludf.DUMMYFUNCTION("""COMPUTED_VALUE"""),274.42)</f>
        <v>274.42</v>
      </c>
      <c r="I676" s="1">
        <f ca="1">IFERROR(__xludf.DUMMYFUNCTION("""COMPUTED_VALUE"""),169.51)</f>
        <v>169.51</v>
      </c>
      <c r="J676" s="1">
        <f ca="1">IFERROR(__xludf.DUMMYFUNCTION("""COMPUTED_VALUE"""),518.9)</f>
        <v>518.9</v>
      </c>
      <c r="K676" s="1">
        <f ca="1">IFERROR(__xludf.DUMMYFUNCTION("""COMPUTED_VALUE"""),49.82)</f>
        <v>49.82</v>
      </c>
      <c r="L676" s="1">
        <f ca="1">IFERROR(__xludf.DUMMYFUNCTION("""COMPUTED_VALUE"""),368.3)</f>
        <v>368.3</v>
      </c>
      <c r="M676" s="1">
        <f ca="1">IFERROR(__xludf.DUMMYFUNCTION("""COMPUTED_VALUE"""),218.39)</f>
        <v>218.39</v>
      </c>
    </row>
    <row r="677" spans="1:13" x14ac:dyDescent="0.25">
      <c r="A677" s="2">
        <f ca="1">IFERROR(__xludf.DUMMYFUNCTION("""COMPUTED_VALUE"""),44812.6666666666)</f>
        <v>44812.666666666599</v>
      </c>
      <c r="B677" s="1">
        <f ca="1">IFERROR(__xludf.DUMMYFUNCTION("""COMPUTED_VALUE"""),154.46)</f>
        <v>154.46</v>
      </c>
      <c r="C677" s="1">
        <f ca="1">IFERROR(__xludf.DUMMYFUNCTION("""COMPUTED_VALUE"""),258.09)</f>
        <v>258.08999999999997</v>
      </c>
      <c r="D677" s="1">
        <f ca="1">IFERROR(__xludf.DUMMYFUNCTION("""COMPUTED_VALUE"""),129.48)</f>
        <v>129.47999999999999</v>
      </c>
      <c r="E677" s="1">
        <f ca="1">IFERROR(__xludf.DUMMYFUNCTION("""COMPUTED_VALUE"""),13.71)</f>
        <v>13.71</v>
      </c>
      <c r="F677" s="1">
        <f ca="1">IFERROR(__xludf.DUMMYFUNCTION("""COMPUTED_VALUE"""),160.39)</f>
        <v>160.38999999999999</v>
      </c>
      <c r="G677" s="1">
        <f ca="1">IFERROR(__xludf.DUMMYFUNCTION("""COMPUTED_VALUE"""),110.48)</f>
        <v>110.48</v>
      </c>
      <c r="H677" s="1">
        <f ca="1">IFERROR(__xludf.DUMMYFUNCTION("""COMPUTED_VALUE"""),283.7)</f>
        <v>283.7</v>
      </c>
      <c r="I677" s="1">
        <f ca="1">IFERROR(__xludf.DUMMYFUNCTION("""COMPUTED_VALUE"""),173.25)</f>
        <v>173.25</v>
      </c>
      <c r="J677" s="1">
        <f ca="1">IFERROR(__xludf.DUMMYFUNCTION("""COMPUTED_VALUE"""),529.64)</f>
        <v>529.64</v>
      </c>
      <c r="K677" s="1">
        <f ca="1">IFERROR(__xludf.DUMMYFUNCTION("""COMPUTED_VALUE"""),50.51)</f>
        <v>50.51</v>
      </c>
      <c r="L677" s="1">
        <f ca="1">IFERROR(__xludf.DUMMYFUNCTION("""COMPUTED_VALUE"""),379.72)</f>
        <v>379.72</v>
      </c>
      <c r="M677" s="1">
        <f ca="1">IFERROR(__xludf.DUMMYFUNCTION("""COMPUTED_VALUE"""),228.96)</f>
        <v>228.96</v>
      </c>
    </row>
    <row r="678" spans="1:13" x14ac:dyDescent="0.25">
      <c r="A678" s="2">
        <f ca="1">IFERROR(__xludf.DUMMYFUNCTION("""COMPUTED_VALUE"""),44813.6666666666)</f>
        <v>44813.666666666599</v>
      </c>
      <c r="B678" s="1">
        <f ca="1">IFERROR(__xludf.DUMMYFUNCTION("""COMPUTED_VALUE"""),157.37)</f>
        <v>157.37</v>
      </c>
      <c r="C678" s="1">
        <f ca="1">IFERROR(__xludf.DUMMYFUNCTION("""COMPUTED_VALUE"""),258.52)</f>
        <v>258.52</v>
      </c>
      <c r="D678" s="1">
        <f ca="1">IFERROR(__xludf.DUMMYFUNCTION("""COMPUTED_VALUE"""),129.82)</f>
        <v>129.82</v>
      </c>
      <c r="E678" s="1">
        <f ca="1">IFERROR(__xludf.DUMMYFUNCTION("""COMPUTED_VALUE"""),13.99)</f>
        <v>13.99</v>
      </c>
      <c r="F678" s="1">
        <f ca="1">IFERROR(__xludf.DUMMYFUNCTION("""COMPUTED_VALUE"""),162.06)</f>
        <v>162.06</v>
      </c>
      <c r="G678" s="1">
        <f ca="1">IFERROR(__xludf.DUMMYFUNCTION("""COMPUTED_VALUE"""),109.42)</f>
        <v>109.42</v>
      </c>
      <c r="H678" s="1">
        <f ca="1">IFERROR(__xludf.DUMMYFUNCTION("""COMPUTED_VALUE"""),289.26)</f>
        <v>289.26</v>
      </c>
      <c r="I678" s="1">
        <f ca="1">IFERROR(__xludf.DUMMYFUNCTION("""COMPUTED_VALUE"""),172.67)</f>
        <v>172.67</v>
      </c>
      <c r="J678" s="1">
        <f ca="1">IFERROR(__xludf.DUMMYFUNCTION("""COMPUTED_VALUE"""),529.12)</f>
        <v>529.12</v>
      </c>
      <c r="K678" s="1">
        <f ca="1">IFERROR(__xludf.DUMMYFUNCTION("""COMPUTED_VALUE"""),51.19)</f>
        <v>51.19</v>
      </c>
      <c r="L678" s="1">
        <f ca="1">IFERROR(__xludf.DUMMYFUNCTION("""COMPUTED_VALUE"""),383.63)</f>
        <v>383.63</v>
      </c>
      <c r="M678" s="1">
        <f ca="1">IFERROR(__xludf.DUMMYFUNCTION("""COMPUTED_VALUE"""),227.44)</f>
        <v>227.44</v>
      </c>
    </row>
    <row r="679" spans="1:13" x14ac:dyDescent="0.25">
      <c r="A679" s="2">
        <f ca="1">IFERROR(__xludf.DUMMYFUNCTION("""COMPUTED_VALUE"""),44816.6666666666)</f>
        <v>44816.666666666599</v>
      </c>
      <c r="B679" s="1">
        <f ca="1">IFERROR(__xludf.DUMMYFUNCTION("""COMPUTED_VALUE"""),163.43)</f>
        <v>163.43</v>
      </c>
      <c r="C679" s="1">
        <f ca="1">IFERROR(__xludf.DUMMYFUNCTION("""COMPUTED_VALUE"""),264.46)</f>
        <v>264.45999999999998</v>
      </c>
      <c r="D679" s="1">
        <f ca="1">IFERROR(__xludf.DUMMYFUNCTION("""COMPUTED_VALUE"""),133.27)</f>
        <v>133.27000000000001</v>
      </c>
      <c r="E679" s="1">
        <f ca="1">IFERROR(__xludf.DUMMYFUNCTION("""COMPUTED_VALUE"""),14.39)</f>
        <v>14.39</v>
      </c>
      <c r="F679" s="1">
        <f ca="1">IFERROR(__xludf.DUMMYFUNCTION("""COMPUTED_VALUE"""),169.15)</f>
        <v>169.15</v>
      </c>
      <c r="G679" s="1">
        <f ca="1">IFERROR(__xludf.DUMMYFUNCTION("""COMPUTED_VALUE"""),111.78)</f>
        <v>111.78</v>
      </c>
      <c r="H679" s="1">
        <f ca="1">IFERROR(__xludf.DUMMYFUNCTION("""COMPUTED_VALUE"""),299.68)</f>
        <v>299.68</v>
      </c>
      <c r="I679" s="1">
        <f ca="1">IFERROR(__xludf.DUMMYFUNCTION("""COMPUTED_VALUE"""),173.22)</f>
        <v>173.22</v>
      </c>
      <c r="J679" s="1">
        <f ca="1">IFERROR(__xludf.DUMMYFUNCTION("""COMPUTED_VALUE"""),536.58)</f>
        <v>536.58000000000004</v>
      </c>
      <c r="K679" s="1">
        <f ca="1">IFERROR(__xludf.DUMMYFUNCTION("""COMPUTED_VALUE"""),52.24)</f>
        <v>52.24</v>
      </c>
      <c r="L679" s="1">
        <f ca="1">IFERROR(__xludf.DUMMYFUNCTION("""COMPUTED_VALUE"""),394.78)</f>
        <v>394.78</v>
      </c>
      <c r="M679" s="1">
        <f ca="1">IFERROR(__xludf.DUMMYFUNCTION("""COMPUTED_VALUE"""),233.57)</f>
        <v>233.57</v>
      </c>
    </row>
    <row r="680" spans="1:13" x14ac:dyDescent="0.25">
      <c r="A680" s="2">
        <f ca="1">IFERROR(__xludf.DUMMYFUNCTION("""COMPUTED_VALUE"""),44817.6666666666)</f>
        <v>44817.666666666599</v>
      </c>
      <c r="B680" s="1">
        <f ca="1">IFERROR(__xludf.DUMMYFUNCTION("""COMPUTED_VALUE"""),153.84)</f>
        <v>153.84</v>
      </c>
      <c r="C680" s="1">
        <f ca="1">IFERROR(__xludf.DUMMYFUNCTION("""COMPUTED_VALUE"""),266.65)</f>
        <v>266.64999999999998</v>
      </c>
      <c r="D680" s="1">
        <f ca="1">IFERROR(__xludf.DUMMYFUNCTION("""COMPUTED_VALUE"""),136.45)</f>
        <v>136.44999999999999</v>
      </c>
      <c r="E680" s="1">
        <f ca="1">IFERROR(__xludf.DUMMYFUNCTION("""COMPUTED_VALUE"""),14.51)</f>
        <v>14.51</v>
      </c>
      <c r="F680" s="1">
        <f ca="1">IFERROR(__xludf.DUMMYFUNCTION("""COMPUTED_VALUE"""),168.96)</f>
        <v>168.96</v>
      </c>
      <c r="G680" s="1">
        <f ca="1">IFERROR(__xludf.DUMMYFUNCTION("""COMPUTED_VALUE"""),111.87)</f>
        <v>111.87</v>
      </c>
      <c r="H680" s="1">
        <f ca="1">IFERROR(__xludf.DUMMYFUNCTION("""COMPUTED_VALUE"""),304.42)</f>
        <v>304.42</v>
      </c>
      <c r="I680" s="1">
        <f ca="1">IFERROR(__xludf.DUMMYFUNCTION("""COMPUTED_VALUE"""),173.9)</f>
        <v>173.9</v>
      </c>
      <c r="J680" s="1">
        <f ca="1">IFERROR(__xludf.DUMMYFUNCTION("""COMPUTED_VALUE"""),539.52)</f>
        <v>539.52</v>
      </c>
      <c r="K680" s="1">
        <f ca="1">IFERROR(__xludf.DUMMYFUNCTION("""COMPUTED_VALUE"""),52.91)</f>
        <v>52.91</v>
      </c>
      <c r="L680" s="1">
        <f ca="1">IFERROR(__xludf.DUMMYFUNCTION("""COMPUTED_VALUE"""),396.36)</f>
        <v>396.36</v>
      </c>
      <c r="M680" s="1">
        <f ca="1">IFERROR(__xludf.DUMMYFUNCTION("""COMPUTED_VALUE"""),236.53)</f>
        <v>236.53</v>
      </c>
    </row>
    <row r="681" spans="1:13" x14ac:dyDescent="0.25">
      <c r="A681" s="2">
        <f ca="1">IFERROR(__xludf.DUMMYFUNCTION("""COMPUTED_VALUE"""),44818.6666666666)</f>
        <v>44818.666666666599</v>
      </c>
      <c r="B681" s="1">
        <f ca="1">IFERROR(__xludf.DUMMYFUNCTION("""COMPUTED_VALUE"""),155.31)</f>
        <v>155.31</v>
      </c>
      <c r="C681" s="1">
        <f ca="1">IFERROR(__xludf.DUMMYFUNCTION("""COMPUTED_VALUE"""),251.99)</f>
        <v>251.99</v>
      </c>
      <c r="D681" s="1">
        <f ca="1">IFERROR(__xludf.DUMMYFUNCTION("""COMPUTED_VALUE"""),126.82)</f>
        <v>126.82</v>
      </c>
      <c r="E681" s="1">
        <f ca="1">IFERROR(__xludf.DUMMYFUNCTION("""COMPUTED_VALUE"""),13.13)</f>
        <v>13.13</v>
      </c>
      <c r="F681" s="1">
        <f ca="1">IFERROR(__xludf.DUMMYFUNCTION("""COMPUTED_VALUE"""),153.13)</f>
        <v>153.13</v>
      </c>
      <c r="G681" s="1">
        <f ca="1">IFERROR(__xludf.DUMMYFUNCTION("""COMPUTED_VALUE"""),105.31)</f>
        <v>105.31</v>
      </c>
      <c r="H681" s="1">
        <f ca="1">IFERROR(__xludf.DUMMYFUNCTION("""COMPUTED_VALUE"""),292.13)</f>
        <v>292.13</v>
      </c>
      <c r="I681" s="1">
        <f ca="1">IFERROR(__xludf.DUMMYFUNCTION("""COMPUTED_VALUE"""),167.41)</f>
        <v>167.41</v>
      </c>
      <c r="J681" s="1">
        <f ca="1">IFERROR(__xludf.DUMMYFUNCTION("""COMPUTED_VALUE"""),510.3)</f>
        <v>510.3</v>
      </c>
      <c r="K681" s="1">
        <f ca="1">IFERROR(__xludf.DUMMYFUNCTION("""COMPUTED_VALUE"""),50.37)</f>
        <v>50.37</v>
      </c>
      <c r="L681" s="1">
        <f ca="1">IFERROR(__xludf.DUMMYFUNCTION("""COMPUTED_VALUE"""),368.39)</f>
        <v>368.39</v>
      </c>
      <c r="M681" s="1">
        <f ca="1">IFERROR(__xludf.DUMMYFUNCTION("""COMPUTED_VALUE"""),218.13)</f>
        <v>218.13</v>
      </c>
    </row>
    <row r="682" spans="1:13" x14ac:dyDescent="0.25">
      <c r="A682" s="2">
        <f ca="1">IFERROR(__xludf.DUMMYFUNCTION("""COMPUTED_VALUE"""),44819.6666666666)</f>
        <v>44819.666666666599</v>
      </c>
      <c r="B682" s="1">
        <f ca="1">IFERROR(__xludf.DUMMYFUNCTION("""COMPUTED_VALUE"""),152.37)</f>
        <v>152.37</v>
      </c>
      <c r="C682" s="1">
        <f ca="1">IFERROR(__xludf.DUMMYFUNCTION("""COMPUTED_VALUE"""),252.22)</f>
        <v>252.22</v>
      </c>
      <c r="D682" s="1">
        <f ca="1">IFERROR(__xludf.DUMMYFUNCTION("""COMPUTED_VALUE"""),128.55)</f>
        <v>128.55000000000001</v>
      </c>
      <c r="E682" s="1">
        <f ca="1">IFERROR(__xludf.DUMMYFUNCTION("""COMPUTED_VALUE"""),13.13)</f>
        <v>13.13</v>
      </c>
      <c r="F682" s="1">
        <f ca="1">IFERROR(__xludf.DUMMYFUNCTION("""COMPUTED_VALUE"""),151.47)</f>
        <v>151.47</v>
      </c>
      <c r="G682" s="1">
        <f ca="1">IFERROR(__xludf.DUMMYFUNCTION("""COMPUTED_VALUE"""),105.87)</f>
        <v>105.87</v>
      </c>
      <c r="H682" s="1">
        <f ca="1">IFERROR(__xludf.DUMMYFUNCTION("""COMPUTED_VALUE"""),302.61)</f>
        <v>302.61</v>
      </c>
      <c r="I682" s="1">
        <f ca="1">IFERROR(__xludf.DUMMYFUNCTION("""COMPUTED_VALUE"""),168.68)</f>
        <v>168.68</v>
      </c>
      <c r="J682" s="1">
        <f ca="1">IFERROR(__xludf.DUMMYFUNCTION("""COMPUTED_VALUE"""),508)</f>
        <v>508</v>
      </c>
      <c r="K682" s="1">
        <f ca="1">IFERROR(__xludf.DUMMYFUNCTION("""COMPUTED_VALUE"""),51.08)</f>
        <v>51.08</v>
      </c>
      <c r="L682" s="1">
        <f ca="1">IFERROR(__xludf.DUMMYFUNCTION("""COMPUTED_VALUE"""),371.52)</f>
        <v>371.52</v>
      </c>
      <c r="M682" s="1">
        <f ca="1">IFERROR(__xludf.DUMMYFUNCTION("""COMPUTED_VALUE"""),224.12)</f>
        <v>224.12</v>
      </c>
    </row>
    <row r="683" spans="1:13" x14ac:dyDescent="0.25">
      <c r="A683" s="2">
        <f ca="1">IFERROR(__xludf.DUMMYFUNCTION("""COMPUTED_VALUE"""),44820.6666666666)</f>
        <v>44820.666666666599</v>
      </c>
      <c r="B683" s="1">
        <f ca="1">IFERROR(__xludf.DUMMYFUNCTION("""COMPUTED_VALUE"""),150.7)</f>
        <v>150.69999999999999</v>
      </c>
      <c r="C683" s="1">
        <f ca="1">IFERROR(__xludf.DUMMYFUNCTION("""COMPUTED_VALUE"""),245.38)</f>
        <v>245.38</v>
      </c>
      <c r="D683" s="1">
        <f ca="1">IFERROR(__xludf.DUMMYFUNCTION("""COMPUTED_VALUE"""),126.28)</f>
        <v>126.28</v>
      </c>
      <c r="E683" s="1">
        <f ca="1">IFERROR(__xludf.DUMMYFUNCTION("""COMPUTED_VALUE"""),12.93)</f>
        <v>12.93</v>
      </c>
      <c r="F683" s="1">
        <f ca="1">IFERROR(__xludf.DUMMYFUNCTION("""COMPUTED_VALUE"""),149.55)</f>
        <v>149.55000000000001</v>
      </c>
      <c r="G683" s="1">
        <f ca="1">IFERROR(__xludf.DUMMYFUNCTION("""COMPUTED_VALUE"""),103.9)</f>
        <v>103.9</v>
      </c>
      <c r="H683" s="1">
        <f ca="1">IFERROR(__xludf.DUMMYFUNCTION("""COMPUTED_VALUE"""),303.75)</f>
        <v>303.75</v>
      </c>
      <c r="I683" s="1">
        <f ca="1">IFERROR(__xludf.DUMMYFUNCTION("""COMPUTED_VALUE"""),165.88)</f>
        <v>165.88</v>
      </c>
      <c r="J683" s="1">
        <f ca="1">IFERROR(__xludf.DUMMYFUNCTION("""COMPUTED_VALUE"""),503.5)</f>
        <v>503.5</v>
      </c>
      <c r="K683" s="1">
        <f ca="1">IFERROR(__xludf.DUMMYFUNCTION("""COMPUTED_VALUE"""),50.01)</f>
        <v>50.01</v>
      </c>
      <c r="L683" s="1">
        <f ca="1">IFERROR(__xludf.DUMMYFUNCTION("""COMPUTED_VALUE"""),309.13)</f>
        <v>309.13</v>
      </c>
      <c r="M683" s="1">
        <f ca="1">IFERROR(__xludf.DUMMYFUNCTION("""COMPUTED_VALUE"""),235.38)</f>
        <v>235.38</v>
      </c>
    </row>
    <row r="684" spans="1:13" x14ac:dyDescent="0.25">
      <c r="A684" s="2">
        <f ca="1">IFERROR(__xludf.DUMMYFUNCTION("""COMPUTED_VALUE"""),44823.6666666666)</f>
        <v>44823.666666666599</v>
      </c>
      <c r="B684" s="1">
        <f ca="1">IFERROR(__xludf.DUMMYFUNCTION("""COMPUTED_VALUE"""),154.48)</f>
        <v>154.47999999999999</v>
      </c>
      <c r="C684" s="1">
        <f ca="1">IFERROR(__xludf.DUMMYFUNCTION("""COMPUTED_VALUE"""),244.74)</f>
        <v>244.74</v>
      </c>
      <c r="D684" s="1">
        <f ca="1">IFERROR(__xludf.DUMMYFUNCTION("""COMPUTED_VALUE"""),123.53)</f>
        <v>123.53</v>
      </c>
      <c r="E684" s="1">
        <f ca="1">IFERROR(__xludf.DUMMYFUNCTION("""COMPUTED_VALUE"""),13.2)</f>
        <v>13.2</v>
      </c>
      <c r="F684" s="1">
        <f ca="1">IFERROR(__xludf.DUMMYFUNCTION("""COMPUTED_VALUE"""),146.29)</f>
        <v>146.29</v>
      </c>
      <c r="G684" s="1">
        <f ca="1">IFERROR(__xludf.DUMMYFUNCTION("""COMPUTED_VALUE"""),103.63)</f>
        <v>103.63</v>
      </c>
      <c r="H684" s="1">
        <f ca="1">IFERROR(__xludf.DUMMYFUNCTION("""COMPUTED_VALUE"""),303.35)</f>
        <v>303.35000000000002</v>
      </c>
      <c r="I684" s="1">
        <f ca="1">IFERROR(__xludf.DUMMYFUNCTION("""COMPUTED_VALUE"""),166.97)</f>
        <v>166.97</v>
      </c>
      <c r="J684" s="1">
        <f ca="1">IFERROR(__xludf.DUMMYFUNCTION("""COMPUTED_VALUE"""),504.14)</f>
        <v>504.14</v>
      </c>
      <c r="K684" s="1">
        <f ca="1">IFERROR(__xludf.DUMMYFUNCTION("""COMPUTED_VALUE"""),50.25)</f>
        <v>50.25</v>
      </c>
      <c r="L684" s="1">
        <f ca="1">IFERROR(__xludf.DUMMYFUNCTION("""COMPUTED_VALUE"""),299.5)</f>
        <v>299.5</v>
      </c>
      <c r="M684" s="1">
        <f ca="1">IFERROR(__xludf.DUMMYFUNCTION("""COMPUTED_VALUE"""),240.13)</f>
        <v>240.13</v>
      </c>
    </row>
    <row r="685" spans="1:13" x14ac:dyDescent="0.25">
      <c r="A685" s="2">
        <f ca="1">IFERROR(__xludf.DUMMYFUNCTION("""COMPUTED_VALUE"""),44824.6666666666)</f>
        <v>44824.666666666599</v>
      </c>
      <c r="B685" s="1">
        <f ca="1">IFERROR(__xludf.DUMMYFUNCTION("""COMPUTED_VALUE"""),156.9)</f>
        <v>156.9</v>
      </c>
      <c r="C685" s="1">
        <f ca="1">IFERROR(__xludf.DUMMYFUNCTION("""COMPUTED_VALUE"""),244.52)</f>
        <v>244.52</v>
      </c>
      <c r="D685" s="1">
        <f ca="1">IFERROR(__xludf.DUMMYFUNCTION("""COMPUTED_VALUE"""),124.66)</f>
        <v>124.66</v>
      </c>
      <c r="E685" s="1">
        <f ca="1">IFERROR(__xludf.DUMMYFUNCTION("""COMPUTED_VALUE"""),13.38)</f>
        <v>13.38</v>
      </c>
      <c r="F685" s="1">
        <f ca="1">IFERROR(__xludf.DUMMYFUNCTION("""COMPUTED_VALUE"""),148.02)</f>
        <v>148.02000000000001</v>
      </c>
      <c r="G685" s="1">
        <f ca="1">IFERROR(__xludf.DUMMYFUNCTION("""COMPUTED_VALUE"""),103.85)</f>
        <v>103.85</v>
      </c>
      <c r="H685" s="1">
        <f ca="1">IFERROR(__xludf.DUMMYFUNCTION("""COMPUTED_VALUE"""),309.07)</f>
        <v>309.07</v>
      </c>
      <c r="I685" s="1">
        <f ca="1">IFERROR(__xludf.DUMMYFUNCTION("""COMPUTED_VALUE"""),168.73)</f>
        <v>168.73</v>
      </c>
      <c r="J685" s="1">
        <f ca="1">IFERROR(__xludf.DUMMYFUNCTION("""COMPUTED_VALUE"""),506.57)</f>
        <v>506.57</v>
      </c>
      <c r="K685" s="1">
        <f ca="1">IFERROR(__xludf.DUMMYFUNCTION("""COMPUTED_VALUE"""),50.18)</f>
        <v>50.18</v>
      </c>
      <c r="L685" s="1">
        <f ca="1">IFERROR(__xludf.DUMMYFUNCTION("""COMPUTED_VALUE"""),296.06)</f>
        <v>296.06</v>
      </c>
      <c r="M685" s="1">
        <f ca="1">IFERROR(__xludf.DUMMYFUNCTION("""COMPUTED_VALUE"""),243.63)</f>
        <v>243.63</v>
      </c>
    </row>
    <row r="686" spans="1:13" x14ac:dyDescent="0.25">
      <c r="A686" s="2">
        <f ca="1">IFERROR(__xludf.DUMMYFUNCTION("""COMPUTED_VALUE"""),44825.6666666666)</f>
        <v>44825.666666666599</v>
      </c>
      <c r="B686" s="1">
        <f ca="1">IFERROR(__xludf.DUMMYFUNCTION("""COMPUTED_VALUE"""),153.72)</f>
        <v>153.72</v>
      </c>
      <c r="C686" s="1">
        <f ca="1">IFERROR(__xludf.DUMMYFUNCTION("""COMPUTED_VALUE"""),242.45)</f>
        <v>242.45</v>
      </c>
      <c r="D686" s="1">
        <f ca="1">IFERROR(__xludf.DUMMYFUNCTION("""COMPUTED_VALUE"""),122.19)</f>
        <v>122.19</v>
      </c>
      <c r="E686" s="1">
        <f ca="1">IFERROR(__xludf.DUMMYFUNCTION("""COMPUTED_VALUE"""),13.18)</f>
        <v>13.18</v>
      </c>
      <c r="F686" s="1">
        <f ca="1">IFERROR(__xludf.DUMMYFUNCTION("""COMPUTED_VALUE"""),146.09)</f>
        <v>146.09</v>
      </c>
      <c r="G686" s="1">
        <f ca="1">IFERROR(__xludf.DUMMYFUNCTION("""COMPUTED_VALUE"""),101.83)</f>
        <v>101.83</v>
      </c>
      <c r="H686" s="1">
        <f ca="1">IFERROR(__xludf.DUMMYFUNCTION("""COMPUTED_VALUE"""),308.73)</f>
        <v>308.73</v>
      </c>
      <c r="I686" s="1">
        <f ca="1">IFERROR(__xludf.DUMMYFUNCTION("""COMPUTED_VALUE"""),168.92)</f>
        <v>168.92</v>
      </c>
      <c r="J686" s="1">
        <f ca="1">IFERROR(__xludf.DUMMYFUNCTION("""COMPUTED_VALUE"""),499.52)</f>
        <v>499.52</v>
      </c>
      <c r="K686" s="1">
        <f ca="1">IFERROR(__xludf.DUMMYFUNCTION("""COMPUTED_VALUE"""),49.31)</f>
        <v>49.31</v>
      </c>
      <c r="L686" s="1">
        <f ca="1">IFERROR(__xludf.DUMMYFUNCTION("""COMPUTED_VALUE"""),291.06)</f>
        <v>291.06</v>
      </c>
      <c r="M686" s="1">
        <f ca="1">IFERROR(__xludf.DUMMYFUNCTION("""COMPUTED_VALUE"""),242.85)</f>
        <v>242.85</v>
      </c>
    </row>
    <row r="687" spans="1:13" x14ac:dyDescent="0.25">
      <c r="A687" s="2">
        <f ca="1">IFERROR(__xludf.DUMMYFUNCTION("""COMPUTED_VALUE"""),44826.6666666666)</f>
        <v>44826.666666666599</v>
      </c>
      <c r="B687" s="1">
        <f ca="1">IFERROR(__xludf.DUMMYFUNCTION("""COMPUTED_VALUE"""),152.74)</f>
        <v>152.74</v>
      </c>
      <c r="C687" s="1">
        <f ca="1">IFERROR(__xludf.DUMMYFUNCTION("""COMPUTED_VALUE"""),238.95)</f>
        <v>238.95</v>
      </c>
      <c r="D687" s="1">
        <f ca="1">IFERROR(__xludf.DUMMYFUNCTION("""COMPUTED_VALUE"""),118.54)</f>
        <v>118.54</v>
      </c>
      <c r="E687" s="1">
        <f ca="1">IFERROR(__xludf.DUMMYFUNCTION("""COMPUTED_VALUE"""),13.26)</f>
        <v>13.26</v>
      </c>
      <c r="F687" s="1">
        <f ca="1">IFERROR(__xludf.DUMMYFUNCTION("""COMPUTED_VALUE"""),142.12)</f>
        <v>142.12</v>
      </c>
      <c r="G687" s="1">
        <f ca="1">IFERROR(__xludf.DUMMYFUNCTION("""COMPUTED_VALUE"""),100.01)</f>
        <v>100.01</v>
      </c>
      <c r="H687" s="1">
        <f ca="1">IFERROR(__xludf.DUMMYFUNCTION("""COMPUTED_VALUE"""),300.8)</f>
        <v>300.8</v>
      </c>
      <c r="I687" s="1">
        <f ca="1">IFERROR(__xludf.DUMMYFUNCTION("""COMPUTED_VALUE"""),168.44)</f>
        <v>168.44</v>
      </c>
      <c r="J687" s="1">
        <f ca="1">IFERROR(__xludf.DUMMYFUNCTION("""COMPUTED_VALUE"""),493.07)</f>
        <v>493.07</v>
      </c>
      <c r="K687" s="1">
        <f ca="1">IFERROR(__xludf.DUMMYFUNCTION("""COMPUTED_VALUE"""),48.21)</f>
        <v>48.21</v>
      </c>
      <c r="L687" s="1">
        <f ca="1">IFERROR(__xludf.DUMMYFUNCTION("""COMPUTED_VALUE"""),286.3)</f>
        <v>286.3</v>
      </c>
      <c r="M687" s="1">
        <f ca="1">IFERROR(__xludf.DUMMYFUNCTION("""COMPUTED_VALUE"""),236.87)</f>
        <v>236.87</v>
      </c>
    </row>
    <row r="688" spans="1:13" x14ac:dyDescent="0.25">
      <c r="A688" s="2">
        <f ca="1">IFERROR(__xludf.DUMMYFUNCTION("""COMPUTED_VALUE"""),44827.6666666666)</f>
        <v>44827.666666666599</v>
      </c>
      <c r="B688" s="1">
        <f ca="1">IFERROR(__xludf.DUMMYFUNCTION("""COMPUTED_VALUE"""),150.43)</f>
        <v>150.43</v>
      </c>
      <c r="C688" s="1">
        <f ca="1">IFERROR(__xludf.DUMMYFUNCTION("""COMPUTED_VALUE"""),240.98)</f>
        <v>240.98</v>
      </c>
      <c r="D688" s="1">
        <f ca="1">IFERROR(__xludf.DUMMYFUNCTION("""COMPUTED_VALUE"""),117.31)</f>
        <v>117.31</v>
      </c>
      <c r="E688" s="1">
        <f ca="1">IFERROR(__xludf.DUMMYFUNCTION("""COMPUTED_VALUE"""),12.56)</f>
        <v>12.56</v>
      </c>
      <c r="F688" s="1">
        <f ca="1">IFERROR(__xludf.DUMMYFUNCTION("""COMPUTED_VALUE"""),142.82)</f>
        <v>142.82</v>
      </c>
      <c r="G688" s="1">
        <f ca="1">IFERROR(__xludf.DUMMYFUNCTION("""COMPUTED_VALUE"""),100.57)</f>
        <v>100.57</v>
      </c>
      <c r="H688" s="1">
        <f ca="1">IFERROR(__xludf.DUMMYFUNCTION("""COMPUTED_VALUE"""),288.59)</f>
        <v>288.58999999999997</v>
      </c>
      <c r="I688" s="1">
        <f ca="1">IFERROR(__xludf.DUMMYFUNCTION("""COMPUTED_VALUE"""),168.6)</f>
        <v>168.6</v>
      </c>
      <c r="J688" s="1">
        <f ca="1">IFERROR(__xludf.DUMMYFUNCTION("""COMPUTED_VALUE"""),487.17)</f>
        <v>487.17</v>
      </c>
      <c r="K688" s="1">
        <f ca="1">IFERROR(__xludf.DUMMYFUNCTION("""COMPUTED_VALUE"""),47.76)</f>
        <v>47.76</v>
      </c>
      <c r="L688" s="1">
        <f ca="1">IFERROR(__xludf.DUMMYFUNCTION("""COMPUTED_VALUE"""),287.06)</f>
        <v>287.06</v>
      </c>
      <c r="M688" s="1">
        <f ca="1">IFERROR(__xludf.DUMMYFUNCTION("""COMPUTED_VALUE"""),237.05)</f>
        <v>237.05</v>
      </c>
    </row>
    <row r="689" spans="1:13" x14ac:dyDescent="0.25">
      <c r="A689" s="2">
        <f ca="1">IFERROR(__xludf.DUMMYFUNCTION("""COMPUTED_VALUE"""),44830.6666666666)</f>
        <v>44830.666666666599</v>
      </c>
      <c r="B689" s="1">
        <f ca="1">IFERROR(__xludf.DUMMYFUNCTION("""COMPUTED_VALUE"""),150.77)</f>
        <v>150.77000000000001</v>
      </c>
      <c r="C689" s="1">
        <f ca="1">IFERROR(__xludf.DUMMYFUNCTION("""COMPUTED_VALUE"""),237.92)</f>
        <v>237.92</v>
      </c>
      <c r="D689" s="1">
        <f ca="1">IFERROR(__xludf.DUMMYFUNCTION("""COMPUTED_VALUE"""),113.78)</f>
        <v>113.78</v>
      </c>
      <c r="E689" s="1">
        <f ca="1">IFERROR(__xludf.DUMMYFUNCTION("""COMPUTED_VALUE"""),12.52)</f>
        <v>12.52</v>
      </c>
      <c r="F689" s="1">
        <f ca="1">IFERROR(__xludf.DUMMYFUNCTION("""COMPUTED_VALUE"""),140.41)</f>
        <v>140.41</v>
      </c>
      <c r="G689" s="1">
        <f ca="1">IFERROR(__xludf.DUMMYFUNCTION("""COMPUTED_VALUE"""),99.17)</f>
        <v>99.17</v>
      </c>
      <c r="H689" s="1">
        <f ca="1">IFERROR(__xludf.DUMMYFUNCTION("""COMPUTED_VALUE"""),275.33)</f>
        <v>275.33</v>
      </c>
      <c r="I689" s="1">
        <f ca="1">IFERROR(__xludf.DUMMYFUNCTION("""COMPUTED_VALUE"""),168.52)</f>
        <v>168.52</v>
      </c>
      <c r="J689" s="1">
        <f ca="1">IFERROR(__xludf.DUMMYFUNCTION("""COMPUTED_VALUE"""),466.4)</f>
        <v>466.4</v>
      </c>
      <c r="K689" s="1">
        <f ca="1">IFERROR(__xludf.DUMMYFUNCTION("""COMPUTED_VALUE"""),46.87)</f>
        <v>46.87</v>
      </c>
      <c r="L689" s="1">
        <f ca="1">IFERROR(__xludf.DUMMYFUNCTION("""COMPUTED_VALUE"""),284.56)</f>
        <v>284.56</v>
      </c>
      <c r="M689" s="1">
        <f ca="1">IFERROR(__xludf.DUMMYFUNCTION("""COMPUTED_VALUE"""),226.41)</f>
        <v>226.41</v>
      </c>
    </row>
    <row r="690" spans="1:13" x14ac:dyDescent="0.25">
      <c r="A690" s="2">
        <f ca="1">IFERROR(__xludf.DUMMYFUNCTION("""COMPUTED_VALUE"""),44831.6666666666)</f>
        <v>44831.666666666599</v>
      </c>
      <c r="B690" s="1">
        <f ca="1">IFERROR(__xludf.DUMMYFUNCTION("""COMPUTED_VALUE"""),151.76)</f>
        <v>151.76</v>
      </c>
      <c r="C690" s="1">
        <f ca="1">IFERROR(__xludf.DUMMYFUNCTION("""COMPUTED_VALUE"""),237.45)</f>
        <v>237.45</v>
      </c>
      <c r="D690" s="1">
        <f ca="1">IFERROR(__xludf.DUMMYFUNCTION("""COMPUTED_VALUE"""),115.15)</f>
        <v>115.15</v>
      </c>
      <c r="E690" s="1">
        <f ca="1">IFERROR(__xludf.DUMMYFUNCTION("""COMPUTED_VALUE"""),12.23)</f>
        <v>12.23</v>
      </c>
      <c r="F690" s="1">
        <f ca="1">IFERROR(__xludf.DUMMYFUNCTION("""COMPUTED_VALUE"""),136.37)</f>
        <v>136.37</v>
      </c>
      <c r="G690" s="1">
        <f ca="1">IFERROR(__xludf.DUMMYFUNCTION("""COMPUTED_VALUE"""),98.81)</f>
        <v>98.81</v>
      </c>
      <c r="H690" s="1">
        <f ca="1">IFERROR(__xludf.DUMMYFUNCTION("""COMPUTED_VALUE"""),276.01)</f>
        <v>276.01</v>
      </c>
      <c r="I690" s="1">
        <f ca="1">IFERROR(__xludf.DUMMYFUNCTION("""COMPUTED_VALUE"""),168.45)</f>
        <v>168.45</v>
      </c>
      <c r="J690" s="1">
        <f ca="1">IFERROR(__xludf.DUMMYFUNCTION("""COMPUTED_VALUE"""),480.3)</f>
        <v>480.3</v>
      </c>
      <c r="K690" s="1">
        <f ca="1">IFERROR(__xludf.DUMMYFUNCTION("""COMPUTED_VALUE"""),46.23)</f>
        <v>46.23</v>
      </c>
      <c r="L690" s="1">
        <f ca="1">IFERROR(__xludf.DUMMYFUNCTION("""COMPUTED_VALUE"""),276.96)</f>
        <v>276.95999999999998</v>
      </c>
      <c r="M690" s="1">
        <f ca="1">IFERROR(__xludf.DUMMYFUNCTION("""COMPUTED_VALUE"""),224.07)</f>
        <v>224.07</v>
      </c>
    </row>
    <row r="691" spans="1:13" x14ac:dyDescent="0.25">
      <c r="A691" s="2">
        <f ca="1">IFERROR(__xludf.DUMMYFUNCTION("""COMPUTED_VALUE"""),44832.6666666666)</f>
        <v>44832.666666666599</v>
      </c>
      <c r="B691" s="1">
        <f ca="1">IFERROR(__xludf.DUMMYFUNCTION("""COMPUTED_VALUE"""),149.84)</f>
        <v>149.84</v>
      </c>
      <c r="C691" s="1">
        <f ca="1">IFERROR(__xludf.DUMMYFUNCTION("""COMPUTED_VALUE"""),236.41)</f>
        <v>236.41</v>
      </c>
      <c r="D691" s="1">
        <f ca="1">IFERROR(__xludf.DUMMYFUNCTION("""COMPUTED_VALUE"""),114.41)</f>
        <v>114.41</v>
      </c>
      <c r="E691" s="1">
        <f ca="1">IFERROR(__xludf.DUMMYFUNCTION("""COMPUTED_VALUE"""),12.41)</f>
        <v>12.41</v>
      </c>
      <c r="F691" s="1">
        <f ca="1">IFERROR(__xludf.DUMMYFUNCTION("""COMPUTED_VALUE"""),134.4)</f>
        <v>134.4</v>
      </c>
      <c r="G691" s="1">
        <f ca="1">IFERROR(__xludf.DUMMYFUNCTION("""COMPUTED_VALUE"""),98.09)</f>
        <v>98.09</v>
      </c>
      <c r="H691" s="1">
        <f ca="1">IFERROR(__xludf.DUMMYFUNCTION("""COMPUTED_VALUE"""),282.94)</f>
        <v>282.94</v>
      </c>
      <c r="I691" s="1">
        <f ca="1">IFERROR(__xludf.DUMMYFUNCTION("""COMPUTED_VALUE"""),166.01)</f>
        <v>166.01</v>
      </c>
      <c r="J691" s="1">
        <f ca="1">IFERROR(__xludf.DUMMYFUNCTION("""COMPUTED_VALUE"""),478.3)</f>
        <v>478.3</v>
      </c>
      <c r="K691" s="1">
        <f ca="1">IFERROR(__xludf.DUMMYFUNCTION("""COMPUTED_VALUE"""),46.48)</f>
        <v>46.48</v>
      </c>
      <c r="L691" s="1">
        <f ca="1">IFERROR(__xludf.DUMMYFUNCTION("""COMPUTED_VALUE"""),277.57)</f>
        <v>277.57</v>
      </c>
      <c r="M691" s="1">
        <f ca="1">IFERROR(__xludf.DUMMYFUNCTION("""COMPUTED_VALUE"""),224.36)</f>
        <v>224.36</v>
      </c>
    </row>
    <row r="692" spans="1:13" x14ac:dyDescent="0.25">
      <c r="A692" s="2">
        <f ca="1">IFERROR(__xludf.DUMMYFUNCTION("""COMPUTED_VALUE"""),44833.6666666666)</f>
        <v>44833.666666666599</v>
      </c>
      <c r="B692" s="1">
        <f ca="1">IFERROR(__xludf.DUMMYFUNCTION("""COMPUTED_VALUE"""),142.48)</f>
        <v>142.47999999999999</v>
      </c>
      <c r="C692" s="1">
        <f ca="1">IFERROR(__xludf.DUMMYFUNCTION("""COMPUTED_VALUE"""),241.07)</f>
        <v>241.07</v>
      </c>
      <c r="D692" s="1">
        <f ca="1">IFERROR(__xludf.DUMMYFUNCTION("""COMPUTED_VALUE"""),118.01)</f>
        <v>118.01</v>
      </c>
      <c r="E692" s="1">
        <f ca="1">IFERROR(__xludf.DUMMYFUNCTION("""COMPUTED_VALUE"""),12.74)</f>
        <v>12.74</v>
      </c>
      <c r="F692" s="1">
        <f ca="1">IFERROR(__xludf.DUMMYFUNCTION("""COMPUTED_VALUE"""),141.61)</f>
        <v>141.61000000000001</v>
      </c>
      <c r="G692" s="1">
        <f ca="1">IFERROR(__xludf.DUMMYFUNCTION("""COMPUTED_VALUE"""),100.74)</f>
        <v>100.74</v>
      </c>
      <c r="H692" s="1">
        <f ca="1">IFERROR(__xludf.DUMMYFUNCTION("""COMPUTED_VALUE"""),287.81)</f>
        <v>287.81</v>
      </c>
      <c r="I692" s="1">
        <f ca="1">IFERROR(__xludf.DUMMYFUNCTION("""COMPUTED_VALUE"""),168.67)</f>
        <v>168.67</v>
      </c>
      <c r="J692" s="1">
        <f ca="1">IFERROR(__xludf.DUMMYFUNCTION("""COMPUTED_VALUE"""),488.29)</f>
        <v>488.29</v>
      </c>
      <c r="K692" s="1">
        <f ca="1">IFERROR(__xludf.DUMMYFUNCTION("""COMPUTED_VALUE"""),46.6)</f>
        <v>46.6</v>
      </c>
      <c r="L692" s="1">
        <f ca="1">IFERROR(__xludf.DUMMYFUNCTION("""COMPUTED_VALUE"""),281.4)</f>
        <v>281.39999999999998</v>
      </c>
      <c r="M692" s="1">
        <f ca="1">IFERROR(__xludf.DUMMYFUNCTION("""COMPUTED_VALUE"""),245.2)</f>
        <v>245.2</v>
      </c>
    </row>
    <row r="693" spans="1:13" x14ac:dyDescent="0.25">
      <c r="A693" s="2">
        <f ca="1">IFERROR(__xludf.DUMMYFUNCTION("""COMPUTED_VALUE"""),44834.6666666666)</f>
        <v>44834.666666666599</v>
      </c>
      <c r="B693" s="1">
        <f ca="1">IFERROR(__xludf.DUMMYFUNCTION("""COMPUTED_VALUE"""),138.2)</f>
        <v>138.19999999999999</v>
      </c>
      <c r="C693" s="1">
        <f ca="1">IFERROR(__xludf.DUMMYFUNCTION("""COMPUTED_VALUE"""),237.5)</f>
        <v>237.5</v>
      </c>
      <c r="D693" s="1">
        <f ca="1">IFERROR(__xludf.DUMMYFUNCTION("""COMPUTED_VALUE"""),114.8)</f>
        <v>114.8</v>
      </c>
      <c r="E693" s="1">
        <f ca="1">IFERROR(__xludf.DUMMYFUNCTION("""COMPUTED_VALUE"""),12.22)</f>
        <v>12.22</v>
      </c>
      <c r="F693" s="1">
        <f ca="1">IFERROR(__xludf.DUMMYFUNCTION("""COMPUTED_VALUE"""),136.41)</f>
        <v>136.41</v>
      </c>
      <c r="G693" s="1">
        <f ca="1">IFERROR(__xludf.DUMMYFUNCTION("""COMPUTED_VALUE"""),98.09)</f>
        <v>98.09</v>
      </c>
      <c r="H693" s="1">
        <f ca="1">IFERROR(__xludf.DUMMYFUNCTION("""COMPUTED_VALUE"""),268.21)</f>
        <v>268.20999999999998</v>
      </c>
      <c r="I693" s="1">
        <f ca="1">IFERROR(__xludf.DUMMYFUNCTION("""COMPUTED_VALUE"""),166.61)</f>
        <v>166.61</v>
      </c>
      <c r="J693" s="1">
        <f ca="1">IFERROR(__xludf.DUMMYFUNCTION("""COMPUTED_VALUE"""),478.98)</f>
        <v>478.98</v>
      </c>
      <c r="K693" s="1">
        <f ca="1">IFERROR(__xludf.DUMMYFUNCTION("""COMPUTED_VALUE"""),45.01)</f>
        <v>45.01</v>
      </c>
      <c r="L693" s="1">
        <f ca="1">IFERROR(__xludf.DUMMYFUNCTION("""COMPUTED_VALUE"""),278.25)</f>
        <v>278.25</v>
      </c>
      <c r="M693" s="1">
        <f ca="1">IFERROR(__xludf.DUMMYFUNCTION("""COMPUTED_VALUE"""),239.71)</f>
        <v>239.71</v>
      </c>
    </row>
    <row r="694" spans="1:13" x14ac:dyDescent="0.25">
      <c r="A694" s="2">
        <f ca="1">IFERROR(__xludf.DUMMYFUNCTION("""COMPUTED_VALUE"""),44837.6666666666)</f>
        <v>44837.666666666599</v>
      </c>
      <c r="B694" s="1">
        <f ca="1">IFERROR(__xludf.DUMMYFUNCTION("""COMPUTED_VALUE"""),142.45)</f>
        <v>142.44999999999999</v>
      </c>
      <c r="C694" s="1">
        <f ca="1">IFERROR(__xludf.DUMMYFUNCTION("""COMPUTED_VALUE"""),232.9)</f>
        <v>232.9</v>
      </c>
      <c r="D694" s="1">
        <f ca="1">IFERROR(__xludf.DUMMYFUNCTION("""COMPUTED_VALUE"""),113)</f>
        <v>113</v>
      </c>
      <c r="E694" s="1">
        <f ca="1">IFERROR(__xludf.DUMMYFUNCTION("""COMPUTED_VALUE"""),12.14)</f>
        <v>12.14</v>
      </c>
      <c r="F694" s="1">
        <f ca="1">IFERROR(__xludf.DUMMYFUNCTION("""COMPUTED_VALUE"""),135.68)</f>
        <v>135.68</v>
      </c>
      <c r="G694" s="1">
        <f ca="1">IFERROR(__xludf.DUMMYFUNCTION("""COMPUTED_VALUE"""),96.15)</f>
        <v>96.15</v>
      </c>
      <c r="H694" s="1">
        <f ca="1">IFERROR(__xludf.DUMMYFUNCTION("""COMPUTED_VALUE"""),265.25)</f>
        <v>265.25</v>
      </c>
      <c r="I694" s="1">
        <f ca="1">IFERROR(__xludf.DUMMYFUNCTION("""COMPUTED_VALUE"""),163.26)</f>
        <v>163.26</v>
      </c>
      <c r="J694" s="1">
        <f ca="1">IFERROR(__xludf.DUMMYFUNCTION("""COMPUTED_VALUE"""),472.27)</f>
        <v>472.27</v>
      </c>
      <c r="K694" s="1">
        <f ca="1">IFERROR(__xludf.DUMMYFUNCTION("""COMPUTED_VALUE"""),44.4)</f>
        <v>44.4</v>
      </c>
      <c r="L694" s="1">
        <f ca="1">IFERROR(__xludf.DUMMYFUNCTION("""COMPUTED_VALUE"""),275.2)</f>
        <v>275.2</v>
      </c>
      <c r="M694" s="1">
        <f ca="1">IFERROR(__xludf.DUMMYFUNCTION("""COMPUTED_VALUE"""),235.44)</f>
        <v>235.44</v>
      </c>
    </row>
    <row r="695" spans="1:13" x14ac:dyDescent="0.25">
      <c r="A695" s="2">
        <f ca="1">IFERROR(__xludf.DUMMYFUNCTION("""COMPUTED_VALUE"""),44838.6666666666)</f>
        <v>44838.666666666599</v>
      </c>
      <c r="B695" s="1">
        <f ca="1">IFERROR(__xludf.DUMMYFUNCTION("""COMPUTED_VALUE"""),146.1)</f>
        <v>146.1</v>
      </c>
      <c r="C695" s="1">
        <f ca="1">IFERROR(__xludf.DUMMYFUNCTION("""COMPUTED_VALUE"""),240.74)</f>
        <v>240.74</v>
      </c>
      <c r="D695" s="1">
        <f ca="1">IFERROR(__xludf.DUMMYFUNCTION("""COMPUTED_VALUE"""),115.88)</f>
        <v>115.88</v>
      </c>
      <c r="E695" s="1">
        <f ca="1">IFERROR(__xludf.DUMMYFUNCTION("""COMPUTED_VALUE"""),12.51)</f>
        <v>12.51</v>
      </c>
      <c r="F695" s="1">
        <f ca="1">IFERROR(__xludf.DUMMYFUNCTION("""COMPUTED_VALUE"""),138.61)</f>
        <v>138.61000000000001</v>
      </c>
      <c r="G695" s="1">
        <f ca="1">IFERROR(__xludf.DUMMYFUNCTION("""COMPUTED_VALUE"""),99.3)</f>
        <v>99.3</v>
      </c>
      <c r="H695" s="1">
        <f ca="1">IFERROR(__xludf.DUMMYFUNCTION("""COMPUTED_VALUE"""),242.4)</f>
        <v>242.4</v>
      </c>
      <c r="I695" s="1">
        <f ca="1">IFERROR(__xludf.DUMMYFUNCTION("""COMPUTED_VALUE"""),165.25)</f>
        <v>165.25</v>
      </c>
      <c r="J695" s="1">
        <f ca="1">IFERROR(__xludf.DUMMYFUNCTION("""COMPUTED_VALUE"""),477.73)</f>
        <v>477.73</v>
      </c>
      <c r="K695" s="1">
        <f ca="1">IFERROR(__xludf.DUMMYFUNCTION("""COMPUTED_VALUE"""),45.68)</f>
        <v>45.68</v>
      </c>
      <c r="L695" s="1">
        <f ca="1">IFERROR(__xludf.DUMMYFUNCTION("""COMPUTED_VALUE"""),285.24)</f>
        <v>285.24</v>
      </c>
      <c r="M695" s="1">
        <f ca="1">IFERROR(__xludf.DUMMYFUNCTION("""COMPUTED_VALUE"""),239.04)</f>
        <v>239.04</v>
      </c>
    </row>
    <row r="696" spans="1:13" x14ac:dyDescent="0.25">
      <c r="A696" s="2">
        <f ca="1">IFERROR(__xludf.DUMMYFUNCTION("""COMPUTED_VALUE"""),44839.6666666666)</f>
        <v>44839.666666666599</v>
      </c>
      <c r="B696" s="1">
        <f ca="1">IFERROR(__xludf.DUMMYFUNCTION("""COMPUTED_VALUE"""),146.4)</f>
        <v>146.4</v>
      </c>
      <c r="C696" s="1">
        <f ca="1">IFERROR(__xludf.DUMMYFUNCTION("""COMPUTED_VALUE"""),248.88)</f>
        <v>248.88</v>
      </c>
      <c r="D696" s="1">
        <f ca="1">IFERROR(__xludf.DUMMYFUNCTION("""COMPUTED_VALUE"""),121.09)</f>
        <v>121.09</v>
      </c>
      <c r="E696" s="1">
        <f ca="1">IFERROR(__xludf.DUMMYFUNCTION("""COMPUTED_VALUE"""),13.17)</f>
        <v>13.17</v>
      </c>
      <c r="F696" s="1">
        <f ca="1">IFERROR(__xludf.DUMMYFUNCTION("""COMPUTED_VALUE"""),140.28)</f>
        <v>140.28</v>
      </c>
      <c r="G696" s="1">
        <f ca="1">IFERROR(__xludf.DUMMYFUNCTION("""COMPUTED_VALUE"""),102.41)</f>
        <v>102.41</v>
      </c>
      <c r="H696" s="1">
        <f ca="1">IFERROR(__xludf.DUMMYFUNCTION("""COMPUTED_VALUE"""),249.44)</f>
        <v>249.44</v>
      </c>
      <c r="I696" s="1">
        <f ca="1">IFERROR(__xludf.DUMMYFUNCTION("""COMPUTED_VALUE"""),167.11)</f>
        <v>167.11</v>
      </c>
      <c r="J696" s="1">
        <f ca="1">IFERROR(__xludf.DUMMYFUNCTION("""COMPUTED_VALUE"""),486.13)</f>
        <v>486.13</v>
      </c>
      <c r="K696" s="1">
        <f ca="1">IFERROR(__xludf.DUMMYFUNCTION("""COMPUTED_VALUE"""),47.99)</f>
        <v>47.99</v>
      </c>
      <c r="L696" s="1">
        <f ca="1">IFERROR(__xludf.DUMMYFUNCTION("""COMPUTED_VALUE"""),294.97)</f>
        <v>294.97000000000003</v>
      </c>
      <c r="M696" s="1">
        <f ca="1">IFERROR(__xludf.DUMMYFUNCTION("""COMPUTED_VALUE"""),240.74)</f>
        <v>240.74</v>
      </c>
    </row>
    <row r="697" spans="1:13" x14ac:dyDescent="0.25">
      <c r="A697" s="2">
        <f ca="1">IFERROR(__xludf.DUMMYFUNCTION("""COMPUTED_VALUE"""),44840.6666666666)</f>
        <v>44840.666666666599</v>
      </c>
      <c r="B697" s="1">
        <f ca="1">IFERROR(__xludf.DUMMYFUNCTION("""COMPUTED_VALUE"""),145.43)</f>
        <v>145.43</v>
      </c>
      <c r="C697" s="1">
        <f ca="1">IFERROR(__xludf.DUMMYFUNCTION("""COMPUTED_VALUE"""),249.2)</f>
        <v>249.2</v>
      </c>
      <c r="D697" s="1">
        <f ca="1">IFERROR(__xludf.DUMMYFUNCTION("""COMPUTED_VALUE"""),120.95)</f>
        <v>120.95</v>
      </c>
      <c r="E697" s="1">
        <f ca="1">IFERROR(__xludf.DUMMYFUNCTION("""COMPUTED_VALUE"""),13.21)</f>
        <v>13.21</v>
      </c>
      <c r="F697" s="1">
        <f ca="1">IFERROR(__xludf.DUMMYFUNCTION("""COMPUTED_VALUE"""),138.98)</f>
        <v>138.97999999999999</v>
      </c>
      <c r="G697" s="1">
        <f ca="1">IFERROR(__xludf.DUMMYFUNCTION("""COMPUTED_VALUE"""),102.22)</f>
        <v>102.22</v>
      </c>
      <c r="H697" s="1">
        <f ca="1">IFERROR(__xludf.DUMMYFUNCTION("""COMPUTED_VALUE"""),240.81)</f>
        <v>240.81</v>
      </c>
      <c r="I697" s="1">
        <f ca="1">IFERROR(__xludf.DUMMYFUNCTION("""COMPUTED_VALUE"""),166)</f>
        <v>166</v>
      </c>
      <c r="J697" s="1">
        <f ca="1">IFERROR(__xludf.DUMMYFUNCTION("""COMPUTED_VALUE"""),480.32)</f>
        <v>480.32</v>
      </c>
      <c r="K697" s="1">
        <f ca="1">IFERROR(__xludf.DUMMYFUNCTION("""COMPUTED_VALUE"""),48.48)</f>
        <v>48.48</v>
      </c>
      <c r="L697" s="1">
        <f ca="1">IFERROR(__xludf.DUMMYFUNCTION("""COMPUTED_VALUE"""),297.38)</f>
        <v>297.38</v>
      </c>
      <c r="M697" s="1">
        <f ca="1">IFERROR(__xludf.DUMMYFUNCTION("""COMPUTED_VALUE"""),236.73)</f>
        <v>236.73</v>
      </c>
    </row>
    <row r="698" spans="1:13" x14ac:dyDescent="0.25">
      <c r="A698" s="2">
        <f ca="1">IFERROR(__xludf.DUMMYFUNCTION("""COMPUTED_VALUE"""),44841.6666666666)</f>
        <v>44841.666666666599</v>
      </c>
      <c r="B698" s="1">
        <f ca="1">IFERROR(__xludf.DUMMYFUNCTION("""COMPUTED_VALUE"""),140.09)</f>
        <v>140.09</v>
      </c>
      <c r="C698" s="1">
        <f ca="1">IFERROR(__xludf.DUMMYFUNCTION("""COMPUTED_VALUE"""),246.79)</f>
        <v>246.79</v>
      </c>
      <c r="D698" s="1">
        <f ca="1">IFERROR(__xludf.DUMMYFUNCTION("""COMPUTED_VALUE"""),120.3)</f>
        <v>120.3</v>
      </c>
      <c r="E698" s="1">
        <f ca="1">IFERROR(__xludf.DUMMYFUNCTION("""COMPUTED_VALUE"""),13.13)</f>
        <v>13.13</v>
      </c>
      <c r="F698" s="1">
        <f ca="1">IFERROR(__xludf.DUMMYFUNCTION("""COMPUTED_VALUE"""),139.07)</f>
        <v>139.07</v>
      </c>
      <c r="G698" s="1">
        <f ca="1">IFERROR(__xludf.DUMMYFUNCTION("""COMPUTED_VALUE"""),102.24)</f>
        <v>102.24</v>
      </c>
      <c r="H698" s="1">
        <f ca="1">IFERROR(__xludf.DUMMYFUNCTION("""COMPUTED_VALUE"""),238.13)</f>
        <v>238.13</v>
      </c>
      <c r="I698" s="1">
        <f ca="1">IFERROR(__xludf.DUMMYFUNCTION("""COMPUTED_VALUE"""),162.8)</f>
        <v>162.80000000000001</v>
      </c>
      <c r="J698" s="1">
        <f ca="1">IFERROR(__xludf.DUMMYFUNCTION("""COMPUTED_VALUE"""),482.49)</f>
        <v>482.49</v>
      </c>
      <c r="K698" s="1">
        <f ca="1">IFERROR(__xludf.DUMMYFUNCTION("""COMPUTED_VALUE"""),47.95)</f>
        <v>47.95</v>
      </c>
      <c r="L698" s="1">
        <f ca="1">IFERROR(__xludf.DUMMYFUNCTION("""COMPUTED_VALUE"""),298.41)</f>
        <v>298.41000000000003</v>
      </c>
      <c r="M698" s="1">
        <f ca="1">IFERROR(__xludf.DUMMYFUNCTION("""COMPUTED_VALUE"""),240.02)</f>
        <v>240.02</v>
      </c>
    </row>
    <row r="699" spans="1:13" x14ac:dyDescent="0.25">
      <c r="A699" s="2">
        <f ca="1">IFERROR(__xludf.DUMMYFUNCTION("""COMPUTED_VALUE"""),44844.6666666666)</f>
        <v>44844.666666666599</v>
      </c>
      <c r="B699" s="1">
        <f ca="1">IFERROR(__xludf.DUMMYFUNCTION("""COMPUTED_VALUE"""),140.42)</f>
        <v>140.41999999999999</v>
      </c>
      <c r="C699" s="1">
        <f ca="1">IFERROR(__xludf.DUMMYFUNCTION("""COMPUTED_VALUE"""),234.24)</f>
        <v>234.24</v>
      </c>
      <c r="D699" s="1">
        <f ca="1">IFERROR(__xludf.DUMMYFUNCTION("""COMPUTED_VALUE"""),114.56)</f>
        <v>114.56</v>
      </c>
      <c r="E699" s="1">
        <f ca="1">IFERROR(__xludf.DUMMYFUNCTION("""COMPUTED_VALUE"""),12.08)</f>
        <v>12.08</v>
      </c>
      <c r="F699" s="1">
        <f ca="1">IFERROR(__xludf.DUMMYFUNCTION("""COMPUTED_VALUE"""),133.45)</f>
        <v>133.44999999999999</v>
      </c>
      <c r="G699" s="1">
        <f ca="1">IFERROR(__xludf.DUMMYFUNCTION("""COMPUTED_VALUE"""),99.57)</f>
        <v>99.57</v>
      </c>
      <c r="H699" s="1">
        <f ca="1">IFERROR(__xludf.DUMMYFUNCTION("""COMPUTED_VALUE"""),223.07)</f>
        <v>223.07</v>
      </c>
      <c r="I699" s="1">
        <f ca="1">IFERROR(__xludf.DUMMYFUNCTION("""COMPUTED_VALUE"""),161.61)</f>
        <v>161.61000000000001</v>
      </c>
      <c r="J699" s="1">
        <f ca="1">IFERROR(__xludf.DUMMYFUNCTION("""COMPUTED_VALUE"""),468.15)</f>
        <v>468.15</v>
      </c>
      <c r="K699" s="1">
        <f ca="1">IFERROR(__xludf.DUMMYFUNCTION("""COMPUTED_VALUE"""),46.05)</f>
        <v>46.05</v>
      </c>
      <c r="L699" s="1">
        <f ca="1">IFERROR(__xludf.DUMMYFUNCTION("""COMPUTED_VALUE"""),288.77)</f>
        <v>288.77</v>
      </c>
      <c r="M699" s="1">
        <f ca="1">IFERROR(__xludf.DUMMYFUNCTION("""COMPUTED_VALUE"""),224.75)</f>
        <v>224.75</v>
      </c>
    </row>
    <row r="700" spans="1:13" x14ac:dyDescent="0.25">
      <c r="A700" s="2">
        <f ca="1">IFERROR(__xludf.DUMMYFUNCTION("""COMPUTED_VALUE"""),44845.6666666666)</f>
        <v>44845.666666666599</v>
      </c>
      <c r="B700" s="1">
        <f ca="1">IFERROR(__xludf.DUMMYFUNCTION("""COMPUTED_VALUE"""),138.98)</f>
        <v>138.97999999999999</v>
      </c>
      <c r="C700" s="1">
        <f ca="1">IFERROR(__xludf.DUMMYFUNCTION("""COMPUTED_VALUE"""),229.25)</f>
        <v>229.25</v>
      </c>
      <c r="D700" s="1">
        <f ca="1">IFERROR(__xludf.DUMMYFUNCTION("""COMPUTED_VALUE"""),113.67)</f>
        <v>113.67</v>
      </c>
      <c r="E700" s="1">
        <f ca="1">IFERROR(__xludf.DUMMYFUNCTION("""COMPUTED_VALUE"""),11.67)</f>
        <v>11.67</v>
      </c>
      <c r="F700" s="1">
        <f ca="1">IFERROR(__xludf.DUMMYFUNCTION("""COMPUTED_VALUE"""),133.79)</f>
        <v>133.79</v>
      </c>
      <c r="G700" s="1">
        <f ca="1">IFERROR(__xludf.DUMMYFUNCTION("""COMPUTED_VALUE"""),98.71)</f>
        <v>98.71</v>
      </c>
      <c r="H700" s="1">
        <f ca="1">IFERROR(__xludf.DUMMYFUNCTION("""COMPUTED_VALUE"""),222.96)</f>
        <v>222.96</v>
      </c>
      <c r="I700" s="1">
        <f ca="1">IFERROR(__xludf.DUMMYFUNCTION("""COMPUTED_VALUE"""),161.82)</f>
        <v>161.82</v>
      </c>
      <c r="J700" s="1">
        <f ca="1">IFERROR(__xludf.DUMMYFUNCTION("""COMPUTED_VALUE"""),466.31)</f>
        <v>466.31</v>
      </c>
      <c r="K700" s="1">
        <f ca="1">IFERROR(__xludf.DUMMYFUNCTION("""COMPUTED_VALUE"""),43.77)</f>
        <v>43.77</v>
      </c>
      <c r="L700" s="1">
        <f ca="1">IFERROR(__xludf.DUMMYFUNCTION("""COMPUTED_VALUE"""),285.72)</f>
        <v>285.72000000000003</v>
      </c>
      <c r="M700" s="1">
        <f ca="1">IFERROR(__xludf.DUMMYFUNCTION("""COMPUTED_VALUE"""),229.98)</f>
        <v>229.98</v>
      </c>
    </row>
    <row r="701" spans="1:13" x14ac:dyDescent="0.25">
      <c r="A701" s="2">
        <f ca="1">IFERROR(__xludf.DUMMYFUNCTION("""COMPUTED_VALUE"""),44846.6666666666)</f>
        <v>44846.666666666599</v>
      </c>
      <c r="B701" s="1">
        <f ca="1">IFERROR(__xludf.DUMMYFUNCTION("""COMPUTED_VALUE"""),138.34)</f>
        <v>138.34</v>
      </c>
      <c r="C701" s="1">
        <f ca="1">IFERROR(__xludf.DUMMYFUNCTION("""COMPUTED_VALUE"""),225.41)</f>
        <v>225.41</v>
      </c>
      <c r="D701" s="1">
        <f ca="1">IFERROR(__xludf.DUMMYFUNCTION("""COMPUTED_VALUE"""),112.21)</f>
        <v>112.21</v>
      </c>
      <c r="E701" s="1">
        <f ca="1">IFERROR(__xludf.DUMMYFUNCTION("""COMPUTED_VALUE"""),11.59)</f>
        <v>11.59</v>
      </c>
      <c r="F701" s="1">
        <f ca="1">IFERROR(__xludf.DUMMYFUNCTION("""COMPUTED_VALUE"""),128.54)</f>
        <v>128.54</v>
      </c>
      <c r="G701" s="1">
        <f ca="1">IFERROR(__xludf.DUMMYFUNCTION("""COMPUTED_VALUE"""),98.05)</f>
        <v>98.05</v>
      </c>
      <c r="H701" s="1">
        <f ca="1">IFERROR(__xludf.DUMMYFUNCTION("""COMPUTED_VALUE"""),216.5)</f>
        <v>216.5</v>
      </c>
      <c r="I701" s="1">
        <f ca="1">IFERROR(__xludf.DUMMYFUNCTION("""COMPUTED_VALUE"""),162.59)</f>
        <v>162.59</v>
      </c>
      <c r="J701" s="1">
        <f ca="1">IFERROR(__xludf.DUMMYFUNCTION("""COMPUTED_VALUE"""),472.02)</f>
        <v>472.02</v>
      </c>
      <c r="K701" s="1">
        <f ca="1">IFERROR(__xludf.DUMMYFUNCTION("""COMPUTED_VALUE"""),43.08)</f>
        <v>43.08</v>
      </c>
      <c r="L701" s="1">
        <f ca="1">IFERROR(__xludf.DUMMYFUNCTION("""COMPUTED_VALUE"""),284.83)</f>
        <v>284.83</v>
      </c>
      <c r="M701" s="1">
        <f ca="1">IFERROR(__xludf.DUMMYFUNCTION("""COMPUTED_VALUE"""),214.29)</f>
        <v>214.29</v>
      </c>
    </row>
    <row r="702" spans="1:13" x14ac:dyDescent="0.25">
      <c r="A702" s="2">
        <f ca="1">IFERROR(__xludf.DUMMYFUNCTION("""COMPUTED_VALUE"""),44847.6666666666)</f>
        <v>44847.666666666599</v>
      </c>
      <c r="B702" s="1">
        <f ca="1">IFERROR(__xludf.DUMMYFUNCTION("""COMPUTED_VALUE"""),142.99)</f>
        <v>142.99</v>
      </c>
      <c r="C702" s="1">
        <f ca="1">IFERROR(__xludf.DUMMYFUNCTION("""COMPUTED_VALUE"""),225.75)</f>
        <v>225.75</v>
      </c>
      <c r="D702" s="1">
        <f ca="1">IFERROR(__xludf.DUMMYFUNCTION("""COMPUTED_VALUE"""),112.9)</f>
        <v>112.9</v>
      </c>
      <c r="E702" s="1">
        <f ca="1">IFERROR(__xludf.DUMMYFUNCTION("""COMPUTED_VALUE"""),11.5)</f>
        <v>11.5</v>
      </c>
      <c r="F702" s="1">
        <f ca="1">IFERROR(__xludf.DUMMYFUNCTION("""COMPUTED_VALUE"""),127.5)</f>
        <v>127.5</v>
      </c>
      <c r="G702" s="1">
        <f ca="1">IFERROR(__xludf.DUMMYFUNCTION("""COMPUTED_VALUE"""),98.3)</f>
        <v>98.3</v>
      </c>
      <c r="H702" s="1">
        <f ca="1">IFERROR(__xludf.DUMMYFUNCTION("""COMPUTED_VALUE"""),217.24)</f>
        <v>217.24</v>
      </c>
      <c r="I702" s="1">
        <f ca="1">IFERROR(__xludf.DUMMYFUNCTION("""COMPUTED_VALUE"""),169.39)</f>
        <v>169.39</v>
      </c>
      <c r="J702" s="1">
        <f ca="1">IFERROR(__xludf.DUMMYFUNCTION("""COMPUTED_VALUE"""),466.38)</f>
        <v>466.38</v>
      </c>
      <c r="K702" s="1">
        <f ca="1">IFERROR(__xludf.DUMMYFUNCTION("""COMPUTED_VALUE"""),43.06)</f>
        <v>43.06</v>
      </c>
      <c r="L702" s="1">
        <f ca="1">IFERROR(__xludf.DUMMYFUNCTION("""COMPUTED_VALUE"""),286.15)</f>
        <v>286.14999999999998</v>
      </c>
      <c r="M702" s="1">
        <f ca="1">IFERROR(__xludf.DUMMYFUNCTION("""COMPUTED_VALUE"""),220.87)</f>
        <v>220.87</v>
      </c>
    </row>
    <row r="703" spans="1:13" x14ac:dyDescent="0.25">
      <c r="A703" s="2">
        <f ca="1">IFERROR(__xludf.DUMMYFUNCTION("""COMPUTED_VALUE"""),44848.6666666666)</f>
        <v>44848.666666666599</v>
      </c>
      <c r="B703" s="1">
        <f ca="1">IFERROR(__xludf.DUMMYFUNCTION("""COMPUTED_VALUE"""),138.38)</f>
        <v>138.38</v>
      </c>
      <c r="C703" s="1">
        <f ca="1">IFERROR(__xludf.DUMMYFUNCTION("""COMPUTED_VALUE"""),234.24)</f>
        <v>234.24</v>
      </c>
      <c r="D703" s="1">
        <f ca="1">IFERROR(__xludf.DUMMYFUNCTION("""COMPUTED_VALUE"""),112.53)</f>
        <v>112.53</v>
      </c>
      <c r="E703" s="1">
        <f ca="1">IFERROR(__xludf.DUMMYFUNCTION("""COMPUTED_VALUE"""),11.96)</f>
        <v>11.96</v>
      </c>
      <c r="F703" s="1">
        <f ca="1">IFERROR(__xludf.DUMMYFUNCTION("""COMPUTED_VALUE"""),130.29)</f>
        <v>130.29</v>
      </c>
      <c r="G703" s="1">
        <f ca="1">IFERROR(__xludf.DUMMYFUNCTION("""COMPUTED_VALUE"""),99.71)</f>
        <v>99.71</v>
      </c>
      <c r="H703" s="1">
        <f ca="1">IFERROR(__xludf.DUMMYFUNCTION("""COMPUTED_VALUE"""),221.72)</f>
        <v>221.72</v>
      </c>
      <c r="I703" s="1">
        <f ca="1">IFERROR(__xludf.DUMMYFUNCTION("""COMPUTED_VALUE"""),174.61)</f>
        <v>174.61</v>
      </c>
      <c r="J703" s="1">
        <f ca="1">IFERROR(__xludf.DUMMYFUNCTION("""COMPUTED_VALUE"""),467.99)</f>
        <v>467.99</v>
      </c>
      <c r="K703" s="1">
        <f ca="1">IFERROR(__xludf.DUMMYFUNCTION("""COMPUTED_VALUE"""),43.8)</f>
        <v>43.8</v>
      </c>
      <c r="L703" s="1">
        <f ca="1">IFERROR(__xludf.DUMMYFUNCTION("""COMPUTED_VALUE"""),294.74)</f>
        <v>294.74</v>
      </c>
      <c r="M703" s="1">
        <f ca="1">IFERROR(__xludf.DUMMYFUNCTION("""COMPUTED_VALUE"""),232.51)</f>
        <v>232.51</v>
      </c>
    </row>
    <row r="704" spans="1:13" x14ac:dyDescent="0.25">
      <c r="A704" s="2">
        <f ca="1">IFERROR(__xludf.DUMMYFUNCTION("""COMPUTED_VALUE"""),44851.6666666666)</f>
        <v>44851.666666666599</v>
      </c>
      <c r="B704" s="1">
        <f ca="1">IFERROR(__xludf.DUMMYFUNCTION("""COMPUTED_VALUE"""),142.41)</f>
        <v>142.41</v>
      </c>
      <c r="C704" s="1">
        <f ca="1">IFERROR(__xludf.DUMMYFUNCTION("""COMPUTED_VALUE"""),228.56)</f>
        <v>228.56</v>
      </c>
      <c r="D704" s="1">
        <f ca="1">IFERROR(__xludf.DUMMYFUNCTION("""COMPUTED_VALUE"""),106.9)</f>
        <v>106.9</v>
      </c>
      <c r="E704" s="1">
        <f ca="1">IFERROR(__xludf.DUMMYFUNCTION("""COMPUTED_VALUE"""),11.23)</f>
        <v>11.23</v>
      </c>
      <c r="F704" s="1">
        <f ca="1">IFERROR(__xludf.DUMMYFUNCTION("""COMPUTED_VALUE"""),126.76)</f>
        <v>126.76</v>
      </c>
      <c r="G704" s="1">
        <f ca="1">IFERROR(__xludf.DUMMYFUNCTION("""COMPUTED_VALUE"""),97.18)</f>
        <v>97.18</v>
      </c>
      <c r="H704" s="1">
        <f ca="1">IFERROR(__xludf.DUMMYFUNCTION("""COMPUTED_VALUE"""),204.99)</f>
        <v>204.99</v>
      </c>
      <c r="I704" s="1">
        <f ca="1">IFERROR(__xludf.DUMMYFUNCTION("""COMPUTED_VALUE"""),170.19)</f>
        <v>170.19</v>
      </c>
      <c r="J704" s="1">
        <f ca="1">IFERROR(__xludf.DUMMYFUNCTION("""COMPUTED_VALUE"""),454.65)</f>
        <v>454.65</v>
      </c>
      <c r="K704" s="1">
        <f ca="1">IFERROR(__xludf.DUMMYFUNCTION("""COMPUTED_VALUE"""),42.71)</f>
        <v>42.71</v>
      </c>
      <c r="L704" s="1">
        <f ca="1">IFERROR(__xludf.DUMMYFUNCTION("""COMPUTED_VALUE"""),287.94)</f>
        <v>287.94</v>
      </c>
      <c r="M704" s="1">
        <f ca="1">IFERROR(__xludf.DUMMYFUNCTION("""COMPUTED_VALUE"""),230)</f>
        <v>230</v>
      </c>
    </row>
    <row r="705" spans="1:13" x14ac:dyDescent="0.25">
      <c r="A705" s="2">
        <f ca="1">IFERROR(__xludf.DUMMYFUNCTION("""COMPUTED_VALUE"""),44852.6666666666)</f>
        <v>44852.666666666599</v>
      </c>
      <c r="B705" s="1">
        <f ca="1">IFERROR(__xludf.DUMMYFUNCTION("""COMPUTED_VALUE"""),143.75)</f>
        <v>143.75</v>
      </c>
      <c r="C705" s="1">
        <f ca="1">IFERROR(__xludf.DUMMYFUNCTION("""COMPUTED_VALUE"""),237.53)</f>
        <v>237.53</v>
      </c>
      <c r="D705" s="1">
        <f ca="1">IFERROR(__xludf.DUMMYFUNCTION("""COMPUTED_VALUE"""),113.79)</f>
        <v>113.79</v>
      </c>
      <c r="E705" s="1">
        <f ca="1">IFERROR(__xludf.DUMMYFUNCTION("""COMPUTED_VALUE"""),11.89)</f>
        <v>11.89</v>
      </c>
      <c r="F705" s="1">
        <f ca="1">IFERROR(__xludf.DUMMYFUNCTION("""COMPUTED_VALUE"""),134.04)</f>
        <v>134.04</v>
      </c>
      <c r="G705" s="1">
        <f ca="1">IFERROR(__xludf.DUMMYFUNCTION("""COMPUTED_VALUE"""),100.78)</f>
        <v>100.78</v>
      </c>
      <c r="H705" s="1">
        <f ca="1">IFERROR(__xludf.DUMMYFUNCTION("""COMPUTED_VALUE"""),219.35)</f>
        <v>219.35</v>
      </c>
      <c r="I705" s="1">
        <f ca="1">IFERROR(__xludf.DUMMYFUNCTION("""COMPUTED_VALUE"""),172.73)</f>
        <v>172.73</v>
      </c>
      <c r="J705" s="1">
        <f ca="1">IFERROR(__xludf.DUMMYFUNCTION("""COMPUTED_VALUE"""),464.17)</f>
        <v>464.17</v>
      </c>
      <c r="K705" s="1">
        <f ca="1">IFERROR(__xludf.DUMMYFUNCTION("""COMPUTED_VALUE"""),43.54)</f>
        <v>43.54</v>
      </c>
      <c r="L705" s="1">
        <f ca="1">IFERROR(__xludf.DUMMYFUNCTION("""COMPUTED_VALUE"""),293.5)</f>
        <v>293.5</v>
      </c>
      <c r="M705" s="1">
        <f ca="1">IFERROR(__xludf.DUMMYFUNCTION("""COMPUTED_VALUE"""),245.1)</f>
        <v>245.1</v>
      </c>
    </row>
    <row r="706" spans="1:13" x14ac:dyDescent="0.25">
      <c r="A706" s="2">
        <f ca="1">IFERROR(__xludf.DUMMYFUNCTION("""COMPUTED_VALUE"""),44853.6666666666)</f>
        <v>44853.666666666599</v>
      </c>
      <c r="B706" s="1">
        <f ca="1">IFERROR(__xludf.DUMMYFUNCTION("""COMPUTED_VALUE"""),143.86)</f>
        <v>143.86000000000001</v>
      </c>
      <c r="C706" s="1">
        <f ca="1">IFERROR(__xludf.DUMMYFUNCTION("""COMPUTED_VALUE"""),238.5)</f>
        <v>238.5</v>
      </c>
      <c r="D706" s="1">
        <f ca="1">IFERROR(__xludf.DUMMYFUNCTION("""COMPUTED_VALUE"""),116.36)</f>
        <v>116.36</v>
      </c>
      <c r="E706" s="1">
        <f ca="1">IFERROR(__xludf.DUMMYFUNCTION("""COMPUTED_VALUE"""),11.97)</f>
        <v>11.97</v>
      </c>
      <c r="F706" s="1">
        <f ca="1">IFERROR(__xludf.DUMMYFUNCTION("""COMPUTED_VALUE"""),132.8)</f>
        <v>132.80000000000001</v>
      </c>
      <c r="G706" s="1">
        <f ca="1">IFERROR(__xludf.DUMMYFUNCTION("""COMPUTED_VALUE"""),101.39)</f>
        <v>101.39</v>
      </c>
      <c r="H706" s="1">
        <f ca="1">IFERROR(__xludf.DUMMYFUNCTION("""COMPUTED_VALUE"""),220.19)</f>
        <v>220.19</v>
      </c>
      <c r="I706" s="1">
        <f ca="1">IFERROR(__xludf.DUMMYFUNCTION("""COMPUTED_VALUE"""),175.06)</f>
        <v>175.06</v>
      </c>
      <c r="J706" s="1">
        <f ca="1">IFERROR(__xludf.DUMMYFUNCTION("""COMPUTED_VALUE"""),473.27)</f>
        <v>473.27</v>
      </c>
      <c r="K706" s="1">
        <f ca="1">IFERROR(__xludf.DUMMYFUNCTION("""COMPUTED_VALUE"""),43.48)</f>
        <v>43.48</v>
      </c>
      <c r="L706" s="1">
        <f ca="1">IFERROR(__xludf.DUMMYFUNCTION("""COMPUTED_VALUE"""),292.98)</f>
        <v>292.98</v>
      </c>
      <c r="M706" s="1">
        <f ca="1">IFERROR(__xludf.DUMMYFUNCTION("""COMPUTED_VALUE"""),240.86)</f>
        <v>240.86</v>
      </c>
    </row>
    <row r="707" spans="1:13" x14ac:dyDescent="0.25">
      <c r="A707" s="2">
        <f ca="1">IFERROR(__xludf.DUMMYFUNCTION("""COMPUTED_VALUE"""),44854.6666666666)</f>
        <v>44854.666666666599</v>
      </c>
      <c r="B707" s="1">
        <f ca="1">IFERROR(__xludf.DUMMYFUNCTION("""COMPUTED_VALUE"""),143.39)</f>
        <v>143.38999999999999</v>
      </c>
      <c r="C707" s="1">
        <f ca="1">IFERROR(__xludf.DUMMYFUNCTION("""COMPUTED_VALUE"""),236.48)</f>
        <v>236.48</v>
      </c>
      <c r="D707" s="1">
        <f ca="1">IFERROR(__xludf.DUMMYFUNCTION("""COMPUTED_VALUE"""),115.07)</f>
        <v>115.07</v>
      </c>
      <c r="E707" s="1">
        <f ca="1">IFERROR(__xludf.DUMMYFUNCTION("""COMPUTED_VALUE"""),12.05)</f>
        <v>12.05</v>
      </c>
      <c r="F707" s="1">
        <f ca="1">IFERROR(__xludf.DUMMYFUNCTION("""COMPUTED_VALUE"""),133.23)</f>
        <v>133.22999999999999</v>
      </c>
      <c r="G707" s="1">
        <f ca="1">IFERROR(__xludf.DUMMYFUNCTION("""COMPUTED_VALUE"""),100.29)</f>
        <v>100.29</v>
      </c>
      <c r="H707" s="1">
        <f ca="1">IFERROR(__xludf.DUMMYFUNCTION("""COMPUTED_VALUE"""),222.04)</f>
        <v>222.04</v>
      </c>
      <c r="I707" s="1">
        <f ca="1">IFERROR(__xludf.DUMMYFUNCTION("""COMPUTED_VALUE"""),173.36)</f>
        <v>173.36</v>
      </c>
      <c r="J707" s="1">
        <f ca="1">IFERROR(__xludf.DUMMYFUNCTION("""COMPUTED_VALUE"""),471.43)</f>
        <v>471.43</v>
      </c>
      <c r="K707" s="1">
        <f ca="1">IFERROR(__xludf.DUMMYFUNCTION("""COMPUTED_VALUE"""),43.53)</f>
        <v>43.53</v>
      </c>
      <c r="L707" s="1">
        <f ca="1">IFERROR(__xludf.DUMMYFUNCTION("""COMPUTED_VALUE"""),299.83)</f>
        <v>299.83</v>
      </c>
      <c r="M707" s="1">
        <f ca="1">IFERROR(__xludf.DUMMYFUNCTION("""COMPUTED_VALUE"""),272.38)</f>
        <v>272.38</v>
      </c>
    </row>
    <row r="708" spans="1:13" x14ac:dyDescent="0.25">
      <c r="A708" s="2">
        <f ca="1">IFERROR(__xludf.DUMMYFUNCTION("""COMPUTED_VALUE"""),44855.6666666666)</f>
        <v>44855.666666666599</v>
      </c>
      <c r="B708" s="1">
        <f ca="1">IFERROR(__xludf.DUMMYFUNCTION("""COMPUTED_VALUE"""),147.27)</f>
        <v>147.27000000000001</v>
      </c>
      <c r="C708" s="1">
        <f ca="1">IFERROR(__xludf.DUMMYFUNCTION("""COMPUTED_VALUE"""),236.15)</f>
        <v>236.15</v>
      </c>
      <c r="D708" s="1">
        <f ca="1">IFERROR(__xludf.DUMMYFUNCTION("""COMPUTED_VALUE"""),115.25)</f>
        <v>115.25</v>
      </c>
      <c r="E708" s="1">
        <f ca="1">IFERROR(__xludf.DUMMYFUNCTION("""COMPUTED_VALUE"""),12.19)</f>
        <v>12.19</v>
      </c>
      <c r="F708" s="1">
        <f ca="1">IFERROR(__xludf.DUMMYFUNCTION("""COMPUTED_VALUE"""),131.53)</f>
        <v>131.53</v>
      </c>
      <c r="G708" s="1">
        <f ca="1">IFERROR(__xludf.DUMMYFUNCTION("""COMPUTED_VALUE"""),100.53)</f>
        <v>100.53</v>
      </c>
      <c r="H708" s="1">
        <f ca="1">IFERROR(__xludf.DUMMYFUNCTION("""COMPUTED_VALUE"""),207.28)</f>
        <v>207.28</v>
      </c>
      <c r="I708" s="1">
        <f ca="1">IFERROR(__xludf.DUMMYFUNCTION("""COMPUTED_VALUE"""),171.46)</f>
        <v>171.46</v>
      </c>
      <c r="J708" s="1">
        <f ca="1">IFERROR(__xludf.DUMMYFUNCTION("""COMPUTED_VALUE"""),464.62)</f>
        <v>464.62</v>
      </c>
      <c r="K708" s="1">
        <f ca="1">IFERROR(__xludf.DUMMYFUNCTION("""COMPUTED_VALUE"""),43.03)</f>
        <v>43.03</v>
      </c>
      <c r="L708" s="1">
        <f ca="1">IFERROR(__xludf.DUMMYFUNCTION("""COMPUTED_VALUE"""),302.38)</f>
        <v>302.38</v>
      </c>
      <c r="M708" s="1">
        <f ca="1">IFERROR(__xludf.DUMMYFUNCTION("""COMPUTED_VALUE"""),268.16)</f>
        <v>268.16000000000003</v>
      </c>
    </row>
    <row r="709" spans="1:13" x14ac:dyDescent="0.25">
      <c r="A709" s="2">
        <f ca="1">IFERROR(__xludf.DUMMYFUNCTION("""COMPUTED_VALUE"""),44858.6666666666)</f>
        <v>44858.666666666599</v>
      </c>
      <c r="B709" s="1">
        <f ca="1">IFERROR(__xludf.DUMMYFUNCTION("""COMPUTED_VALUE"""),149.45)</f>
        <v>149.44999999999999</v>
      </c>
      <c r="C709" s="1">
        <f ca="1">IFERROR(__xludf.DUMMYFUNCTION("""COMPUTED_VALUE"""),242.12)</f>
        <v>242.12</v>
      </c>
      <c r="D709" s="1">
        <f ca="1">IFERROR(__xludf.DUMMYFUNCTION("""COMPUTED_VALUE"""),119.32)</f>
        <v>119.32</v>
      </c>
      <c r="E709" s="1">
        <f ca="1">IFERROR(__xludf.DUMMYFUNCTION("""COMPUTED_VALUE"""),12.47)</f>
        <v>12.47</v>
      </c>
      <c r="F709" s="1">
        <f ca="1">IFERROR(__xludf.DUMMYFUNCTION("""COMPUTED_VALUE"""),130.01)</f>
        <v>130.01</v>
      </c>
      <c r="G709" s="1">
        <f ca="1">IFERROR(__xludf.DUMMYFUNCTION("""COMPUTED_VALUE"""),101.48)</f>
        <v>101.48</v>
      </c>
      <c r="H709" s="1">
        <f ca="1">IFERROR(__xludf.DUMMYFUNCTION("""COMPUTED_VALUE"""),214.44)</f>
        <v>214.44</v>
      </c>
      <c r="I709" s="1">
        <f ca="1">IFERROR(__xludf.DUMMYFUNCTION("""COMPUTED_VALUE"""),173.06)</f>
        <v>173.06</v>
      </c>
      <c r="J709" s="1">
        <f ca="1">IFERROR(__xludf.DUMMYFUNCTION("""COMPUTED_VALUE"""),478.18)</f>
        <v>478.18</v>
      </c>
      <c r="K709" s="1">
        <f ca="1">IFERROR(__xludf.DUMMYFUNCTION("""COMPUTED_VALUE"""),44.97)</f>
        <v>44.97</v>
      </c>
      <c r="L709" s="1">
        <f ca="1">IFERROR(__xludf.DUMMYFUNCTION("""COMPUTED_VALUE"""),306.37)</f>
        <v>306.37</v>
      </c>
      <c r="M709" s="1">
        <f ca="1">IFERROR(__xludf.DUMMYFUNCTION("""COMPUTED_VALUE"""),289.57)</f>
        <v>289.57</v>
      </c>
    </row>
    <row r="710" spans="1:13" x14ac:dyDescent="0.25">
      <c r="A710" s="2">
        <f ca="1">IFERROR(__xludf.DUMMYFUNCTION("""COMPUTED_VALUE"""),44859.6666666666)</f>
        <v>44859.666666666599</v>
      </c>
      <c r="B710" s="1">
        <f ca="1">IFERROR(__xludf.DUMMYFUNCTION("""COMPUTED_VALUE"""),152.34)</f>
        <v>152.34</v>
      </c>
      <c r="C710" s="1">
        <f ca="1">IFERROR(__xludf.DUMMYFUNCTION("""COMPUTED_VALUE"""),247.25)</f>
        <v>247.25</v>
      </c>
      <c r="D710" s="1">
        <f ca="1">IFERROR(__xludf.DUMMYFUNCTION("""COMPUTED_VALUE"""),119.82)</f>
        <v>119.82</v>
      </c>
      <c r="E710" s="1">
        <f ca="1">IFERROR(__xludf.DUMMYFUNCTION("""COMPUTED_VALUE"""),12.6)</f>
        <v>12.6</v>
      </c>
      <c r="F710" s="1">
        <f ca="1">IFERROR(__xludf.DUMMYFUNCTION("""COMPUTED_VALUE"""),129.72)</f>
        <v>129.72</v>
      </c>
      <c r="G710" s="1">
        <f ca="1">IFERROR(__xludf.DUMMYFUNCTION("""COMPUTED_VALUE"""),102.97)</f>
        <v>102.97</v>
      </c>
      <c r="H710" s="1">
        <f ca="1">IFERROR(__xludf.DUMMYFUNCTION("""COMPUTED_VALUE"""),211.25)</f>
        <v>211.25</v>
      </c>
      <c r="I710" s="1">
        <f ca="1">IFERROR(__xludf.DUMMYFUNCTION("""COMPUTED_VALUE"""),177.68)</f>
        <v>177.68</v>
      </c>
      <c r="J710" s="1">
        <f ca="1">IFERROR(__xludf.DUMMYFUNCTION("""COMPUTED_VALUE"""),496.97)</f>
        <v>496.97</v>
      </c>
      <c r="K710" s="1">
        <f ca="1">IFERROR(__xludf.DUMMYFUNCTION("""COMPUTED_VALUE"""),45.65)</f>
        <v>45.65</v>
      </c>
      <c r="L710" s="1">
        <f ca="1">IFERROR(__xludf.DUMMYFUNCTION("""COMPUTED_VALUE"""),316.22)</f>
        <v>316.22000000000003</v>
      </c>
      <c r="M710" s="1">
        <f ca="1">IFERROR(__xludf.DUMMYFUNCTION("""COMPUTED_VALUE"""),282.45)</f>
        <v>282.45</v>
      </c>
    </row>
    <row r="711" spans="1:13" x14ac:dyDescent="0.25">
      <c r="A711" s="2">
        <f ca="1">IFERROR(__xludf.DUMMYFUNCTION("""COMPUTED_VALUE"""),44860.6666666666)</f>
        <v>44860.666666666599</v>
      </c>
      <c r="B711" s="1">
        <f ca="1">IFERROR(__xludf.DUMMYFUNCTION("""COMPUTED_VALUE"""),149.35)</f>
        <v>149.35</v>
      </c>
      <c r="C711" s="1">
        <f ca="1">IFERROR(__xludf.DUMMYFUNCTION("""COMPUTED_VALUE"""),250.66)</f>
        <v>250.66</v>
      </c>
      <c r="D711" s="1">
        <f ca="1">IFERROR(__xludf.DUMMYFUNCTION("""COMPUTED_VALUE"""),120.6)</f>
        <v>120.6</v>
      </c>
      <c r="E711" s="1">
        <f ca="1">IFERROR(__xludf.DUMMYFUNCTION("""COMPUTED_VALUE"""),13.26)</f>
        <v>13.26</v>
      </c>
      <c r="F711" s="1">
        <f ca="1">IFERROR(__xludf.DUMMYFUNCTION("""COMPUTED_VALUE"""),137.51)</f>
        <v>137.51</v>
      </c>
      <c r="G711" s="1">
        <f ca="1">IFERROR(__xludf.DUMMYFUNCTION("""COMPUTED_VALUE"""),104.93)</f>
        <v>104.93</v>
      </c>
      <c r="H711" s="1">
        <f ca="1">IFERROR(__xludf.DUMMYFUNCTION("""COMPUTED_VALUE"""),222.42)</f>
        <v>222.42</v>
      </c>
      <c r="I711" s="1">
        <f ca="1">IFERROR(__xludf.DUMMYFUNCTION("""COMPUTED_VALUE"""),178.27)</f>
        <v>178.27</v>
      </c>
      <c r="J711" s="1">
        <f ca="1">IFERROR(__xludf.DUMMYFUNCTION("""COMPUTED_VALUE"""),499.06)</f>
        <v>499.06</v>
      </c>
      <c r="K711" s="1">
        <f ca="1">IFERROR(__xludf.DUMMYFUNCTION("""COMPUTED_VALUE"""),46.01)</f>
        <v>46.01</v>
      </c>
      <c r="L711" s="1">
        <f ca="1">IFERROR(__xludf.DUMMYFUNCTION("""COMPUTED_VALUE"""),323.79)</f>
        <v>323.79000000000002</v>
      </c>
      <c r="M711" s="1">
        <f ca="1">IFERROR(__xludf.DUMMYFUNCTION("""COMPUTED_VALUE"""),291.02)</f>
        <v>291.02</v>
      </c>
    </row>
    <row r="712" spans="1:13" x14ac:dyDescent="0.25">
      <c r="A712" s="2">
        <f ca="1">IFERROR(__xludf.DUMMYFUNCTION("""COMPUTED_VALUE"""),44861.6666666666)</f>
        <v>44861.666666666599</v>
      </c>
      <c r="B712" s="1">
        <f ca="1">IFERROR(__xludf.DUMMYFUNCTION("""COMPUTED_VALUE"""),144.8)</f>
        <v>144.80000000000001</v>
      </c>
      <c r="C712" s="1">
        <f ca="1">IFERROR(__xludf.DUMMYFUNCTION("""COMPUTED_VALUE"""),231.32)</f>
        <v>231.32</v>
      </c>
      <c r="D712" s="1">
        <f ca="1">IFERROR(__xludf.DUMMYFUNCTION("""COMPUTED_VALUE"""),115.66)</f>
        <v>115.66</v>
      </c>
      <c r="E712" s="1">
        <f ca="1">IFERROR(__xludf.DUMMYFUNCTION("""COMPUTED_VALUE"""),12.9)</f>
        <v>12.9</v>
      </c>
      <c r="F712" s="1">
        <f ca="1">IFERROR(__xludf.DUMMYFUNCTION("""COMPUTED_VALUE"""),129.82)</f>
        <v>129.82</v>
      </c>
      <c r="G712" s="1">
        <f ca="1">IFERROR(__xludf.DUMMYFUNCTION("""COMPUTED_VALUE"""),94.82)</f>
        <v>94.82</v>
      </c>
      <c r="H712" s="1">
        <f ca="1">IFERROR(__xludf.DUMMYFUNCTION("""COMPUTED_VALUE"""),224.64)</f>
        <v>224.64</v>
      </c>
      <c r="I712" s="1">
        <f ca="1">IFERROR(__xludf.DUMMYFUNCTION("""COMPUTED_VALUE"""),179.07)</f>
        <v>179.07</v>
      </c>
      <c r="J712" s="1">
        <f ca="1">IFERROR(__xludf.DUMMYFUNCTION("""COMPUTED_VALUE"""),499.45)</f>
        <v>499.45</v>
      </c>
      <c r="K712" s="1">
        <f ca="1">IFERROR(__xludf.DUMMYFUNCTION("""COMPUTED_VALUE"""),46.12)</f>
        <v>46.12</v>
      </c>
      <c r="L712" s="1">
        <f ca="1">IFERROR(__xludf.DUMMYFUNCTION("""COMPUTED_VALUE"""),320.48)</f>
        <v>320.48</v>
      </c>
      <c r="M712" s="1">
        <f ca="1">IFERROR(__xludf.DUMMYFUNCTION("""COMPUTED_VALUE"""),298.62)</f>
        <v>298.62</v>
      </c>
    </row>
    <row r="713" spans="1:13" x14ac:dyDescent="0.25">
      <c r="A713" s="2">
        <f ca="1">IFERROR(__xludf.DUMMYFUNCTION("""COMPUTED_VALUE"""),44862.6666666666)</f>
        <v>44862.666666666599</v>
      </c>
      <c r="B713" s="1">
        <f ca="1">IFERROR(__xludf.DUMMYFUNCTION("""COMPUTED_VALUE"""),155.74)</f>
        <v>155.74</v>
      </c>
      <c r="C713" s="1">
        <f ca="1">IFERROR(__xludf.DUMMYFUNCTION("""COMPUTED_VALUE"""),226.75)</f>
        <v>226.75</v>
      </c>
      <c r="D713" s="1">
        <f ca="1">IFERROR(__xludf.DUMMYFUNCTION("""COMPUTED_VALUE"""),110.96)</f>
        <v>110.96</v>
      </c>
      <c r="E713" s="1">
        <f ca="1">IFERROR(__xludf.DUMMYFUNCTION("""COMPUTED_VALUE"""),13.18)</f>
        <v>13.18</v>
      </c>
      <c r="F713" s="1">
        <f ca="1">IFERROR(__xludf.DUMMYFUNCTION("""COMPUTED_VALUE"""),97.94)</f>
        <v>97.94</v>
      </c>
      <c r="G713" s="1">
        <f ca="1">IFERROR(__xludf.DUMMYFUNCTION("""COMPUTED_VALUE"""),92.6)</f>
        <v>92.6</v>
      </c>
      <c r="H713" s="1">
        <f ca="1">IFERROR(__xludf.DUMMYFUNCTION("""COMPUTED_VALUE"""),225.09)</f>
        <v>225.09</v>
      </c>
      <c r="I713" s="1">
        <f ca="1">IFERROR(__xludf.DUMMYFUNCTION("""COMPUTED_VALUE"""),178.88)</f>
        <v>178.88</v>
      </c>
      <c r="J713" s="1">
        <f ca="1">IFERROR(__xludf.DUMMYFUNCTION("""COMPUTED_VALUE"""),496.54)</f>
        <v>496.54</v>
      </c>
      <c r="K713" s="1">
        <f ca="1">IFERROR(__xludf.DUMMYFUNCTION("""COMPUTED_VALUE"""),45.54)</f>
        <v>45.54</v>
      </c>
      <c r="L713" s="1">
        <f ca="1">IFERROR(__xludf.DUMMYFUNCTION("""COMPUTED_VALUE"""),318.65)</f>
        <v>318.64999999999998</v>
      </c>
      <c r="M713" s="1">
        <f ca="1">IFERROR(__xludf.DUMMYFUNCTION("""COMPUTED_VALUE"""),296.94)</f>
        <v>296.94</v>
      </c>
    </row>
    <row r="714" spans="1:13" x14ac:dyDescent="0.25">
      <c r="A714" s="2">
        <f ca="1">IFERROR(__xludf.DUMMYFUNCTION("""COMPUTED_VALUE"""),44865.6666666666)</f>
        <v>44865.666666666599</v>
      </c>
      <c r="B714" s="1">
        <f ca="1">IFERROR(__xludf.DUMMYFUNCTION("""COMPUTED_VALUE"""),153.34)</f>
        <v>153.34</v>
      </c>
      <c r="C714" s="1">
        <f ca="1">IFERROR(__xludf.DUMMYFUNCTION("""COMPUTED_VALUE"""),235.87)</f>
        <v>235.87</v>
      </c>
      <c r="D714" s="1">
        <f ca="1">IFERROR(__xludf.DUMMYFUNCTION("""COMPUTED_VALUE"""),103.41)</f>
        <v>103.41</v>
      </c>
      <c r="E714" s="1">
        <f ca="1">IFERROR(__xludf.DUMMYFUNCTION("""COMPUTED_VALUE"""),13.83)</f>
        <v>13.83</v>
      </c>
      <c r="F714" s="1">
        <f ca="1">IFERROR(__xludf.DUMMYFUNCTION("""COMPUTED_VALUE"""),99.2)</f>
        <v>99.2</v>
      </c>
      <c r="G714" s="1">
        <f ca="1">IFERROR(__xludf.DUMMYFUNCTION("""COMPUTED_VALUE"""),96.58)</f>
        <v>96.58</v>
      </c>
      <c r="H714" s="1">
        <f ca="1">IFERROR(__xludf.DUMMYFUNCTION("""COMPUTED_VALUE"""),228.52)</f>
        <v>228.52</v>
      </c>
      <c r="I714" s="1">
        <f ca="1">IFERROR(__xludf.DUMMYFUNCTION("""COMPUTED_VALUE"""),182.23)</f>
        <v>182.23</v>
      </c>
      <c r="J714" s="1">
        <f ca="1">IFERROR(__xludf.DUMMYFUNCTION("""COMPUTED_VALUE"""),510.87)</f>
        <v>510.87</v>
      </c>
      <c r="K714" s="1">
        <f ca="1">IFERROR(__xludf.DUMMYFUNCTION("""COMPUTED_VALUE"""),47.29)</f>
        <v>47.29</v>
      </c>
      <c r="L714" s="1">
        <f ca="1">IFERROR(__xludf.DUMMYFUNCTION("""COMPUTED_VALUE"""),325.68)</f>
        <v>325.68</v>
      </c>
      <c r="M714" s="1">
        <f ca="1">IFERROR(__xludf.DUMMYFUNCTION("""COMPUTED_VALUE"""),295.72)</f>
        <v>295.72000000000003</v>
      </c>
    </row>
    <row r="715" spans="1:13" x14ac:dyDescent="0.25">
      <c r="A715" s="2">
        <f ca="1">IFERROR(__xludf.DUMMYFUNCTION("""COMPUTED_VALUE"""),44866.6666666666)</f>
        <v>44866.666666666599</v>
      </c>
      <c r="B715" s="1">
        <f ca="1">IFERROR(__xludf.DUMMYFUNCTION("""COMPUTED_VALUE"""),150.65)</f>
        <v>150.65</v>
      </c>
      <c r="C715" s="1">
        <f ca="1">IFERROR(__xludf.DUMMYFUNCTION("""COMPUTED_VALUE"""),232.13)</f>
        <v>232.13</v>
      </c>
      <c r="D715" s="1">
        <f ca="1">IFERROR(__xludf.DUMMYFUNCTION("""COMPUTED_VALUE"""),102.44)</f>
        <v>102.44</v>
      </c>
      <c r="E715" s="1">
        <f ca="1">IFERROR(__xludf.DUMMYFUNCTION("""COMPUTED_VALUE"""),13.5)</f>
        <v>13.5</v>
      </c>
      <c r="F715" s="1">
        <f ca="1">IFERROR(__xludf.DUMMYFUNCTION("""COMPUTED_VALUE"""),93.16)</f>
        <v>93.16</v>
      </c>
      <c r="G715" s="1">
        <f ca="1">IFERROR(__xludf.DUMMYFUNCTION("""COMPUTED_VALUE"""),94.66)</f>
        <v>94.66</v>
      </c>
      <c r="H715" s="1">
        <f ca="1">IFERROR(__xludf.DUMMYFUNCTION("""COMPUTED_VALUE"""),227.54)</f>
        <v>227.54</v>
      </c>
      <c r="I715" s="1">
        <f ca="1">IFERROR(__xludf.DUMMYFUNCTION("""COMPUTED_VALUE"""),181.58)</f>
        <v>181.58</v>
      </c>
      <c r="J715" s="1">
        <f ca="1">IFERROR(__xludf.DUMMYFUNCTION("""COMPUTED_VALUE"""),501.5)</f>
        <v>501.5</v>
      </c>
      <c r="K715" s="1">
        <f ca="1">IFERROR(__xludf.DUMMYFUNCTION("""COMPUTED_VALUE"""),47.01)</f>
        <v>47.01</v>
      </c>
      <c r="L715" s="1">
        <f ca="1">IFERROR(__xludf.DUMMYFUNCTION("""COMPUTED_VALUE"""),318.5)</f>
        <v>318.5</v>
      </c>
      <c r="M715" s="1">
        <f ca="1">IFERROR(__xludf.DUMMYFUNCTION("""COMPUTED_VALUE"""),291.88)</f>
        <v>291.88</v>
      </c>
    </row>
    <row r="716" spans="1:13" x14ac:dyDescent="0.25">
      <c r="A716" s="2">
        <f ca="1">IFERROR(__xludf.DUMMYFUNCTION("""COMPUTED_VALUE"""),44867.6666666666)</f>
        <v>44867.666666666599</v>
      </c>
      <c r="B716" s="1">
        <f ca="1">IFERROR(__xludf.DUMMYFUNCTION("""COMPUTED_VALUE"""),145.03)</f>
        <v>145.03</v>
      </c>
      <c r="C716" s="1">
        <f ca="1">IFERROR(__xludf.DUMMYFUNCTION("""COMPUTED_VALUE"""),228.17)</f>
        <v>228.17</v>
      </c>
      <c r="D716" s="1">
        <f ca="1">IFERROR(__xludf.DUMMYFUNCTION("""COMPUTED_VALUE"""),96.79)</f>
        <v>96.79</v>
      </c>
      <c r="E716" s="1">
        <f ca="1">IFERROR(__xludf.DUMMYFUNCTION("""COMPUTED_VALUE"""),13.54)</f>
        <v>13.54</v>
      </c>
      <c r="F716" s="1">
        <f ca="1">IFERROR(__xludf.DUMMYFUNCTION("""COMPUTED_VALUE"""),95.2)</f>
        <v>95.2</v>
      </c>
      <c r="G716" s="1">
        <f ca="1">IFERROR(__xludf.DUMMYFUNCTION("""COMPUTED_VALUE"""),90.5)</f>
        <v>90.5</v>
      </c>
      <c r="H716" s="1">
        <f ca="1">IFERROR(__xludf.DUMMYFUNCTION("""COMPUTED_VALUE"""),227.82)</f>
        <v>227.82</v>
      </c>
      <c r="I716" s="1">
        <f ca="1">IFERROR(__xludf.DUMMYFUNCTION("""COMPUTED_VALUE"""),180.76)</f>
        <v>180.76</v>
      </c>
      <c r="J716" s="1">
        <f ca="1">IFERROR(__xludf.DUMMYFUNCTION("""COMPUTED_VALUE"""),499.96)</f>
        <v>499.96</v>
      </c>
      <c r="K716" s="1">
        <f ca="1">IFERROR(__xludf.DUMMYFUNCTION("""COMPUTED_VALUE"""),46.79)</f>
        <v>46.79</v>
      </c>
      <c r="L716" s="1">
        <f ca="1">IFERROR(__xludf.DUMMYFUNCTION("""COMPUTED_VALUE"""),316.02)</f>
        <v>316.02</v>
      </c>
      <c r="M716" s="1">
        <f ca="1">IFERROR(__xludf.DUMMYFUNCTION("""COMPUTED_VALUE"""),286.75)</f>
        <v>286.75</v>
      </c>
    </row>
    <row r="717" spans="1:13" x14ac:dyDescent="0.25">
      <c r="A717" s="2">
        <f ca="1">IFERROR(__xludf.DUMMYFUNCTION("""COMPUTED_VALUE"""),44868.6666666666)</f>
        <v>44868.666666666599</v>
      </c>
      <c r="B717" s="1">
        <f ca="1">IFERROR(__xludf.DUMMYFUNCTION("""COMPUTED_VALUE"""),138.88)</f>
        <v>138.88</v>
      </c>
      <c r="C717" s="1">
        <f ca="1">IFERROR(__xludf.DUMMYFUNCTION("""COMPUTED_VALUE"""),220.1)</f>
        <v>220.1</v>
      </c>
      <c r="D717" s="1">
        <f ca="1">IFERROR(__xludf.DUMMYFUNCTION("""COMPUTED_VALUE"""),92.12)</f>
        <v>92.12</v>
      </c>
      <c r="E717" s="1">
        <f ca="1">IFERROR(__xludf.DUMMYFUNCTION("""COMPUTED_VALUE"""),13.22)</f>
        <v>13.22</v>
      </c>
      <c r="F717" s="1">
        <f ca="1">IFERROR(__xludf.DUMMYFUNCTION("""COMPUTED_VALUE"""),90.54)</f>
        <v>90.54</v>
      </c>
      <c r="G717" s="1">
        <f ca="1">IFERROR(__xludf.DUMMYFUNCTION("""COMPUTED_VALUE"""),87.07)</f>
        <v>87.07</v>
      </c>
      <c r="H717" s="1">
        <f ca="1">IFERROR(__xludf.DUMMYFUNCTION("""COMPUTED_VALUE"""),214.98)</f>
        <v>214.98</v>
      </c>
      <c r="I717" s="1">
        <f ca="1">IFERROR(__xludf.DUMMYFUNCTION("""COMPUTED_VALUE"""),178.24)</f>
        <v>178.24</v>
      </c>
      <c r="J717" s="1">
        <f ca="1">IFERROR(__xludf.DUMMYFUNCTION("""COMPUTED_VALUE"""),483.51)</f>
        <v>483.51</v>
      </c>
      <c r="K717" s="1">
        <f ca="1">IFERROR(__xludf.DUMMYFUNCTION("""COMPUTED_VALUE"""),45.6)</f>
        <v>45.6</v>
      </c>
      <c r="L717" s="1">
        <f ca="1">IFERROR(__xludf.DUMMYFUNCTION("""COMPUTED_VALUE"""),301.22)</f>
        <v>301.22000000000003</v>
      </c>
      <c r="M717" s="1">
        <f ca="1">IFERROR(__xludf.DUMMYFUNCTION("""COMPUTED_VALUE"""),273)</f>
        <v>273</v>
      </c>
    </row>
    <row r="718" spans="1:13" x14ac:dyDescent="0.25">
      <c r="A718" s="2">
        <f ca="1">IFERROR(__xludf.DUMMYFUNCTION("""COMPUTED_VALUE"""),44869.6666666666)</f>
        <v>44869.666666666599</v>
      </c>
      <c r="B718" s="1">
        <f ca="1">IFERROR(__xludf.DUMMYFUNCTION("""COMPUTED_VALUE"""),138.38)</f>
        <v>138.38</v>
      </c>
      <c r="C718" s="1">
        <f ca="1">IFERROR(__xludf.DUMMYFUNCTION("""COMPUTED_VALUE"""),214.25)</f>
        <v>214.25</v>
      </c>
      <c r="D718" s="1">
        <f ca="1">IFERROR(__xludf.DUMMYFUNCTION("""COMPUTED_VALUE"""),89.3)</f>
        <v>89.3</v>
      </c>
      <c r="E718" s="1">
        <f ca="1">IFERROR(__xludf.DUMMYFUNCTION("""COMPUTED_VALUE"""),13.42)</f>
        <v>13.42</v>
      </c>
      <c r="F718" s="1">
        <f ca="1">IFERROR(__xludf.DUMMYFUNCTION("""COMPUTED_VALUE"""),88.91)</f>
        <v>88.91</v>
      </c>
      <c r="G718" s="1">
        <f ca="1">IFERROR(__xludf.DUMMYFUNCTION("""COMPUTED_VALUE"""),83.49)</f>
        <v>83.49</v>
      </c>
      <c r="H718" s="1">
        <f ca="1">IFERROR(__xludf.DUMMYFUNCTION("""COMPUTED_VALUE"""),215.31)</f>
        <v>215.31</v>
      </c>
      <c r="I718" s="1">
        <f ca="1">IFERROR(__xludf.DUMMYFUNCTION("""COMPUTED_VALUE"""),177.78)</f>
        <v>177.78</v>
      </c>
      <c r="J718" s="1">
        <f ca="1">IFERROR(__xludf.DUMMYFUNCTION("""COMPUTED_VALUE"""),486.29)</f>
        <v>486.29</v>
      </c>
      <c r="K718" s="1">
        <f ca="1">IFERROR(__xludf.DUMMYFUNCTION("""COMPUTED_VALUE"""),44.41)</f>
        <v>44.41</v>
      </c>
      <c r="L718" s="1">
        <f ca="1">IFERROR(__xludf.DUMMYFUNCTION("""COMPUTED_VALUE"""),285.93)</f>
        <v>285.93</v>
      </c>
      <c r="M718" s="1">
        <f ca="1">IFERROR(__xludf.DUMMYFUNCTION("""COMPUTED_VALUE"""),269.06)</f>
        <v>269.06</v>
      </c>
    </row>
    <row r="719" spans="1:13" x14ac:dyDescent="0.25">
      <c r="A719" s="2">
        <f ca="1">IFERROR(__xludf.DUMMYFUNCTION("""COMPUTED_VALUE"""),44872.6666666666)</f>
        <v>44872.666666666599</v>
      </c>
      <c r="B719" s="1">
        <f ca="1">IFERROR(__xludf.DUMMYFUNCTION("""COMPUTED_VALUE"""),138.92)</f>
        <v>138.91999999999999</v>
      </c>
      <c r="C719" s="1">
        <f ca="1">IFERROR(__xludf.DUMMYFUNCTION("""COMPUTED_VALUE"""),221.39)</f>
        <v>221.39</v>
      </c>
      <c r="D719" s="1">
        <f ca="1">IFERROR(__xludf.DUMMYFUNCTION("""COMPUTED_VALUE"""),90.98)</f>
        <v>90.98</v>
      </c>
      <c r="E719" s="1">
        <f ca="1">IFERROR(__xludf.DUMMYFUNCTION("""COMPUTED_VALUE"""),14.16)</f>
        <v>14.16</v>
      </c>
      <c r="F719" s="1">
        <f ca="1">IFERROR(__xludf.DUMMYFUNCTION("""COMPUTED_VALUE"""),90.79)</f>
        <v>90.79</v>
      </c>
      <c r="G719" s="1">
        <f ca="1">IFERROR(__xludf.DUMMYFUNCTION("""COMPUTED_VALUE"""),86.7)</f>
        <v>86.7</v>
      </c>
      <c r="H719" s="1">
        <f ca="1">IFERROR(__xludf.DUMMYFUNCTION("""COMPUTED_VALUE"""),207.47)</f>
        <v>207.47</v>
      </c>
      <c r="I719" s="1">
        <f ca="1">IFERROR(__xludf.DUMMYFUNCTION("""COMPUTED_VALUE"""),178.78)</f>
        <v>178.78</v>
      </c>
      <c r="J719" s="1">
        <f ca="1">IFERROR(__xludf.DUMMYFUNCTION("""COMPUTED_VALUE"""),486.41)</f>
        <v>486.41</v>
      </c>
      <c r="K719" s="1">
        <f ca="1">IFERROR(__xludf.DUMMYFUNCTION("""COMPUTED_VALUE"""),46.53)</f>
        <v>46.53</v>
      </c>
      <c r="L719" s="1">
        <f ca="1">IFERROR(__xludf.DUMMYFUNCTION("""COMPUTED_VALUE"""),285.75)</f>
        <v>285.75</v>
      </c>
      <c r="M719" s="1">
        <f ca="1">IFERROR(__xludf.DUMMYFUNCTION("""COMPUTED_VALUE"""),260.79)</f>
        <v>260.79000000000002</v>
      </c>
    </row>
    <row r="720" spans="1:13" x14ac:dyDescent="0.25">
      <c r="A720" s="2">
        <f ca="1">IFERROR(__xludf.DUMMYFUNCTION("""COMPUTED_VALUE"""),44873.6666666666)</f>
        <v>44873.666666666599</v>
      </c>
      <c r="B720" s="1">
        <f ca="1">IFERROR(__xludf.DUMMYFUNCTION("""COMPUTED_VALUE"""),139.5)</f>
        <v>139.5</v>
      </c>
      <c r="C720" s="1">
        <f ca="1">IFERROR(__xludf.DUMMYFUNCTION("""COMPUTED_VALUE"""),227.87)</f>
        <v>227.87</v>
      </c>
      <c r="D720" s="1">
        <f ca="1">IFERROR(__xludf.DUMMYFUNCTION("""COMPUTED_VALUE"""),90.53)</f>
        <v>90.53</v>
      </c>
      <c r="E720" s="1">
        <f ca="1">IFERROR(__xludf.DUMMYFUNCTION("""COMPUTED_VALUE"""),14.3)</f>
        <v>14.3</v>
      </c>
      <c r="F720" s="1">
        <f ca="1">IFERROR(__xludf.DUMMYFUNCTION("""COMPUTED_VALUE"""),96.72)</f>
        <v>96.72</v>
      </c>
      <c r="G720" s="1">
        <f ca="1">IFERROR(__xludf.DUMMYFUNCTION("""COMPUTED_VALUE"""),88.65)</f>
        <v>88.65</v>
      </c>
      <c r="H720" s="1">
        <f ca="1">IFERROR(__xludf.DUMMYFUNCTION("""COMPUTED_VALUE"""),197.08)</f>
        <v>197.08</v>
      </c>
      <c r="I720" s="1">
        <f ca="1">IFERROR(__xludf.DUMMYFUNCTION("""COMPUTED_VALUE"""),180.21)</f>
        <v>180.21</v>
      </c>
      <c r="J720" s="1">
        <f ca="1">IFERROR(__xludf.DUMMYFUNCTION("""COMPUTED_VALUE"""),488.55)</f>
        <v>488.55</v>
      </c>
      <c r="K720" s="1">
        <f ca="1">IFERROR(__xludf.DUMMYFUNCTION("""COMPUTED_VALUE"""),47.52)</f>
        <v>47.52</v>
      </c>
      <c r="L720" s="1">
        <f ca="1">IFERROR(__xludf.DUMMYFUNCTION("""COMPUTED_VALUE"""),299.54)</f>
        <v>299.54000000000002</v>
      </c>
      <c r="M720" s="1">
        <f ca="1">IFERROR(__xludf.DUMMYFUNCTION("""COMPUTED_VALUE"""),258.6)</f>
        <v>258.60000000000002</v>
      </c>
    </row>
    <row r="721" spans="1:13" x14ac:dyDescent="0.25">
      <c r="A721" s="2">
        <f ca="1">IFERROR(__xludf.DUMMYFUNCTION("""COMPUTED_VALUE"""),44874.6666666666)</f>
        <v>44874.666666666599</v>
      </c>
      <c r="B721" s="1">
        <f ca="1">IFERROR(__xludf.DUMMYFUNCTION("""COMPUTED_VALUE"""),134.87)</f>
        <v>134.87</v>
      </c>
      <c r="C721" s="1">
        <f ca="1">IFERROR(__xludf.DUMMYFUNCTION("""COMPUTED_VALUE"""),228.87)</f>
        <v>228.87</v>
      </c>
      <c r="D721" s="1">
        <f ca="1">IFERROR(__xludf.DUMMYFUNCTION("""COMPUTED_VALUE"""),89.98)</f>
        <v>89.98</v>
      </c>
      <c r="E721" s="1">
        <f ca="1">IFERROR(__xludf.DUMMYFUNCTION("""COMPUTED_VALUE"""),14.6)</f>
        <v>14.6</v>
      </c>
      <c r="F721" s="1">
        <f ca="1">IFERROR(__xludf.DUMMYFUNCTION("""COMPUTED_VALUE"""),96.47)</f>
        <v>96.47</v>
      </c>
      <c r="G721" s="1">
        <f ca="1">IFERROR(__xludf.DUMMYFUNCTION("""COMPUTED_VALUE"""),88.91)</f>
        <v>88.91</v>
      </c>
      <c r="H721" s="1">
        <f ca="1">IFERROR(__xludf.DUMMYFUNCTION("""COMPUTED_VALUE"""),191.3)</f>
        <v>191.3</v>
      </c>
      <c r="I721" s="1">
        <f ca="1">IFERROR(__xludf.DUMMYFUNCTION("""COMPUTED_VALUE"""),180.71)</f>
        <v>180.71</v>
      </c>
      <c r="J721" s="1">
        <f ca="1">IFERROR(__xludf.DUMMYFUNCTION("""COMPUTED_VALUE"""),492.76)</f>
        <v>492.76</v>
      </c>
      <c r="K721" s="1">
        <f ca="1">IFERROR(__xludf.DUMMYFUNCTION("""COMPUTED_VALUE"""),48.21)</f>
        <v>48.21</v>
      </c>
      <c r="L721" s="1">
        <f ca="1">IFERROR(__xludf.DUMMYFUNCTION("""COMPUTED_VALUE"""),302.17)</f>
        <v>302.17</v>
      </c>
      <c r="M721" s="1">
        <f ca="1">IFERROR(__xludf.DUMMYFUNCTION("""COMPUTED_VALUE"""),263.46)</f>
        <v>263.45999999999998</v>
      </c>
    </row>
    <row r="722" spans="1:13" x14ac:dyDescent="0.25">
      <c r="A722" s="2">
        <f ca="1">IFERROR(__xludf.DUMMYFUNCTION("""COMPUTED_VALUE"""),44875.6666666666)</f>
        <v>44875.666666666599</v>
      </c>
      <c r="B722" s="1">
        <f ca="1">IFERROR(__xludf.DUMMYFUNCTION("""COMPUTED_VALUE"""),146.87)</f>
        <v>146.87</v>
      </c>
      <c r="C722" s="1">
        <f ca="1">IFERROR(__xludf.DUMMYFUNCTION("""COMPUTED_VALUE"""),224.51)</f>
        <v>224.51</v>
      </c>
      <c r="D722" s="1">
        <f ca="1">IFERROR(__xludf.DUMMYFUNCTION("""COMPUTED_VALUE"""),86.14)</f>
        <v>86.14</v>
      </c>
      <c r="E722" s="1">
        <f ca="1">IFERROR(__xludf.DUMMYFUNCTION("""COMPUTED_VALUE"""),13.78)</f>
        <v>13.78</v>
      </c>
      <c r="F722" s="1">
        <f ca="1">IFERROR(__xludf.DUMMYFUNCTION("""COMPUTED_VALUE"""),101.47)</f>
        <v>101.47</v>
      </c>
      <c r="G722" s="1">
        <f ca="1">IFERROR(__xludf.DUMMYFUNCTION("""COMPUTED_VALUE"""),87.4)</f>
        <v>87.4</v>
      </c>
      <c r="H722" s="1">
        <f ca="1">IFERROR(__xludf.DUMMYFUNCTION("""COMPUTED_VALUE"""),177.59)</f>
        <v>177.59</v>
      </c>
      <c r="I722" s="1">
        <f ca="1">IFERROR(__xludf.DUMMYFUNCTION("""COMPUTED_VALUE"""),178.55)</f>
        <v>178.55</v>
      </c>
      <c r="J722" s="1">
        <f ca="1">IFERROR(__xludf.DUMMYFUNCTION("""COMPUTED_VALUE"""),489.97)</f>
        <v>489.97</v>
      </c>
      <c r="K722" s="1">
        <f ca="1">IFERROR(__xludf.DUMMYFUNCTION("""COMPUTED_VALUE"""),46.95)</f>
        <v>46.95</v>
      </c>
      <c r="L722" s="1">
        <f ca="1">IFERROR(__xludf.DUMMYFUNCTION("""COMPUTED_VALUE"""),298.87)</f>
        <v>298.87</v>
      </c>
      <c r="M722" s="1">
        <f ca="1">IFERROR(__xludf.DUMMYFUNCTION("""COMPUTED_VALUE"""),254.66)</f>
        <v>254.66</v>
      </c>
    </row>
    <row r="723" spans="1:13" x14ac:dyDescent="0.25">
      <c r="A723" s="2">
        <f ca="1">IFERROR(__xludf.DUMMYFUNCTION("""COMPUTED_VALUE"""),44876.6666666666)</f>
        <v>44876.666666666599</v>
      </c>
      <c r="B723" s="1">
        <f ca="1">IFERROR(__xludf.DUMMYFUNCTION("""COMPUTED_VALUE"""),149.7)</f>
        <v>149.69999999999999</v>
      </c>
      <c r="C723" s="1">
        <f ca="1">IFERROR(__xludf.DUMMYFUNCTION("""COMPUTED_VALUE"""),242.98)</f>
        <v>242.98</v>
      </c>
      <c r="D723" s="1">
        <f ca="1">IFERROR(__xludf.DUMMYFUNCTION("""COMPUTED_VALUE"""),96.63)</f>
        <v>96.63</v>
      </c>
      <c r="E723" s="1">
        <f ca="1">IFERROR(__xludf.DUMMYFUNCTION("""COMPUTED_VALUE"""),15.75)</f>
        <v>15.75</v>
      </c>
      <c r="F723" s="1">
        <f ca="1">IFERROR(__xludf.DUMMYFUNCTION("""COMPUTED_VALUE"""),111.87)</f>
        <v>111.87</v>
      </c>
      <c r="G723" s="1">
        <f ca="1">IFERROR(__xludf.DUMMYFUNCTION("""COMPUTED_VALUE"""),94.17)</f>
        <v>94.17</v>
      </c>
      <c r="H723" s="1">
        <f ca="1">IFERROR(__xludf.DUMMYFUNCTION("""COMPUTED_VALUE"""),190.72)</f>
        <v>190.72</v>
      </c>
      <c r="I723" s="1">
        <f ca="1">IFERROR(__xludf.DUMMYFUNCTION("""COMPUTED_VALUE"""),181.7)</f>
        <v>181.7</v>
      </c>
      <c r="J723" s="1">
        <f ca="1">IFERROR(__xludf.DUMMYFUNCTION("""COMPUTED_VALUE"""),513.13)</f>
        <v>513.13</v>
      </c>
      <c r="K723" s="1">
        <f ca="1">IFERROR(__xludf.DUMMYFUNCTION("""COMPUTED_VALUE"""),50.66)</f>
        <v>50.66</v>
      </c>
      <c r="L723" s="1">
        <f ca="1">IFERROR(__xludf.DUMMYFUNCTION("""COMPUTED_VALUE"""),329.95)</f>
        <v>329.95</v>
      </c>
      <c r="M723" s="1">
        <f ca="1">IFERROR(__xludf.DUMMYFUNCTION("""COMPUTED_VALUE"""),274.97)</f>
        <v>274.97000000000003</v>
      </c>
    </row>
    <row r="724" spans="1:13" x14ac:dyDescent="0.25">
      <c r="A724" s="2">
        <f ca="1">IFERROR(__xludf.DUMMYFUNCTION("""COMPUTED_VALUE"""),44879.6666666666)</f>
        <v>44879.666666666599</v>
      </c>
      <c r="B724" s="1">
        <f ca="1">IFERROR(__xludf.DUMMYFUNCTION("""COMPUTED_VALUE"""),148.28)</f>
        <v>148.28</v>
      </c>
      <c r="C724" s="1">
        <f ca="1">IFERROR(__xludf.DUMMYFUNCTION("""COMPUTED_VALUE"""),247.11)</f>
        <v>247.11</v>
      </c>
      <c r="D724" s="1">
        <f ca="1">IFERROR(__xludf.DUMMYFUNCTION("""COMPUTED_VALUE"""),100.79)</f>
        <v>100.79</v>
      </c>
      <c r="E724" s="1">
        <f ca="1">IFERROR(__xludf.DUMMYFUNCTION("""COMPUTED_VALUE"""),16.33)</f>
        <v>16.329999999999998</v>
      </c>
      <c r="F724" s="1">
        <f ca="1">IFERROR(__xludf.DUMMYFUNCTION("""COMPUTED_VALUE"""),113.02)</f>
        <v>113.02</v>
      </c>
      <c r="G724" s="1">
        <f ca="1">IFERROR(__xludf.DUMMYFUNCTION("""COMPUTED_VALUE"""),96.73)</f>
        <v>96.73</v>
      </c>
      <c r="H724" s="1">
        <f ca="1">IFERROR(__xludf.DUMMYFUNCTION("""COMPUTED_VALUE"""),195.97)</f>
        <v>195.97</v>
      </c>
      <c r="I724" s="1">
        <f ca="1">IFERROR(__xludf.DUMMYFUNCTION("""COMPUTED_VALUE"""),178.05)</f>
        <v>178.05</v>
      </c>
      <c r="J724" s="1">
        <f ca="1">IFERROR(__xludf.DUMMYFUNCTION("""COMPUTED_VALUE"""),515.47)</f>
        <v>515.47</v>
      </c>
      <c r="K724" s="1">
        <f ca="1">IFERROR(__xludf.DUMMYFUNCTION("""COMPUTED_VALUE"""),51.81)</f>
        <v>51.81</v>
      </c>
      <c r="L724" s="1">
        <f ca="1">IFERROR(__xludf.DUMMYFUNCTION("""COMPUTED_VALUE"""),341.15)</f>
        <v>341.15</v>
      </c>
      <c r="M724" s="1">
        <f ca="1">IFERROR(__xludf.DUMMYFUNCTION("""COMPUTED_VALUE"""),290.13)</f>
        <v>290.13</v>
      </c>
    </row>
    <row r="725" spans="1:13" x14ac:dyDescent="0.25">
      <c r="A725" s="2">
        <f ca="1">IFERROR(__xludf.DUMMYFUNCTION("""COMPUTED_VALUE"""),44880.6666666666)</f>
        <v>44880.666666666599</v>
      </c>
      <c r="B725" s="1">
        <f ca="1">IFERROR(__xludf.DUMMYFUNCTION("""COMPUTED_VALUE"""),150.04)</f>
        <v>150.04</v>
      </c>
      <c r="C725" s="1">
        <f ca="1">IFERROR(__xludf.DUMMYFUNCTION("""COMPUTED_VALUE"""),241.55)</f>
        <v>241.55</v>
      </c>
      <c r="D725" s="1">
        <f ca="1">IFERROR(__xludf.DUMMYFUNCTION("""COMPUTED_VALUE"""),98.49)</f>
        <v>98.49</v>
      </c>
      <c r="E725" s="1">
        <f ca="1">IFERROR(__xludf.DUMMYFUNCTION("""COMPUTED_VALUE"""),16.3)</f>
        <v>16.3</v>
      </c>
      <c r="F725" s="1">
        <f ca="1">IFERROR(__xludf.DUMMYFUNCTION("""COMPUTED_VALUE"""),114.22)</f>
        <v>114.22</v>
      </c>
      <c r="G725" s="1">
        <f ca="1">IFERROR(__xludf.DUMMYFUNCTION("""COMPUTED_VALUE"""),96.03)</f>
        <v>96.03</v>
      </c>
      <c r="H725" s="1">
        <f ca="1">IFERROR(__xludf.DUMMYFUNCTION("""COMPUTED_VALUE"""),190.95)</f>
        <v>190.95</v>
      </c>
      <c r="I725" s="1">
        <f ca="1">IFERROR(__xludf.DUMMYFUNCTION("""COMPUTED_VALUE"""),176.73)</f>
        <v>176.73</v>
      </c>
      <c r="J725" s="1">
        <f ca="1">IFERROR(__xludf.DUMMYFUNCTION("""COMPUTED_VALUE"""),509.68)</f>
        <v>509.68</v>
      </c>
      <c r="K725" s="1">
        <f ca="1">IFERROR(__xludf.DUMMYFUNCTION("""COMPUTED_VALUE"""),51.32)</f>
        <v>51.32</v>
      </c>
      <c r="L725" s="1">
        <f ca="1">IFERROR(__xludf.DUMMYFUNCTION("""COMPUTED_VALUE"""),340.37)</f>
        <v>340.37</v>
      </c>
      <c r="M725" s="1">
        <f ca="1">IFERROR(__xludf.DUMMYFUNCTION("""COMPUTED_VALUE"""),299.27)</f>
        <v>299.27</v>
      </c>
    </row>
    <row r="726" spans="1:13" x14ac:dyDescent="0.25">
      <c r="A726" s="2">
        <f ca="1">IFERROR(__xludf.DUMMYFUNCTION("""COMPUTED_VALUE"""),44881.6666666666)</f>
        <v>44881.666666666599</v>
      </c>
      <c r="B726" s="1">
        <f ca="1">IFERROR(__xludf.DUMMYFUNCTION("""COMPUTED_VALUE"""),148.79)</f>
        <v>148.79</v>
      </c>
      <c r="C726" s="1">
        <f ca="1">IFERROR(__xludf.DUMMYFUNCTION("""COMPUTED_VALUE"""),241.97)</f>
        <v>241.97</v>
      </c>
      <c r="D726" s="1">
        <f ca="1">IFERROR(__xludf.DUMMYFUNCTION("""COMPUTED_VALUE"""),98.94)</f>
        <v>98.94</v>
      </c>
      <c r="E726" s="1">
        <f ca="1">IFERROR(__xludf.DUMMYFUNCTION("""COMPUTED_VALUE"""),16.67)</f>
        <v>16.670000000000002</v>
      </c>
      <c r="F726" s="1">
        <f ca="1">IFERROR(__xludf.DUMMYFUNCTION("""COMPUTED_VALUE"""),117.08)</f>
        <v>117.08</v>
      </c>
      <c r="G726" s="1">
        <f ca="1">IFERROR(__xludf.DUMMYFUNCTION("""COMPUTED_VALUE"""),98.72)</f>
        <v>98.72</v>
      </c>
      <c r="H726" s="1">
        <f ca="1">IFERROR(__xludf.DUMMYFUNCTION("""COMPUTED_VALUE"""),194.42)</f>
        <v>194.42</v>
      </c>
      <c r="I726" s="1">
        <f ca="1">IFERROR(__xludf.DUMMYFUNCTION("""COMPUTED_VALUE"""),177.19)</f>
        <v>177.19</v>
      </c>
      <c r="J726" s="1">
        <f ca="1">IFERROR(__xludf.DUMMYFUNCTION("""COMPUTED_VALUE"""),526.47)</f>
        <v>526.47</v>
      </c>
      <c r="K726" s="1">
        <f ca="1">IFERROR(__xludf.DUMMYFUNCTION("""COMPUTED_VALUE"""),52.44)</f>
        <v>52.44</v>
      </c>
      <c r="L726" s="1">
        <f ca="1">IFERROR(__xludf.DUMMYFUNCTION("""COMPUTED_VALUE"""),345.96)</f>
        <v>345.96</v>
      </c>
      <c r="M726" s="1">
        <f ca="1">IFERROR(__xludf.DUMMYFUNCTION("""COMPUTED_VALUE"""),310.2)</f>
        <v>310.2</v>
      </c>
    </row>
    <row r="727" spans="1:13" x14ac:dyDescent="0.25">
      <c r="A727" s="2">
        <f ca="1">IFERROR(__xludf.DUMMYFUNCTION("""COMPUTED_VALUE"""),44882.6666666666)</f>
        <v>44882.666666666599</v>
      </c>
      <c r="B727" s="1">
        <f ca="1">IFERROR(__xludf.DUMMYFUNCTION("""COMPUTED_VALUE"""),150.72)</f>
        <v>150.72</v>
      </c>
      <c r="C727" s="1">
        <f ca="1">IFERROR(__xludf.DUMMYFUNCTION("""COMPUTED_VALUE"""),241.73)</f>
        <v>241.73</v>
      </c>
      <c r="D727" s="1">
        <f ca="1">IFERROR(__xludf.DUMMYFUNCTION("""COMPUTED_VALUE"""),97.12)</f>
        <v>97.12</v>
      </c>
      <c r="E727" s="1">
        <f ca="1">IFERROR(__xludf.DUMMYFUNCTION("""COMPUTED_VALUE"""),15.91)</f>
        <v>15.91</v>
      </c>
      <c r="F727" s="1">
        <f ca="1">IFERROR(__xludf.DUMMYFUNCTION("""COMPUTED_VALUE"""),113.23)</f>
        <v>113.23</v>
      </c>
      <c r="G727" s="1">
        <f ca="1">IFERROR(__xludf.DUMMYFUNCTION("""COMPUTED_VALUE"""),98.99)</f>
        <v>98.99</v>
      </c>
      <c r="H727" s="1">
        <f ca="1">IFERROR(__xludf.DUMMYFUNCTION("""COMPUTED_VALUE"""),186.92)</f>
        <v>186.92</v>
      </c>
      <c r="I727" s="1">
        <f ca="1">IFERROR(__xludf.DUMMYFUNCTION("""COMPUTED_VALUE"""),178.33)</f>
        <v>178.33</v>
      </c>
      <c r="J727" s="1">
        <f ca="1">IFERROR(__xludf.DUMMYFUNCTION("""COMPUTED_VALUE"""),524.11)</f>
        <v>524.11</v>
      </c>
      <c r="K727" s="1">
        <f ca="1">IFERROR(__xludf.DUMMYFUNCTION("""COMPUTED_VALUE"""),51.17)</f>
        <v>51.17</v>
      </c>
      <c r="L727" s="1">
        <f ca="1">IFERROR(__xludf.DUMMYFUNCTION("""COMPUTED_VALUE"""),338.41)</f>
        <v>338.41</v>
      </c>
      <c r="M727" s="1">
        <f ca="1">IFERROR(__xludf.DUMMYFUNCTION("""COMPUTED_VALUE"""),306.02)</f>
        <v>306.02</v>
      </c>
    </row>
    <row r="728" spans="1:13" x14ac:dyDescent="0.25">
      <c r="A728" s="2">
        <f ca="1">IFERROR(__xludf.DUMMYFUNCTION("""COMPUTED_VALUE"""),44883.6666666666)</f>
        <v>44883.666666666599</v>
      </c>
      <c r="B728" s="1">
        <f ca="1">IFERROR(__xludf.DUMMYFUNCTION("""COMPUTED_VALUE"""),151.29)</f>
        <v>151.29</v>
      </c>
      <c r="C728" s="1">
        <f ca="1">IFERROR(__xludf.DUMMYFUNCTION("""COMPUTED_VALUE"""),241.68)</f>
        <v>241.68</v>
      </c>
      <c r="D728" s="1">
        <f ca="1">IFERROR(__xludf.DUMMYFUNCTION("""COMPUTED_VALUE"""),94.85)</f>
        <v>94.85</v>
      </c>
      <c r="E728" s="1">
        <f ca="1">IFERROR(__xludf.DUMMYFUNCTION("""COMPUTED_VALUE"""),15.68)</f>
        <v>15.68</v>
      </c>
      <c r="F728" s="1">
        <f ca="1">IFERROR(__xludf.DUMMYFUNCTION("""COMPUTED_VALUE"""),111.45)</f>
        <v>111.45</v>
      </c>
      <c r="G728" s="1">
        <f ca="1">IFERROR(__xludf.DUMMYFUNCTION("""COMPUTED_VALUE"""),98.5)</f>
        <v>98.5</v>
      </c>
      <c r="H728" s="1">
        <f ca="1">IFERROR(__xludf.DUMMYFUNCTION("""COMPUTED_VALUE"""),183.17)</f>
        <v>183.17</v>
      </c>
      <c r="I728" s="1">
        <f ca="1">IFERROR(__xludf.DUMMYFUNCTION("""COMPUTED_VALUE"""),180.03)</f>
        <v>180.03</v>
      </c>
      <c r="J728" s="1">
        <f ca="1">IFERROR(__xludf.DUMMYFUNCTION("""COMPUTED_VALUE"""),521.32)</f>
        <v>521.32000000000005</v>
      </c>
      <c r="K728" s="1">
        <f ca="1">IFERROR(__xludf.DUMMYFUNCTION("""COMPUTED_VALUE"""),51.21)</f>
        <v>51.21</v>
      </c>
      <c r="L728" s="1">
        <f ca="1">IFERROR(__xludf.DUMMYFUNCTION("""COMPUTED_VALUE"""),337.83)</f>
        <v>337.83</v>
      </c>
      <c r="M728" s="1">
        <f ca="1">IFERROR(__xludf.DUMMYFUNCTION("""COMPUTED_VALUE"""),295.28)</f>
        <v>295.27999999999997</v>
      </c>
    </row>
    <row r="729" spans="1:13" x14ac:dyDescent="0.25">
      <c r="A729" s="2">
        <f ca="1">IFERROR(__xludf.DUMMYFUNCTION("""COMPUTED_VALUE"""),44886.6666666666)</f>
        <v>44886.666666666599</v>
      </c>
      <c r="B729" s="1">
        <f ca="1">IFERROR(__xludf.DUMMYFUNCTION("""COMPUTED_VALUE"""),148.01)</f>
        <v>148.01</v>
      </c>
      <c r="C729" s="1">
        <f ca="1">IFERROR(__xludf.DUMMYFUNCTION("""COMPUTED_VALUE"""),241.22)</f>
        <v>241.22</v>
      </c>
      <c r="D729" s="1">
        <f ca="1">IFERROR(__xludf.DUMMYFUNCTION("""COMPUTED_VALUE"""),94.14)</f>
        <v>94.14</v>
      </c>
      <c r="E729" s="1">
        <f ca="1">IFERROR(__xludf.DUMMYFUNCTION("""COMPUTED_VALUE"""),15.41)</f>
        <v>15.41</v>
      </c>
      <c r="F729" s="1">
        <f ca="1">IFERROR(__xludf.DUMMYFUNCTION("""COMPUTED_VALUE"""),112.05)</f>
        <v>112.05</v>
      </c>
      <c r="G729" s="1">
        <f ca="1">IFERROR(__xludf.DUMMYFUNCTION("""COMPUTED_VALUE"""),97.8)</f>
        <v>97.8</v>
      </c>
      <c r="H729" s="1">
        <f ca="1">IFERROR(__xludf.DUMMYFUNCTION("""COMPUTED_VALUE"""),180.19)</f>
        <v>180.19</v>
      </c>
      <c r="I729" s="1">
        <f ca="1">IFERROR(__xludf.DUMMYFUNCTION("""COMPUTED_VALUE"""),181.33)</f>
        <v>181.33</v>
      </c>
      <c r="J729" s="1">
        <f ca="1">IFERROR(__xludf.DUMMYFUNCTION("""COMPUTED_VALUE"""),523.67)</f>
        <v>523.66999999999996</v>
      </c>
      <c r="K729" s="1">
        <f ca="1">IFERROR(__xludf.DUMMYFUNCTION("""COMPUTED_VALUE"""),51.52)</f>
        <v>51.52</v>
      </c>
      <c r="L729" s="1">
        <f ca="1">IFERROR(__xludf.DUMMYFUNCTION("""COMPUTED_VALUE"""),330.86)</f>
        <v>330.86</v>
      </c>
      <c r="M729" s="1">
        <f ca="1">IFERROR(__xludf.DUMMYFUNCTION("""COMPUTED_VALUE"""),287.98)</f>
        <v>287.98</v>
      </c>
    </row>
    <row r="730" spans="1:13" x14ac:dyDescent="0.25">
      <c r="A730" s="2">
        <f ca="1">IFERROR(__xludf.DUMMYFUNCTION("""COMPUTED_VALUE"""),44887.6666666666)</f>
        <v>44887.666666666599</v>
      </c>
      <c r="B730" s="1">
        <f ca="1">IFERROR(__xludf.DUMMYFUNCTION("""COMPUTED_VALUE"""),150.18)</f>
        <v>150.18</v>
      </c>
      <c r="C730" s="1">
        <f ca="1">IFERROR(__xludf.DUMMYFUNCTION("""COMPUTED_VALUE"""),242.05)</f>
        <v>242.05</v>
      </c>
      <c r="D730" s="1">
        <f ca="1">IFERROR(__xludf.DUMMYFUNCTION("""COMPUTED_VALUE"""),92.46)</f>
        <v>92.46</v>
      </c>
      <c r="E730" s="1">
        <f ca="1">IFERROR(__xludf.DUMMYFUNCTION("""COMPUTED_VALUE"""),15.32)</f>
        <v>15.32</v>
      </c>
      <c r="F730" s="1">
        <f ca="1">IFERROR(__xludf.DUMMYFUNCTION("""COMPUTED_VALUE"""),109.86)</f>
        <v>109.86</v>
      </c>
      <c r="G730" s="1">
        <f ca="1">IFERROR(__xludf.DUMMYFUNCTION("""COMPUTED_VALUE"""),95.83)</f>
        <v>95.83</v>
      </c>
      <c r="H730" s="1">
        <f ca="1">IFERROR(__xludf.DUMMYFUNCTION("""COMPUTED_VALUE"""),167.87)</f>
        <v>167.87</v>
      </c>
      <c r="I730" s="1">
        <f ca="1">IFERROR(__xludf.DUMMYFUNCTION("""COMPUTED_VALUE"""),184.82)</f>
        <v>184.82</v>
      </c>
      <c r="J730" s="1">
        <f ca="1">IFERROR(__xludf.DUMMYFUNCTION("""COMPUTED_VALUE"""),523.37)</f>
        <v>523.37</v>
      </c>
      <c r="K730" s="1">
        <f ca="1">IFERROR(__xludf.DUMMYFUNCTION("""COMPUTED_VALUE"""),51.74)</f>
        <v>51.74</v>
      </c>
      <c r="L730" s="1">
        <f ca="1">IFERROR(__xludf.DUMMYFUNCTION("""COMPUTED_VALUE"""),321.49)</f>
        <v>321.49</v>
      </c>
      <c r="M730" s="1">
        <f ca="1">IFERROR(__xludf.DUMMYFUNCTION("""COMPUTED_VALUE"""),285.05)</f>
        <v>285.05</v>
      </c>
    </row>
    <row r="731" spans="1:13" x14ac:dyDescent="0.25">
      <c r="A731" s="2">
        <f ca="1">IFERROR(__xludf.DUMMYFUNCTION("""COMPUTED_VALUE"""),44888.6666666666)</f>
        <v>44888.666666666599</v>
      </c>
      <c r="B731" s="1">
        <f ca="1">IFERROR(__xludf.DUMMYFUNCTION("""COMPUTED_VALUE"""),151.07)</f>
        <v>151.07</v>
      </c>
      <c r="C731" s="1">
        <f ca="1">IFERROR(__xludf.DUMMYFUNCTION("""COMPUTED_VALUE"""),245.03)</f>
        <v>245.03</v>
      </c>
      <c r="D731" s="1">
        <f ca="1">IFERROR(__xludf.DUMMYFUNCTION("""COMPUTED_VALUE"""),93.2)</f>
        <v>93.2</v>
      </c>
      <c r="E731" s="1">
        <f ca="1">IFERROR(__xludf.DUMMYFUNCTION("""COMPUTED_VALUE"""),16.04)</f>
        <v>16.04</v>
      </c>
      <c r="F731" s="1">
        <f ca="1">IFERROR(__xludf.DUMMYFUNCTION("""COMPUTED_VALUE"""),111.44)</f>
        <v>111.44</v>
      </c>
      <c r="G731" s="1">
        <f ca="1">IFERROR(__xludf.DUMMYFUNCTION("""COMPUTED_VALUE"""),97.33)</f>
        <v>97.33</v>
      </c>
      <c r="H731" s="1">
        <f ca="1">IFERROR(__xludf.DUMMYFUNCTION("""COMPUTED_VALUE"""),169.91)</f>
        <v>169.91</v>
      </c>
      <c r="I731" s="1">
        <f ca="1">IFERROR(__xludf.DUMMYFUNCTION("""COMPUTED_VALUE"""),184.84)</f>
        <v>184.84</v>
      </c>
      <c r="J731" s="1">
        <f ca="1">IFERROR(__xludf.DUMMYFUNCTION("""COMPUTED_VALUE"""),531.95)</f>
        <v>531.95000000000005</v>
      </c>
      <c r="K731" s="1">
        <f ca="1">IFERROR(__xludf.DUMMYFUNCTION("""COMPUTED_VALUE"""),53.01)</f>
        <v>53.01</v>
      </c>
      <c r="L731" s="1">
        <f ca="1">IFERROR(__xludf.DUMMYFUNCTION("""COMPUTED_VALUE"""),330.88)</f>
        <v>330.88</v>
      </c>
      <c r="M731" s="1">
        <f ca="1">IFERROR(__xludf.DUMMYFUNCTION("""COMPUTED_VALUE"""),286.69)</f>
        <v>286.69</v>
      </c>
    </row>
    <row r="732" spans="1:13" x14ac:dyDescent="0.25">
      <c r="A732" s="2">
        <f ca="1">IFERROR(__xludf.DUMMYFUNCTION("""COMPUTED_VALUE"""),44890.5451388888)</f>
        <v>44890.545138888803</v>
      </c>
      <c r="B732" s="1">
        <f ca="1">IFERROR(__xludf.DUMMYFUNCTION("""COMPUTED_VALUE"""),148.11)</f>
        <v>148.11000000000001</v>
      </c>
      <c r="C732" s="1">
        <f ca="1">IFERROR(__xludf.DUMMYFUNCTION("""COMPUTED_VALUE"""),247.58)</f>
        <v>247.58</v>
      </c>
      <c r="D732" s="1">
        <f ca="1">IFERROR(__xludf.DUMMYFUNCTION("""COMPUTED_VALUE"""),94.13)</f>
        <v>94.13</v>
      </c>
      <c r="E732" s="1">
        <f ca="1">IFERROR(__xludf.DUMMYFUNCTION("""COMPUTED_VALUE"""),16.52)</f>
        <v>16.52</v>
      </c>
      <c r="F732" s="1">
        <f ca="1">IFERROR(__xludf.DUMMYFUNCTION("""COMPUTED_VALUE"""),112.24)</f>
        <v>112.24</v>
      </c>
      <c r="G732" s="1">
        <f ca="1">IFERROR(__xludf.DUMMYFUNCTION("""COMPUTED_VALUE"""),98.82)</f>
        <v>98.82</v>
      </c>
      <c r="H732" s="1">
        <f ca="1">IFERROR(__xludf.DUMMYFUNCTION("""COMPUTED_VALUE"""),183.2)</f>
        <v>183.2</v>
      </c>
      <c r="I732" s="1">
        <f ca="1">IFERROR(__xludf.DUMMYFUNCTION("""COMPUTED_VALUE"""),185.08)</f>
        <v>185.08</v>
      </c>
      <c r="J732" s="1">
        <f ca="1">IFERROR(__xludf.DUMMYFUNCTION("""COMPUTED_VALUE"""),534.49)</f>
        <v>534.49</v>
      </c>
      <c r="K732" s="1">
        <f ca="1">IFERROR(__xludf.DUMMYFUNCTION("""COMPUTED_VALUE"""),53.36)</f>
        <v>53.36</v>
      </c>
      <c r="L732" s="1">
        <f ca="1">IFERROR(__xludf.DUMMYFUNCTION("""COMPUTED_VALUE"""),335.78)</f>
        <v>335.78</v>
      </c>
      <c r="M732" s="1">
        <f ca="1">IFERROR(__xludf.DUMMYFUNCTION("""COMPUTED_VALUE"""),291.5)</f>
        <v>291.5</v>
      </c>
    </row>
    <row r="733" spans="1:13" x14ac:dyDescent="0.25">
      <c r="A733" s="2">
        <f ca="1">IFERROR(__xludf.DUMMYFUNCTION("""COMPUTED_VALUE"""),44893.6666666666)</f>
        <v>44893.666666666599</v>
      </c>
      <c r="B733" s="1">
        <f ca="1">IFERROR(__xludf.DUMMYFUNCTION("""COMPUTED_VALUE"""),144.22)</f>
        <v>144.22</v>
      </c>
      <c r="C733" s="1">
        <f ca="1">IFERROR(__xludf.DUMMYFUNCTION("""COMPUTED_VALUE"""),247.49)</f>
        <v>247.49</v>
      </c>
      <c r="D733" s="1">
        <f ca="1">IFERROR(__xludf.DUMMYFUNCTION("""COMPUTED_VALUE"""),93.41)</f>
        <v>93.41</v>
      </c>
      <c r="E733" s="1">
        <f ca="1">IFERROR(__xludf.DUMMYFUNCTION("""COMPUTED_VALUE"""),16.27)</f>
        <v>16.27</v>
      </c>
      <c r="F733" s="1">
        <f ca="1">IFERROR(__xludf.DUMMYFUNCTION("""COMPUTED_VALUE"""),111.41)</f>
        <v>111.41</v>
      </c>
      <c r="G733" s="1">
        <f ca="1">IFERROR(__xludf.DUMMYFUNCTION("""COMPUTED_VALUE"""),97.6)</f>
        <v>97.6</v>
      </c>
      <c r="H733" s="1">
        <f ca="1">IFERROR(__xludf.DUMMYFUNCTION("""COMPUTED_VALUE"""),182.86)</f>
        <v>182.86</v>
      </c>
      <c r="I733" s="1">
        <f ca="1">IFERROR(__xludf.DUMMYFUNCTION("""COMPUTED_VALUE"""),184.11)</f>
        <v>184.11</v>
      </c>
      <c r="J733" s="1">
        <f ca="1">IFERROR(__xludf.DUMMYFUNCTION("""COMPUTED_VALUE"""),533.66)</f>
        <v>533.66</v>
      </c>
      <c r="K733" s="1">
        <f ca="1">IFERROR(__xludf.DUMMYFUNCTION("""COMPUTED_VALUE"""),52.99)</f>
        <v>52.99</v>
      </c>
      <c r="L733" s="1">
        <f ca="1">IFERROR(__xludf.DUMMYFUNCTION("""COMPUTED_VALUE"""),334.3)</f>
        <v>334.3</v>
      </c>
      <c r="M733" s="1">
        <f ca="1">IFERROR(__xludf.DUMMYFUNCTION("""COMPUTED_VALUE"""),285.54)</f>
        <v>285.54000000000002</v>
      </c>
    </row>
    <row r="734" spans="1:13" x14ac:dyDescent="0.25">
      <c r="A734" s="2">
        <f ca="1">IFERROR(__xludf.DUMMYFUNCTION("""COMPUTED_VALUE"""),44894.6666666666)</f>
        <v>44894.666666666599</v>
      </c>
      <c r="B734" s="1">
        <f ca="1">IFERROR(__xludf.DUMMYFUNCTION("""COMPUTED_VALUE"""),141.17)</f>
        <v>141.16999999999999</v>
      </c>
      <c r="C734" s="1">
        <f ca="1">IFERROR(__xludf.DUMMYFUNCTION("""COMPUTED_VALUE"""),241.76)</f>
        <v>241.76</v>
      </c>
      <c r="D734" s="1">
        <f ca="1">IFERROR(__xludf.DUMMYFUNCTION("""COMPUTED_VALUE"""),93.95)</f>
        <v>93.95</v>
      </c>
      <c r="E734" s="1">
        <f ca="1">IFERROR(__xludf.DUMMYFUNCTION("""COMPUTED_VALUE"""),15.83)</f>
        <v>15.83</v>
      </c>
      <c r="F734" s="1">
        <f ca="1">IFERROR(__xludf.DUMMYFUNCTION("""COMPUTED_VALUE"""),108.78)</f>
        <v>108.78</v>
      </c>
      <c r="G734" s="1">
        <f ca="1">IFERROR(__xludf.DUMMYFUNCTION("""COMPUTED_VALUE"""),96.25)</f>
        <v>96.25</v>
      </c>
      <c r="H734" s="1">
        <f ca="1">IFERROR(__xludf.DUMMYFUNCTION("""COMPUTED_VALUE"""),182.92)</f>
        <v>182.92</v>
      </c>
      <c r="I734" s="1">
        <f ca="1">IFERROR(__xludf.DUMMYFUNCTION("""COMPUTED_VALUE"""),183.89)</f>
        <v>183.89</v>
      </c>
      <c r="J734" s="1">
        <f ca="1">IFERROR(__xludf.DUMMYFUNCTION("""COMPUTED_VALUE"""),530.92)</f>
        <v>530.91999999999996</v>
      </c>
      <c r="K734" s="1">
        <f ca="1">IFERROR(__xludf.DUMMYFUNCTION("""COMPUTED_VALUE"""),52.22)</f>
        <v>52.22</v>
      </c>
      <c r="L734" s="1">
        <f ca="1">IFERROR(__xludf.DUMMYFUNCTION("""COMPUTED_VALUE"""),328.97)</f>
        <v>328.97</v>
      </c>
      <c r="M734" s="1">
        <f ca="1">IFERROR(__xludf.DUMMYFUNCTION("""COMPUTED_VALUE"""),281.17)</f>
        <v>281.17</v>
      </c>
    </row>
    <row r="735" spans="1:13" x14ac:dyDescent="0.25">
      <c r="A735" s="2">
        <f ca="1">IFERROR(__xludf.DUMMYFUNCTION("""COMPUTED_VALUE"""),44895.6666666666)</f>
        <v>44895.666666666599</v>
      </c>
      <c r="B735" s="1">
        <f ca="1">IFERROR(__xludf.DUMMYFUNCTION("""COMPUTED_VALUE"""),148.03)</f>
        <v>148.03</v>
      </c>
      <c r="C735" s="1">
        <f ca="1">IFERROR(__xludf.DUMMYFUNCTION("""COMPUTED_VALUE"""),240.33)</f>
        <v>240.33</v>
      </c>
      <c r="D735" s="1">
        <f ca="1">IFERROR(__xludf.DUMMYFUNCTION("""COMPUTED_VALUE"""),92.42)</f>
        <v>92.42</v>
      </c>
      <c r="E735" s="1">
        <f ca="1">IFERROR(__xludf.DUMMYFUNCTION("""COMPUTED_VALUE"""),15.64)</f>
        <v>15.64</v>
      </c>
      <c r="F735" s="1">
        <f ca="1">IFERROR(__xludf.DUMMYFUNCTION("""COMPUTED_VALUE"""),109.46)</f>
        <v>109.46</v>
      </c>
      <c r="G735" s="1">
        <f ca="1">IFERROR(__xludf.DUMMYFUNCTION("""COMPUTED_VALUE"""),95.44)</f>
        <v>95.44</v>
      </c>
      <c r="H735" s="1">
        <f ca="1">IFERROR(__xludf.DUMMYFUNCTION("""COMPUTED_VALUE"""),180.83)</f>
        <v>180.83</v>
      </c>
      <c r="I735" s="1">
        <f ca="1">IFERROR(__xludf.DUMMYFUNCTION("""COMPUTED_VALUE"""),182.59)</f>
        <v>182.59</v>
      </c>
      <c r="J735" s="1">
        <f ca="1">IFERROR(__xludf.DUMMYFUNCTION("""COMPUTED_VALUE"""),528.96)</f>
        <v>528.96</v>
      </c>
      <c r="K735" s="1">
        <f ca="1">IFERROR(__xludf.DUMMYFUNCTION("""COMPUTED_VALUE"""),52.14)</f>
        <v>52.14</v>
      </c>
      <c r="L735" s="1">
        <f ca="1">IFERROR(__xludf.DUMMYFUNCTION("""COMPUTED_VALUE"""),326.78)</f>
        <v>326.77999999999997</v>
      </c>
      <c r="M735" s="1">
        <f ca="1">IFERROR(__xludf.DUMMYFUNCTION("""COMPUTED_VALUE"""),280.96)</f>
        <v>280.95999999999998</v>
      </c>
    </row>
    <row r="736" spans="1:13" x14ac:dyDescent="0.25">
      <c r="A736" s="2">
        <f ca="1">IFERROR(__xludf.DUMMYFUNCTION("""COMPUTED_VALUE"""),44896.6666666666)</f>
        <v>44896.666666666599</v>
      </c>
      <c r="B736" s="1">
        <f ca="1">IFERROR(__xludf.DUMMYFUNCTION("""COMPUTED_VALUE"""),148.31)</f>
        <v>148.31</v>
      </c>
      <c r="C736" s="1">
        <f ca="1">IFERROR(__xludf.DUMMYFUNCTION("""COMPUTED_VALUE"""),255.14)</f>
        <v>255.14</v>
      </c>
      <c r="D736" s="1">
        <f ca="1">IFERROR(__xludf.DUMMYFUNCTION("""COMPUTED_VALUE"""),96.54)</f>
        <v>96.54</v>
      </c>
      <c r="E736" s="1">
        <f ca="1">IFERROR(__xludf.DUMMYFUNCTION("""COMPUTED_VALUE"""),16.92)</f>
        <v>16.920000000000002</v>
      </c>
      <c r="F736" s="1">
        <f ca="1">IFERROR(__xludf.DUMMYFUNCTION("""COMPUTED_VALUE"""),118.1)</f>
        <v>118.1</v>
      </c>
      <c r="G736" s="1">
        <f ca="1">IFERROR(__xludf.DUMMYFUNCTION("""COMPUTED_VALUE"""),101.45)</f>
        <v>101.45</v>
      </c>
      <c r="H736" s="1">
        <f ca="1">IFERROR(__xludf.DUMMYFUNCTION("""COMPUTED_VALUE"""),194.7)</f>
        <v>194.7</v>
      </c>
      <c r="I736" s="1">
        <f ca="1">IFERROR(__xludf.DUMMYFUNCTION("""COMPUTED_VALUE"""),185.51)</f>
        <v>185.51</v>
      </c>
      <c r="J736" s="1">
        <f ca="1">IFERROR(__xludf.DUMMYFUNCTION("""COMPUTED_VALUE"""),539.25)</f>
        <v>539.25</v>
      </c>
      <c r="K736" s="1">
        <f ca="1">IFERROR(__xludf.DUMMYFUNCTION("""COMPUTED_VALUE"""),55.1)</f>
        <v>55.1</v>
      </c>
      <c r="L736" s="1">
        <f ca="1">IFERROR(__xludf.DUMMYFUNCTION("""COMPUTED_VALUE"""),344.93)</f>
        <v>344.93</v>
      </c>
      <c r="M736" s="1">
        <f ca="1">IFERROR(__xludf.DUMMYFUNCTION("""COMPUTED_VALUE"""),305.53)</f>
        <v>305.52999999999997</v>
      </c>
    </row>
    <row r="737" spans="1:13" x14ac:dyDescent="0.25">
      <c r="A737" s="2">
        <f ca="1">IFERROR(__xludf.DUMMYFUNCTION("""COMPUTED_VALUE"""),44897.6666666666)</f>
        <v>44897.666666666599</v>
      </c>
      <c r="B737" s="1">
        <f ca="1">IFERROR(__xludf.DUMMYFUNCTION("""COMPUTED_VALUE"""),147.81)</f>
        <v>147.81</v>
      </c>
      <c r="C737" s="1">
        <f ca="1">IFERROR(__xludf.DUMMYFUNCTION("""COMPUTED_VALUE"""),254.69)</f>
        <v>254.69</v>
      </c>
      <c r="D737" s="1">
        <f ca="1">IFERROR(__xludf.DUMMYFUNCTION("""COMPUTED_VALUE"""),95.5)</f>
        <v>95.5</v>
      </c>
      <c r="E737" s="1">
        <f ca="1">IFERROR(__xludf.DUMMYFUNCTION("""COMPUTED_VALUE"""),17.14)</f>
        <v>17.14</v>
      </c>
      <c r="F737" s="1">
        <f ca="1">IFERROR(__xludf.DUMMYFUNCTION("""COMPUTED_VALUE"""),120.44)</f>
        <v>120.44</v>
      </c>
      <c r="G737" s="1">
        <f ca="1">IFERROR(__xludf.DUMMYFUNCTION("""COMPUTED_VALUE"""),101.28)</f>
        <v>101.28</v>
      </c>
      <c r="H737" s="1">
        <f ca="1">IFERROR(__xludf.DUMMYFUNCTION("""COMPUTED_VALUE"""),194.7)</f>
        <v>194.7</v>
      </c>
      <c r="I737" s="1">
        <f ca="1">IFERROR(__xludf.DUMMYFUNCTION("""COMPUTED_VALUE"""),185.9)</f>
        <v>185.9</v>
      </c>
      <c r="J737" s="1">
        <f ca="1">IFERROR(__xludf.DUMMYFUNCTION("""COMPUTED_VALUE"""),503.86)</f>
        <v>503.86</v>
      </c>
      <c r="K737" s="1">
        <f ca="1">IFERROR(__xludf.DUMMYFUNCTION("""COMPUTED_VALUE"""),55.08)</f>
        <v>55.08</v>
      </c>
      <c r="L737" s="1">
        <f ca="1">IFERROR(__xludf.DUMMYFUNCTION("""COMPUTED_VALUE"""),344.11)</f>
        <v>344.11</v>
      </c>
      <c r="M737" s="1">
        <f ca="1">IFERROR(__xludf.DUMMYFUNCTION("""COMPUTED_VALUE"""),316.95)</f>
        <v>316.95</v>
      </c>
    </row>
    <row r="738" spans="1:13" x14ac:dyDescent="0.25">
      <c r="A738" s="2">
        <f ca="1">IFERROR(__xludf.DUMMYFUNCTION("""COMPUTED_VALUE"""),44900.6666666666)</f>
        <v>44900.666666666599</v>
      </c>
      <c r="B738" s="1">
        <f ca="1">IFERROR(__xludf.DUMMYFUNCTION("""COMPUTED_VALUE"""),146.63)</f>
        <v>146.63</v>
      </c>
      <c r="C738" s="1">
        <f ca="1">IFERROR(__xludf.DUMMYFUNCTION("""COMPUTED_VALUE"""),255.02)</f>
        <v>255.02</v>
      </c>
      <c r="D738" s="1">
        <f ca="1">IFERROR(__xludf.DUMMYFUNCTION("""COMPUTED_VALUE"""),94.13)</f>
        <v>94.13</v>
      </c>
      <c r="E738" s="1">
        <f ca="1">IFERROR(__xludf.DUMMYFUNCTION("""COMPUTED_VALUE"""),16.88)</f>
        <v>16.88</v>
      </c>
      <c r="F738" s="1">
        <f ca="1">IFERROR(__xludf.DUMMYFUNCTION("""COMPUTED_VALUE"""),123.49)</f>
        <v>123.49</v>
      </c>
      <c r="G738" s="1">
        <f ca="1">IFERROR(__xludf.DUMMYFUNCTION("""COMPUTED_VALUE"""),100.83)</f>
        <v>100.83</v>
      </c>
      <c r="H738" s="1">
        <f ca="1">IFERROR(__xludf.DUMMYFUNCTION("""COMPUTED_VALUE"""),194.86)</f>
        <v>194.86</v>
      </c>
      <c r="I738" s="1">
        <f ca="1">IFERROR(__xludf.DUMMYFUNCTION("""COMPUTED_VALUE"""),185.69)</f>
        <v>185.69</v>
      </c>
      <c r="J738" s="1">
        <f ca="1">IFERROR(__xludf.DUMMYFUNCTION("""COMPUTED_VALUE"""),494.53)</f>
        <v>494.53</v>
      </c>
      <c r="K738" s="1">
        <f ca="1">IFERROR(__xludf.DUMMYFUNCTION("""COMPUTED_VALUE"""),54.08)</f>
        <v>54.08</v>
      </c>
      <c r="L738" s="1">
        <f ca="1">IFERROR(__xludf.DUMMYFUNCTION("""COMPUTED_VALUE"""),341.53)</f>
        <v>341.53</v>
      </c>
      <c r="M738" s="1">
        <f ca="1">IFERROR(__xludf.DUMMYFUNCTION("""COMPUTED_VALUE"""),320.41)</f>
        <v>320.41000000000003</v>
      </c>
    </row>
    <row r="739" spans="1:13" x14ac:dyDescent="0.25">
      <c r="A739" s="2">
        <f ca="1">IFERROR(__xludf.DUMMYFUNCTION("""COMPUTED_VALUE"""),44901.6666666666)</f>
        <v>44901.666666666599</v>
      </c>
      <c r="B739" s="1">
        <f ca="1">IFERROR(__xludf.DUMMYFUNCTION("""COMPUTED_VALUE"""),142.91)</f>
        <v>142.91</v>
      </c>
      <c r="C739" s="1">
        <f ca="1">IFERROR(__xludf.DUMMYFUNCTION("""COMPUTED_VALUE"""),250.2)</f>
        <v>250.2</v>
      </c>
      <c r="D739" s="1">
        <f ca="1">IFERROR(__xludf.DUMMYFUNCTION("""COMPUTED_VALUE"""),91.01)</f>
        <v>91.01</v>
      </c>
      <c r="E739" s="1">
        <f ca="1">IFERROR(__xludf.DUMMYFUNCTION("""COMPUTED_VALUE"""),16.61)</f>
        <v>16.61</v>
      </c>
      <c r="F739" s="1">
        <f ca="1">IFERROR(__xludf.DUMMYFUNCTION("""COMPUTED_VALUE"""),122.43)</f>
        <v>122.43</v>
      </c>
      <c r="G739" s="1">
        <f ca="1">IFERROR(__xludf.DUMMYFUNCTION("""COMPUTED_VALUE"""),99.87)</f>
        <v>99.87</v>
      </c>
      <c r="H739" s="1">
        <f ca="1">IFERROR(__xludf.DUMMYFUNCTION("""COMPUTED_VALUE"""),182.45)</f>
        <v>182.45</v>
      </c>
      <c r="I739" s="1">
        <f ca="1">IFERROR(__xludf.DUMMYFUNCTION("""COMPUTED_VALUE"""),183.12)</f>
        <v>183.12</v>
      </c>
      <c r="J739" s="1">
        <f ca="1">IFERROR(__xludf.DUMMYFUNCTION("""COMPUTED_VALUE"""),488.66)</f>
        <v>488.66</v>
      </c>
      <c r="K739" s="1">
        <f ca="1">IFERROR(__xludf.DUMMYFUNCTION("""COMPUTED_VALUE"""),53.06)</f>
        <v>53.06</v>
      </c>
      <c r="L739" s="1">
        <f ca="1">IFERROR(__xludf.DUMMYFUNCTION("""COMPUTED_VALUE"""),334.09)</f>
        <v>334.09</v>
      </c>
      <c r="M739" s="1">
        <f ca="1">IFERROR(__xludf.DUMMYFUNCTION("""COMPUTED_VALUE"""),312.59)</f>
        <v>312.58999999999997</v>
      </c>
    </row>
    <row r="740" spans="1:13" x14ac:dyDescent="0.25">
      <c r="A740" s="2">
        <f ca="1">IFERROR(__xludf.DUMMYFUNCTION("""COMPUTED_VALUE"""),44902.6666666666)</f>
        <v>44902.666666666599</v>
      </c>
      <c r="B740" s="1">
        <f ca="1">IFERROR(__xludf.DUMMYFUNCTION("""COMPUTED_VALUE"""),140.94)</f>
        <v>140.94</v>
      </c>
      <c r="C740" s="1">
        <f ca="1">IFERROR(__xludf.DUMMYFUNCTION("""COMPUTED_VALUE"""),245.12)</f>
        <v>245.12</v>
      </c>
      <c r="D740" s="1">
        <f ca="1">IFERROR(__xludf.DUMMYFUNCTION("""COMPUTED_VALUE"""),88.25)</f>
        <v>88.25</v>
      </c>
      <c r="E740" s="1">
        <f ca="1">IFERROR(__xludf.DUMMYFUNCTION("""COMPUTED_VALUE"""),15.99)</f>
        <v>15.99</v>
      </c>
      <c r="F740" s="1">
        <f ca="1">IFERROR(__xludf.DUMMYFUNCTION("""COMPUTED_VALUE"""),114.12)</f>
        <v>114.12</v>
      </c>
      <c r="G740" s="1">
        <f ca="1">IFERROR(__xludf.DUMMYFUNCTION("""COMPUTED_VALUE"""),97.31)</f>
        <v>97.31</v>
      </c>
      <c r="H740" s="1">
        <f ca="1">IFERROR(__xludf.DUMMYFUNCTION("""COMPUTED_VALUE"""),179.82)</f>
        <v>179.82</v>
      </c>
      <c r="I740" s="1">
        <f ca="1">IFERROR(__xludf.DUMMYFUNCTION("""COMPUTED_VALUE"""),181.63)</f>
        <v>181.63</v>
      </c>
      <c r="J740" s="1">
        <f ca="1">IFERROR(__xludf.DUMMYFUNCTION("""COMPUTED_VALUE"""),481.16)</f>
        <v>481.16</v>
      </c>
      <c r="K740" s="1">
        <f ca="1">IFERROR(__xludf.DUMMYFUNCTION("""COMPUTED_VALUE"""),52.58)</f>
        <v>52.58</v>
      </c>
      <c r="L740" s="1">
        <f ca="1">IFERROR(__xludf.DUMMYFUNCTION("""COMPUTED_VALUE"""),331.15)</f>
        <v>331.15</v>
      </c>
      <c r="M740" s="1">
        <f ca="1">IFERROR(__xludf.DUMMYFUNCTION("""COMPUTED_VALUE"""),305.56)</f>
        <v>305.56</v>
      </c>
    </row>
    <row r="741" spans="1:13" x14ac:dyDescent="0.25">
      <c r="A741" s="2">
        <f ca="1">IFERROR(__xludf.DUMMYFUNCTION("""COMPUTED_VALUE"""),44903.6666666666)</f>
        <v>44903.666666666599</v>
      </c>
      <c r="B741" s="1">
        <f ca="1">IFERROR(__xludf.DUMMYFUNCTION("""COMPUTED_VALUE"""),142.65)</f>
        <v>142.65</v>
      </c>
      <c r="C741" s="1">
        <f ca="1">IFERROR(__xludf.DUMMYFUNCTION("""COMPUTED_VALUE"""),244.37)</f>
        <v>244.37</v>
      </c>
      <c r="D741" s="1">
        <f ca="1">IFERROR(__xludf.DUMMYFUNCTION("""COMPUTED_VALUE"""),88.46)</f>
        <v>88.46</v>
      </c>
      <c r="E741" s="1">
        <f ca="1">IFERROR(__xludf.DUMMYFUNCTION("""COMPUTED_VALUE"""),16.12)</f>
        <v>16.12</v>
      </c>
      <c r="F741" s="1">
        <f ca="1">IFERROR(__xludf.DUMMYFUNCTION("""COMPUTED_VALUE"""),113.93)</f>
        <v>113.93</v>
      </c>
      <c r="G741" s="1">
        <f ca="1">IFERROR(__xludf.DUMMYFUNCTION("""COMPUTED_VALUE"""),95.15)</f>
        <v>95.15</v>
      </c>
      <c r="H741" s="1">
        <f ca="1">IFERROR(__xludf.DUMMYFUNCTION("""COMPUTED_VALUE"""),174.04)</f>
        <v>174.04</v>
      </c>
      <c r="I741" s="1">
        <f ca="1">IFERROR(__xludf.DUMMYFUNCTION("""COMPUTED_VALUE"""),182.18)</f>
        <v>182.18</v>
      </c>
      <c r="J741" s="1">
        <f ca="1">IFERROR(__xludf.DUMMYFUNCTION("""COMPUTED_VALUE"""),481.97)</f>
        <v>481.97</v>
      </c>
      <c r="K741" s="1">
        <f ca="1">IFERROR(__xludf.DUMMYFUNCTION("""COMPUTED_VALUE"""),51.85)</f>
        <v>51.85</v>
      </c>
      <c r="L741" s="1">
        <f ca="1">IFERROR(__xludf.DUMMYFUNCTION("""COMPUTED_VALUE"""),326.68)</f>
        <v>326.68</v>
      </c>
      <c r="M741" s="1">
        <f ca="1">IFERROR(__xludf.DUMMYFUNCTION("""COMPUTED_VALUE"""),308.42)</f>
        <v>308.42</v>
      </c>
    </row>
    <row r="742" spans="1:13" x14ac:dyDescent="0.25">
      <c r="A742" s="2">
        <f ca="1">IFERROR(__xludf.DUMMYFUNCTION("""COMPUTED_VALUE"""),44904.6666666666)</f>
        <v>44904.666666666599</v>
      </c>
      <c r="B742" s="1">
        <f ca="1">IFERROR(__xludf.DUMMYFUNCTION("""COMPUTED_VALUE"""),142.16)</f>
        <v>142.16</v>
      </c>
      <c r="C742" s="1">
        <f ca="1">IFERROR(__xludf.DUMMYFUNCTION("""COMPUTED_VALUE"""),247.4)</f>
        <v>247.4</v>
      </c>
      <c r="D742" s="1">
        <f ca="1">IFERROR(__xludf.DUMMYFUNCTION("""COMPUTED_VALUE"""),90.35)</f>
        <v>90.35</v>
      </c>
      <c r="E742" s="1">
        <f ca="1">IFERROR(__xludf.DUMMYFUNCTION("""COMPUTED_VALUE"""),17.17)</f>
        <v>17.170000000000002</v>
      </c>
      <c r="F742" s="1">
        <f ca="1">IFERROR(__xludf.DUMMYFUNCTION("""COMPUTED_VALUE"""),115.33)</f>
        <v>115.33</v>
      </c>
      <c r="G742" s="1">
        <f ca="1">IFERROR(__xludf.DUMMYFUNCTION("""COMPUTED_VALUE"""),93.95)</f>
        <v>93.95</v>
      </c>
      <c r="H742" s="1">
        <f ca="1">IFERROR(__xludf.DUMMYFUNCTION("""COMPUTED_VALUE"""),173.44)</f>
        <v>173.44</v>
      </c>
      <c r="I742" s="1">
        <f ca="1">IFERROR(__xludf.DUMMYFUNCTION("""COMPUTED_VALUE"""),183.78)</f>
        <v>183.78</v>
      </c>
      <c r="J742" s="1">
        <f ca="1">IFERROR(__xludf.DUMMYFUNCTION("""COMPUTED_VALUE"""),481.42)</f>
        <v>481.42</v>
      </c>
      <c r="K742" s="1">
        <f ca="1">IFERROR(__xludf.DUMMYFUNCTION("""COMPUTED_VALUE"""),53.11)</f>
        <v>53.11</v>
      </c>
      <c r="L742" s="1">
        <f ca="1">IFERROR(__xludf.DUMMYFUNCTION("""COMPUTED_VALUE"""),332.58)</f>
        <v>332.58</v>
      </c>
      <c r="M742" s="1">
        <f ca="1">IFERROR(__xludf.DUMMYFUNCTION("""COMPUTED_VALUE"""),310.26)</f>
        <v>310.26</v>
      </c>
    </row>
    <row r="743" spans="1:13" x14ac:dyDescent="0.25">
      <c r="A743" s="2">
        <f ca="1">IFERROR(__xludf.DUMMYFUNCTION("""COMPUTED_VALUE"""),44907.6666666666)</f>
        <v>44907.666666666599</v>
      </c>
      <c r="B743" s="1">
        <f ca="1">IFERROR(__xludf.DUMMYFUNCTION("""COMPUTED_VALUE"""),144.49)</f>
        <v>144.49</v>
      </c>
      <c r="C743" s="1">
        <f ca="1">IFERROR(__xludf.DUMMYFUNCTION("""COMPUTED_VALUE"""),245.42)</f>
        <v>245.42</v>
      </c>
      <c r="D743" s="1">
        <f ca="1">IFERROR(__xludf.DUMMYFUNCTION("""COMPUTED_VALUE"""),89.09)</f>
        <v>89.09</v>
      </c>
      <c r="E743" s="1">
        <f ca="1">IFERROR(__xludf.DUMMYFUNCTION("""COMPUTED_VALUE"""),17)</f>
        <v>17</v>
      </c>
      <c r="F743" s="1">
        <f ca="1">IFERROR(__xludf.DUMMYFUNCTION("""COMPUTED_VALUE"""),115.9)</f>
        <v>115.9</v>
      </c>
      <c r="G743" s="1">
        <f ca="1">IFERROR(__xludf.DUMMYFUNCTION("""COMPUTED_VALUE"""),93.07)</f>
        <v>93.07</v>
      </c>
      <c r="H743" s="1">
        <f ca="1">IFERROR(__xludf.DUMMYFUNCTION("""COMPUTED_VALUE"""),179.05)</f>
        <v>179.05</v>
      </c>
      <c r="I743" s="1">
        <f ca="1">IFERROR(__xludf.DUMMYFUNCTION("""COMPUTED_VALUE"""),183.1)</f>
        <v>183.1</v>
      </c>
      <c r="J743" s="1">
        <f ca="1">IFERROR(__xludf.DUMMYFUNCTION("""COMPUTED_VALUE"""),483.02)</f>
        <v>483.02</v>
      </c>
      <c r="K743" s="1">
        <f ca="1">IFERROR(__xludf.DUMMYFUNCTION("""COMPUTED_VALUE"""),54.47)</f>
        <v>54.47</v>
      </c>
      <c r="L743" s="1">
        <f ca="1">IFERROR(__xludf.DUMMYFUNCTION("""COMPUTED_VALUE"""),330.64)</f>
        <v>330.64</v>
      </c>
      <c r="M743" s="1">
        <f ca="1">IFERROR(__xludf.DUMMYFUNCTION("""COMPUTED_VALUE"""),320.01)</f>
        <v>320.01</v>
      </c>
    </row>
    <row r="744" spans="1:13" x14ac:dyDescent="0.25">
      <c r="A744" s="2">
        <f ca="1">IFERROR(__xludf.DUMMYFUNCTION("""COMPUTED_VALUE"""),44908.6666666666)</f>
        <v>44908.666666666599</v>
      </c>
      <c r="B744" s="1">
        <f ca="1">IFERROR(__xludf.DUMMYFUNCTION("""COMPUTED_VALUE"""),145.47)</f>
        <v>145.47</v>
      </c>
      <c r="C744" s="1">
        <f ca="1">IFERROR(__xludf.DUMMYFUNCTION("""COMPUTED_VALUE"""),252.51)</f>
        <v>252.51</v>
      </c>
      <c r="D744" s="1">
        <f ca="1">IFERROR(__xludf.DUMMYFUNCTION("""COMPUTED_VALUE"""),90.55)</f>
        <v>90.55</v>
      </c>
      <c r="E744" s="1">
        <f ca="1">IFERROR(__xludf.DUMMYFUNCTION("""COMPUTED_VALUE"""),17.54)</f>
        <v>17.54</v>
      </c>
      <c r="F744" s="1">
        <f ca="1">IFERROR(__xludf.DUMMYFUNCTION("""COMPUTED_VALUE"""),114.71)</f>
        <v>114.71</v>
      </c>
      <c r="G744" s="1">
        <f ca="1">IFERROR(__xludf.DUMMYFUNCTION("""COMPUTED_VALUE"""),93.56)</f>
        <v>93.56</v>
      </c>
      <c r="H744" s="1">
        <f ca="1">IFERROR(__xludf.DUMMYFUNCTION("""COMPUTED_VALUE"""),167.82)</f>
        <v>167.82</v>
      </c>
      <c r="I744" s="1">
        <f ca="1">IFERROR(__xludf.DUMMYFUNCTION("""COMPUTED_VALUE"""),183.97)</f>
        <v>183.97</v>
      </c>
      <c r="J744" s="1">
        <f ca="1">IFERROR(__xludf.DUMMYFUNCTION("""COMPUTED_VALUE"""),487.68)</f>
        <v>487.68</v>
      </c>
      <c r="K744" s="1">
        <f ca="1">IFERROR(__xludf.DUMMYFUNCTION("""COMPUTED_VALUE"""),55.66)</f>
        <v>55.66</v>
      </c>
      <c r="L744" s="1">
        <f ca="1">IFERROR(__xludf.DUMMYFUNCTION("""COMPUTED_VALUE"""),338.17)</f>
        <v>338.17</v>
      </c>
      <c r="M744" s="1">
        <f ca="1">IFERROR(__xludf.DUMMYFUNCTION("""COMPUTED_VALUE"""),315.18)</f>
        <v>315.18</v>
      </c>
    </row>
    <row r="745" spans="1:13" x14ac:dyDescent="0.25">
      <c r="A745" s="2">
        <f ca="1">IFERROR(__xludf.DUMMYFUNCTION("""COMPUTED_VALUE"""),44909.6666666666)</f>
        <v>44909.666666666599</v>
      </c>
      <c r="B745" s="1">
        <f ca="1">IFERROR(__xludf.DUMMYFUNCTION("""COMPUTED_VALUE"""),143.21)</f>
        <v>143.21</v>
      </c>
      <c r="C745" s="1">
        <f ca="1">IFERROR(__xludf.DUMMYFUNCTION("""COMPUTED_VALUE"""),256.92)</f>
        <v>256.92</v>
      </c>
      <c r="D745" s="1">
        <f ca="1">IFERROR(__xludf.DUMMYFUNCTION("""COMPUTED_VALUE"""),92.49)</f>
        <v>92.49</v>
      </c>
      <c r="E745" s="1">
        <f ca="1">IFERROR(__xludf.DUMMYFUNCTION("""COMPUTED_VALUE"""),18.07)</f>
        <v>18.07</v>
      </c>
      <c r="F745" s="1">
        <f ca="1">IFERROR(__xludf.DUMMYFUNCTION("""COMPUTED_VALUE"""),120.15)</f>
        <v>120.15</v>
      </c>
      <c r="G745" s="1">
        <f ca="1">IFERROR(__xludf.DUMMYFUNCTION("""COMPUTED_VALUE"""),95.85)</f>
        <v>95.85</v>
      </c>
      <c r="H745" s="1">
        <f ca="1">IFERROR(__xludf.DUMMYFUNCTION("""COMPUTED_VALUE"""),160.95)</f>
        <v>160.94999999999999</v>
      </c>
      <c r="I745" s="1">
        <f ca="1">IFERROR(__xludf.DUMMYFUNCTION("""COMPUTED_VALUE"""),183.87)</f>
        <v>183.87</v>
      </c>
      <c r="J745" s="1">
        <f ca="1">IFERROR(__xludf.DUMMYFUNCTION("""COMPUTED_VALUE"""),488.2)</f>
        <v>488.2</v>
      </c>
      <c r="K745" s="1">
        <f ca="1">IFERROR(__xludf.DUMMYFUNCTION("""COMPUTED_VALUE"""),57.1)</f>
        <v>57.1</v>
      </c>
      <c r="L745" s="1">
        <f ca="1">IFERROR(__xludf.DUMMYFUNCTION("""COMPUTED_VALUE"""),342.46)</f>
        <v>342.46</v>
      </c>
      <c r="M745" s="1">
        <f ca="1">IFERROR(__xludf.DUMMYFUNCTION("""COMPUTED_VALUE"""),320.34)</f>
        <v>320.33999999999997</v>
      </c>
    </row>
    <row r="746" spans="1:13" x14ac:dyDescent="0.25">
      <c r="A746" s="2">
        <f ca="1">IFERROR(__xludf.DUMMYFUNCTION("""COMPUTED_VALUE"""),44910.6666666666)</f>
        <v>44910.666666666599</v>
      </c>
      <c r="B746" s="1">
        <f ca="1">IFERROR(__xludf.DUMMYFUNCTION("""COMPUTED_VALUE"""),136.5)</f>
        <v>136.5</v>
      </c>
      <c r="C746" s="1">
        <f ca="1">IFERROR(__xludf.DUMMYFUNCTION("""COMPUTED_VALUE"""),257.22)</f>
        <v>257.22000000000003</v>
      </c>
      <c r="D746" s="1">
        <f ca="1">IFERROR(__xludf.DUMMYFUNCTION("""COMPUTED_VALUE"""),91.58)</f>
        <v>91.58</v>
      </c>
      <c r="E746" s="1">
        <f ca="1">IFERROR(__xludf.DUMMYFUNCTION("""COMPUTED_VALUE"""),17.67)</f>
        <v>17.670000000000002</v>
      </c>
      <c r="F746" s="1">
        <f ca="1">IFERROR(__xludf.DUMMYFUNCTION("""COMPUTED_VALUE"""),121.59)</f>
        <v>121.59</v>
      </c>
      <c r="G746" s="1">
        <f ca="1">IFERROR(__xludf.DUMMYFUNCTION("""COMPUTED_VALUE"""),95.31)</f>
        <v>95.31</v>
      </c>
      <c r="H746" s="1">
        <f ca="1">IFERROR(__xludf.DUMMYFUNCTION("""COMPUTED_VALUE"""),156.8)</f>
        <v>156.80000000000001</v>
      </c>
      <c r="I746" s="1">
        <f ca="1">IFERROR(__xludf.DUMMYFUNCTION("""COMPUTED_VALUE"""),183.36)</f>
        <v>183.36</v>
      </c>
      <c r="J746" s="1">
        <f ca="1">IFERROR(__xludf.DUMMYFUNCTION("""COMPUTED_VALUE"""),483.52)</f>
        <v>483.52</v>
      </c>
      <c r="K746" s="1">
        <f ca="1">IFERROR(__xludf.DUMMYFUNCTION("""COMPUTED_VALUE"""),57.44)</f>
        <v>57.44</v>
      </c>
      <c r="L746" s="1">
        <f ca="1">IFERROR(__xludf.DUMMYFUNCTION("""COMPUTED_VALUE"""),339.92)</f>
        <v>339.92</v>
      </c>
      <c r="M746" s="1">
        <f ca="1">IFERROR(__xludf.DUMMYFUNCTION("""COMPUTED_VALUE"""),317.83)</f>
        <v>317.83</v>
      </c>
    </row>
    <row r="747" spans="1:13" x14ac:dyDescent="0.25">
      <c r="A747" s="2">
        <f ca="1">IFERROR(__xludf.DUMMYFUNCTION("""COMPUTED_VALUE"""),44911.6666666666)</f>
        <v>44911.666666666599</v>
      </c>
      <c r="B747" s="1">
        <f ca="1">IFERROR(__xludf.DUMMYFUNCTION("""COMPUTED_VALUE"""),134.51)</f>
        <v>134.51</v>
      </c>
      <c r="C747" s="1">
        <f ca="1">IFERROR(__xludf.DUMMYFUNCTION("""COMPUTED_VALUE"""),249.01)</f>
        <v>249.01</v>
      </c>
      <c r="D747" s="1">
        <f ca="1">IFERROR(__xludf.DUMMYFUNCTION("""COMPUTED_VALUE"""),88.45)</f>
        <v>88.45</v>
      </c>
      <c r="E747" s="1">
        <f ca="1">IFERROR(__xludf.DUMMYFUNCTION("""COMPUTED_VALUE"""),16.95)</f>
        <v>16.95</v>
      </c>
      <c r="F747" s="1">
        <f ca="1">IFERROR(__xludf.DUMMYFUNCTION("""COMPUTED_VALUE"""),116.15)</f>
        <v>116.15</v>
      </c>
      <c r="G747" s="1">
        <f ca="1">IFERROR(__xludf.DUMMYFUNCTION("""COMPUTED_VALUE"""),91.2)</f>
        <v>91.2</v>
      </c>
      <c r="H747" s="1">
        <f ca="1">IFERROR(__xludf.DUMMYFUNCTION("""COMPUTED_VALUE"""),157.67)</f>
        <v>157.66999999999999</v>
      </c>
      <c r="I747" s="1">
        <f ca="1">IFERROR(__xludf.DUMMYFUNCTION("""COMPUTED_VALUE"""),180.25)</f>
        <v>180.25</v>
      </c>
      <c r="J747" s="1">
        <f ca="1">IFERROR(__xludf.DUMMYFUNCTION("""COMPUTED_VALUE"""),463.91)</f>
        <v>463.91</v>
      </c>
      <c r="K747" s="1">
        <f ca="1">IFERROR(__xludf.DUMMYFUNCTION("""COMPUTED_VALUE"""),55.8)</f>
        <v>55.8</v>
      </c>
      <c r="L747" s="1">
        <f ca="1">IFERROR(__xludf.DUMMYFUNCTION("""COMPUTED_VALUE"""),328.71)</f>
        <v>328.71</v>
      </c>
      <c r="M747" s="1">
        <f ca="1">IFERROR(__xludf.DUMMYFUNCTION("""COMPUTED_VALUE"""),290.41)</f>
        <v>290.41000000000003</v>
      </c>
    </row>
    <row r="748" spans="1:13" x14ac:dyDescent="0.25">
      <c r="A748" s="2">
        <f ca="1">IFERROR(__xludf.DUMMYFUNCTION("""COMPUTED_VALUE"""),44914.6666666666)</f>
        <v>44914.666666666599</v>
      </c>
      <c r="B748" s="1">
        <f ca="1">IFERROR(__xludf.DUMMYFUNCTION("""COMPUTED_VALUE"""),132.37)</f>
        <v>132.37</v>
      </c>
      <c r="C748" s="1">
        <f ca="1">IFERROR(__xludf.DUMMYFUNCTION("""COMPUTED_VALUE"""),244.69)</f>
        <v>244.69</v>
      </c>
      <c r="D748" s="1">
        <f ca="1">IFERROR(__xludf.DUMMYFUNCTION("""COMPUTED_VALUE"""),87.86)</f>
        <v>87.86</v>
      </c>
      <c r="E748" s="1">
        <f ca="1">IFERROR(__xludf.DUMMYFUNCTION("""COMPUTED_VALUE"""),16.57)</f>
        <v>16.57</v>
      </c>
      <c r="F748" s="1">
        <f ca="1">IFERROR(__xludf.DUMMYFUNCTION("""COMPUTED_VALUE"""),119.43)</f>
        <v>119.43</v>
      </c>
      <c r="G748" s="1">
        <f ca="1">IFERROR(__xludf.DUMMYFUNCTION("""COMPUTED_VALUE"""),90.86)</f>
        <v>90.86</v>
      </c>
      <c r="H748" s="1">
        <f ca="1">IFERROR(__xludf.DUMMYFUNCTION("""COMPUTED_VALUE"""),150.23)</f>
        <v>150.22999999999999</v>
      </c>
      <c r="I748" s="1">
        <f ca="1">IFERROR(__xludf.DUMMYFUNCTION("""COMPUTED_VALUE"""),180.34)</f>
        <v>180.34</v>
      </c>
      <c r="J748" s="1">
        <f ca="1">IFERROR(__xludf.DUMMYFUNCTION("""COMPUTED_VALUE"""),461.45)</f>
        <v>461.45</v>
      </c>
      <c r="K748" s="1">
        <f ca="1">IFERROR(__xludf.DUMMYFUNCTION("""COMPUTED_VALUE"""),55.59)</f>
        <v>55.59</v>
      </c>
      <c r="L748" s="1">
        <f ca="1">IFERROR(__xludf.DUMMYFUNCTION("""COMPUTED_VALUE"""),338.54)</f>
        <v>338.54</v>
      </c>
      <c r="M748" s="1">
        <f ca="1">IFERROR(__xludf.DUMMYFUNCTION("""COMPUTED_VALUE"""),290.71)</f>
        <v>290.70999999999998</v>
      </c>
    </row>
    <row r="749" spans="1:13" x14ac:dyDescent="0.25">
      <c r="A749" s="2">
        <f ca="1">IFERROR(__xludf.DUMMYFUNCTION("""COMPUTED_VALUE"""),44915.6666666666)</f>
        <v>44915.666666666599</v>
      </c>
      <c r="B749" s="1">
        <f ca="1">IFERROR(__xludf.DUMMYFUNCTION("""COMPUTED_VALUE"""),132.3)</f>
        <v>132.30000000000001</v>
      </c>
      <c r="C749" s="1">
        <f ca="1">IFERROR(__xludf.DUMMYFUNCTION("""COMPUTED_VALUE"""),240.45)</f>
        <v>240.45</v>
      </c>
      <c r="D749" s="1">
        <f ca="1">IFERROR(__xludf.DUMMYFUNCTION("""COMPUTED_VALUE"""),84.92)</f>
        <v>84.92</v>
      </c>
      <c r="E749" s="1">
        <f ca="1">IFERROR(__xludf.DUMMYFUNCTION("""COMPUTED_VALUE"""),16.25)</f>
        <v>16.25</v>
      </c>
      <c r="F749" s="1">
        <f ca="1">IFERROR(__xludf.DUMMYFUNCTION("""COMPUTED_VALUE"""),114.48)</f>
        <v>114.48</v>
      </c>
      <c r="G749" s="1">
        <f ca="1">IFERROR(__xludf.DUMMYFUNCTION("""COMPUTED_VALUE"""),89.15)</f>
        <v>89.15</v>
      </c>
      <c r="H749" s="1">
        <f ca="1">IFERROR(__xludf.DUMMYFUNCTION("""COMPUTED_VALUE"""),149.87)</f>
        <v>149.87</v>
      </c>
      <c r="I749" s="1">
        <f ca="1">IFERROR(__xludf.DUMMYFUNCTION("""COMPUTED_VALUE"""),181.34)</f>
        <v>181.34</v>
      </c>
      <c r="J749" s="1">
        <f ca="1">IFERROR(__xludf.DUMMYFUNCTION("""COMPUTED_VALUE"""),458.63)</f>
        <v>458.63</v>
      </c>
      <c r="K749" s="1">
        <f ca="1">IFERROR(__xludf.DUMMYFUNCTION("""COMPUTED_VALUE"""),54.96)</f>
        <v>54.96</v>
      </c>
      <c r="L749" s="1">
        <f ca="1">IFERROR(__xludf.DUMMYFUNCTION("""COMPUTED_VALUE"""),328.76)</f>
        <v>328.76</v>
      </c>
      <c r="M749" s="1">
        <f ca="1">IFERROR(__xludf.DUMMYFUNCTION("""COMPUTED_VALUE"""),288.3)</f>
        <v>288.3</v>
      </c>
    </row>
    <row r="750" spans="1:13" x14ac:dyDescent="0.25">
      <c r="A750" s="2">
        <f ca="1">IFERROR(__xludf.DUMMYFUNCTION("""COMPUTED_VALUE"""),44916.6666666666)</f>
        <v>44916.666666666599</v>
      </c>
      <c r="B750" s="1">
        <f ca="1">IFERROR(__xludf.DUMMYFUNCTION("""COMPUTED_VALUE"""),135.45)</f>
        <v>135.44999999999999</v>
      </c>
      <c r="C750" s="1">
        <f ca="1">IFERROR(__xludf.DUMMYFUNCTION("""COMPUTED_VALUE"""),241.8)</f>
        <v>241.8</v>
      </c>
      <c r="D750" s="1">
        <f ca="1">IFERROR(__xludf.DUMMYFUNCTION("""COMPUTED_VALUE"""),85.19)</f>
        <v>85.19</v>
      </c>
      <c r="E750" s="1">
        <f ca="1">IFERROR(__xludf.DUMMYFUNCTION("""COMPUTED_VALUE"""),16.09)</f>
        <v>16.09</v>
      </c>
      <c r="F750" s="1">
        <f ca="1">IFERROR(__xludf.DUMMYFUNCTION("""COMPUTED_VALUE"""),117.09)</f>
        <v>117.09</v>
      </c>
      <c r="G750" s="1">
        <f ca="1">IFERROR(__xludf.DUMMYFUNCTION("""COMPUTED_VALUE"""),89.63)</f>
        <v>89.63</v>
      </c>
      <c r="H750" s="1">
        <f ca="1">IFERROR(__xludf.DUMMYFUNCTION("""COMPUTED_VALUE"""),137.8)</f>
        <v>137.80000000000001</v>
      </c>
      <c r="I750" s="1">
        <f ca="1">IFERROR(__xludf.DUMMYFUNCTION("""COMPUTED_VALUE"""),181.23)</f>
        <v>181.23</v>
      </c>
      <c r="J750" s="1">
        <f ca="1">IFERROR(__xludf.DUMMYFUNCTION("""COMPUTED_VALUE"""),457.82)</f>
        <v>457.82</v>
      </c>
      <c r="K750" s="1">
        <f ca="1">IFERROR(__xludf.DUMMYFUNCTION("""COMPUTED_VALUE"""),54.4)</f>
        <v>54.4</v>
      </c>
      <c r="L750" s="1">
        <f ca="1">IFERROR(__xludf.DUMMYFUNCTION("""COMPUTED_VALUE"""),338.22)</f>
        <v>338.22</v>
      </c>
      <c r="M750" s="1">
        <f ca="1">IFERROR(__xludf.DUMMYFUNCTION("""COMPUTED_VALUE"""),288.19)</f>
        <v>288.19</v>
      </c>
    </row>
    <row r="751" spans="1:13" x14ac:dyDescent="0.25">
      <c r="A751" s="2">
        <f ca="1">IFERROR(__xludf.DUMMYFUNCTION("""COMPUTED_VALUE"""),44917.6666666666)</f>
        <v>44917.666666666599</v>
      </c>
      <c r="B751" s="1">
        <f ca="1">IFERROR(__xludf.DUMMYFUNCTION("""COMPUTED_VALUE"""),132.23)</f>
        <v>132.22999999999999</v>
      </c>
      <c r="C751" s="1">
        <f ca="1">IFERROR(__xludf.DUMMYFUNCTION("""COMPUTED_VALUE"""),244.43)</f>
        <v>244.43</v>
      </c>
      <c r="D751" s="1">
        <f ca="1">IFERROR(__xludf.DUMMYFUNCTION("""COMPUTED_VALUE"""),86.77)</f>
        <v>86.77</v>
      </c>
      <c r="E751" s="1">
        <f ca="1">IFERROR(__xludf.DUMMYFUNCTION("""COMPUTED_VALUE"""),16.5)</f>
        <v>16.5</v>
      </c>
      <c r="F751" s="1">
        <f ca="1">IFERROR(__xludf.DUMMYFUNCTION("""COMPUTED_VALUE"""),119.76)</f>
        <v>119.76</v>
      </c>
      <c r="G751" s="1">
        <f ca="1">IFERROR(__xludf.DUMMYFUNCTION("""COMPUTED_VALUE"""),90.25)</f>
        <v>90.25</v>
      </c>
      <c r="H751" s="1">
        <f ca="1">IFERROR(__xludf.DUMMYFUNCTION("""COMPUTED_VALUE"""),137.57)</f>
        <v>137.57</v>
      </c>
      <c r="I751" s="1">
        <f ca="1">IFERROR(__xludf.DUMMYFUNCTION("""COMPUTED_VALUE"""),182.5)</f>
        <v>182.5</v>
      </c>
      <c r="J751" s="1">
        <f ca="1">IFERROR(__xludf.DUMMYFUNCTION("""COMPUTED_VALUE"""),462.06)</f>
        <v>462.06</v>
      </c>
      <c r="K751" s="1">
        <f ca="1">IFERROR(__xludf.DUMMYFUNCTION("""COMPUTED_VALUE"""),56.12)</f>
        <v>56.12</v>
      </c>
      <c r="L751" s="1">
        <f ca="1">IFERROR(__xludf.DUMMYFUNCTION("""COMPUTED_VALUE"""),341.38)</f>
        <v>341.38</v>
      </c>
      <c r="M751" s="1">
        <f ca="1">IFERROR(__xludf.DUMMYFUNCTION("""COMPUTED_VALUE"""),297.96)</f>
        <v>297.95999999999998</v>
      </c>
    </row>
    <row r="752" spans="1:13" x14ac:dyDescent="0.25">
      <c r="A752" s="2">
        <f ca="1">IFERROR(__xludf.DUMMYFUNCTION("""COMPUTED_VALUE"""),44918.6666666666)</f>
        <v>44918.666666666599</v>
      </c>
      <c r="B752" s="1">
        <f ca="1">IFERROR(__xludf.DUMMYFUNCTION("""COMPUTED_VALUE"""),131.86)</f>
        <v>131.86000000000001</v>
      </c>
      <c r="C752" s="1">
        <f ca="1">IFERROR(__xludf.DUMMYFUNCTION("""COMPUTED_VALUE"""),238.19)</f>
        <v>238.19</v>
      </c>
      <c r="D752" s="1">
        <f ca="1">IFERROR(__xludf.DUMMYFUNCTION("""COMPUTED_VALUE"""),83.79)</f>
        <v>83.79</v>
      </c>
      <c r="E752" s="1">
        <f ca="1">IFERROR(__xludf.DUMMYFUNCTION("""COMPUTED_VALUE"""),15.34)</f>
        <v>15.34</v>
      </c>
      <c r="F752" s="1">
        <f ca="1">IFERROR(__xludf.DUMMYFUNCTION("""COMPUTED_VALUE"""),117.12)</f>
        <v>117.12</v>
      </c>
      <c r="G752" s="1">
        <f ca="1">IFERROR(__xludf.DUMMYFUNCTION("""COMPUTED_VALUE"""),88.26)</f>
        <v>88.26</v>
      </c>
      <c r="H752" s="1">
        <f ca="1">IFERROR(__xludf.DUMMYFUNCTION("""COMPUTED_VALUE"""),125.35)</f>
        <v>125.35</v>
      </c>
      <c r="I752" s="1">
        <f ca="1">IFERROR(__xludf.DUMMYFUNCTION("""COMPUTED_VALUE"""),181.09)</f>
        <v>181.09</v>
      </c>
      <c r="J752" s="1">
        <f ca="1">IFERROR(__xludf.DUMMYFUNCTION("""COMPUTED_VALUE"""),458.71)</f>
        <v>458.71</v>
      </c>
      <c r="K752" s="1">
        <f ca="1">IFERROR(__xludf.DUMMYFUNCTION("""COMPUTED_VALUE"""),55.31)</f>
        <v>55.31</v>
      </c>
      <c r="L752" s="1">
        <f ca="1">IFERROR(__xludf.DUMMYFUNCTION("""COMPUTED_VALUE"""),336.52)</f>
        <v>336.52</v>
      </c>
      <c r="M752" s="1">
        <f ca="1">IFERROR(__xludf.DUMMYFUNCTION("""COMPUTED_VALUE"""),297.75)</f>
        <v>297.75</v>
      </c>
    </row>
    <row r="753" spans="1:13" x14ac:dyDescent="0.25">
      <c r="A753" s="2">
        <f ca="1">IFERROR(__xludf.DUMMYFUNCTION("""COMPUTED_VALUE"""),44922.6666666666)</f>
        <v>44922.666666666599</v>
      </c>
      <c r="B753" s="1">
        <f ca="1">IFERROR(__xludf.DUMMYFUNCTION("""COMPUTED_VALUE"""),130.03)</f>
        <v>130.03</v>
      </c>
      <c r="C753" s="1">
        <f ca="1">IFERROR(__xludf.DUMMYFUNCTION("""COMPUTED_VALUE"""),238.73)</f>
        <v>238.73</v>
      </c>
      <c r="D753" s="1">
        <f ca="1">IFERROR(__xludf.DUMMYFUNCTION("""COMPUTED_VALUE"""),85.25)</f>
        <v>85.25</v>
      </c>
      <c r="E753" s="1">
        <f ca="1">IFERROR(__xludf.DUMMYFUNCTION("""COMPUTED_VALUE"""),15.21)</f>
        <v>15.21</v>
      </c>
      <c r="F753" s="1">
        <f ca="1">IFERROR(__xludf.DUMMYFUNCTION("""COMPUTED_VALUE"""),118.04)</f>
        <v>118.04</v>
      </c>
      <c r="G753" s="1">
        <f ca="1">IFERROR(__xludf.DUMMYFUNCTION("""COMPUTED_VALUE"""),89.81)</f>
        <v>89.81</v>
      </c>
      <c r="H753" s="1">
        <f ca="1">IFERROR(__xludf.DUMMYFUNCTION("""COMPUTED_VALUE"""),123.15)</f>
        <v>123.15</v>
      </c>
      <c r="I753" s="1">
        <f ca="1">IFERROR(__xludf.DUMMYFUNCTION("""COMPUTED_VALUE"""),182.26)</f>
        <v>182.26</v>
      </c>
      <c r="J753" s="1">
        <f ca="1">IFERROR(__xludf.DUMMYFUNCTION("""COMPUTED_VALUE"""),462.65)</f>
        <v>462.65</v>
      </c>
      <c r="K753" s="1">
        <f ca="1">IFERROR(__xludf.DUMMYFUNCTION("""COMPUTED_VALUE"""),55.24)</f>
        <v>55.24</v>
      </c>
      <c r="L753" s="1">
        <f ca="1">IFERROR(__xludf.DUMMYFUNCTION("""COMPUTED_VALUE"""),338.45)</f>
        <v>338.45</v>
      </c>
      <c r="M753" s="1">
        <f ca="1">IFERROR(__xludf.DUMMYFUNCTION("""COMPUTED_VALUE"""),294.96)</f>
        <v>294.95999999999998</v>
      </c>
    </row>
    <row r="754" spans="1:13" x14ac:dyDescent="0.25">
      <c r="A754" s="2">
        <f ca="1">IFERROR(__xludf.DUMMYFUNCTION("""COMPUTED_VALUE"""),44923.6666666666)</f>
        <v>44923.666666666599</v>
      </c>
      <c r="B754" s="1">
        <f ca="1">IFERROR(__xludf.DUMMYFUNCTION("""COMPUTED_VALUE"""),126.04)</f>
        <v>126.04</v>
      </c>
      <c r="C754" s="1">
        <f ca="1">IFERROR(__xludf.DUMMYFUNCTION("""COMPUTED_VALUE"""),236.96)</f>
        <v>236.96</v>
      </c>
      <c r="D754" s="1">
        <f ca="1">IFERROR(__xludf.DUMMYFUNCTION("""COMPUTED_VALUE"""),83.04)</f>
        <v>83.04</v>
      </c>
      <c r="E754" s="1">
        <f ca="1">IFERROR(__xludf.DUMMYFUNCTION("""COMPUTED_VALUE"""),14.12)</f>
        <v>14.12</v>
      </c>
      <c r="F754" s="1">
        <f ca="1">IFERROR(__xludf.DUMMYFUNCTION("""COMPUTED_VALUE"""),116.88)</f>
        <v>116.88</v>
      </c>
      <c r="G754" s="1">
        <f ca="1">IFERROR(__xludf.DUMMYFUNCTION("""COMPUTED_VALUE"""),87.93)</f>
        <v>87.93</v>
      </c>
      <c r="H754" s="1">
        <f ca="1">IFERROR(__xludf.DUMMYFUNCTION("""COMPUTED_VALUE"""),109.1)</f>
        <v>109.1</v>
      </c>
      <c r="I754" s="1">
        <f ca="1">IFERROR(__xludf.DUMMYFUNCTION("""COMPUTED_VALUE"""),183.07)</f>
        <v>183.07</v>
      </c>
      <c r="J754" s="1">
        <f ca="1">IFERROR(__xludf.DUMMYFUNCTION("""COMPUTED_VALUE"""),458.5)</f>
        <v>458.5</v>
      </c>
      <c r="K754" s="1">
        <f ca="1">IFERROR(__xludf.DUMMYFUNCTION("""COMPUTED_VALUE"""),55.35)</f>
        <v>55.35</v>
      </c>
      <c r="L754" s="1">
        <f ca="1">IFERROR(__xludf.DUMMYFUNCTION("""COMPUTED_VALUE"""),335.09)</f>
        <v>335.09</v>
      </c>
      <c r="M754" s="1">
        <f ca="1">IFERROR(__xludf.DUMMYFUNCTION("""COMPUTED_VALUE"""),284.17)</f>
        <v>284.17</v>
      </c>
    </row>
    <row r="755" spans="1:13" x14ac:dyDescent="0.25">
      <c r="A755" s="2">
        <f ca="1">IFERROR(__xludf.DUMMYFUNCTION("""COMPUTED_VALUE"""),44924.6666666666)</f>
        <v>44924.666666666599</v>
      </c>
      <c r="B755" s="1">
        <f ca="1">IFERROR(__xludf.DUMMYFUNCTION("""COMPUTED_VALUE"""),129.61)</f>
        <v>129.61000000000001</v>
      </c>
      <c r="C755" s="1">
        <f ca="1">IFERROR(__xludf.DUMMYFUNCTION("""COMPUTED_VALUE"""),234.53)</f>
        <v>234.53</v>
      </c>
      <c r="D755" s="1">
        <f ca="1">IFERROR(__xludf.DUMMYFUNCTION("""COMPUTED_VALUE"""),81.82)</f>
        <v>81.819999999999993</v>
      </c>
      <c r="E755" s="1">
        <f ca="1">IFERROR(__xludf.DUMMYFUNCTION("""COMPUTED_VALUE"""),14.04)</f>
        <v>14.04</v>
      </c>
      <c r="F755" s="1">
        <f ca="1">IFERROR(__xludf.DUMMYFUNCTION("""COMPUTED_VALUE"""),115.62)</f>
        <v>115.62</v>
      </c>
      <c r="G755" s="1">
        <f ca="1">IFERROR(__xludf.DUMMYFUNCTION("""COMPUTED_VALUE"""),86.46)</f>
        <v>86.46</v>
      </c>
      <c r="H755" s="1">
        <f ca="1">IFERROR(__xludf.DUMMYFUNCTION("""COMPUTED_VALUE"""),112.71)</f>
        <v>112.71</v>
      </c>
      <c r="I755" s="1">
        <f ca="1">IFERROR(__xludf.DUMMYFUNCTION("""COMPUTED_VALUE"""),181.75)</f>
        <v>181.75</v>
      </c>
      <c r="J755" s="1">
        <f ca="1">IFERROR(__xludf.DUMMYFUNCTION("""COMPUTED_VALUE"""),452.99)</f>
        <v>452.99</v>
      </c>
      <c r="K755" s="1">
        <f ca="1">IFERROR(__xludf.DUMMYFUNCTION("""COMPUTED_VALUE"""),54.49)</f>
        <v>54.49</v>
      </c>
      <c r="L755" s="1">
        <f ca="1">IFERROR(__xludf.DUMMYFUNCTION("""COMPUTED_VALUE"""),328.33)</f>
        <v>328.33</v>
      </c>
      <c r="M755" s="1">
        <f ca="1">IFERROR(__xludf.DUMMYFUNCTION("""COMPUTED_VALUE"""),276.88)</f>
        <v>276.88</v>
      </c>
    </row>
    <row r="756" spans="1:13" x14ac:dyDescent="0.25">
      <c r="A756" s="2">
        <f ca="1">IFERROR(__xludf.DUMMYFUNCTION("""COMPUTED_VALUE"""),44925.6666666666)</f>
        <v>44925.666666666599</v>
      </c>
      <c r="B756" s="1">
        <f ca="1">IFERROR(__xludf.DUMMYFUNCTION("""COMPUTED_VALUE"""),129.93)</f>
        <v>129.93</v>
      </c>
      <c r="C756" s="1">
        <f ca="1">IFERROR(__xludf.DUMMYFUNCTION("""COMPUTED_VALUE"""),241.01)</f>
        <v>241.01</v>
      </c>
      <c r="D756" s="1">
        <f ca="1">IFERROR(__xludf.DUMMYFUNCTION("""COMPUTED_VALUE"""),84.18)</f>
        <v>84.18</v>
      </c>
      <c r="E756" s="1">
        <f ca="1">IFERROR(__xludf.DUMMYFUNCTION("""COMPUTED_VALUE"""),14.6)</f>
        <v>14.6</v>
      </c>
      <c r="F756" s="1">
        <f ca="1">IFERROR(__xludf.DUMMYFUNCTION("""COMPUTED_VALUE"""),120.26)</f>
        <v>120.26</v>
      </c>
      <c r="G756" s="1">
        <f ca="1">IFERROR(__xludf.DUMMYFUNCTION("""COMPUTED_VALUE"""),88.95)</f>
        <v>88.95</v>
      </c>
      <c r="H756" s="1">
        <f ca="1">IFERROR(__xludf.DUMMYFUNCTION("""COMPUTED_VALUE"""),121.82)</f>
        <v>121.82</v>
      </c>
      <c r="I756" s="1">
        <f ca="1">IFERROR(__xludf.DUMMYFUNCTION("""COMPUTED_VALUE"""),181.98)</f>
        <v>181.98</v>
      </c>
      <c r="J756" s="1">
        <f ca="1">IFERROR(__xludf.DUMMYFUNCTION("""COMPUTED_VALUE"""),456.53)</f>
        <v>456.53</v>
      </c>
      <c r="K756" s="1">
        <f ca="1">IFERROR(__xludf.DUMMYFUNCTION("""COMPUTED_VALUE"""),55.78)</f>
        <v>55.78</v>
      </c>
      <c r="L756" s="1">
        <f ca="1">IFERROR(__xludf.DUMMYFUNCTION("""COMPUTED_VALUE"""),337.58)</f>
        <v>337.58</v>
      </c>
      <c r="M756" s="1">
        <f ca="1">IFERROR(__xludf.DUMMYFUNCTION("""COMPUTED_VALUE"""),291.12)</f>
        <v>291.12</v>
      </c>
    </row>
    <row r="757" spans="1:13" x14ac:dyDescent="0.25">
      <c r="A757" s="2">
        <f ca="1">IFERROR(__xludf.DUMMYFUNCTION("""COMPUTED_VALUE"""),44929.6666666666)</f>
        <v>44929.666666666599</v>
      </c>
      <c r="B757" s="1">
        <f ca="1">IFERROR(__xludf.DUMMYFUNCTION("""COMPUTED_VALUE"""),125.07)</f>
        <v>125.07</v>
      </c>
      <c r="C757" s="1">
        <f ca="1">IFERROR(__xludf.DUMMYFUNCTION("""COMPUTED_VALUE"""),239.82)</f>
        <v>239.82</v>
      </c>
      <c r="D757" s="1">
        <f ca="1">IFERROR(__xludf.DUMMYFUNCTION("""COMPUTED_VALUE"""),84)</f>
        <v>84</v>
      </c>
      <c r="E757" s="1">
        <f ca="1">IFERROR(__xludf.DUMMYFUNCTION("""COMPUTED_VALUE"""),14.61)</f>
        <v>14.61</v>
      </c>
      <c r="F757" s="1">
        <f ca="1">IFERROR(__xludf.DUMMYFUNCTION("""COMPUTED_VALUE"""),120.34)</f>
        <v>120.34</v>
      </c>
      <c r="G757" s="1">
        <f ca="1">IFERROR(__xludf.DUMMYFUNCTION("""COMPUTED_VALUE"""),88.73)</f>
        <v>88.73</v>
      </c>
      <c r="H757" s="1">
        <f ca="1">IFERROR(__xludf.DUMMYFUNCTION("""COMPUTED_VALUE"""),123.18)</f>
        <v>123.18</v>
      </c>
      <c r="I757" s="1">
        <f ca="1">IFERROR(__xludf.DUMMYFUNCTION("""COMPUTED_VALUE"""),180.66)</f>
        <v>180.66</v>
      </c>
      <c r="J757" s="1">
        <f ca="1">IFERROR(__xludf.DUMMYFUNCTION("""COMPUTED_VALUE"""),456.5)</f>
        <v>456.5</v>
      </c>
      <c r="K757" s="1">
        <f ca="1">IFERROR(__xludf.DUMMYFUNCTION("""COMPUTED_VALUE"""),55.91)</f>
        <v>55.91</v>
      </c>
      <c r="L757" s="1">
        <f ca="1">IFERROR(__xludf.DUMMYFUNCTION("""COMPUTED_VALUE"""),336.53)</f>
        <v>336.53</v>
      </c>
      <c r="M757" s="1">
        <f ca="1">IFERROR(__xludf.DUMMYFUNCTION("""COMPUTED_VALUE"""),294.88)</f>
        <v>294.88</v>
      </c>
    </row>
    <row r="758" spans="1:13" x14ac:dyDescent="0.25">
      <c r="A758" s="2">
        <f ca="1">IFERROR(__xludf.DUMMYFUNCTION("""COMPUTED_VALUE"""),44930.6666666666)</f>
        <v>44930.666666666599</v>
      </c>
      <c r="B758" s="1">
        <f ca="1">IFERROR(__xludf.DUMMYFUNCTION("""COMPUTED_VALUE"""),126.36)</f>
        <v>126.36</v>
      </c>
      <c r="C758" s="1">
        <f ca="1">IFERROR(__xludf.DUMMYFUNCTION("""COMPUTED_VALUE"""),239.58)</f>
        <v>239.58</v>
      </c>
      <c r="D758" s="1">
        <f ca="1">IFERROR(__xludf.DUMMYFUNCTION("""COMPUTED_VALUE"""),85.82)</f>
        <v>85.82</v>
      </c>
      <c r="E758" s="1">
        <f ca="1">IFERROR(__xludf.DUMMYFUNCTION("""COMPUTED_VALUE"""),14.32)</f>
        <v>14.32</v>
      </c>
      <c r="F758" s="1">
        <f ca="1">IFERROR(__xludf.DUMMYFUNCTION("""COMPUTED_VALUE"""),124.74)</f>
        <v>124.74</v>
      </c>
      <c r="G758" s="1">
        <f ca="1">IFERROR(__xludf.DUMMYFUNCTION("""COMPUTED_VALUE"""),89.7)</f>
        <v>89.7</v>
      </c>
      <c r="H758" s="1">
        <f ca="1">IFERROR(__xludf.DUMMYFUNCTION("""COMPUTED_VALUE"""),108.1)</f>
        <v>108.1</v>
      </c>
      <c r="I758" s="1">
        <f ca="1">IFERROR(__xludf.DUMMYFUNCTION("""COMPUTED_VALUE"""),179.41)</f>
        <v>179.41</v>
      </c>
      <c r="J758" s="1">
        <f ca="1">IFERROR(__xludf.DUMMYFUNCTION("""COMPUTED_VALUE"""),453.28)</f>
        <v>453.28</v>
      </c>
      <c r="K758" s="1">
        <f ca="1">IFERROR(__xludf.DUMMYFUNCTION("""COMPUTED_VALUE"""),55.35)</f>
        <v>55.35</v>
      </c>
      <c r="L758" s="1">
        <f ca="1">IFERROR(__xludf.DUMMYFUNCTION("""COMPUTED_VALUE"""),336.92)</f>
        <v>336.92</v>
      </c>
      <c r="M758" s="1">
        <f ca="1">IFERROR(__xludf.DUMMYFUNCTION("""COMPUTED_VALUE"""),294.95)</f>
        <v>294.95</v>
      </c>
    </row>
    <row r="759" spans="1:13" x14ac:dyDescent="0.25">
      <c r="A759" s="2">
        <f ca="1">IFERROR(__xludf.DUMMYFUNCTION("""COMPUTED_VALUE"""),44931.6666666666)</f>
        <v>44931.666666666599</v>
      </c>
      <c r="B759" s="1">
        <f ca="1">IFERROR(__xludf.DUMMYFUNCTION("""COMPUTED_VALUE"""),125.02)</f>
        <v>125.02</v>
      </c>
      <c r="C759" s="1">
        <f ca="1">IFERROR(__xludf.DUMMYFUNCTION("""COMPUTED_VALUE"""),229.1)</f>
        <v>229.1</v>
      </c>
      <c r="D759" s="1">
        <f ca="1">IFERROR(__xludf.DUMMYFUNCTION("""COMPUTED_VALUE"""),85.14)</f>
        <v>85.14</v>
      </c>
      <c r="E759" s="1">
        <f ca="1">IFERROR(__xludf.DUMMYFUNCTION("""COMPUTED_VALUE"""),14.75)</f>
        <v>14.75</v>
      </c>
      <c r="F759" s="1">
        <f ca="1">IFERROR(__xludf.DUMMYFUNCTION("""COMPUTED_VALUE"""),127.37)</f>
        <v>127.37</v>
      </c>
      <c r="G759" s="1">
        <f ca="1">IFERROR(__xludf.DUMMYFUNCTION("""COMPUTED_VALUE"""),88.71)</f>
        <v>88.71</v>
      </c>
      <c r="H759" s="1">
        <f ca="1">IFERROR(__xludf.DUMMYFUNCTION("""COMPUTED_VALUE"""),113.64)</f>
        <v>113.64</v>
      </c>
      <c r="I759" s="1">
        <f ca="1">IFERROR(__xludf.DUMMYFUNCTION("""COMPUTED_VALUE"""),178.97)</f>
        <v>178.97</v>
      </c>
      <c r="J759" s="1">
        <f ca="1">IFERROR(__xludf.DUMMYFUNCTION("""COMPUTED_VALUE"""),456.56)</f>
        <v>456.56</v>
      </c>
      <c r="K759" s="1">
        <f ca="1">IFERROR(__xludf.DUMMYFUNCTION("""COMPUTED_VALUE"""),56.02)</f>
        <v>56.02</v>
      </c>
      <c r="L759" s="1">
        <f ca="1">IFERROR(__xludf.DUMMYFUNCTION("""COMPUTED_VALUE"""),341.41)</f>
        <v>341.41</v>
      </c>
      <c r="M759" s="1">
        <f ca="1">IFERROR(__xludf.DUMMYFUNCTION("""COMPUTED_VALUE"""),309.41)</f>
        <v>309.41000000000003</v>
      </c>
    </row>
    <row r="760" spans="1:13" x14ac:dyDescent="0.25">
      <c r="A760" s="2">
        <f ca="1">IFERROR(__xludf.DUMMYFUNCTION("""COMPUTED_VALUE"""),44932.6666666666)</f>
        <v>44932.666666666599</v>
      </c>
      <c r="B760" s="1">
        <f ca="1">IFERROR(__xludf.DUMMYFUNCTION("""COMPUTED_VALUE"""),129.62)</f>
        <v>129.62</v>
      </c>
      <c r="C760" s="1">
        <f ca="1">IFERROR(__xludf.DUMMYFUNCTION("""COMPUTED_VALUE"""),222.31)</f>
        <v>222.31</v>
      </c>
      <c r="D760" s="1">
        <f ca="1">IFERROR(__xludf.DUMMYFUNCTION("""COMPUTED_VALUE"""),83.12)</f>
        <v>83.12</v>
      </c>
      <c r="E760" s="1">
        <f ca="1">IFERROR(__xludf.DUMMYFUNCTION("""COMPUTED_VALUE"""),14.27)</f>
        <v>14.27</v>
      </c>
      <c r="F760" s="1">
        <f ca="1">IFERROR(__xludf.DUMMYFUNCTION("""COMPUTED_VALUE"""),126.94)</f>
        <v>126.94</v>
      </c>
      <c r="G760" s="1">
        <f ca="1">IFERROR(__xludf.DUMMYFUNCTION("""COMPUTED_VALUE"""),86.77)</f>
        <v>86.77</v>
      </c>
      <c r="H760" s="1">
        <f ca="1">IFERROR(__xludf.DUMMYFUNCTION("""COMPUTED_VALUE"""),110.34)</f>
        <v>110.34</v>
      </c>
      <c r="I760" s="1">
        <f ca="1">IFERROR(__xludf.DUMMYFUNCTION("""COMPUTED_VALUE"""),177.1)</f>
        <v>177.1</v>
      </c>
      <c r="J760" s="1">
        <f ca="1">IFERROR(__xludf.DUMMYFUNCTION("""COMPUTED_VALUE"""),450.19)</f>
        <v>450.19</v>
      </c>
      <c r="K760" s="1">
        <f ca="1">IFERROR(__xludf.DUMMYFUNCTION("""COMPUTED_VALUE"""),55.5)</f>
        <v>55.5</v>
      </c>
      <c r="L760" s="1">
        <f ca="1">IFERROR(__xludf.DUMMYFUNCTION("""COMPUTED_VALUE"""),328.44)</f>
        <v>328.44</v>
      </c>
      <c r="M760" s="1">
        <f ca="1">IFERROR(__xludf.DUMMYFUNCTION("""COMPUTED_VALUE"""),309.7)</f>
        <v>309.7</v>
      </c>
    </row>
    <row r="761" spans="1:13" x14ac:dyDescent="0.25">
      <c r="A761" s="2">
        <f ca="1">IFERROR(__xludf.DUMMYFUNCTION("""COMPUTED_VALUE"""),44935.6666666666)</f>
        <v>44935.666666666599</v>
      </c>
      <c r="B761" s="1">
        <f ca="1">IFERROR(__xludf.DUMMYFUNCTION("""COMPUTED_VALUE"""),130.15)</f>
        <v>130.15</v>
      </c>
      <c r="C761" s="1">
        <f ca="1">IFERROR(__xludf.DUMMYFUNCTION("""COMPUTED_VALUE"""),224.93)</f>
        <v>224.93</v>
      </c>
      <c r="D761" s="1">
        <f ca="1">IFERROR(__xludf.DUMMYFUNCTION("""COMPUTED_VALUE"""),86.08)</f>
        <v>86.08</v>
      </c>
      <c r="E761" s="1">
        <f ca="1">IFERROR(__xludf.DUMMYFUNCTION("""COMPUTED_VALUE"""),14.86)</f>
        <v>14.86</v>
      </c>
      <c r="F761" s="1">
        <f ca="1">IFERROR(__xludf.DUMMYFUNCTION("""COMPUTED_VALUE"""),130.02)</f>
        <v>130.02000000000001</v>
      </c>
      <c r="G761" s="1">
        <f ca="1">IFERROR(__xludf.DUMMYFUNCTION("""COMPUTED_VALUE"""),88.16)</f>
        <v>88.16</v>
      </c>
      <c r="H761" s="1">
        <f ca="1">IFERROR(__xludf.DUMMYFUNCTION("""COMPUTED_VALUE"""),113.06)</f>
        <v>113.06</v>
      </c>
      <c r="I761" s="1">
        <f ca="1">IFERROR(__xludf.DUMMYFUNCTION("""COMPUTED_VALUE"""),181.1)</f>
        <v>181.1</v>
      </c>
      <c r="J761" s="1">
        <f ca="1">IFERROR(__xludf.DUMMYFUNCTION("""COMPUTED_VALUE"""),482.87)</f>
        <v>482.87</v>
      </c>
      <c r="K761" s="1">
        <f ca="1">IFERROR(__xludf.DUMMYFUNCTION("""COMPUTED_VALUE"""),58.84)</f>
        <v>58.84</v>
      </c>
      <c r="L761" s="1">
        <f ca="1">IFERROR(__xludf.DUMMYFUNCTION("""COMPUTED_VALUE"""),332.75)</f>
        <v>332.75</v>
      </c>
      <c r="M761" s="1">
        <f ca="1">IFERROR(__xludf.DUMMYFUNCTION("""COMPUTED_VALUE"""),315.55)</f>
        <v>315.55</v>
      </c>
    </row>
    <row r="762" spans="1:13" x14ac:dyDescent="0.25">
      <c r="A762" s="2">
        <f ca="1">IFERROR(__xludf.DUMMYFUNCTION("""COMPUTED_VALUE"""),44936.6666666666)</f>
        <v>44936.666666666599</v>
      </c>
      <c r="B762" s="1">
        <f ca="1">IFERROR(__xludf.DUMMYFUNCTION("""COMPUTED_VALUE"""),130.73)</f>
        <v>130.72999999999999</v>
      </c>
      <c r="C762" s="1">
        <f ca="1">IFERROR(__xludf.DUMMYFUNCTION("""COMPUTED_VALUE"""),227.12)</f>
        <v>227.12</v>
      </c>
      <c r="D762" s="1">
        <f ca="1">IFERROR(__xludf.DUMMYFUNCTION("""COMPUTED_VALUE"""),87.36)</f>
        <v>87.36</v>
      </c>
      <c r="E762" s="1">
        <f ca="1">IFERROR(__xludf.DUMMYFUNCTION("""COMPUTED_VALUE"""),15.63)</f>
        <v>15.63</v>
      </c>
      <c r="F762" s="1">
        <f ca="1">IFERROR(__xludf.DUMMYFUNCTION("""COMPUTED_VALUE"""),129.47)</f>
        <v>129.47</v>
      </c>
      <c r="G762" s="1">
        <f ca="1">IFERROR(__xludf.DUMMYFUNCTION("""COMPUTED_VALUE"""),88.8)</f>
        <v>88.8</v>
      </c>
      <c r="H762" s="1">
        <f ca="1">IFERROR(__xludf.DUMMYFUNCTION("""COMPUTED_VALUE"""),119.77)</f>
        <v>119.77</v>
      </c>
      <c r="I762" s="1">
        <f ca="1">IFERROR(__xludf.DUMMYFUNCTION("""COMPUTED_VALUE"""),179.33)</f>
        <v>179.33</v>
      </c>
      <c r="J762" s="1">
        <f ca="1">IFERROR(__xludf.DUMMYFUNCTION("""COMPUTED_VALUE"""),478.75)</f>
        <v>478.75</v>
      </c>
      <c r="K762" s="1">
        <f ca="1">IFERROR(__xludf.DUMMYFUNCTION("""COMPUTED_VALUE"""),57.69)</f>
        <v>57.69</v>
      </c>
      <c r="L762" s="1">
        <f ca="1">IFERROR(__xludf.DUMMYFUNCTION("""COMPUTED_VALUE"""),341.98)</f>
        <v>341.98</v>
      </c>
      <c r="M762" s="1">
        <f ca="1">IFERROR(__xludf.DUMMYFUNCTION("""COMPUTED_VALUE"""),315.17)</f>
        <v>315.17</v>
      </c>
    </row>
    <row r="763" spans="1:13" x14ac:dyDescent="0.25">
      <c r="A763" s="2">
        <f ca="1">IFERROR(__xludf.DUMMYFUNCTION("""COMPUTED_VALUE"""),44937.6666666666)</f>
        <v>44937.666666666599</v>
      </c>
      <c r="B763" s="1">
        <f ca="1">IFERROR(__xludf.DUMMYFUNCTION("""COMPUTED_VALUE"""),133.49)</f>
        <v>133.49</v>
      </c>
      <c r="C763" s="1">
        <f ca="1">IFERROR(__xludf.DUMMYFUNCTION("""COMPUTED_VALUE"""),228.85)</f>
        <v>228.85</v>
      </c>
      <c r="D763" s="1">
        <f ca="1">IFERROR(__xludf.DUMMYFUNCTION("""COMPUTED_VALUE"""),89.87)</f>
        <v>89.87</v>
      </c>
      <c r="E763" s="1">
        <f ca="1">IFERROR(__xludf.DUMMYFUNCTION("""COMPUTED_VALUE"""),15.91)</f>
        <v>15.91</v>
      </c>
      <c r="F763" s="1">
        <f ca="1">IFERROR(__xludf.DUMMYFUNCTION("""COMPUTED_VALUE"""),132.99)</f>
        <v>132.99</v>
      </c>
      <c r="G763" s="1">
        <f ca="1">IFERROR(__xludf.DUMMYFUNCTION("""COMPUTED_VALUE"""),89.24)</f>
        <v>89.24</v>
      </c>
      <c r="H763" s="1">
        <f ca="1">IFERROR(__xludf.DUMMYFUNCTION("""COMPUTED_VALUE"""),118.85)</f>
        <v>118.85</v>
      </c>
      <c r="I763" s="1">
        <f ca="1">IFERROR(__xludf.DUMMYFUNCTION("""COMPUTED_VALUE"""),177.85)</f>
        <v>177.85</v>
      </c>
      <c r="J763" s="1">
        <f ca="1">IFERROR(__xludf.DUMMYFUNCTION("""COMPUTED_VALUE"""),481.4)</f>
        <v>481.4</v>
      </c>
      <c r="K763" s="1">
        <f ca="1">IFERROR(__xludf.DUMMYFUNCTION("""COMPUTED_VALUE"""),57.49)</f>
        <v>57.49</v>
      </c>
      <c r="L763" s="1">
        <f ca="1">IFERROR(__xludf.DUMMYFUNCTION("""COMPUTED_VALUE"""),338.7)</f>
        <v>338.7</v>
      </c>
      <c r="M763" s="1">
        <f ca="1">IFERROR(__xludf.DUMMYFUNCTION("""COMPUTED_VALUE"""),327.54)</f>
        <v>327.54000000000002</v>
      </c>
    </row>
    <row r="764" spans="1:13" x14ac:dyDescent="0.25">
      <c r="A764" s="2">
        <f ca="1">IFERROR(__xludf.DUMMYFUNCTION("""COMPUTED_VALUE"""),44938.6666666666)</f>
        <v>44938.666666666599</v>
      </c>
      <c r="B764" s="1">
        <f ca="1">IFERROR(__xludf.DUMMYFUNCTION("""COMPUTED_VALUE"""),133.41)</f>
        <v>133.41</v>
      </c>
      <c r="C764" s="1">
        <f ca="1">IFERROR(__xludf.DUMMYFUNCTION("""COMPUTED_VALUE"""),235.77)</f>
        <v>235.77</v>
      </c>
      <c r="D764" s="1">
        <f ca="1">IFERROR(__xludf.DUMMYFUNCTION("""COMPUTED_VALUE"""),95.09)</f>
        <v>95.09</v>
      </c>
      <c r="E764" s="1">
        <f ca="1">IFERROR(__xludf.DUMMYFUNCTION("""COMPUTED_VALUE"""),16)</f>
        <v>16</v>
      </c>
      <c r="F764" s="1">
        <f ca="1">IFERROR(__xludf.DUMMYFUNCTION("""COMPUTED_VALUE"""),132.89)</f>
        <v>132.88999999999999</v>
      </c>
      <c r="G764" s="1">
        <f ca="1">IFERROR(__xludf.DUMMYFUNCTION("""COMPUTED_VALUE"""),92.26)</f>
        <v>92.26</v>
      </c>
      <c r="H764" s="1">
        <f ca="1">IFERROR(__xludf.DUMMYFUNCTION("""COMPUTED_VALUE"""),123.22)</f>
        <v>123.22</v>
      </c>
      <c r="I764" s="1">
        <f ca="1">IFERROR(__xludf.DUMMYFUNCTION("""COMPUTED_VALUE"""),178.05)</f>
        <v>178.05</v>
      </c>
      <c r="J764" s="1">
        <f ca="1">IFERROR(__xludf.DUMMYFUNCTION("""COMPUTED_VALUE"""),484.31)</f>
        <v>484.31</v>
      </c>
      <c r="K764" s="1">
        <f ca="1">IFERROR(__xludf.DUMMYFUNCTION("""COMPUTED_VALUE"""),57.81)</f>
        <v>57.81</v>
      </c>
      <c r="L764" s="1">
        <f ca="1">IFERROR(__xludf.DUMMYFUNCTION("""COMPUTED_VALUE"""),342.93)</f>
        <v>342.93</v>
      </c>
      <c r="M764" s="1">
        <f ca="1">IFERROR(__xludf.DUMMYFUNCTION("""COMPUTED_VALUE"""),327.26)</f>
        <v>327.26</v>
      </c>
    </row>
    <row r="765" spans="1:13" x14ac:dyDescent="0.25">
      <c r="A765" s="2">
        <f ca="1">IFERROR(__xludf.DUMMYFUNCTION("""COMPUTED_VALUE"""),44939.6666666666)</f>
        <v>44939.666666666599</v>
      </c>
      <c r="B765" s="1">
        <f ca="1">IFERROR(__xludf.DUMMYFUNCTION("""COMPUTED_VALUE"""),134.76)</f>
        <v>134.76</v>
      </c>
      <c r="C765" s="1">
        <f ca="1">IFERROR(__xludf.DUMMYFUNCTION("""COMPUTED_VALUE"""),238.51)</f>
        <v>238.51</v>
      </c>
      <c r="D765" s="1">
        <f ca="1">IFERROR(__xludf.DUMMYFUNCTION("""COMPUTED_VALUE"""),95.27)</f>
        <v>95.27</v>
      </c>
      <c r="E765" s="1">
        <f ca="1">IFERROR(__xludf.DUMMYFUNCTION("""COMPUTED_VALUE"""),16.51)</f>
        <v>16.510000000000002</v>
      </c>
      <c r="F765" s="1">
        <f ca="1">IFERROR(__xludf.DUMMYFUNCTION("""COMPUTED_VALUE"""),136.71)</f>
        <v>136.71</v>
      </c>
      <c r="G765" s="1">
        <f ca="1">IFERROR(__xludf.DUMMYFUNCTION("""COMPUTED_VALUE"""),91.91)</f>
        <v>91.91</v>
      </c>
      <c r="H765" s="1">
        <f ca="1">IFERROR(__xludf.DUMMYFUNCTION("""COMPUTED_VALUE"""),123.56)</f>
        <v>123.56</v>
      </c>
      <c r="I765" s="1">
        <f ca="1">IFERROR(__xludf.DUMMYFUNCTION("""COMPUTED_VALUE"""),175.78)</f>
        <v>175.78</v>
      </c>
      <c r="J765" s="1">
        <f ca="1">IFERROR(__xludf.DUMMYFUNCTION("""COMPUTED_VALUE"""),482.43)</f>
        <v>482.43</v>
      </c>
      <c r="K765" s="1">
        <f ca="1">IFERROR(__xludf.DUMMYFUNCTION("""COMPUTED_VALUE"""),58.19)</f>
        <v>58.19</v>
      </c>
      <c r="L765" s="1">
        <f ca="1">IFERROR(__xludf.DUMMYFUNCTION("""COMPUTED_VALUE"""),344.54)</f>
        <v>344.54</v>
      </c>
      <c r="M765" s="1">
        <f ca="1">IFERROR(__xludf.DUMMYFUNCTION("""COMPUTED_VALUE"""),330.13)</f>
        <v>330.13</v>
      </c>
    </row>
    <row r="766" spans="1:13" x14ac:dyDescent="0.25">
      <c r="A766" s="2">
        <f ca="1">IFERROR(__xludf.DUMMYFUNCTION("""COMPUTED_VALUE"""),44943.6666666666)</f>
        <v>44943.666666666599</v>
      </c>
      <c r="B766" s="1">
        <f ca="1">IFERROR(__xludf.DUMMYFUNCTION("""COMPUTED_VALUE"""),135.94)</f>
        <v>135.94</v>
      </c>
      <c r="C766" s="1">
        <f ca="1">IFERROR(__xludf.DUMMYFUNCTION("""COMPUTED_VALUE"""),239.23)</f>
        <v>239.23</v>
      </c>
      <c r="D766" s="1">
        <f ca="1">IFERROR(__xludf.DUMMYFUNCTION("""COMPUTED_VALUE"""),98.12)</f>
        <v>98.12</v>
      </c>
      <c r="E766" s="1">
        <f ca="1">IFERROR(__xludf.DUMMYFUNCTION("""COMPUTED_VALUE"""),16.9)</f>
        <v>16.899999999999999</v>
      </c>
      <c r="F766" s="1">
        <f ca="1">IFERROR(__xludf.DUMMYFUNCTION("""COMPUTED_VALUE"""),136.98)</f>
        <v>136.97999999999999</v>
      </c>
      <c r="G766" s="1">
        <f ca="1">IFERROR(__xludf.DUMMYFUNCTION("""COMPUTED_VALUE"""),92.8)</f>
        <v>92.8</v>
      </c>
      <c r="H766" s="1">
        <f ca="1">IFERROR(__xludf.DUMMYFUNCTION("""COMPUTED_VALUE"""),122.4)</f>
        <v>122.4</v>
      </c>
      <c r="I766" s="1">
        <f ca="1">IFERROR(__xludf.DUMMYFUNCTION("""COMPUTED_VALUE"""),175.24)</f>
        <v>175.24</v>
      </c>
      <c r="J766" s="1">
        <f ca="1">IFERROR(__xludf.DUMMYFUNCTION("""COMPUTED_VALUE"""),485.25)</f>
        <v>485.25</v>
      </c>
      <c r="K766" s="1">
        <f ca="1">IFERROR(__xludf.DUMMYFUNCTION("""COMPUTED_VALUE"""),57.9)</f>
        <v>57.9</v>
      </c>
      <c r="L766" s="1">
        <f ca="1">IFERROR(__xludf.DUMMYFUNCTION("""COMPUTED_VALUE"""),344.38)</f>
        <v>344.38</v>
      </c>
      <c r="M766" s="1">
        <f ca="1">IFERROR(__xludf.DUMMYFUNCTION("""COMPUTED_VALUE"""),332.82)</f>
        <v>332.82</v>
      </c>
    </row>
    <row r="767" spans="1:13" x14ac:dyDescent="0.25">
      <c r="A767" s="2">
        <f ca="1">IFERROR(__xludf.DUMMYFUNCTION("""COMPUTED_VALUE"""),44944.6666666666)</f>
        <v>44944.666666666599</v>
      </c>
      <c r="B767" s="1">
        <f ca="1">IFERROR(__xludf.DUMMYFUNCTION("""COMPUTED_VALUE"""),135.21)</f>
        <v>135.21</v>
      </c>
      <c r="C767" s="1">
        <f ca="1">IFERROR(__xludf.DUMMYFUNCTION("""COMPUTED_VALUE"""),240.35)</f>
        <v>240.35</v>
      </c>
      <c r="D767" s="1">
        <f ca="1">IFERROR(__xludf.DUMMYFUNCTION("""COMPUTED_VALUE"""),96.05)</f>
        <v>96.05</v>
      </c>
      <c r="E767" s="1">
        <f ca="1">IFERROR(__xludf.DUMMYFUNCTION("""COMPUTED_VALUE"""),17.7)</f>
        <v>17.7</v>
      </c>
      <c r="F767" s="1">
        <f ca="1">IFERROR(__xludf.DUMMYFUNCTION("""COMPUTED_VALUE"""),135.36)</f>
        <v>135.36000000000001</v>
      </c>
      <c r="G767" s="1">
        <f ca="1">IFERROR(__xludf.DUMMYFUNCTION("""COMPUTED_VALUE"""),92.16)</f>
        <v>92.16</v>
      </c>
      <c r="H767" s="1">
        <f ca="1">IFERROR(__xludf.DUMMYFUNCTION("""COMPUTED_VALUE"""),131.49)</f>
        <v>131.49</v>
      </c>
      <c r="I767" s="1">
        <f ca="1">IFERROR(__xludf.DUMMYFUNCTION("""COMPUTED_VALUE"""),176.06)</f>
        <v>176.06</v>
      </c>
      <c r="J767" s="1">
        <f ca="1">IFERROR(__xludf.DUMMYFUNCTION("""COMPUTED_VALUE"""),486.77)</f>
        <v>486.77</v>
      </c>
      <c r="K767" s="1">
        <f ca="1">IFERROR(__xludf.DUMMYFUNCTION("""COMPUTED_VALUE"""),57.92)</f>
        <v>57.92</v>
      </c>
      <c r="L767" s="1">
        <f ca="1">IFERROR(__xludf.DUMMYFUNCTION("""COMPUTED_VALUE"""),344.38)</f>
        <v>344.38</v>
      </c>
      <c r="M767" s="1">
        <f ca="1">IFERROR(__xludf.DUMMYFUNCTION("""COMPUTED_VALUE"""),326.22)</f>
        <v>326.22000000000003</v>
      </c>
    </row>
    <row r="768" spans="1:13" x14ac:dyDescent="0.25">
      <c r="A768" s="2">
        <f ca="1">IFERROR(__xludf.DUMMYFUNCTION("""COMPUTED_VALUE"""),44945.6666666666)</f>
        <v>44945.666666666599</v>
      </c>
      <c r="B768" s="1">
        <f ca="1">IFERROR(__xludf.DUMMYFUNCTION("""COMPUTED_VALUE"""),135.27)</f>
        <v>135.27000000000001</v>
      </c>
      <c r="C768" s="1">
        <f ca="1">IFERROR(__xludf.DUMMYFUNCTION("""COMPUTED_VALUE"""),235.81)</f>
        <v>235.81</v>
      </c>
      <c r="D768" s="1">
        <f ca="1">IFERROR(__xludf.DUMMYFUNCTION("""COMPUTED_VALUE"""),95.46)</f>
        <v>95.46</v>
      </c>
      <c r="E768" s="1">
        <f ca="1">IFERROR(__xludf.DUMMYFUNCTION("""COMPUTED_VALUE"""),17.38)</f>
        <v>17.38</v>
      </c>
      <c r="F768" s="1">
        <f ca="1">IFERROR(__xludf.DUMMYFUNCTION("""COMPUTED_VALUE"""),133.02)</f>
        <v>133.02000000000001</v>
      </c>
      <c r="G768" s="1">
        <f ca="1">IFERROR(__xludf.DUMMYFUNCTION("""COMPUTED_VALUE"""),91.78)</f>
        <v>91.78</v>
      </c>
      <c r="H768" s="1">
        <f ca="1">IFERROR(__xludf.DUMMYFUNCTION("""COMPUTED_VALUE"""),128.78)</f>
        <v>128.78</v>
      </c>
      <c r="I768" s="1">
        <f ca="1">IFERROR(__xludf.DUMMYFUNCTION("""COMPUTED_VALUE"""),171.62)</f>
        <v>171.62</v>
      </c>
      <c r="J768" s="1">
        <f ca="1">IFERROR(__xludf.DUMMYFUNCTION("""COMPUTED_VALUE"""),479.47)</f>
        <v>479.47</v>
      </c>
      <c r="K768" s="1">
        <f ca="1">IFERROR(__xludf.DUMMYFUNCTION("""COMPUTED_VALUE"""),57.43)</f>
        <v>57.43</v>
      </c>
      <c r="L768" s="1">
        <f ca="1">IFERROR(__xludf.DUMMYFUNCTION("""COMPUTED_VALUE"""),341.31)</f>
        <v>341.31</v>
      </c>
      <c r="M768" s="1">
        <f ca="1">IFERROR(__xludf.DUMMYFUNCTION("""COMPUTED_VALUE"""),326.33)</f>
        <v>326.33</v>
      </c>
    </row>
    <row r="769" spans="1:13" x14ac:dyDescent="0.25">
      <c r="A769" s="2">
        <f ca="1">IFERROR(__xludf.DUMMYFUNCTION("""COMPUTED_VALUE"""),44946.6666666666)</f>
        <v>44946.666666666599</v>
      </c>
      <c r="B769" s="1">
        <f ca="1">IFERROR(__xludf.DUMMYFUNCTION("""COMPUTED_VALUE"""),137.87)</f>
        <v>137.87</v>
      </c>
      <c r="C769" s="1">
        <f ca="1">IFERROR(__xludf.DUMMYFUNCTION("""COMPUTED_VALUE"""),231.93)</f>
        <v>231.93</v>
      </c>
      <c r="D769" s="1">
        <f ca="1">IFERROR(__xludf.DUMMYFUNCTION("""COMPUTED_VALUE"""),93.68)</f>
        <v>93.68</v>
      </c>
      <c r="E769" s="1">
        <f ca="1">IFERROR(__xludf.DUMMYFUNCTION("""COMPUTED_VALUE"""),16.77)</f>
        <v>16.77</v>
      </c>
      <c r="F769" s="1">
        <f ca="1">IFERROR(__xludf.DUMMYFUNCTION("""COMPUTED_VALUE"""),136.15)</f>
        <v>136.15</v>
      </c>
      <c r="G769" s="1">
        <f ca="1">IFERROR(__xludf.DUMMYFUNCTION("""COMPUTED_VALUE"""),93.91)</f>
        <v>93.91</v>
      </c>
      <c r="H769" s="1">
        <f ca="1">IFERROR(__xludf.DUMMYFUNCTION("""COMPUTED_VALUE"""),127.17)</f>
        <v>127.17</v>
      </c>
      <c r="I769" s="1">
        <f ca="1">IFERROR(__xludf.DUMMYFUNCTION("""COMPUTED_VALUE"""),169.63)</f>
        <v>169.63</v>
      </c>
      <c r="J769" s="1">
        <f ca="1">IFERROR(__xludf.DUMMYFUNCTION("""COMPUTED_VALUE"""),469.49)</f>
        <v>469.49</v>
      </c>
      <c r="K769" s="1">
        <f ca="1">IFERROR(__xludf.DUMMYFUNCTION("""COMPUTED_VALUE"""),56.32)</f>
        <v>56.32</v>
      </c>
      <c r="L769" s="1">
        <f ca="1">IFERROR(__xludf.DUMMYFUNCTION("""COMPUTED_VALUE"""),342.53)</f>
        <v>342.53</v>
      </c>
      <c r="M769" s="1">
        <f ca="1">IFERROR(__xludf.DUMMYFUNCTION("""COMPUTED_VALUE"""),315.78)</f>
        <v>315.77999999999997</v>
      </c>
    </row>
    <row r="770" spans="1:13" x14ac:dyDescent="0.25">
      <c r="A770" s="2">
        <f ca="1">IFERROR(__xludf.DUMMYFUNCTION("""COMPUTED_VALUE"""),44949.6666666666)</f>
        <v>44949.666666666599</v>
      </c>
      <c r="B770" s="1">
        <f ca="1">IFERROR(__xludf.DUMMYFUNCTION("""COMPUTED_VALUE"""),141.11)</f>
        <v>141.11000000000001</v>
      </c>
      <c r="C770" s="1">
        <f ca="1">IFERROR(__xludf.DUMMYFUNCTION("""COMPUTED_VALUE"""),240.22)</f>
        <v>240.22</v>
      </c>
      <c r="D770" s="1">
        <f ca="1">IFERROR(__xludf.DUMMYFUNCTION("""COMPUTED_VALUE"""),97.25)</f>
        <v>97.25</v>
      </c>
      <c r="E770" s="1">
        <f ca="1">IFERROR(__xludf.DUMMYFUNCTION("""COMPUTED_VALUE"""),17.84)</f>
        <v>17.84</v>
      </c>
      <c r="F770" s="1">
        <f ca="1">IFERROR(__xludf.DUMMYFUNCTION("""COMPUTED_VALUE"""),139.37)</f>
        <v>139.37</v>
      </c>
      <c r="G770" s="1">
        <f ca="1">IFERROR(__xludf.DUMMYFUNCTION("""COMPUTED_VALUE"""),99.28)</f>
        <v>99.28</v>
      </c>
      <c r="H770" s="1">
        <f ca="1">IFERROR(__xludf.DUMMYFUNCTION("""COMPUTED_VALUE"""),133.42)</f>
        <v>133.41999999999999</v>
      </c>
      <c r="I770" s="1">
        <f ca="1">IFERROR(__xludf.DUMMYFUNCTION("""COMPUTED_VALUE"""),169.88)</f>
        <v>169.88</v>
      </c>
      <c r="J770" s="1">
        <f ca="1">IFERROR(__xludf.DUMMYFUNCTION("""COMPUTED_VALUE"""),480.11)</f>
        <v>480.11</v>
      </c>
      <c r="K770" s="1">
        <f ca="1">IFERROR(__xludf.DUMMYFUNCTION("""COMPUTED_VALUE"""),57.08)</f>
        <v>57.08</v>
      </c>
      <c r="L770" s="1">
        <f ca="1">IFERROR(__xludf.DUMMYFUNCTION("""COMPUTED_VALUE"""),356.38)</f>
        <v>356.38</v>
      </c>
      <c r="M770" s="1">
        <f ca="1">IFERROR(__xludf.DUMMYFUNCTION("""COMPUTED_VALUE"""),342.5)</f>
        <v>342.5</v>
      </c>
    </row>
    <row r="771" spans="1:13" x14ac:dyDescent="0.25">
      <c r="A771" s="2">
        <f ca="1">IFERROR(__xludf.DUMMYFUNCTION("""COMPUTED_VALUE"""),44950.6666666666)</f>
        <v>44950.666666666599</v>
      </c>
      <c r="B771" s="1">
        <f ca="1">IFERROR(__xludf.DUMMYFUNCTION("""COMPUTED_VALUE"""),142.53)</f>
        <v>142.53</v>
      </c>
      <c r="C771" s="1">
        <f ca="1">IFERROR(__xludf.DUMMYFUNCTION("""COMPUTED_VALUE"""),242.58)</f>
        <v>242.58</v>
      </c>
      <c r="D771" s="1">
        <f ca="1">IFERROR(__xludf.DUMMYFUNCTION("""COMPUTED_VALUE"""),97.52)</f>
        <v>97.52</v>
      </c>
      <c r="E771" s="1">
        <f ca="1">IFERROR(__xludf.DUMMYFUNCTION("""COMPUTED_VALUE"""),19.19)</f>
        <v>19.190000000000001</v>
      </c>
      <c r="F771" s="1">
        <f ca="1">IFERROR(__xludf.DUMMYFUNCTION("""COMPUTED_VALUE"""),143.27)</f>
        <v>143.27000000000001</v>
      </c>
      <c r="G771" s="1">
        <f ca="1">IFERROR(__xludf.DUMMYFUNCTION("""COMPUTED_VALUE"""),101.21)</f>
        <v>101.21</v>
      </c>
      <c r="H771" s="1">
        <f ca="1">IFERROR(__xludf.DUMMYFUNCTION("""COMPUTED_VALUE"""),143.75)</f>
        <v>143.75</v>
      </c>
      <c r="I771" s="1">
        <f ca="1">IFERROR(__xludf.DUMMYFUNCTION("""COMPUTED_VALUE"""),169.12)</f>
        <v>169.12</v>
      </c>
      <c r="J771" s="1">
        <f ca="1">IFERROR(__xludf.DUMMYFUNCTION("""COMPUTED_VALUE"""),492.61)</f>
        <v>492.61</v>
      </c>
      <c r="K771" s="1">
        <f ca="1">IFERROR(__xludf.DUMMYFUNCTION("""COMPUTED_VALUE"""),58.16)</f>
        <v>58.16</v>
      </c>
      <c r="L771" s="1">
        <f ca="1">IFERROR(__xludf.DUMMYFUNCTION("""COMPUTED_VALUE"""),364.98)</f>
        <v>364.98</v>
      </c>
      <c r="M771" s="1">
        <f ca="1">IFERROR(__xludf.DUMMYFUNCTION("""COMPUTED_VALUE"""),357.42)</f>
        <v>357.42</v>
      </c>
    </row>
    <row r="772" spans="1:13" x14ac:dyDescent="0.25">
      <c r="A772" s="2">
        <f ca="1">IFERROR(__xludf.DUMMYFUNCTION("""COMPUTED_VALUE"""),44951.6666666666)</f>
        <v>44951.666666666599</v>
      </c>
      <c r="B772" s="1">
        <f ca="1">IFERROR(__xludf.DUMMYFUNCTION("""COMPUTED_VALUE"""),141.86)</f>
        <v>141.86000000000001</v>
      </c>
      <c r="C772" s="1">
        <f ca="1">IFERROR(__xludf.DUMMYFUNCTION("""COMPUTED_VALUE"""),242.04)</f>
        <v>242.04</v>
      </c>
      <c r="D772" s="1">
        <f ca="1">IFERROR(__xludf.DUMMYFUNCTION("""COMPUTED_VALUE"""),96.32)</f>
        <v>96.32</v>
      </c>
      <c r="E772" s="1">
        <f ca="1">IFERROR(__xludf.DUMMYFUNCTION("""COMPUTED_VALUE"""),19.27)</f>
        <v>19.27</v>
      </c>
      <c r="F772" s="1">
        <f ca="1">IFERROR(__xludf.DUMMYFUNCTION("""COMPUTED_VALUE"""),143.14)</f>
        <v>143.13999999999999</v>
      </c>
      <c r="G772" s="1">
        <f ca="1">IFERROR(__xludf.DUMMYFUNCTION("""COMPUTED_VALUE"""),99.21)</f>
        <v>99.21</v>
      </c>
      <c r="H772" s="1">
        <f ca="1">IFERROR(__xludf.DUMMYFUNCTION("""COMPUTED_VALUE"""),143.89)</f>
        <v>143.88999999999999</v>
      </c>
      <c r="I772" s="1">
        <f ca="1">IFERROR(__xludf.DUMMYFUNCTION("""COMPUTED_VALUE"""),170.69)</f>
        <v>170.69</v>
      </c>
      <c r="J772" s="1">
        <f ca="1">IFERROR(__xludf.DUMMYFUNCTION("""COMPUTED_VALUE"""),492.11)</f>
        <v>492.11</v>
      </c>
      <c r="K772" s="1">
        <f ca="1">IFERROR(__xludf.DUMMYFUNCTION("""COMPUTED_VALUE"""),58.5)</f>
        <v>58.5</v>
      </c>
      <c r="L772" s="1">
        <f ca="1">IFERROR(__xludf.DUMMYFUNCTION("""COMPUTED_VALUE"""),361.32)</f>
        <v>361.32</v>
      </c>
      <c r="M772" s="1">
        <f ca="1">IFERROR(__xludf.DUMMYFUNCTION("""COMPUTED_VALUE"""),363.83)</f>
        <v>363.83</v>
      </c>
    </row>
    <row r="773" spans="1:13" x14ac:dyDescent="0.25">
      <c r="A773" s="2">
        <f ca="1">IFERROR(__xludf.DUMMYFUNCTION("""COMPUTED_VALUE"""),44952.6666666666)</f>
        <v>44952.666666666599</v>
      </c>
      <c r="B773" s="1">
        <f ca="1">IFERROR(__xludf.DUMMYFUNCTION("""COMPUTED_VALUE"""),143.96)</f>
        <v>143.96</v>
      </c>
      <c r="C773" s="1">
        <f ca="1">IFERROR(__xludf.DUMMYFUNCTION("""COMPUTED_VALUE"""),240.61)</f>
        <v>240.61</v>
      </c>
      <c r="D773" s="1">
        <f ca="1">IFERROR(__xludf.DUMMYFUNCTION("""COMPUTED_VALUE"""),97.18)</f>
        <v>97.18</v>
      </c>
      <c r="E773" s="1">
        <f ca="1">IFERROR(__xludf.DUMMYFUNCTION("""COMPUTED_VALUE"""),19.32)</f>
        <v>19.32</v>
      </c>
      <c r="F773" s="1">
        <f ca="1">IFERROR(__xludf.DUMMYFUNCTION("""COMPUTED_VALUE"""),141.5)</f>
        <v>141.5</v>
      </c>
      <c r="G773" s="1">
        <f ca="1">IFERROR(__xludf.DUMMYFUNCTION("""COMPUTED_VALUE"""),96.73)</f>
        <v>96.73</v>
      </c>
      <c r="H773" s="1">
        <f ca="1">IFERROR(__xludf.DUMMYFUNCTION("""COMPUTED_VALUE"""),144.43)</f>
        <v>144.43</v>
      </c>
      <c r="I773" s="1">
        <f ca="1">IFERROR(__xludf.DUMMYFUNCTION("""COMPUTED_VALUE"""),171.93)</f>
        <v>171.93</v>
      </c>
      <c r="J773" s="1">
        <f ca="1">IFERROR(__xludf.DUMMYFUNCTION("""COMPUTED_VALUE"""),490.88)</f>
        <v>490.88</v>
      </c>
      <c r="K773" s="1">
        <f ca="1">IFERROR(__xludf.DUMMYFUNCTION("""COMPUTED_VALUE"""),58.57)</f>
        <v>58.57</v>
      </c>
      <c r="L773" s="1">
        <f ca="1">IFERROR(__xludf.DUMMYFUNCTION("""COMPUTED_VALUE"""),358.17)</f>
        <v>358.17</v>
      </c>
      <c r="M773" s="1">
        <f ca="1">IFERROR(__xludf.DUMMYFUNCTION("""COMPUTED_VALUE"""),367.96)</f>
        <v>367.96</v>
      </c>
    </row>
    <row r="774" spans="1:13" x14ac:dyDescent="0.25">
      <c r="A774" s="2">
        <f ca="1">IFERROR(__xludf.DUMMYFUNCTION("""COMPUTED_VALUE"""),44953.6666666666)</f>
        <v>44953.666666666599</v>
      </c>
      <c r="B774" s="1">
        <f ca="1">IFERROR(__xludf.DUMMYFUNCTION("""COMPUTED_VALUE"""),145.93)</f>
        <v>145.93</v>
      </c>
      <c r="C774" s="1">
        <f ca="1">IFERROR(__xludf.DUMMYFUNCTION("""COMPUTED_VALUE"""),248)</f>
        <v>248</v>
      </c>
      <c r="D774" s="1">
        <f ca="1">IFERROR(__xludf.DUMMYFUNCTION("""COMPUTED_VALUE"""),99.22)</f>
        <v>99.22</v>
      </c>
      <c r="E774" s="1">
        <f ca="1">IFERROR(__xludf.DUMMYFUNCTION("""COMPUTED_VALUE"""),19.8)</f>
        <v>19.8</v>
      </c>
      <c r="F774" s="1">
        <f ca="1">IFERROR(__xludf.DUMMYFUNCTION("""COMPUTED_VALUE"""),147.3)</f>
        <v>147.30000000000001</v>
      </c>
      <c r="G774" s="1">
        <f ca="1">IFERROR(__xludf.DUMMYFUNCTION("""COMPUTED_VALUE"""),99.16)</f>
        <v>99.16</v>
      </c>
      <c r="H774" s="1">
        <f ca="1">IFERROR(__xludf.DUMMYFUNCTION("""COMPUTED_VALUE"""),160.27)</f>
        <v>160.27000000000001</v>
      </c>
      <c r="I774" s="1">
        <f ca="1">IFERROR(__xludf.DUMMYFUNCTION("""COMPUTED_VALUE"""),170.22)</f>
        <v>170.22</v>
      </c>
      <c r="J774" s="1">
        <f ca="1">IFERROR(__xludf.DUMMYFUNCTION("""COMPUTED_VALUE"""),498.3)</f>
        <v>498.3</v>
      </c>
      <c r="K774" s="1">
        <f ca="1">IFERROR(__xludf.DUMMYFUNCTION("""COMPUTED_VALUE"""),59.86)</f>
        <v>59.86</v>
      </c>
      <c r="L774" s="1">
        <f ca="1">IFERROR(__xludf.DUMMYFUNCTION("""COMPUTED_VALUE"""),365.82)</f>
        <v>365.82</v>
      </c>
      <c r="M774" s="1">
        <f ca="1">IFERROR(__xludf.DUMMYFUNCTION("""COMPUTED_VALUE"""),364.87)</f>
        <v>364.87</v>
      </c>
    </row>
    <row r="775" spans="1:13" x14ac:dyDescent="0.25">
      <c r="A775" s="2">
        <f ca="1">IFERROR(__xludf.DUMMYFUNCTION("""COMPUTED_VALUE"""),44956.6666666666)</f>
        <v>44956.666666666599</v>
      </c>
      <c r="B775" s="1">
        <f ca="1">IFERROR(__xludf.DUMMYFUNCTION("""COMPUTED_VALUE"""),143)</f>
        <v>143</v>
      </c>
      <c r="C775" s="1">
        <f ca="1">IFERROR(__xludf.DUMMYFUNCTION("""COMPUTED_VALUE"""),248.16)</f>
        <v>248.16</v>
      </c>
      <c r="D775" s="1">
        <f ca="1">IFERROR(__xludf.DUMMYFUNCTION("""COMPUTED_VALUE"""),102.24)</f>
        <v>102.24</v>
      </c>
      <c r="E775" s="1">
        <f ca="1">IFERROR(__xludf.DUMMYFUNCTION("""COMPUTED_VALUE"""),20.36)</f>
        <v>20.36</v>
      </c>
      <c r="F775" s="1">
        <f ca="1">IFERROR(__xludf.DUMMYFUNCTION("""COMPUTED_VALUE"""),151.74)</f>
        <v>151.74</v>
      </c>
      <c r="G775" s="1">
        <f ca="1">IFERROR(__xludf.DUMMYFUNCTION("""COMPUTED_VALUE"""),100.71)</f>
        <v>100.71</v>
      </c>
      <c r="H775" s="1">
        <f ca="1">IFERROR(__xludf.DUMMYFUNCTION("""COMPUTED_VALUE"""),177.9)</f>
        <v>177.9</v>
      </c>
      <c r="I775" s="1">
        <f ca="1">IFERROR(__xludf.DUMMYFUNCTION("""COMPUTED_VALUE"""),169.62)</f>
        <v>169.62</v>
      </c>
      <c r="J775" s="1">
        <f ca="1">IFERROR(__xludf.DUMMYFUNCTION("""COMPUTED_VALUE"""),503.29)</f>
        <v>503.29</v>
      </c>
      <c r="K775" s="1">
        <f ca="1">IFERROR(__xludf.DUMMYFUNCTION("""COMPUTED_VALUE"""),59.1)</f>
        <v>59.1</v>
      </c>
      <c r="L775" s="1">
        <f ca="1">IFERROR(__xludf.DUMMYFUNCTION("""COMPUTED_VALUE"""),370.71)</f>
        <v>370.71</v>
      </c>
      <c r="M775" s="1">
        <f ca="1">IFERROR(__xludf.DUMMYFUNCTION("""COMPUTED_VALUE"""),360.77)</f>
        <v>360.77</v>
      </c>
    </row>
    <row r="776" spans="1:13" x14ac:dyDescent="0.25">
      <c r="A776" s="2">
        <f ca="1">IFERROR(__xludf.DUMMYFUNCTION("""COMPUTED_VALUE"""),44957.6666666666)</f>
        <v>44957.666666666599</v>
      </c>
      <c r="B776" s="1">
        <f ca="1">IFERROR(__xludf.DUMMYFUNCTION("""COMPUTED_VALUE"""),144.29)</f>
        <v>144.29</v>
      </c>
      <c r="C776" s="1">
        <f ca="1">IFERROR(__xludf.DUMMYFUNCTION("""COMPUTED_VALUE"""),242.71)</f>
        <v>242.71</v>
      </c>
      <c r="D776" s="1">
        <f ca="1">IFERROR(__xludf.DUMMYFUNCTION("""COMPUTED_VALUE"""),100.55)</f>
        <v>100.55</v>
      </c>
      <c r="E776" s="1">
        <f ca="1">IFERROR(__xludf.DUMMYFUNCTION("""COMPUTED_VALUE"""),19.16)</f>
        <v>19.16</v>
      </c>
      <c r="F776" s="1">
        <f ca="1">IFERROR(__xludf.DUMMYFUNCTION("""COMPUTED_VALUE"""),147.06)</f>
        <v>147.06</v>
      </c>
      <c r="G776" s="1">
        <f ca="1">IFERROR(__xludf.DUMMYFUNCTION("""COMPUTED_VALUE"""),97.95)</f>
        <v>97.95</v>
      </c>
      <c r="H776" s="1">
        <f ca="1">IFERROR(__xludf.DUMMYFUNCTION("""COMPUTED_VALUE"""),166.66)</f>
        <v>166.66</v>
      </c>
      <c r="I776" s="1">
        <f ca="1">IFERROR(__xludf.DUMMYFUNCTION("""COMPUTED_VALUE"""),169.48)</f>
        <v>169.48</v>
      </c>
      <c r="J776" s="1">
        <f ca="1">IFERROR(__xludf.DUMMYFUNCTION("""COMPUTED_VALUE"""),503.28)</f>
        <v>503.28</v>
      </c>
      <c r="K776" s="1">
        <f ca="1">IFERROR(__xludf.DUMMYFUNCTION("""COMPUTED_VALUE"""),58.15)</f>
        <v>58.15</v>
      </c>
      <c r="L776" s="1">
        <f ca="1">IFERROR(__xludf.DUMMYFUNCTION("""COMPUTED_VALUE"""),363.42)</f>
        <v>363.42</v>
      </c>
      <c r="M776" s="1">
        <f ca="1">IFERROR(__xludf.DUMMYFUNCTION("""COMPUTED_VALUE"""),353.11)</f>
        <v>353.11</v>
      </c>
    </row>
    <row r="777" spans="1:13" x14ac:dyDescent="0.25">
      <c r="A777" s="2">
        <f ca="1">IFERROR(__xludf.DUMMYFUNCTION("""COMPUTED_VALUE"""),44958.6666666666)</f>
        <v>44958.666666666599</v>
      </c>
      <c r="B777" s="1">
        <f ca="1">IFERROR(__xludf.DUMMYFUNCTION("""COMPUTED_VALUE"""),145.43)</f>
        <v>145.43</v>
      </c>
      <c r="C777" s="1">
        <f ca="1">IFERROR(__xludf.DUMMYFUNCTION("""COMPUTED_VALUE"""),247.81)</f>
        <v>247.81</v>
      </c>
      <c r="D777" s="1">
        <f ca="1">IFERROR(__xludf.DUMMYFUNCTION("""COMPUTED_VALUE"""),103.13)</f>
        <v>103.13</v>
      </c>
      <c r="E777" s="1">
        <f ca="1">IFERROR(__xludf.DUMMYFUNCTION("""COMPUTED_VALUE"""),19.54)</f>
        <v>19.54</v>
      </c>
      <c r="F777" s="1">
        <f ca="1">IFERROR(__xludf.DUMMYFUNCTION("""COMPUTED_VALUE"""),148.97)</f>
        <v>148.97</v>
      </c>
      <c r="G777" s="1">
        <f ca="1">IFERROR(__xludf.DUMMYFUNCTION("""COMPUTED_VALUE"""),99.87)</f>
        <v>99.87</v>
      </c>
      <c r="H777" s="1">
        <f ca="1">IFERROR(__xludf.DUMMYFUNCTION("""COMPUTED_VALUE"""),173.22)</f>
        <v>173.22</v>
      </c>
      <c r="I777" s="1">
        <f ca="1">IFERROR(__xludf.DUMMYFUNCTION("""COMPUTED_VALUE"""),171.02)</f>
        <v>171.02</v>
      </c>
      <c r="J777" s="1">
        <f ca="1">IFERROR(__xludf.DUMMYFUNCTION("""COMPUTED_VALUE"""),511.14)</f>
        <v>511.14</v>
      </c>
      <c r="K777" s="1">
        <f ca="1">IFERROR(__xludf.DUMMYFUNCTION("""COMPUTED_VALUE"""),58.5)</f>
        <v>58.5</v>
      </c>
      <c r="L777" s="1">
        <f ca="1">IFERROR(__xludf.DUMMYFUNCTION("""COMPUTED_VALUE"""),370.34)</f>
        <v>370.34</v>
      </c>
      <c r="M777" s="1">
        <f ca="1">IFERROR(__xludf.DUMMYFUNCTION("""COMPUTED_VALUE"""),353.86)</f>
        <v>353.86</v>
      </c>
    </row>
    <row r="778" spans="1:13" x14ac:dyDescent="0.25">
      <c r="A778" s="2">
        <f ca="1">IFERROR(__xludf.DUMMYFUNCTION("""COMPUTED_VALUE"""),44959.6666666666)</f>
        <v>44959.666666666599</v>
      </c>
      <c r="B778" s="1">
        <f ca="1">IFERROR(__xludf.DUMMYFUNCTION("""COMPUTED_VALUE"""),150.82)</f>
        <v>150.82</v>
      </c>
      <c r="C778" s="1">
        <f ca="1">IFERROR(__xludf.DUMMYFUNCTION("""COMPUTED_VALUE"""),252.75)</f>
        <v>252.75</v>
      </c>
      <c r="D778" s="1">
        <f ca="1">IFERROR(__xludf.DUMMYFUNCTION("""COMPUTED_VALUE"""),105.15)</f>
        <v>105.15</v>
      </c>
      <c r="E778" s="1">
        <f ca="1">IFERROR(__xludf.DUMMYFUNCTION("""COMPUTED_VALUE"""),20.94)</f>
        <v>20.94</v>
      </c>
      <c r="F778" s="1">
        <f ca="1">IFERROR(__xludf.DUMMYFUNCTION("""COMPUTED_VALUE"""),153.12)</f>
        <v>153.12</v>
      </c>
      <c r="G778" s="1">
        <f ca="1">IFERROR(__xludf.DUMMYFUNCTION("""COMPUTED_VALUE"""),101.43)</f>
        <v>101.43</v>
      </c>
      <c r="H778" s="1">
        <f ca="1">IFERROR(__xludf.DUMMYFUNCTION("""COMPUTED_VALUE"""),181.41)</f>
        <v>181.41</v>
      </c>
      <c r="I778" s="1">
        <f ca="1">IFERROR(__xludf.DUMMYFUNCTION("""COMPUTED_VALUE"""),171.56)</f>
        <v>171.56</v>
      </c>
      <c r="J778" s="1">
        <f ca="1">IFERROR(__xludf.DUMMYFUNCTION("""COMPUTED_VALUE"""),517.91)</f>
        <v>517.91</v>
      </c>
      <c r="K778" s="1">
        <f ca="1">IFERROR(__xludf.DUMMYFUNCTION("""COMPUTED_VALUE"""),60.28)</f>
        <v>60.28</v>
      </c>
      <c r="L778" s="1">
        <f ca="1">IFERROR(__xludf.DUMMYFUNCTION("""COMPUTED_VALUE"""),383.92)</f>
        <v>383.92</v>
      </c>
      <c r="M778" s="1">
        <f ca="1">IFERROR(__xludf.DUMMYFUNCTION("""COMPUTED_VALUE"""),361.99)</f>
        <v>361.99</v>
      </c>
    </row>
    <row r="779" spans="1:13" x14ac:dyDescent="0.25">
      <c r="A779" s="2">
        <f ca="1">IFERROR(__xludf.DUMMYFUNCTION("""COMPUTED_VALUE"""),44960.6666666666)</f>
        <v>44960.666666666599</v>
      </c>
      <c r="B779" s="1">
        <f ca="1">IFERROR(__xludf.DUMMYFUNCTION("""COMPUTED_VALUE"""),154.5)</f>
        <v>154.5</v>
      </c>
      <c r="C779" s="1">
        <f ca="1">IFERROR(__xludf.DUMMYFUNCTION("""COMPUTED_VALUE"""),264.6)</f>
        <v>264.60000000000002</v>
      </c>
      <c r="D779" s="1">
        <f ca="1">IFERROR(__xludf.DUMMYFUNCTION("""COMPUTED_VALUE"""),112.91)</f>
        <v>112.91</v>
      </c>
      <c r="E779" s="1">
        <f ca="1">IFERROR(__xludf.DUMMYFUNCTION("""COMPUTED_VALUE"""),21.71)</f>
        <v>21.71</v>
      </c>
      <c r="F779" s="1">
        <f ca="1">IFERROR(__xludf.DUMMYFUNCTION("""COMPUTED_VALUE"""),188.77)</f>
        <v>188.77</v>
      </c>
      <c r="G779" s="1">
        <f ca="1">IFERROR(__xludf.DUMMYFUNCTION("""COMPUTED_VALUE"""),108.8)</f>
        <v>108.8</v>
      </c>
      <c r="H779" s="1">
        <f ca="1">IFERROR(__xludf.DUMMYFUNCTION("""COMPUTED_VALUE"""),188.27)</f>
        <v>188.27</v>
      </c>
      <c r="I779" s="1">
        <f ca="1">IFERROR(__xludf.DUMMYFUNCTION("""COMPUTED_VALUE"""),169.97)</f>
        <v>169.97</v>
      </c>
      <c r="J779" s="1">
        <f ca="1">IFERROR(__xludf.DUMMYFUNCTION("""COMPUTED_VALUE"""),523.43)</f>
        <v>523.42999999999995</v>
      </c>
      <c r="K779" s="1">
        <f ca="1">IFERROR(__xludf.DUMMYFUNCTION("""COMPUTED_VALUE"""),60.58)</f>
        <v>60.58</v>
      </c>
      <c r="L779" s="1">
        <f ca="1">IFERROR(__xludf.DUMMYFUNCTION("""COMPUTED_VALUE"""),392.23)</f>
        <v>392.23</v>
      </c>
      <c r="M779" s="1">
        <f ca="1">IFERROR(__xludf.DUMMYFUNCTION("""COMPUTED_VALUE"""),366.89)</f>
        <v>366.89</v>
      </c>
    </row>
    <row r="780" spans="1:13" x14ac:dyDescent="0.25">
      <c r="A780" s="2">
        <f ca="1">IFERROR(__xludf.DUMMYFUNCTION("""COMPUTED_VALUE"""),44963.6666666666)</f>
        <v>44963.666666666599</v>
      </c>
      <c r="B780" s="1">
        <f ca="1">IFERROR(__xludf.DUMMYFUNCTION("""COMPUTED_VALUE"""),151.73)</f>
        <v>151.72999999999999</v>
      </c>
      <c r="C780" s="1">
        <f ca="1">IFERROR(__xludf.DUMMYFUNCTION("""COMPUTED_VALUE"""),258.35)</f>
        <v>258.35000000000002</v>
      </c>
      <c r="D780" s="1">
        <f ca="1">IFERROR(__xludf.DUMMYFUNCTION("""COMPUTED_VALUE"""),103.39)</f>
        <v>103.39</v>
      </c>
      <c r="E780" s="1">
        <f ca="1">IFERROR(__xludf.DUMMYFUNCTION("""COMPUTED_VALUE"""),21.1)</f>
        <v>21.1</v>
      </c>
      <c r="F780" s="1">
        <f ca="1">IFERROR(__xludf.DUMMYFUNCTION("""COMPUTED_VALUE"""),186.53)</f>
        <v>186.53</v>
      </c>
      <c r="G780" s="1">
        <f ca="1">IFERROR(__xludf.DUMMYFUNCTION("""COMPUTED_VALUE"""),105.22)</f>
        <v>105.22</v>
      </c>
      <c r="H780" s="1">
        <f ca="1">IFERROR(__xludf.DUMMYFUNCTION("""COMPUTED_VALUE"""),189.98)</f>
        <v>189.98</v>
      </c>
      <c r="I780" s="1">
        <f ca="1">IFERROR(__xludf.DUMMYFUNCTION("""COMPUTED_VALUE"""),169.12)</f>
        <v>169.12</v>
      </c>
      <c r="J780" s="1">
        <f ca="1">IFERROR(__xludf.DUMMYFUNCTION("""COMPUTED_VALUE"""),514.8)</f>
        <v>514.79999999999995</v>
      </c>
      <c r="K780" s="1">
        <f ca="1">IFERROR(__xludf.DUMMYFUNCTION("""COMPUTED_VALUE"""),59.76)</f>
        <v>59.76</v>
      </c>
      <c r="L780" s="1">
        <f ca="1">IFERROR(__xludf.DUMMYFUNCTION("""COMPUTED_VALUE"""),379.33)</f>
        <v>379.33</v>
      </c>
      <c r="M780" s="1">
        <f ca="1">IFERROR(__xludf.DUMMYFUNCTION("""COMPUTED_VALUE"""),365.9)</f>
        <v>365.9</v>
      </c>
    </row>
    <row r="781" spans="1:13" x14ac:dyDescent="0.25">
      <c r="A781" s="2">
        <f ca="1">IFERROR(__xludf.DUMMYFUNCTION("""COMPUTED_VALUE"""),44964.6666666666)</f>
        <v>44964.666666666599</v>
      </c>
      <c r="B781" s="1">
        <f ca="1">IFERROR(__xludf.DUMMYFUNCTION("""COMPUTED_VALUE"""),154.65)</f>
        <v>154.65</v>
      </c>
      <c r="C781" s="1">
        <f ca="1">IFERROR(__xludf.DUMMYFUNCTION("""COMPUTED_VALUE"""),256.77)</f>
        <v>256.77</v>
      </c>
      <c r="D781" s="1">
        <f ca="1">IFERROR(__xludf.DUMMYFUNCTION("""COMPUTED_VALUE"""),102.18)</f>
        <v>102.18</v>
      </c>
      <c r="E781" s="1">
        <f ca="1">IFERROR(__xludf.DUMMYFUNCTION("""COMPUTED_VALUE"""),21.09)</f>
        <v>21.09</v>
      </c>
      <c r="F781" s="1">
        <f ca="1">IFERROR(__xludf.DUMMYFUNCTION("""COMPUTED_VALUE"""),186.06)</f>
        <v>186.06</v>
      </c>
      <c r="G781" s="1">
        <f ca="1">IFERROR(__xludf.DUMMYFUNCTION("""COMPUTED_VALUE"""),103.47)</f>
        <v>103.47</v>
      </c>
      <c r="H781" s="1">
        <f ca="1">IFERROR(__xludf.DUMMYFUNCTION("""COMPUTED_VALUE"""),194.76)</f>
        <v>194.76</v>
      </c>
      <c r="I781" s="1">
        <f ca="1">IFERROR(__xludf.DUMMYFUNCTION("""COMPUTED_VALUE"""),171.82)</f>
        <v>171.82</v>
      </c>
      <c r="J781" s="1">
        <f ca="1">IFERROR(__xludf.DUMMYFUNCTION("""COMPUTED_VALUE"""),515.59)</f>
        <v>515.59</v>
      </c>
      <c r="K781" s="1">
        <f ca="1">IFERROR(__xludf.DUMMYFUNCTION("""COMPUTED_VALUE"""),60.13)</f>
        <v>60.13</v>
      </c>
      <c r="L781" s="1">
        <f ca="1">IFERROR(__xludf.DUMMYFUNCTION("""COMPUTED_VALUE"""),375.23)</f>
        <v>375.23</v>
      </c>
      <c r="M781" s="1">
        <f ca="1">IFERROR(__xludf.DUMMYFUNCTION("""COMPUTED_VALUE"""),361.48)</f>
        <v>361.48</v>
      </c>
    </row>
    <row r="782" spans="1:13" x14ac:dyDescent="0.25">
      <c r="A782" s="2">
        <f ca="1">IFERROR(__xludf.DUMMYFUNCTION("""COMPUTED_VALUE"""),44965.6666666666)</f>
        <v>44965.666666666599</v>
      </c>
      <c r="B782" s="1">
        <f ca="1">IFERROR(__xludf.DUMMYFUNCTION("""COMPUTED_VALUE"""),151.92)</f>
        <v>151.91999999999999</v>
      </c>
      <c r="C782" s="1">
        <f ca="1">IFERROR(__xludf.DUMMYFUNCTION("""COMPUTED_VALUE"""),267.56)</f>
        <v>267.56</v>
      </c>
      <c r="D782" s="1">
        <f ca="1">IFERROR(__xludf.DUMMYFUNCTION("""COMPUTED_VALUE"""),102.11)</f>
        <v>102.11</v>
      </c>
      <c r="E782" s="1">
        <f ca="1">IFERROR(__xludf.DUMMYFUNCTION("""COMPUTED_VALUE"""),22.17)</f>
        <v>22.17</v>
      </c>
      <c r="F782" s="1">
        <f ca="1">IFERROR(__xludf.DUMMYFUNCTION("""COMPUTED_VALUE"""),191.62)</f>
        <v>191.62</v>
      </c>
      <c r="G782" s="1">
        <f ca="1">IFERROR(__xludf.DUMMYFUNCTION("""COMPUTED_VALUE"""),108.04)</f>
        <v>108.04</v>
      </c>
      <c r="H782" s="1">
        <f ca="1">IFERROR(__xludf.DUMMYFUNCTION("""COMPUTED_VALUE"""),196.81)</f>
        <v>196.81</v>
      </c>
      <c r="I782" s="1">
        <f ca="1">IFERROR(__xludf.DUMMYFUNCTION("""COMPUTED_VALUE"""),171.56)</f>
        <v>171.56</v>
      </c>
      <c r="J782" s="1">
        <f ca="1">IFERROR(__xludf.DUMMYFUNCTION("""COMPUTED_VALUE"""),516.53)</f>
        <v>516.53</v>
      </c>
      <c r="K782" s="1">
        <f ca="1">IFERROR(__xludf.DUMMYFUNCTION("""COMPUTED_VALUE"""),61.45)</f>
        <v>61.45</v>
      </c>
      <c r="L782" s="1">
        <f ca="1">IFERROR(__xludf.DUMMYFUNCTION("""COMPUTED_VALUE"""),383.82)</f>
        <v>383.82</v>
      </c>
      <c r="M782" s="1">
        <f ca="1">IFERROR(__xludf.DUMMYFUNCTION("""COMPUTED_VALUE"""),362.95)</f>
        <v>362.95</v>
      </c>
    </row>
    <row r="783" spans="1:13" x14ac:dyDescent="0.25">
      <c r="A783" s="2">
        <f ca="1">IFERROR(__xludf.DUMMYFUNCTION("""COMPUTED_VALUE"""),44966.6666666666)</f>
        <v>44966.666666666599</v>
      </c>
      <c r="B783" s="1">
        <f ca="1">IFERROR(__xludf.DUMMYFUNCTION("""COMPUTED_VALUE"""),150.87)</f>
        <v>150.87</v>
      </c>
      <c r="C783" s="1">
        <f ca="1">IFERROR(__xludf.DUMMYFUNCTION("""COMPUTED_VALUE"""),266.73)</f>
        <v>266.73</v>
      </c>
      <c r="D783" s="1">
        <f ca="1">IFERROR(__xludf.DUMMYFUNCTION("""COMPUTED_VALUE"""),100.05)</f>
        <v>100.05</v>
      </c>
      <c r="E783" s="1">
        <f ca="1">IFERROR(__xludf.DUMMYFUNCTION("""COMPUTED_VALUE"""),22.21)</f>
        <v>22.21</v>
      </c>
      <c r="F783" s="1">
        <f ca="1">IFERROR(__xludf.DUMMYFUNCTION("""COMPUTED_VALUE"""),183.43)</f>
        <v>183.43</v>
      </c>
      <c r="G783" s="1">
        <f ca="1">IFERROR(__xludf.DUMMYFUNCTION("""COMPUTED_VALUE"""),100)</f>
        <v>100</v>
      </c>
      <c r="H783" s="1">
        <f ca="1">IFERROR(__xludf.DUMMYFUNCTION("""COMPUTED_VALUE"""),201.29)</f>
        <v>201.29</v>
      </c>
      <c r="I783" s="1">
        <f ca="1">IFERROR(__xludf.DUMMYFUNCTION("""COMPUTED_VALUE"""),171.16)</f>
        <v>171.16</v>
      </c>
      <c r="J783" s="1">
        <f ca="1">IFERROR(__xludf.DUMMYFUNCTION("""COMPUTED_VALUE"""),503.81)</f>
        <v>503.81</v>
      </c>
      <c r="K783" s="1">
        <f ca="1">IFERROR(__xludf.DUMMYFUNCTION("""COMPUTED_VALUE"""),60.17)</f>
        <v>60.17</v>
      </c>
      <c r="L783" s="1">
        <f ca="1">IFERROR(__xludf.DUMMYFUNCTION("""COMPUTED_VALUE"""),378.36)</f>
        <v>378.36</v>
      </c>
      <c r="M783" s="1">
        <f ca="1">IFERROR(__xludf.DUMMYFUNCTION("""COMPUTED_VALUE"""),366.83)</f>
        <v>366.83</v>
      </c>
    </row>
    <row r="784" spans="1:13" x14ac:dyDescent="0.25">
      <c r="A784" s="2">
        <f ca="1">IFERROR(__xludf.DUMMYFUNCTION("""COMPUTED_VALUE"""),44967.6666666666)</f>
        <v>44967.666666666599</v>
      </c>
      <c r="B784" s="1">
        <f ca="1">IFERROR(__xludf.DUMMYFUNCTION("""COMPUTED_VALUE"""),151.01)</f>
        <v>151.01</v>
      </c>
      <c r="C784" s="1">
        <f ca="1">IFERROR(__xludf.DUMMYFUNCTION("""COMPUTED_VALUE"""),263.62)</f>
        <v>263.62</v>
      </c>
      <c r="D784" s="1">
        <f ca="1">IFERROR(__xludf.DUMMYFUNCTION("""COMPUTED_VALUE"""),98.24)</f>
        <v>98.24</v>
      </c>
      <c r="E784" s="1">
        <f ca="1">IFERROR(__xludf.DUMMYFUNCTION("""COMPUTED_VALUE"""),22.34)</f>
        <v>22.34</v>
      </c>
      <c r="F784" s="1">
        <f ca="1">IFERROR(__xludf.DUMMYFUNCTION("""COMPUTED_VALUE"""),177.92)</f>
        <v>177.92</v>
      </c>
      <c r="G784" s="1">
        <f ca="1">IFERROR(__xludf.DUMMYFUNCTION("""COMPUTED_VALUE"""),95.46)</f>
        <v>95.46</v>
      </c>
      <c r="H784" s="1">
        <f ca="1">IFERROR(__xludf.DUMMYFUNCTION("""COMPUTED_VALUE"""),207.32)</f>
        <v>207.32</v>
      </c>
      <c r="I784" s="1">
        <f ca="1">IFERROR(__xludf.DUMMYFUNCTION("""COMPUTED_VALUE"""),172.78)</f>
        <v>172.78</v>
      </c>
      <c r="J784" s="1">
        <f ca="1">IFERROR(__xludf.DUMMYFUNCTION("""COMPUTED_VALUE"""),500.63)</f>
        <v>500.63</v>
      </c>
      <c r="K784" s="1">
        <f ca="1">IFERROR(__xludf.DUMMYFUNCTION("""COMPUTED_VALUE"""),59.94)</f>
        <v>59.94</v>
      </c>
      <c r="L784" s="1">
        <f ca="1">IFERROR(__xludf.DUMMYFUNCTION("""COMPUTED_VALUE"""),375.81)</f>
        <v>375.81</v>
      </c>
      <c r="M784" s="1">
        <f ca="1">IFERROR(__xludf.DUMMYFUNCTION("""COMPUTED_VALUE"""),362.5)</f>
        <v>362.5</v>
      </c>
    </row>
    <row r="785" spans="1:13" x14ac:dyDescent="0.25">
      <c r="A785" s="2">
        <f ca="1">IFERROR(__xludf.DUMMYFUNCTION("""COMPUTED_VALUE"""),44970.6666666666)</f>
        <v>44970.666666666599</v>
      </c>
      <c r="B785" s="1">
        <f ca="1">IFERROR(__xludf.DUMMYFUNCTION("""COMPUTED_VALUE"""),153.85)</f>
        <v>153.85</v>
      </c>
      <c r="C785" s="1">
        <f ca="1">IFERROR(__xludf.DUMMYFUNCTION("""COMPUTED_VALUE"""),263.1)</f>
        <v>263.10000000000002</v>
      </c>
      <c r="D785" s="1">
        <f ca="1">IFERROR(__xludf.DUMMYFUNCTION("""COMPUTED_VALUE"""),97.61)</f>
        <v>97.61</v>
      </c>
      <c r="E785" s="1">
        <f ca="1">IFERROR(__xludf.DUMMYFUNCTION("""COMPUTED_VALUE"""),21.27)</f>
        <v>21.27</v>
      </c>
      <c r="F785" s="1">
        <f ca="1">IFERROR(__xludf.DUMMYFUNCTION("""COMPUTED_VALUE"""),174.15)</f>
        <v>174.15</v>
      </c>
      <c r="G785" s="1">
        <f ca="1">IFERROR(__xludf.DUMMYFUNCTION("""COMPUTED_VALUE"""),94.86)</f>
        <v>94.86</v>
      </c>
      <c r="H785" s="1">
        <f ca="1">IFERROR(__xludf.DUMMYFUNCTION("""COMPUTED_VALUE"""),196.89)</f>
        <v>196.89</v>
      </c>
      <c r="I785" s="1">
        <f ca="1">IFERROR(__xludf.DUMMYFUNCTION("""COMPUTED_VALUE"""),176.2)</f>
        <v>176.2</v>
      </c>
      <c r="J785" s="1">
        <f ca="1">IFERROR(__xludf.DUMMYFUNCTION("""COMPUTED_VALUE"""),499.99)</f>
        <v>499.99</v>
      </c>
      <c r="K785" s="1">
        <f ca="1">IFERROR(__xludf.DUMMYFUNCTION("""COMPUTED_VALUE"""),59.33)</f>
        <v>59.33</v>
      </c>
      <c r="L785" s="1">
        <f ca="1">IFERROR(__xludf.DUMMYFUNCTION("""COMPUTED_VALUE"""),370.99)</f>
        <v>370.99</v>
      </c>
      <c r="M785" s="1">
        <f ca="1">IFERROR(__xludf.DUMMYFUNCTION("""COMPUTED_VALUE"""),347.36)</f>
        <v>347.36</v>
      </c>
    </row>
    <row r="786" spans="1:13" x14ac:dyDescent="0.25">
      <c r="A786" s="2">
        <f ca="1">IFERROR(__xludf.DUMMYFUNCTION("""COMPUTED_VALUE"""),44971.6666666666)</f>
        <v>44971.666666666599</v>
      </c>
      <c r="B786" s="1">
        <f ca="1">IFERROR(__xludf.DUMMYFUNCTION("""COMPUTED_VALUE"""),153.2)</f>
        <v>153.19999999999999</v>
      </c>
      <c r="C786" s="1">
        <f ca="1">IFERROR(__xludf.DUMMYFUNCTION("""COMPUTED_VALUE"""),271.32)</f>
        <v>271.32</v>
      </c>
      <c r="D786" s="1">
        <f ca="1">IFERROR(__xludf.DUMMYFUNCTION("""COMPUTED_VALUE"""),99.54)</f>
        <v>99.54</v>
      </c>
      <c r="E786" s="1">
        <f ca="1">IFERROR(__xludf.DUMMYFUNCTION("""COMPUTED_VALUE"""),21.79)</f>
        <v>21.79</v>
      </c>
      <c r="F786" s="1">
        <f ca="1">IFERROR(__xludf.DUMMYFUNCTION("""COMPUTED_VALUE"""),179.43)</f>
        <v>179.43</v>
      </c>
      <c r="G786" s="1">
        <f ca="1">IFERROR(__xludf.DUMMYFUNCTION("""COMPUTED_VALUE"""),95)</f>
        <v>95</v>
      </c>
      <c r="H786" s="1">
        <f ca="1">IFERROR(__xludf.DUMMYFUNCTION("""COMPUTED_VALUE"""),194.64)</f>
        <v>194.64</v>
      </c>
      <c r="I786" s="1">
        <f ca="1">IFERROR(__xludf.DUMMYFUNCTION("""COMPUTED_VALUE"""),177.77)</f>
        <v>177.77</v>
      </c>
      <c r="J786" s="1">
        <f ca="1">IFERROR(__xludf.DUMMYFUNCTION("""COMPUTED_VALUE"""),506.45)</f>
        <v>506.45</v>
      </c>
      <c r="K786" s="1">
        <f ca="1">IFERROR(__xludf.DUMMYFUNCTION("""COMPUTED_VALUE"""),60.11)</f>
        <v>60.11</v>
      </c>
      <c r="L786" s="1">
        <f ca="1">IFERROR(__xludf.DUMMYFUNCTION("""COMPUTED_VALUE"""),375)</f>
        <v>375</v>
      </c>
      <c r="M786" s="1">
        <f ca="1">IFERROR(__xludf.DUMMYFUNCTION("""COMPUTED_VALUE"""),358.57)</f>
        <v>358.57</v>
      </c>
    </row>
    <row r="787" spans="1:13" x14ac:dyDescent="0.25">
      <c r="A787" s="2">
        <f ca="1">IFERROR(__xludf.DUMMYFUNCTION("""COMPUTED_VALUE"""),44972.6666666666)</f>
        <v>44972.666666666599</v>
      </c>
      <c r="B787" s="1">
        <f ca="1">IFERROR(__xludf.DUMMYFUNCTION("""COMPUTED_VALUE"""),155.33)</f>
        <v>155.33000000000001</v>
      </c>
      <c r="C787" s="1">
        <f ca="1">IFERROR(__xludf.DUMMYFUNCTION("""COMPUTED_VALUE"""),272.17)</f>
        <v>272.17</v>
      </c>
      <c r="D787" s="1">
        <f ca="1">IFERROR(__xludf.DUMMYFUNCTION("""COMPUTED_VALUE"""),99.7)</f>
        <v>99.7</v>
      </c>
      <c r="E787" s="1">
        <f ca="1">IFERROR(__xludf.DUMMYFUNCTION("""COMPUTED_VALUE"""),22.97)</f>
        <v>22.97</v>
      </c>
      <c r="F787" s="1">
        <f ca="1">IFERROR(__xludf.DUMMYFUNCTION("""COMPUTED_VALUE"""),179.48)</f>
        <v>179.48</v>
      </c>
      <c r="G787" s="1">
        <f ca="1">IFERROR(__xludf.DUMMYFUNCTION("""COMPUTED_VALUE"""),94.95)</f>
        <v>94.95</v>
      </c>
      <c r="H787" s="1">
        <f ca="1">IFERROR(__xludf.DUMMYFUNCTION("""COMPUTED_VALUE"""),209.25)</f>
        <v>209.25</v>
      </c>
      <c r="I787" s="1">
        <f ca="1">IFERROR(__xludf.DUMMYFUNCTION("""COMPUTED_VALUE"""),175.77)</f>
        <v>175.77</v>
      </c>
      <c r="J787" s="1">
        <f ca="1">IFERROR(__xludf.DUMMYFUNCTION("""COMPUTED_VALUE"""),503.22)</f>
        <v>503.22</v>
      </c>
      <c r="K787" s="1">
        <f ca="1">IFERROR(__xludf.DUMMYFUNCTION("""COMPUTED_VALUE"""),60.23)</f>
        <v>60.23</v>
      </c>
      <c r="L787" s="1">
        <f ca="1">IFERROR(__xludf.DUMMYFUNCTION("""COMPUTED_VALUE"""),377.9)</f>
        <v>377.9</v>
      </c>
      <c r="M787" s="1">
        <f ca="1">IFERROR(__xludf.DUMMYFUNCTION("""COMPUTED_VALUE"""),359.96)</f>
        <v>359.96</v>
      </c>
    </row>
    <row r="788" spans="1:13" x14ac:dyDescent="0.25">
      <c r="A788" s="2">
        <f ca="1">IFERROR(__xludf.DUMMYFUNCTION("""COMPUTED_VALUE"""),44973.6666666666)</f>
        <v>44973.666666666599</v>
      </c>
      <c r="B788" s="1">
        <f ca="1">IFERROR(__xludf.DUMMYFUNCTION("""COMPUTED_VALUE"""),153.71)</f>
        <v>153.71</v>
      </c>
      <c r="C788" s="1">
        <f ca="1">IFERROR(__xludf.DUMMYFUNCTION("""COMPUTED_VALUE"""),269.32)</f>
        <v>269.32</v>
      </c>
      <c r="D788" s="1">
        <f ca="1">IFERROR(__xludf.DUMMYFUNCTION("""COMPUTED_VALUE"""),101.16)</f>
        <v>101.16</v>
      </c>
      <c r="E788" s="1">
        <f ca="1">IFERROR(__xludf.DUMMYFUNCTION("""COMPUTED_VALUE"""),22.76)</f>
        <v>22.76</v>
      </c>
      <c r="F788" s="1">
        <f ca="1">IFERROR(__xludf.DUMMYFUNCTION("""COMPUTED_VALUE"""),177.16)</f>
        <v>177.16</v>
      </c>
      <c r="G788" s="1">
        <f ca="1">IFERROR(__xludf.DUMMYFUNCTION("""COMPUTED_VALUE"""),97.1)</f>
        <v>97.1</v>
      </c>
      <c r="H788" s="1">
        <f ca="1">IFERROR(__xludf.DUMMYFUNCTION("""COMPUTED_VALUE"""),214.24)</f>
        <v>214.24</v>
      </c>
      <c r="I788" s="1">
        <f ca="1">IFERROR(__xludf.DUMMYFUNCTION("""COMPUTED_VALUE"""),176.01)</f>
        <v>176.01</v>
      </c>
      <c r="J788" s="1">
        <f ca="1">IFERROR(__xludf.DUMMYFUNCTION("""COMPUTED_VALUE"""),511.28)</f>
        <v>511.28</v>
      </c>
      <c r="K788" s="1">
        <f ca="1">IFERROR(__xludf.DUMMYFUNCTION("""COMPUTED_VALUE"""),60.77)</f>
        <v>60.77</v>
      </c>
      <c r="L788" s="1">
        <f ca="1">IFERROR(__xludf.DUMMYFUNCTION("""COMPUTED_VALUE"""),375.94)</f>
        <v>375.94</v>
      </c>
      <c r="M788" s="1">
        <f ca="1">IFERROR(__xludf.DUMMYFUNCTION("""COMPUTED_VALUE"""),361.42)</f>
        <v>361.42</v>
      </c>
    </row>
    <row r="789" spans="1:13" x14ac:dyDescent="0.25">
      <c r="A789" s="2">
        <f ca="1">IFERROR(__xludf.DUMMYFUNCTION("""COMPUTED_VALUE"""),44974.6666666666)</f>
        <v>44974.666666666599</v>
      </c>
      <c r="B789" s="1">
        <f ca="1">IFERROR(__xludf.DUMMYFUNCTION("""COMPUTED_VALUE"""),152.55)</f>
        <v>152.55000000000001</v>
      </c>
      <c r="C789" s="1">
        <f ca="1">IFERROR(__xludf.DUMMYFUNCTION("""COMPUTED_VALUE"""),262.15)</f>
        <v>262.14999999999998</v>
      </c>
      <c r="D789" s="1">
        <f ca="1">IFERROR(__xludf.DUMMYFUNCTION("""COMPUTED_VALUE"""),98.15)</f>
        <v>98.15</v>
      </c>
      <c r="E789" s="1">
        <f ca="1">IFERROR(__xludf.DUMMYFUNCTION("""COMPUTED_VALUE"""),22)</f>
        <v>22</v>
      </c>
      <c r="F789" s="1">
        <f ca="1">IFERROR(__xludf.DUMMYFUNCTION("""COMPUTED_VALUE"""),172.44)</f>
        <v>172.44</v>
      </c>
      <c r="G789" s="1">
        <f ca="1">IFERROR(__xludf.DUMMYFUNCTION("""COMPUTED_VALUE"""),95.78)</f>
        <v>95.78</v>
      </c>
      <c r="H789" s="1">
        <f ca="1">IFERROR(__xludf.DUMMYFUNCTION("""COMPUTED_VALUE"""),202.04)</f>
        <v>202.04</v>
      </c>
      <c r="I789" s="1">
        <f ca="1">IFERROR(__xludf.DUMMYFUNCTION("""COMPUTED_VALUE"""),175.51)</f>
        <v>175.51</v>
      </c>
      <c r="J789" s="1">
        <f ca="1">IFERROR(__xludf.DUMMYFUNCTION("""COMPUTED_VALUE"""),504.1)</f>
        <v>504.1</v>
      </c>
      <c r="K789" s="1">
        <f ca="1">IFERROR(__xludf.DUMMYFUNCTION("""COMPUTED_VALUE"""),60.05)</f>
        <v>60.05</v>
      </c>
      <c r="L789" s="1">
        <f ca="1">IFERROR(__xludf.DUMMYFUNCTION("""COMPUTED_VALUE"""),365.16)</f>
        <v>365.16</v>
      </c>
      <c r="M789" s="1">
        <f ca="1">IFERROR(__xludf.DUMMYFUNCTION("""COMPUTED_VALUE"""),350.71)</f>
        <v>350.71</v>
      </c>
    </row>
    <row r="790" spans="1:13" x14ac:dyDescent="0.25">
      <c r="A790" s="2">
        <f ca="1">IFERROR(__xludf.DUMMYFUNCTION("""COMPUTED_VALUE"""),44978.6666666666)</f>
        <v>44978.666666666599</v>
      </c>
      <c r="B790" s="1">
        <f ca="1">IFERROR(__xludf.DUMMYFUNCTION("""COMPUTED_VALUE"""),148.48)</f>
        <v>148.47999999999999</v>
      </c>
      <c r="C790" s="1">
        <f ca="1">IFERROR(__xludf.DUMMYFUNCTION("""COMPUTED_VALUE"""),258.06)</f>
        <v>258.06</v>
      </c>
      <c r="D790" s="1">
        <f ca="1">IFERROR(__xludf.DUMMYFUNCTION("""COMPUTED_VALUE"""),97.2)</f>
        <v>97.2</v>
      </c>
      <c r="E790" s="1">
        <f ca="1">IFERROR(__xludf.DUMMYFUNCTION("""COMPUTED_VALUE"""),21.39)</f>
        <v>21.39</v>
      </c>
      <c r="F790" s="1">
        <f ca="1">IFERROR(__xludf.DUMMYFUNCTION("""COMPUTED_VALUE"""),172.88)</f>
        <v>172.88</v>
      </c>
      <c r="G790" s="1">
        <f ca="1">IFERROR(__xludf.DUMMYFUNCTION("""COMPUTED_VALUE"""),94.59)</f>
        <v>94.59</v>
      </c>
      <c r="H790" s="1">
        <f ca="1">IFERROR(__xludf.DUMMYFUNCTION("""COMPUTED_VALUE"""),208.31)</f>
        <v>208.31</v>
      </c>
      <c r="I790" s="1">
        <f ca="1">IFERROR(__xludf.DUMMYFUNCTION("""COMPUTED_VALUE"""),176.28)</f>
        <v>176.28</v>
      </c>
      <c r="J790" s="1">
        <f ca="1">IFERROR(__xludf.DUMMYFUNCTION("""COMPUTED_VALUE"""),507.48)</f>
        <v>507.48</v>
      </c>
      <c r="K790" s="1">
        <f ca="1">IFERROR(__xludf.DUMMYFUNCTION("""COMPUTED_VALUE"""),59.56)</f>
        <v>59.56</v>
      </c>
      <c r="L790" s="1">
        <f ca="1">IFERROR(__xludf.DUMMYFUNCTION("""COMPUTED_VALUE"""),356.85)</f>
        <v>356.85</v>
      </c>
      <c r="M790" s="1">
        <f ca="1">IFERROR(__xludf.DUMMYFUNCTION("""COMPUTED_VALUE"""),347.96)</f>
        <v>347.96</v>
      </c>
    </row>
    <row r="791" spans="1:13" x14ac:dyDescent="0.25">
      <c r="A791" s="2">
        <f ca="1">IFERROR(__xludf.DUMMYFUNCTION("""COMPUTED_VALUE"""),44979.6666666666)</f>
        <v>44979.666666666599</v>
      </c>
      <c r="B791" s="1">
        <f ca="1">IFERROR(__xludf.DUMMYFUNCTION("""COMPUTED_VALUE"""),148.91)</f>
        <v>148.91</v>
      </c>
      <c r="C791" s="1">
        <f ca="1">IFERROR(__xludf.DUMMYFUNCTION("""COMPUTED_VALUE"""),252.67)</f>
        <v>252.67</v>
      </c>
      <c r="D791" s="1">
        <f ca="1">IFERROR(__xludf.DUMMYFUNCTION("""COMPUTED_VALUE"""),94.58)</f>
        <v>94.58</v>
      </c>
      <c r="E791" s="1">
        <f ca="1">IFERROR(__xludf.DUMMYFUNCTION("""COMPUTED_VALUE"""),20.66)</f>
        <v>20.66</v>
      </c>
      <c r="F791" s="1">
        <f ca="1">IFERROR(__xludf.DUMMYFUNCTION("""COMPUTED_VALUE"""),172.08)</f>
        <v>172.08</v>
      </c>
      <c r="G791" s="1">
        <f ca="1">IFERROR(__xludf.DUMMYFUNCTION("""COMPUTED_VALUE"""),92.05)</f>
        <v>92.05</v>
      </c>
      <c r="H791" s="1">
        <f ca="1">IFERROR(__xludf.DUMMYFUNCTION("""COMPUTED_VALUE"""),197.37)</f>
        <v>197.37</v>
      </c>
      <c r="I791" s="1">
        <f ca="1">IFERROR(__xludf.DUMMYFUNCTION("""COMPUTED_VALUE"""),176.18)</f>
        <v>176.18</v>
      </c>
      <c r="J791" s="1">
        <f ca="1">IFERROR(__xludf.DUMMYFUNCTION("""COMPUTED_VALUE"""),501.74)</f>
        <v>501.74</v>
      </c>
      <c r="K791" s="1">
        <f ca="1">IFERROR(__xludf.DUMMYFUNCTION("""COMPUTED_VALUE"""),58.15)</f>
        <v>58.15</v>
      </c>
      <c r="L791" s="1">
        <f ca="1">IFERROR(__xludf.DUMMYFUNCTION("""COMPUTED_VALUE"""),346.7)</f>
        <v>346.7</v>
      </c>
      <c r="M791" s="1">
        <f ca="1">IFERROR(__xludf.DUMMYFUNCTION("""COMPUTED_VALUE"""),337.5)</f>
        <v>337.5</v>
      </c>
    </row>
    <row r="792" spans="1:13" x14ac:dyDescent="0.25">
      <c r="A792" s="2">
        <f ca="1">IFERROR(__xludf.DUMMYFUNCTION("""COMPUTED_VALUE"""),44980.6666666666)</f>
        <v>44980.666666666599</v>
      </c>
      <c r="B792" s="1">
        <f ca="1">IFERROR(__xludf.DUMMYFUNCTION("""COMPUTED_VALUE"""),149.4)</f>
        <v>149.4</v>
      </c>
      <c r="C792" s="1">
        <f ca="1">IFERROR(__xludf.DUMMYFUNCTION("""COMPUTED_VALUE"""),251.51)</f>
        <v>251.51</v>
      </c>
      <c r="D792" s="1">
        <f ca="1">IFERROR(__xludf.DUMMYFUNCTION("""COMPUTED_VALUE"""),95.79)</f>
        <v>95.79</v>
      </c>
      <c r="E792" s="1">
        <f ca="1">IFERROR(__xludf.DUMMYFUNCTION("""COMPUTED_VALUE"""),20.75)</f>
        <v>20.75</v>
      </c>
      <c r="F792" s="1">
        <f ca="1">IFERROR(__xludf.DUMMYFUNCTION("""COMPUTED_VALUE"""),171.12)</f>
        <v>171.12</v>
      </c>
      <c r="G792" s="1">
        <f ca="1">IFERROR(__xludf.DUMMYFUNCTION("""COMPUTED_VALUE"""),91.8)</f>
        <v>91.8</v>
      </c>
      <c r="H792" s="1">
        <f ca="1">IFERROR(__xludf.DUMMYFUNCTION("""COMPUTED_VALUE"""),200.86)</f>
        <v>200.86</v>
      </c>
      <c r="I792" s="1">
        <f ca="1">IFERROR(__xludf.DUMMYFUNCTION("""COMPUTED_VALUE"""),176.12)</f>
        <v>176.12</v>
      </c>
      <c r="J792" s="1">
        <f ca="1">IFERROR(__xludf.DUMMYFUNCTION("""COMPUTED_VALUE"""),497.39)</f>
        <v>497.39</v>
      </c>
      <c r="K792" s="1">
        <f ca="1">IFERROR(__xludf.DUMMYFUNCTION("""COMPUTED_VALUE"""),57.62)</f>
        <v>57.62</v>
      </c>
      <c r="L792" s="1">
        <f ca="1">IFERROR(__xludf.DUMMYFUNCTION("""COMPUTED_VALUE"""),348.72)</f>
        <v>348.72</v>
      </c>
      <c r="M792" s="1">
        <f ca="1">IFERROR(__xludf.DUMMYFUNCTION("""COMPUTED_VALUE"""),334.88)</f>
        <v>334.88</v>
      </c>
    </row>
    <row r="793" spans="1:13" x14ac:dyDescent="0.25">
      <c r="A793" s="2">
        <f ca="1">IFERROR(__xludf.DUMMYFUNCTION("""COMPUTED_VALUE"""),44981.6666666666)</f>
        <v>44981.666666666599</v>
      </c>
      <c r="B793" s="1">
        <f ca="1">IFERROR(__xludf.DUMMYFUNCTION("""COMPUTED_VALUE"""),146.71)</f>
        <v>146.71</v>
      </c>
      <c r="C793" s="1">
        <f ca="1">IFERROR(__xludf.DUMMYFUNCTION("""COMPUTED_VALUE"""),254.77)</f>
        <v>254.77</v>
      </c>
      <c r="D793" s="1">
        <f ca="1">IFERROR(__xludf.DUMMYFUNCTION("""COMPUTED_VALUE"""),95.82)</f>
        <v>95.82</v>
      </c>
      <c r="E793" s="1">
        <f ca="1">IFERROR(__xludf.DUMMYFUNCTION("""COMPUTED_VALUE"""),23.66)</f>
        <v>23.66</v>
      </c>
      <c r="F793" s="1">
        <f ca="1">IFERROR(__xludf.DUMMYFUNCTION("""COMPUTED_VALUE"""),172.04)</f>
        <v>172.04</v>
      </c>
      <c r="G793" s="1">
        <f ca="1">IFERROR(__xludf.DUMMYFUNCTION("""COMPUTED_VALUE"""),91.07)</f>
        <v>91.07</v>
      </c>
      <c r="H793" s="1">
        <f ca="1">IFERROR(__xludf.DUMMYFUNCTION("""COMPUTED_VALUE"""),202.07)</f>
        <v>202.07</v>
      </c>
      <c r="I793" s="1">
        <f ca="1">IFERROR(__xludf.DUMMYFUNCTION("""COMPUTED_VALUE"""),176.31)</f>
        <v>176.31</v>
      </c>
      <c r="J793" s="1">
        <f ca="1">IFERROR(__xludf.DUMMYFUNCTION("""COMPUTED_VALUE"""),493.14)</f>
        <v>493.14</v>
      </c>
      <c r="K793" s="1">
        <f ca="1">IFERROR(__xludf.DUMMYFUNCTION("""COMPUTED_VALUE"""),58.38)</f>
        <v>58.38</v>
      </c>
      <c r="L793" s="1">
        <f ca="1">IFERROR(__xludf.DUMMYFUNCTION("""COMPUTED_VALUE"""),347.02)</f>
        <v>347.02</v>
      </c>
      <c r="M793" s="1">
        <f ca="1">IFERROR(__xludf.DUMMYFUNCTION("""COMPUTED_VALUE"""),323.65)</f>
        <v>323.64999999999998</v>
      </c>
    </row>
    <row r="794" spans="1:13" x14ac:dyDescent="0.25">
      <c r="A794" s="2">
        <f ca="1">IFERROR(__xludf.DUMMYFUNCTION("""COMPUTED_VALUE"""),44984.6666666666)</f>
        <v>44984.666666666599</v>
      </c>
      <c r="B794" s="1">
        <f ca="1">IFERROR(__xludf.DUMMYFUNCTION("""COMPUTED_VALUE"""),147.92)</f>
        <v>147.91999999999999</v>
      </c>
      <c r="C794" s="1">
        <f ca="1">IFERROR(__xludf.DUMMYFUNCTION("""COMPUTED_VALUE"""),249.22)</f>
        <v>249.22</v>
      </c>
      <c r="D794" s="1">
        <f ca="1">IFERROR(__xludf.DUMMYFUNCTION("""COMPUTED_VALUE"""),93.5)</f>
        <v>93.5</v>
      </c>
      <c r="E794" s="1">
        <f ca="1">IFERROR(__xludf.DUMMYFUNCTION("""COMPUTED_VALUE"""),23.29)</f>
        <v>23.29</v>
      </c>
      <c r="F794" s="1">
        <f ca="1">IFERROR(__xludf.DUMMYFUNCTION("""COMPUTED_VALUE"""),170.39)</f>
        <v>170.39</v>
      </c>
      <c r="G794" s="1">
        <f ca="1">IFERROR(__xludf.DUMMYFUNCTION("""COMPUTED_VALUE"""),89.35)</f>
        <v>89.35</v>
      </c>
      <c r="H794" s="1">
        <f ca="1">IFERROR(__xludf.DUMMYFUNCTION("""COMPUTED_VALUE"""),196.88)</f>
        <v>196.88</v>
      </c>
      <c r="I794" s="1">
        <f ca="1">IFERROR(__xludf.DUMMYFUNCTION("""COMPUTED_VALUE"""),175.96)</f>
        <v>175.96</v>
      </c>
      <c r="J794" s="1">
        <f ca="1">IFERROR(__xludf.DUMMYFUNCTION("""COMPUTED_VALUE"""),488.61)</f>
        <v>488.61</v>
      </c>
      <c r="K794" s="1">
        <f ca="1">IFERROR(__xludf.DUMMYFUNCTION("""COMPUTED_VALUE"""),57.78)</f>
        <v>57.78</v>
      </c>
      <c r="L794" s="1">
        <f ca="1">IFERROR(__xludf.DUMMYFUNCTION("""COMPUTED_VALUE"""),320.54)</f>
        <v>320.54000000000002</v>
      </c>
      <c r="M794" s="1">
        <f ca="1">IFERROR(__xludf.DUMMYFUNCTION("""COMPUTED_VALUE"""),317.15)</f>
        <v>317.14999999999998</v>
      </c>
    </row>
    <row r="795" spans="1:13" x14ac:dyDescent="0.25">
      <c r="A795" s="2">
        <f ca="1">IFERROR(__xludf.DUMMYFUNCTION("""COMPUTED_VALUE"""),44985.6666666666)</f>
        <v>44985.666666666599</v>
      </c>
      <c r="B795" s="1">
        <f ca="1">IFERROR(__xludf.DUMMYFUNCTION("""COMPUTED_VALUE"""),147.41)</f>
        <v>147.41</v>
      </c>
      <c r="C795" s="1">
        <f ca="1">IFERROR(__xludf.DUMMYFUNCTION("""COMPUTED_VALUE"""),250.16)</f>
        <v>250.16</v>
      </c>
      <c r="D795" s="1">
        <f ca="1">IFERROR(__xludf.DUMMYFUNCTION("""COMPUTED_VALUE"""),93.76)</f>
        <v>93.76</v>
      </c>
      <c r="E795" s="1">
        <f ca="1">IFERROR(__xludf.DUMMYFUNCTION("""COMPUTED_VALUE"""),23.5)</f>
        <v>23.5</v>
      </c>
      <c r="F795" s="1">
        <f ca="1">IFERROR(__xludf.DUMMYFUNCTION("""COMPUTED_VALUE"""),169.54)</f>
        <v>169.54</v>
      </c>
      <c r="G795" s="1">
        <f ca="1">IFERROR(__xludf.DUMMYFUNCTION("""COMPUTED_VALUE"""),90.1)</f>
        <v>90.1</v>
      </c>
      <c r="H795" s="1">
        <f ca="1">IFERROR(__xludf.DUMMYFUNCTION("""COMPUTED_VALUE"""),207.63)</f>
        <v>207.63</v>
      </c>
      <c r="I795" s="1">
        <f ca="1">IFERROR(__xludf.DUMMYFUNCTION("""COMPUTED_VALUE"""),175.91)</f>
        <v>175.91</v>
      </c>
      <c r="J795" s="1">
        <f ca="1">IFERROR(__xludf.DUMMYFUNCTION("""COMPUTED_VALUE"""),487.03)</f>
        <v>487.03</v>
      </c>
      <c r="K795" s="1">
        <f ca="1">IFERROR(__xludf.DUMMYFUNCTION("""COMPUTED_VALUE"""),58.55)</f>
        <v>58.55</v>
      </c>
      <c r="L795" s="1">
        <f ca="1">IFERROR(__xludf.DUMMYFUNCTION("""COMPUTED_VALUE"""),322.32)</f>
        <v>322.32</v>
      </c>
      <c r="M795" s="1">
        <f ca="1">IFERROR(__xludf.DUMMYFUNCTION("""COMPUTED_VALUE"""),323.03)</f>
        <v>323.02999999999997</v>
      </c>
    </row>
    <row r="796" spans="1:13" x14ac:dyDescent="0.25">
      <c r="A796" s="2">
        <f ca="1">IFERROR(__xludf.DUMMYFUNCTION("""COMPUTED_VALUE"""),44986.6666666666)</f>
        <v>44986.666666666599</v>
      </c>
      <c r="B796" s="1">
        <f ca="1">IFERROR(__xludf.DUMMYFUNCTION("""COMPUTED_VALUE"""),145.31)</f>
        <v>145.31</v>
      </c>
      <c r="C796" s="1">
        <f ca="1">IFERROR(__xludf.DUMMYFUNCTION("""COMPUTED_VALUE"""),249.42)</f>
        <v>249.42</v>
      </c>
      <c r="D796" s="1">
        <f ca="1">IFERROR(__xludf.DUMMYFUNCTION("""COMPUTED_VALUE"""),94.23)</f>
        <v>94.23</v>
      </c>
      <c r="E796" s="1">
        <f ca="1">IFERROR(__xludf.DUMMYFUNCTION("""COMPUTED_VALUE"""),23.22)</f>
        <v>23.22</v>
      </c>
      <c r="F796" s="1">
        <f ca="1">IFERROR(__xludf.DUMMYFUNCTION("""COMPUTED_VALUE"""),174.94)</f>
        <v>174.94</v>
      </c>
      <c r="G796" s="1">
        <f ca="1">IFERROR(__xludf.DUMMYFUNCTION("""COMPUTED_VALUE"""),90.3)</f>
        <v>90.3</v>
      </c>
      <c r="H796" s="1">
        <f ca="1">IFERROR(__xludf.DUMMYFUNCTION("""COMPUTED_VALUE"""),205.71)</f>
        <v>205.71</v>
      </c>
      <c r="I796" s="1">
        <f ca="1">IFERROR(__xludf.DUMMYFUNCTION("""COMPUTED_VALUE"""),173.53)</f>
        <v>173.53</v>
      </c>
      <c r="J796" s="1">
        <f ca="1">IFERROR(__xludf.DUMMYFUNCTION("""COMPUTED_VALUE"""),484.18)</f>
        <v>484.18</v>
      </c>
      <c r="K796" s="1">
        <f ca="1">IFERROR(__xludf.DUMMYFUNCTION("""COMPUTED_VALUE"""),59.43)</f>
        <v>59.43</v>
      </c>
      <c r="L796" s="1">
        <f ca="1">IFERROR(__xludf.DUMMYFUNCTION("""COMPUTED_VALUE"""),323.95)</f>
        <v>323.95</v>
      </c>
      <c r="M796" s="1">
        <f ca="1">IFERROR(__xludf.DUMMYFUNCTION("""COMPUTED_VALUE"""),322.13)</f>
        <v>322.13</v>
      </c>
    </row>
    <row r="797" spans="1:13" x14ac:dyDescent="0.25">
      <c r="A797" s="2">
        <f ca="1">IFERROR(__xludf.DUMMYFUNCTION("""COMPUTED_VALUE"""),44987.6666666666)</f>
        <v>44987.666666666599</v>
      </c>
      <c r="B797" s="1">
        <f ca="1">IFERROR(__xludf.DUMMYFUNCTION("""COMPUTED_VALUE"""),145.91)</f>
        <v>145.91</v>
      </c>
      <c r="C797" s="1">
        <f ca="1">IFERROR(__xludf.DUMMYFUNCTION("""COMPUTED_VALUE"""),246.27)</f>
        <v>246.27</v>
      </c>
      <c r="D797" s="1">
        <f ca="1">IFERROR(__xludf.DUMMYFUNCTION("""COMPUTED_VALUE"""),92.17)</f>
        <v>92.17</v>
      </c>
      <c r="E797" s="1">
        <f ca="1">IFERROR(__xludf.DUMMYFUNCTION("""COMPUTED_VALUE"""),22.7)</f>
        <v>22.7</v>
      </c>
      <c r="F797" s="1">
        <f ca="1">IFERROR(__xludf.DUMMYFUNCTION("""COMPUTED_VALUE"""),173.42)</f>
        <v>173.42</v>
      </c>
      <c r="G797" s="1">
        <f ca="1">IFERROR(__xludf.DUMMYFUNCTION("""COMPUTED_VALUE"""),90.51)</f>
        <v>90.51</v>
      </c>
      <c r="H797" s="1">
        <f ca="1">IFERROR(__xludf.DUMMYFUNCTION("""COMPUTED_VALUE"""),202.77)</f>
        <v>202.77</v>
      </c>
      <c r="I797" s="1">
        <f ca="1">IFERROR(__xludf.DUMMYFUNCTION("""COMPUTED_VALUE"""),171.33)</f>
        <v>171.33</v>
      </c>
      <c r="J797" s="1">
        <f ca="1">IFERROR(__xludf.DUMMYFUNCTION("""COMPUTED_VALUE"""),478.67)</f>
        <v>478.67</v>
      </c>
      <c r="K797" s="1">
        <f ca="1">IFERROR(__xludf.DUMMYFUNCTION("""COMPUTED_VALUE"""),59.36)</f>
        <v>59.36</v>
      </c>
      <c r="L797" s="1">
        <f ca="1">IFERROR(__xludf.DUMMYFUNCTION("""COMPUTED_VALUE"""),323.38)</f>
        <v>323.38</v>
      </c>
      <c r="M797" s="1">
        <f ca="1">IFERROR(__xludf.DUMMYFUNCTION("""COMPUTED_VALUE"""),313.48)</f>
        <v>313.48</v>
      </c>
    </row>
    <row r="798" spans="1:13" x14ac:dyDescent="0.25">
      <c r="A798" s="2">
        <f ca="1">IFERROR(__xludf.DUMMYFUNCTION("""COMPUTED_VALUE"""),44988.6666666666)</f>
        <v>44988.666666666599</v>
      </c>
      <c r="B798" s="1">
        <f ca="1">IFERROR(__xludf.DUMMYFUNCTION("""COMPUTED_VALUE"""),151.03)</f>
        <v>151.03</v>
      </c>
      <c r="C798" s="1">
        <f ca="1">IFERROR(__xludf.DUMMYFUNCTION("""COMPUTED_VALUE"""),251.11)</f>
        <v>251.11</v>
      </c>
      <c r="D798" s="1">
        <f ca="1">IFERROR(__xludf.DUMMYFUNCTION("""COMPUTED_VALUE"""),92.13)</f>
        <v>92.13</v>
      </c>
      <c r="E798" s="1">
        <f ca="1">IFERROR(__xludf.DUMMYFUNCTION("""COMPUTED_VALUE"""),23.31)</f>
        <v>23.31</v>
      </c>
      <c r="F798" s="1">
        <f ca="1">IFERROR(__xludf.DUMMYFUNCTION("""COMPUTED_VALUE"""),174.53)</f>
        <v>174.53</v>
      </c>
      <c r="G798" s="1">
        <f ca="1">IFERROR(__xludf.DUMMYFUNCTION("""COMPUTED_VALUE"""),92.31)</f>
        <v>92.31</v>
      </c>
      <c r="H798" s="1">
        <f ca="1">IFERROR(__xludf.DUMMYFUNCTION("""COMPUTED_VALUE"""),190.9)</f>
        <v>190.9</v>
      </c>
      <c r="I798" s="1">
        <f ca="1">IFERROR(__xludf.DUMMYFUNCTION("""COMPUTED_VALUE"""),173.32)</f>
        <v>173.32</v>
      </c>
      <c r="J798" s="1">
        <f ca="1">IFERROR(__xludf.DUMMYFUNCTION("""COMPUTED_VALUE"""),485.69)</f>
        <v>485.69</v>
      </c>
      <c r="K798" s="1">
        <f ca="1">IFERROR(__xludf.DUMMYFUNCTION("""COMPUTED_VALUE"""),59.87)</f>
        <v>59.87</v>
      </c>
      <c r="L798" s="1">
        <f ca="1">IFERROR(__xludf.DUMMYFUNCTION("""COMPUTED_VALUE"""),333.5)</f>
        <v>333.5</v>
      </c>
      <c r="M798" s="1">
        <f ca="1">IFERROR(__xludf.DUMMYFUNCTION("""COMPUTED_VALUE"""),311.88)</f>
        <v>311.88</v>
      </c>
    </row>
    <row r="799" spans="1:13" x14ac:dyDescent="0.25">
      <c r="A799" s="2">
        <f ca="1">IFERROR(__xludf.DUMMYFUNCTION("""COMPUTED_VALUE"""),44991.6666666666)</f>
        <v>44991.666666666599</v>
      </c>
      <c r="B799" s="1">
        <f ca="1">IFERROR(__xludf.DUMMYFUNCTION("""COMPUTED_VALUE"""),153.83)</f>
        <v>153.83000000000001</v>
      </c>
      <c r="C799" s="1">
        <f ca="1">IFERROR(__xludf.DUMMYFUNCTION("""COMPUTED_VALUE"""),255.29)</f>
        <v>255.29</v>
      </c>
      <c r="D799" s="1">
        <f ca="1">IFERROR(__xludf.DUMMYFUNCTION("""COMPUTED_VALUE"""),94.9)</f>
        <v>94.9</v>
      </c>
      <c r="E799" s="1">
        <f ca="1">IFERROR(__xludf.DUMMYFUNCTION("""COMPUTED_VALUE"""),23.89)</f>
        <v>23.89</v>
      </c>
      <c r="F799" s="1">
        <f ca="1">IFERROR(__xludf.DUMMYFUNCTION("""COMPUTED_VALUE"""),185.25)</f>
        <v>185.25</v>
      </c>
      <c r="G799" s="1">
        <f ca="1">IFERROR(__xludf.DUMMYFUNCTION("""COMPUTED_VALUE"""),94.02)</f>
        <v>94.02</v>
      </c>
      <c r="H799" s="1">
        <f ca="1">IFERROR(__xludf.DUMMYFUNCTION("""COMPUTED_VALUE"""),197.79)</f>
        <v>197.79</v>
      </c>
      <c r="I799" s="1">
        <f ca="1">IFERROR(__xludf.DUMMYFUNCTION("""COMPUTED_VALUE"""),173.15)</f>
        <v>173.15</v>
      </c>
      <c r="J799" s="1">
        <f ca="1">IFERROR(__xludf.DUMMYFUNCTION("""COMPUTED_VALUE"""),475.26)</f>
        <v>475.26</v>
      </c>
      <c r="K799" s="1">
        <f ca="1">IFERROR(__xludf.DUMMYFUNCTION("""COMPUTED_VALUE"""),63.28)</f>
        <v>63.28</v>
      </c>
      <c r="L799" s="1">
        <f ca="1">IFERROR(__xludf.DUMMYFUNCTION("""COMPUTED_VALUE"""),344.04)</f>
        <v>344.04</v>
      </c>
      <c r="M799" s="1">
        <f ca="1">IFERROR(__xludf.DUMMYFUNCTION("""COMPUTED_VALUE"""),315.18)</f>
        <v>315.18</v>
      </c>
    </row>
    <row r="800" spans="1:13" x14ac:dyDescent="0.25">
      <c r="A800" s="2">
        <f ca="1">IFERROR(__xludf.DUMMYFUNCTION("""COMPUTED_VALUE"""),44992.6666666666)</f>
        <v>44992.666666666599</v>
      </c>
      <c r="B800" s="1">
        <f ca="1">IFERROR(__xludf.DUMMYFUNCTION("""COMPUTED_VALUE"""),151.6)</f>
        <v>151.6</v>
      </c>
      <c r="C800" s="1">
        <f ca="1">IFERROR(__xludf.DUMMYFUNCTION("""COMPUTED_VALUE"""),256.87)</f>
        <v>256.87</v>
      </c>
      <c r="D800" s="1">
        <f ca="1">IFERROR(__xludf.DUMMYFUNCTION("""COMPUTED_VALUE"""),93.75)</f>
        <v>93.75</v>
      </c>
      <c r="E800" s="1">
        <f ca="1">IFERROR(__xludf.DUMMYFUNCTION("""COMPUTED_VALUE"""),23.55)</f>
        <v>23.55</v>
      </c>
      <c r="F800" s="1">
        <f ca="1">IFERROR(__xludf.DUMMYFUNCTION("""COMPUTED_VALUE"""),184.9)</f>
        <v>184.9</v>
      </c>
      <c r="G800" s="1">
        <f ca="1">IFERROR(__xludf.DUMMYFUNCTION("""COMPUTED_VALUE"""),95.58)</f>
        <v>95.58</v>
      </c>
      <c r="H800" s="1">
        <f ca="1">IFERROR(__xludf.DUMMYFUNCTION("""COMPUTED_VALUE"""),193.81)</f>
        <v>193.81</v>
      </c>
      <c r="I800" s="1">
        <f ca="1">IFERROR(__xludf.DUMMYFUNCTION("""COMPUTED_VALUE"""),173.5)</f>
        <v>173.5</v>
      </c>
      <c r="J800" s="1">
        <f ca="1">IFERROR(__xludf.DUMMYFUNCTION("""COMPUTED_VALUE"""),483.08)</f>
        <v>483.08</v>
      </c>
      <c r="K800" s="1">
        <f ca="1">IFERROR(__xludf.DUMMYFUNCTION("""COMPUTED_VALUE"""),63.29)</f>
        <v>63.29</v>
      </c>
      <c r="L800" s="1">
        <f ca="1">IFERROR(__xludf.DUMMYFUNCTION("""COMPUTED_VALUE"""),347.02)</f>
        <v>347.02</v>
      </c>
      <c r="M800" s="1">
        <f ca="1">IFERROR(__xludf.DUMMYFUNCTION("""COMPUTED_VALUE"""),312.03)</f>
        <v>312.02999999999997</v>
      </c>
    </row>
    <row r="801" spans="1:13" x14ac:dyDescent="0.25">
      <c r="A801" s="2">
        <f ca="1">IFERROR(__xludf.DUMMYFUNCTION("""COMPUTED_VALUE"""),44993.6666666666)</f>
        <v>44993.666666666599</v>
      </c>
      <c r="B801" s="1">
        <f ca="1">IFERROR(__xludf.DUMMYFUNCTION("""COMPUTED_VALUE"""),152.87)</f>
        <v>152.87</v>
      </c>
      <c r="C801" s="1">
        <f ca="1">IFERROR(__xludf.DUMMYFUNCTION("""COMPUTED_VALUE"""),254.15)</f>
        <v>254.15</v>
      </c>
      <c r="D801" s="1">
        <f ca="1">IFERROR(__xludf.DUMMYFUNCTION("""COMPUTED_VALUE"""),93.55)</f>
        <v>93.55</v>
      </c>
      <c r="E801" s="1">
        <f ca="1">IFERROR(__xludf.DUMMYFUNCTION("""COMPUTED_VALUE"""),23.29)</f>
        <v>23.29</v>
      </c>
      <c r="F801" s="1">
        <f ca="1">IFERROR(__xludf.DUMMYFUNCTION("""COMPUTED_VALUE"""),184.51)</f>
        <v>184.51</v>
      </c>
      <c r="G801" s="1">
        <f ca="1">IFERROR(__xludf.DUMMYFUNCTION("""COMPUTED_VALUE"""),94.17)</f>
        <v>94.17</v>
      </c>
      <c r="H801" s="1">
        <f ca="1">IFERROR(__xludf.DUMMYFUNCTION("""COMPUTED_VALUE"""),187.71)</f>
        <v>187.71</v>
      </c>
      <c r="I801" s="1">
        <f ca="1">IFERROR(__xludf.DUMMYFUNCTION("""COMPUTED_VALUE"""),172.64)</f>
        <v>172.64</v>
      </c>
      <c r="J801" s="1">
        <f ca="1">IFERROR(__xludf.DUMMYFUNCTION("""COMPUTED_VALUE"""),485.15)</f>
        <v>485.15</v>
      </c>
      <c r="K801" s="1">
        <f ca="1">IFERROR(__xludf.DUMMYFUNCTION("""COMPUTED_VALUE"""),62.52)</f>
        <v>62.52</v>
      </c>
      <c r="L801" s="1">
        <f ca="1">IFERROR(__xludf.DUMMYFUNCTION("""COMPUTED_VALUE"""),344.8)</f>
        <v>344.8</v>
      </c>
      <c r="M801" s="1">
        <f ca="1">IFERROR(__xludf.DUMMYFUNCTION("""COMPUTED_VALUE"""),308.47)</f>
        <v>308.47000000000003</v>
      </c>
    </row>
    <row r="802" spans="1:13" x14ac:dyDescent="0.25">
      <c r="A802" s="2">
        <f ca="1">IFERROR(__xludf.DUMMYFUNCTION("""COMPUTED_VALUE"""),44994.6666666666)</f>
        <v>44994.666666666599</v>
      </c>
      <c r="B802" s="1">
        <f ca="1">IFERROR(__xludf.DUMMYFUNCTION("""COMPUTED_VALUE"""),150.59)</f>
        <v>150.59</v>
      </c>
      <c r="C802" s="1">
        <f ca="1">IFERROR(__xludf.DUMMYFUNCTION("""COMPUTED_VALUE"""),253.7)</f>
        <v>253.7</v>
      </c>
      <c r="D802" s="1">
        <f ca="1">IFERROR(__xludf.DUMMYFUNCTION("""COMPUTED_VALUE"""),93.92)</f>
        <v>93.92</v>
      </c>
      <c r="E802" s="1">
        <f ca="1">IFERROR(__xludf.DUMMYFUNCTION("""COMPUTED_VALUE"""),24.18)</f>
        <v>24.18</v>
      </c>
      <c r="F802" s="1">
        <f ca="1">IFERROR(__xludf.DUMMYFUNCTION("""COMPUTED_VALUE"""),184.97)</f>
        <v>184.97</v>
      </c>
      <c r="G802" s="1">
        <f ca="1">IFERROR(__xludf.DUMMYFUNCTION("""COMPUTED_VALUE"""),94.65)</f>
        <v>94.65</v>
      </c>
      <c r="H802" s="1">
        <f ca="1">IFERROR(__xludf.DUMMYFUNCTION("""COMPUTED_VALUE"""),182)</f>
        <v>182</v>
      </c>
      <c r="I802" s="1">
        <f ca="1">IFERROR(__xludf.DUMMYFUNCTION("""COMPUTED_VALUE"""),173.11)</f>
        <v>173.11</v>
      </c>
      <c r="J802" s="1">
        <f ca="1">IFERROR(__xludf.DUMMYFUNCTION("""COMPUTED_VALUE"""),486.04)</f>
        <v>486.04</v>
      </c>
      <c r="K802" s="1">
        <f ca="1">IFERROR(__xludf.DUMMYFUNCTION("""COMPUTED_VALUE"""),63.23)</f>
        <v>63.23</v>
      </c>
      <c r="L802" s="1">
        <f ca="1">IFERROR(__xludf.DUMMYFUNCTION("""COMPUTED_VALUE"""),345.84)</f>
        <v>345.84</v>
      </c>
      <c r="M802" s="1">
        <f ca="1">IFERROR(__xludf.DUMMYFUNCTION("""COMPUTED_VALUE"""),311.79)</f>
        <v>311.79000000000002</v>
      </c>
    </row>
    <row r="803" spans="1:13" x14ac:dyDescent="0.25">
      <c r="A803" s="2">
        <f ca="1">IFERROR(__xludf.DUMMYFUNCTION("""COMPUTED_VALUE"""),44995.6666666666)</f>
        <v>44995.666666666599</v>
      </c>
      <c r="B803" s="1">
        <f ca="1">IFERROR(__xludf.DUMMYFUNCTION("""COMPUTED_VALUE"""),148.5)</f>
        <v>148.5</v>
      </c>
      <c r="C803" s="1">
        <f ca="1">IFERROR(__xludf.DUMMYFUNCTION("""COMPUTED_VALUE"""),252.32)</f>
        <v>252.32</v>
      </c>
      <c r="D803" s="1">
        <f ca="1">IFERROR(__xludf.DUMMYFUNCTION("""COMPUTED_VALUE"""),92.25)</f>
        <v>92.25</v>
      </c>
      <c r="E803" s="1">
        <f ca="1">IFERROR(__xludf.DUMMYFUNCTION("""COMPUTED_VALUE"""),23.44)</f>
        <v>23.44</v>
      </c>
      <c r="F803" s="1">
        <f ca="1">IFERROR(__xludf.DUMMYFUNCTION("""COMPUTED_VALUE"""),181.69)</f>
        <v>181.69</v>
      </c>
      <c r="G803" s="1">
        <f ca="1">IFERROR(__xludf.DUMMYFUNCTION("""COMPUTED_VALUE"""),92.66)</f>
        <v>92.66</v>
      </c>
      <c r="H803" s="1">
        <f ca="1">IFERROR(__xludf.DUMMYFUNCTION("""COMPUTED_VALUE"""),172.92)</f>
        <v>172.92</v>
      </c>
      <c r="I803" s="1">
        <f ca="1">IFERROR(__xludf.DUMMYFUNCTION("""COMPUTED_VALUE"""),171.8)</f>
        <v>171.8</v>
      </c>
      <c r="J803" s="1">
        <f ca="1">IFERROR(__xludf.DUMMYFUNCTION("""COMPUTED_VALUE"""),479.52)</f>
        <v>479.52</v>
      </c>
      <c r="K803" s="1">
        <f ca="1">IFERROR(__xludf.DUMMYFUNCTION("""COMPUTED_VALUE"""),62.25)</f>
        <v>62.25</v>
      </c>
      <c r="L803" s="1">
        <f ca="1">IFERROR(__xludf.DUMMYFUNCTION("""COMPUTED_VALUE"""),338.37)</f>
        <v>338.37</v>
      </c>
      <c r="M803" s="1">
        <f ca="1">IFERROR(__xludf.DUMMYFUNCTION("""COMPUTED_VALUE"""),297.78)</f>
        <v>297.77999999999997</v>
      </c>
    </row>
    <row r="804" spans="1:13" x14ac:dyDescent="0.25">
      <c r="A804" s="2">
        <f ca="1">IFERROR(__xludf.DUMMYFUNCTION("""COMPUTED_VALUE"""),44998.6666666666)</f>
        <v>44998.666666666599</v>
      </c>
      <c r="B804" s="1">
        <f ca="1">IFERROR(__xludf.DUMMYFUNCTION("""COMPUTED_VALUE"""),150.47)</f>
        <v>150.47</v>
      </c>
      <c r="C804" s="1">
        <f ca="1">IFERROR(__xludf.DUMMYFUNCTION("""COMPUTED_VALUE"""),248.59)</f>
        <v>248.59</v>
      </c>
      <c r="D804" s="1">
        <f ca="1">IFERROR(__xludf.DUMMYFUNCTION("""COMPUTED_VALUE"""),90.73)</f>
        <v>90.73</v>
      </c>
      <c r="E804" s="1">
        <f ca="1">IFERROR(__xludf.DUMMYFUNCTION("""COMPUTED_VALUE"""),22.97)</f>
        <v>22.97</v>
      </c>
      <c r="F804" s="1">
        <f ca="1">IFERROR(__xludf.DUMMYFUNCTION("""COMPUTED_VALUE"""),179.51)</f>
        <v>179.51</v>
      </c>
      <c r="G804" s="1">
        <f ca="1">IFERROR(__xludf.DUMMYFUNCTION("""COMPUTED_VALUE"""),91.01)</f>
        <v>91.01</v>
      </c>
      <c r="H804" s="1">
        <f ca="1">IFERROR(__xludf.DUMMYFUNCTION("""COMPUTED_VALUE"""),173.44)</f>
        <v>173.44</v>
      </c>
      <c r="I804" s="1">
        <f ca="1">IFERROR(__xludf.DUMMYFUNCTION("""COMPUTED_VALUE"""),172.03)</f>
        <v>172.03</v>
      </c>
      <c r="J804" s="1">
        <f ca="1">IFERROR(__xludf.DUMMYFUNCTION("""COMPUTED_VALUE"""),471.14)</f>
        <v>471.14</v>
      </c>
      <c r="K804" s="1">
        <f ca="1">IFERROR(__xludf.DUMMYFUNCTION("""COMPUTED_VALUE"""),61.48)</f>
        <v>61.48</v>
      </c>
      <c r="L804" s="1">
        <f ca="1">IFERROR(__xludf.DUMMYFUNCTION("""COMPUTED_VALUE"""),329.3)</f>
        <v>329.3</v>
      </c>
      <c r="M804" s="1">
        <f ca="1">IFERROR(__xludf.DUMMYFUNCTION("""COMPUTED_VALUE"""),292.76)</f>
        <v>292.76</v>
      </c>
    </row>
    <row r="805" spans="1:13" x14ac:dyDescent="0.25">
      <c r="A805" s="2">
        <f ca="1">IFERROR(__xludf.DUMMYFUNCTION("""COMPUTED_VALUE"""),44999.6666666666)</f>
        <v>44999.666666666599</v>
      </c>
      <c r="B805" s="1">
        <f ca="1">IFERROR(__xludf.DUMMYFUNCTION("""COMPUTED_VALUE"""),152.59)</f>
        <v>152.59</v>
      </c>
      <c r="C805" s="1">
        <f ca="1">IFERROR(__xludf.DUMMYFUNCTION("""COMPUTED_VALUE"""),253.92)</f>
        <v>253.92</v>
      </c>
      <c r="D805" s="1">
        <f ca="1">IFERROR(__xludf.DUMMYFUNCTION("""COMPUTED_VALUE"""),92.43)</f>
        <v>92.43</v>
      </c>
      <c r="E805" s="1">
        <f ca="1">IFERROR(__xludf.DUMMYFUNCTION("""COMPUTED_VALUE"""),22.97)</f>
        <v>22.97</v>
      </c>
      <c r="F805" s="1">
        <f ca="1">IFERROR(__xludf.DUMMYFUNCTION("""COMPUTED_VALUE"""),180.9)</f>
        <v>180.9</v>
      </c>
      <c r="G805" s="1">
        <f ca="1">IFERROR(__xludf.DUMMYFUNCTION("""COMPUTED_VALUE"""),91.66)</f>
        <v>91.66</v>
      </c>
      <c r="H805" s="1">
        <f ca="1">IFERROR(__xludf.DUMMYFUNCTION("""COMPUTED_VALUE"""),174.48)</f>
        <v>174.48</v>
      </c>
      <c r="I805" s="1">
        <f ca="1">IFERROR(__xludf.DUMMYFUNCTION("""COMPUTED_VALUE"""),173.71)</f>
        <v>173.71</v>
      </c>
      <c r="J805" s="1">
        <f ca="1">IFERROR(__xludf.DUMMYFUNCTION("""COMPUTED_VALUE"""),472)</f>
        <v>472</v>
      </c>
      <c r="K805" s="1">
        <f ca="1">IFERROR(__xludf.DUMMYFUNCTION("""COMPUTED_VALUE"""),61.65)</f>
        <v>61.65</v>
      </c>
      <c r="L805" s="1">
        <f ca="1">IFERROR(__xludf.DUMMYFUNCTION("""COMPUTED_VALUE"""),324.27)</f>
        <v>324.27</v>
      </c>
      <c r="M805" s="1">
        <f ca="1">IFERROR(__xludf.DUMMYFUNCTION("""COMPUTED_VALUE"""),293.51)</f>
        <v>293.51</v>
      </c>
    </row>
    <row r="806" spans="1:13" x14ac:dyDescent="0.25">
      <c r="A806" s="2">
        <f ca="1">IFERROR(__xludf.DUMMYFUNCTION("""COMPUTED_VALUE"""),45000.6666666666)</f>
        <v>45000.666666666599</v>
      </c>
      <c r="B806" s="1">
        <f ca="1">IFERROR(__xludf.DUMMYFUNCTION("""COMPUTED_VALUE"""),152.99)</f>
        <v>152.99</v>
      </c>
      <c r="C806" s="1">
        <f ca="1">IFERROR(__xludf.DUMMYFUNCTION("""COMPUTED_VALUE"""),260.79)</f>
        <v>260.79000000000002</v>
      </c>
      <c r="D806" s="1">
        <f ca="1">IFERROR(__xludf.DUMMYFUNCTION("""COMPUTED_VALUE"""),94.88)</f>
        <v>94.88</v>
      </c>
      <c r="E806" s="1">
        <f ca="1">IFERROR(__xludf.DUMMYFUNCTION("""COMPUTED_VALUE"""),24.06)</f>
        <v>24.06</v>
      </c>
      <c r="F806" s="1">
        <f ca="1">IFERROR(__xludf.DUMMYFUNCTION("""COMPUTED_VALUE"""),194.02)</f>
        <v>194.02</v>
      </c>
      <c r="G806" s="1">
        <f ca="1">IFERROR(__xludf.DUMMYFUNCTION("""COMPUTED_VALUE"""),94.25)</f>
        <v>94.25</v>
      </c>
      <c r="H806" s="1">
        <f ca="1">IFERROR(__xludf.DUMMYFUNCTION("""COMPUTED_VALUE"""),183.26)</f>
        <v>183.26</v>
      </c>
      <c r="I806" s="1">
        <f ca="1">IFERROR(__xludf.DUMMYFUNCTION("""COMPUTED_VALUE"""),173.53)</f>
        <v>173.53</v>
      </c>
      <c r="J806" s="1">
        <f ca="1">IFERROR(__xludf.DUMMYFUNCTION("""COMPUTED_VALUE"""),481.92)</f>
        <v>481.92</v>
      </c>
      <c r="K806" s="1">
        <f ca="1">IFERROR(__xludf.DUMMYFUNCTION("""COMPUTED_VALUE"""),63.25)</f>
        <v>63.25</v>
      </c>
      <c r="L806" s="1">
        <f ca="1">IFERROR(__xludf.DUMMYFUNCTION("""COMPUTED_VALUE"""),333.33)</f>
        <v>333.33</v>
      </c>
      <c r="M806" s="1">
        <f ca="1">IFERROR(__xludf.DUMMYFUNCTION("""COMPUTED_VALUE"""),294.94)</f>
        <v>294.94</v>
      </c>
    </row>
    <row r="807" spans="1:13" x14ac:dyDescent="0.25">
      <c r="A807" s="2">
        <f ca="1">IFERROR(__xludf.DUMMYFUNCTION("""COMPUTED_VALUE"""),45001.6666666666)</f>
        <v>45001.666666666599</v>
      </c>
      <c r="B807" s="1">
        <f ca="1">IFERROR(__xludf.DUMMYFUNCTION("""COMPUTED_VALUE"""),155.85)</f>
        <v>155.85</v>
      </c>
      <c r="C807" s="1">
        <f ca="1">IFERROR(__xludf.DUMMYFUNCTION("""COMPUTED_VALUE"""),265.44)</f>
        <v>265.44</v>
      </c>
      <c r="D807" s="1">
        <f ca="1">IFERROR(__xludf.DUMMYFUNCTION("""COMPUTED_VALUE"""),96.2)</f>
        <v>96.2</v>
      </c>
      <c r="E807" s="1">
        <f ca="1">IFERROR(__xludf.DUMMYFUNCTION("""COMPUTED_VALUE"""),24.23)</f>
        <v>24.23</v>
      </c>
      <c r="F807" s="1">
        <f ca="1">IFERROR(__xludf.DUMMYFUNCTION("""COMPUTED_VALUE"""),197.75)</f>
        <v>197.75</v>
      </c>
      <c r="G807" s="1">
        <f ca="1">IFERROR(__xludf.DUMMYFUNCTION("""COMPUTED_VALUE"""),96.55)</f>
        <v>96.55</v>
      </c>
      <c r="H807" s="1">
        <f ca="1">IFERROR(__xludf.DUMMYFUNCTION("""COMPUTED_VALUE"""),180.45)</f>
        <v>180.45</v>
      </c>
      <c r="I807" s="1">
        <f ca="1">IFERROR(__xludf.DUMMYFUNCTION("""COMPUTED_VALUE"""),176.63)</f>
        <v>176.63</v>
      </c>
      <c r="J807" s="1">
        <f ca="1">IFERROR(__xludf.DUMMYFUNCTION("""COMPUTED_VALUE"""),485.66)</f>
        <v>485.66</v>
      </c>
      <c r="K807" s="1">
        <f ca="1">IFERROR(__xludf.DUMMYFUNCTION("""COMPUTED_VALUE"""),62.6)</f>
        <v>62.6</v>
      </c>
      <c r="L807" s="1">
        <f ca="1">IFERROR(__xludf.DUMMYFUNCTION("""COMPUTED_VALUE"""),333.61)</f>
        <v>333.61</v>
      </c>
      <c r="M807" s="1">
        <f ca="1">IFERROR(__xludf.DUMMYFUNCTION("""COMPUTED_VALUE"""),303.79)</f>
        <v>303.79000000000002</v>
      </c>
    </row>
    <row r="808" spans="1:13" x14ac:dyDescent="0.25">
      <c r="A808" s="2">
        <f ca="1">IFERROR(__xludf.DUMMYFUNCTION("""COMPUTED_VALUE"""),45002.6666666666)</f>
        <v>45002.666666666599</v>
      </c>
      <c r="B808" s="1">
        <f ca="1">IFERROR(__xludf.DUMMYFUNCTION("""COMPUTED_VALUE"""),155)</f>
        <v>155</v>
      </c>
      <c r="C808" s="1">
        <f ca="1">IFERROR(__xludf.DUMMYFUNCTION("""COMPUTED_VALUE"""),276.2)</f>
        <v>276.2</v>
      </c>
      <c r="D808" s="1">
        <f ca="1">IFERROR(__xludf.DUMMYFUNCTION("""COMPUTED_VALUE"""),100.04)</f>
        <v>100.04</v>
      </c>
      <c r="E808" s="1">
        <f ca="1">IFERROR(__xludf.DUMMYFUNCTION("""COMPUTED_VALUE"""),25.54)</f>
        <v>25.54</v>
      </c>
      <c r="F808" s="1">
        <f ca="1">IFERROR(__xludf.DUMMYFUNCTION("""COMPUTED_VALUE"""),204.93)</f>
        <v>204.93</v>
      </c>
      <c r="G808" s="1">
        <f ca="1">IFERROR(__xludf.DUMMYFUNCTION("""COMPUTED_VALUE"""),101.07)</f>
        <v>101.07</v>
      </c>
      <c r="H808" s="1">
        <f ca="1">IFERROR(__xludf.DUMMYFUNCTION("""COMPUTED_VALUE"""),184.13)</f>
        <v>184.13</v>
      </c>
      <c r="I808" s="1">
        <f ca="1">IFERROR(__xludf.DUMMYFUNCTION("""COMPUTED_VALUE"""),176.51)</f>
        <v>176.51</v>
      </c>
      <c r="J808" s="1">
        <f ca="1">IFERROR(__xludf.DUMMYFUNCTION("""COMPUTED_VALUE"""),487.26)</f>
        <v>487.26</v>
      </c>
      <c r="K808" s="1">
        <f ca="1">IFERROR(__xludf.DUMMYFUNCTION("""COMPUTED_VALUE"""),63.65)</f>
        <v>63.65</v>
      </c>
      <c r="L808" s="1">
        <f ca="1">IFERROR(__xludf.DUMMYFUNCTION("""COMPUTED_VALUE"""),353.29)</f>
        <v>353.29</v>
      </c>
      <c r="M808" s="1">
        <f ca="1">IFERROR(__xludf.DUMMYFUNCTION("""COMPUTED_VALUE"""),310.06)</f>
        <v>310.06</v>
      </c>
    </row>
    <row r="809" spans="1:13" x14ac:dyDescent="0.25">
      <c r="A809" s="2">
        <f ca="1">IFERROR(__xludf.DUMMYFUNCTION("""COMPUTED_VALUE"""),45005.6666666666)</f>
        <v>45005.666666666599</v>
      </c>
      <c r="B809" s="1">
        <f ca="1">IFERROR(__xludf.DUMMYFUNCTION("""COMPUTED_VALUE"""),157.4)</f>
        <v>157.4</v>
      </c>
      <c r="C809" s="1">
        <f ca="1">IFERROR(__xludf.DUMMYFUNCTION("""COMPUTED_VALUE"""),279.43)</f>
        <v>279.43</v>
      </c>
      <c r="D809" s="1">
        <f ca="1">IFERROR(__xludf.DUMMYFUNCTION("""COMPUTED_VALUE"""),98.95)</f>
        <v>98.95</v>
      </c>
      <c r="E809" s="1">
        <f ca="1">IFERROR(__xludf.DUMMYFUNCTION("""COMPUTED_VALUE"""),25.73)</f>
        <v>25.73</v>
      </c>
      <c r="F809" s="1">
        <f ca="1">IFERROR(__xludf.DUMMYFUNCTION("""COMPUTED_VALUE"""),195.61)</f>
        <v>195.61</v>
      </c>
      <c r="G809" s="1">
        <f ca="1">IFERROR(__xludf.DUMMYFUNCTION("""COMPUTED_VALUE"""),102.46)</f>
        <v>102.46</v>
      </c>
      <c r="H809" s="1">
        <f ca="1">IFERROR(__xludf.DUMMYFUNCTION("""COMPUTED_VALUE"""),180.13)</f>
        <v>180.13</v>
      </c>
      <c r="I809" s="1">
        <f ca="1">IFERROR(__xludf.DUMMYFUNCTION("""COMPUTED_VALUE"""),175.13)</f>
        <v>175.13</v>
      </c>
      <c r="J809" s="1">
        <f ca="1">IFERROR(__xludf.DUMMYFUNCTION("""COMPUTED_VALUE"""),487.05)</f>
        <v>487.05</v>
      </c>
      <c r="K809" s="1">
        <f ca="1">IFERROR(__xludf.DUMMYFUNCTION("""COMPUTED_VALUE"""),63.1)</f>
        <v>63.1</v>
      </c>
      <c r="L809" s="1">
        <f ca="1">IFERROR(__xludf.DUMMYFUNCTION("""COMPUTED_VALUE"""),358.14)</f>
        <v>358.14</v>
      </c>
      <c r="M809" s="1">
        <f ca="1">IFERROR(__xludf.DUMMYFUNCTION("""COMPUTED_VALUE"""),303.5)</f>
        <v>303.5</v>
      </c>
    </row>
    <row r="810" spans="1:13" x14ac:dyDescent="0.25">
      <c r="A810" s="2">
        <f ca="1">IFERROR(__xludf.DUMMYFUNCTION("""COMPUTED_VALUE"""),45006.6666666666)</f>
        <v>45006.666666666599</v>
      </c>
      <c r="B810" s="1">
        <f ca="1">IFERROR(__xludf.DUMMYFUNCTION("""COMPUTED_VALUE"""),159.28)</f>
        <v>159.28</v>
      </c>
      <c r="C810" s="1">
        <f ca="1">IFERROR(__xludf.DUMMYFUNCTION("""COMPUTED_VALUE"""),272.23)</f>
        <v>272.23</v>
      </c>
      <c r="D810" s="1">
        <f ca="1">IFERROR(__xludf.DUMMYFUNCTION("""COMPUTED_VALUE"""),97.71)</f>
        <v>97.71</v>
      </c>
      <c r="E810" s="1">
        <f ca="1">IFERROR(__xludf.DUMMYFUNCTION("""COMPUTED_VALUE"""),25.9)</f>
        <v>25.9</v>
      </c>
      <c r="F810" s="1">
        <f ca="1">IFERROR(__xludf.DUMMYFUNCTION("""COMPUTED_VALUE"""),197.81)</f>
        <v>197.81</v>
      </c>
      <c r="G810" s="1">
        <f ca="1">IFERROR(__xludf.DUMMYFUNCTION("""COMPUTED_VALUE"""),101.93)</f>
        <v>101.93</v>
      </c>
      <c r="H810" s="1">
        <f ca="1">IFERROR(__xludf.DUMMYFUNCTION("""COMPUTED_VALUE"""),183.25)</f>
        <v>183.25</v>
      </c>
      <c r="I810" s="1">
        <f ca="1">IFERROR(__xludf.DUMMYFUNCTION("""COMPUTED_VALUE"""),177.59)</f>
        <v>177.59</v>
      </c>
      <c r="J810" s="1">
        <f ca="1">IFERROR(__xludf.DUMMYFUNCTION("""COMPUTED_VALUE"""),489.29)</f>
        <v>489.29</v>
      </c>
      <c r="K810" s="1">
        <f ca="1">IFERROR(__xludf.DUMMYFUNCTION("""COMPUTED_VALUE"""),64.37)</f>
        <v>64.37</v>
      </c>
      <c r="L810" s="1">
        <f ca="1">IFERROR(__xludf.DUMMYFUNCTION("""COMPUTED_VALUE"""),362.88)</f>
        <v>362.88</v>
      </c>
      <c r="M810" s="1">
        <f ca="1">IFERROR(__xludf.DUMMYFUNCTION("""COMPUTED_VALUE"""),305.13)</f>
        <v>305.13</v>
      </c>
    </row>
    <row r="811" spans="1:13" x14ac:dyDescent="0.25">
      <c r="A811" s="2">
        <f ca="1">IFERROR(__xludf.DUMMYFUNCTION("""COMPUTED_VALUE"""),45007.6666666666)</f>
        <v>45007.666666666599</v>
      </c>
      <c r="B811" s="1">
        <f ca="1">IFERROR(__xludf.DUMMYFUNCTION("""COMPUTED_VALUE"""),157.83)</f>
        <v>157.83000000000001</v>
      </c>
      <c r="C811" s="1">
        <f ca="1">IFERROR(__xludf.DUMMYFUNCTION("""COMPUTED_VALUE"""),273.78)</f>
        <v>273.77999999999997</v>
      </c>
      <c r="D811" s="1">
        <f ca="1">IFERROR(__xludf.DUMMYFUNCTION("""COMPUTED_VALUE"""),100.61)</f>
        <v>100.61</v>
      </c>
      <c r="E811" s="1">
        <f ca="1">IFERROR(__xludf.DUMMYFUNCTION("""COMPUTED_VALUE"""),26.2)</f>
        <v>26.2</v>
      </c>
      <c r="F811" s="1">
        <f ca="1">IFERROR(__xludf.DUMMYFUNCTION("""COMPUTED_VALUE"""),202.16)</f>
        <v>202.16</v>
      </c>
      <c r="G811" s="1">
        <f ca="1">IFERROR(__xludf.DUMMYFUNCTION("""COMPUTED_VALUE"""),105.84)</f>
        <v>105.84</v>
      </c>
      <c r="H811" s="1">
        <f ca="1">IFERROR(__xludf.DUMMYFUNCTION("""COMPUTED_VALUE"""),197.58)</f>
        <v>197.58</v>
      </c>
      <c r="I811" s="1">
        <f ca="1">IFERROR(__xludf.DUMMYFUNCTION("""COMPUTED_VALUE"""),178.01)</f>
        <v>178.01</v>
      </c>
      <c r="J811" s="1">
        <f ca="1">IFERROR(__xludf.DUMMYFUNCTION("""COMPUTED_VALUE"""),490.85)</f>
        <v>490.85</v>
      </c>
      <c r="K811" s="1">
        <f ca="1">IFERROR(__xludf.DUMMYFUNCTION("""COMPUTED_VALUE"""),63.68)</f>
        <v>63.68</v>
      </c>
      <c r="L811" s="1">
        <f ca="1">IFERROR(__xludf.DUMMYFUNCTION("""COMPUTED_VALUE"""),374.22)</f>
        <v>374.22</v>
      </c>
      <c r="M811" s="1">
        <f ca="1">IFERROR(__xludf.DUMMYFUNCTION("""COMPUTED_VALUE"""),305.79)</f>
        <v>305.79000000000002</v>
      </c>
    </row>
    <row r="812" spans="1:13" x14ac:dyDescent="0.25">
      <c r="A812" s="2">
        <f ca="1">IFERROR(__xludf.DUMMYFUNCTION("""COMPUTED_VALUE"""),45008.6666666666)</f>
        <v>45008.666666666599</v>
      </c>
      <c r="B812" s="1">
        <f ca="1">IFERROR(__xludf.DUMMYFUNCTION("""COMPUTED_VALUE"""),158.93)</f>
        <v>158.93</v>
      </c>
      <c r="C812" s="1">
        <f ca="1">IFERROR(__xludf.DUMMYFUNCTION("""COMPUTED_VALUE"""),272.29)</f>
        <v>272.29000000000002</v>
      </c>
      <c r="D812" s="1">
        <f ca="1">IFERROR(__xludf.DUMMYFUNCTION("""COMPUTED_VALUE"""),98.7)</f>
        <v>98.7</v>
      </c>
      <c r="E812" s="1">
        <f ca="1">IFERROR(__xludf.DUMMYFUNCTION("""COMPUTED_VALUE"""),26.47)</f>
        <v>26.47</v>
      </c>
      <c r="F812" s="1">
        <f ca="1">IFERROR(__xludf.DUMMYFUNCTION("""COMPUTED_VALUE"""),199.81)</f>
        <v>199.81</v>
      </c>
      <c r="G812" s="1">
        <f ca="1">IFERROR(__xludf.DUMMYFUNCTION("""COMPUTED_VALUE"""),104.22)</f>
        <v>104.22</v>
      </c>
      <c r="H812" s="1">
        <f ca="1">IFERROR(__xludf.DUMMYFUNCTION("""COMPUTED_VALUE"""),191.15)</f>
        <v>191.15</v>
      </c>
      <c r="I812" s="1">
        <f ca="1">IFERROR(__xludf.DUMMYFUNCTION("""COMPUTED_VALUE"""),176.51)</f>
        <v>176.51</v>
      </c>
      <c r="J812" s="1">
        <f ca="1">IFERROR(__xludf.DUMMYFUNCTION("""COMPUTED_VALUE"""),487.52)</f>
        <v>487.52</v>
      </c>
      <c r="K812" s="1">
        <f ca="1">IFERROR(__xludf.DUMMYFUNCTION("""COMPUTED_VALUE"""),63.09)</f>
        <v>63.09</v>
      </c>
      <c r="L812" s="1">
        <f ca="1">IFERROR(__xludf.DUMMYFUNCTION("""COMPUTED_VALUE"""),361.71)</f>
        <v>361.71</v>
      </c>
      <c r="M812" s="1">
        <f ca="1">IFERROR(__xludf.DUMMYFUNCTION("""COMPUTED_VALUE"""),293.9)</f>
        <v>293.89999999999998</v>
      </c>
    </row>
    <row r="813" spans="1:13" x14ac:dyDescent="0.25">
      <c r="A813" s="2">
        <f ca="1">IFERROR(__xludf.DUMMYFUNCTION("""COMPUTED_VALUE"""),45009.6666666666)</f>
        <v>45009.666666666599</v>
      </c>
      <c r="B813" s="1">
        <f ca="1">IFERROR(__xludf.DUMMYFUNCTION("""COMPUTED_VALUE"""),160.25)</f>
        <v>160.25</v>
      </c>
      <c r="C813" s="1">
        <f ca="1">IFERROR(__xludf.DUMMYFUNCTION("""COMPUTED_VALUE"""),277.66)</f>
        <v>277.66000000000003</v>
      </c>
      <c r="D813" s="1">
        <f ca="1">IFERROR(__xludf.DUMMYFUNCTION("""COMPUTED_VALUE"""),98.71)</f>
        <v>98.71</v>
      </c>
      <c r="E813" s="1">
        <f ca="1">IFERROR(__xludf.DUMMYFUNCTION("""COMPUTED_VALUE"""),27.19)</f>
        <v>27.19</v>
      </c>
      <c r="F813" s="1">
        <f ca="1">IFERROR(__xludf.DUMMYFUNCTION("""COMPUTED_VALUE"""),204.28)</f>
        <v>204.28</v>
      </c>
      <c r="G813" s="1">
        <f ca="1">IFERROR(__xludf.DUMMYFUNCTION("""COMPUTED_VALUE"""),106.26)</f>
        <v>106.26</v>
      </c>
      <c r="H813" s="1">
        <f ca="1">IFERROR(__xludf.DUMMYFUNCTION("""COMPUTED_VALUE"""),192.22)</f>
        <v>192.22</v>
      </c>
      <c r="I813" s="1">
        <f ca="1">IFERROR(__xludf.DUMMYFUNCTION("""COMPUTED_VALUE"""),175.65)</f>
        <v>175.65</v>
      </c>
      <c r="J813" s="1">
        <f ca="1">IFERROR(__xludf.DUMMYFUNCTION("""COMPUTED_VALUE"""),487.76)</f>
        <v>487.76</v>
      </c>
      <c r="K813" s="1">
        <f ca="1">IFERROR(__xludf.DUMMYFUNCTION("""COMPUTED_VALUE"""),63.92)</f>
        <v>63.92</v>
      </c>
      <c r="L813" s="1">
        <f ca="1">IFERROR(__xludf.DUMMYFUNCTION("""COMPUTED_VALUE"""),369)</f>
        <v>369</v>
      </c>
      <c r="M813" s="1">
        <f ca="1">IFERROR(__xludf.DUMMYFUNCTION("""COMPUTED_VALUE"""),320.37)</f>
        <v>320.37</v>
      </c>
    </row>
    <row r="814" spans="1:13" x14ac:dyDescent="0.25">
      <c r="A814" s="2">
        <f ca="1">IFERROR(__xludf.DUMMYFUNCTION("""COMPUTED_VALUE"""),45012.6666666666)</f>
        <v>45012.666666666599</v>
      </c>
      <c r="B814" s="1">
        <f ca="1">IFERROR(__xludf.DUMMYFUNCTION("""COMPUTED_VALUE"""),158.28)</f>
        <v>158.28</v>
      </c>
      <c r="C814" s="1">
        <f ca="1">IFERROR(__xludf.DUMMYFUNCTION("""COMPUTED_VALUE"""),280.57)</f>
        <v>280.57</v>
      </c>
      <c r="D814" s="1">
        <f ca="1">IFERROR(__xludf.DUMMYFUNCTION("""COMPUTED_VALUE"""),98.13)</f>
        <v>98.13</v>
      </c>
      <c r="E814" s="1">
        <f ca="1">IFERROR(__xludf.DUMMYFUNCTION("""COMPUTED_VALUE"""),26.78)</f>
        <v>26.78</v>
      </c>
      <c r="F814" s="1">
        <f ca="1">IFERROR(__xludf.DUMMYFUNCTION("""COMPUTED_VALUE"""),206.01)</f>
        <v>206.01</v>
      </c>
      <c r="G814" s="1">
        <f ca="1">IFERROR(__xludf.DUMMYFUNCTION("""COMPUTED_VALUE"""),106.06)</f>
        <v>106.06</v>
      </c>
      <c r="H814" s="1">
        <f ca="1">IFERROR(__xludf.DUMMYFUNCTION("""COMPUTED_VALUE"""),190.41)</f>
        <v>190.41</v>
      </c>
      <c r="I814" s="1">
        <f ca="1">IFERROR(__xludf.DUMMYFUNCTION("""COMPUTED_VALUE"""),179.09)</f>
        <v>179.09</v>
      </c>
      <c r="J814" s="1">
        <f ca="1">IFERROR(__xludf.DUMMYFUNCTION("""COMPUTED_VALUE"""),495.27)</f>
        <v>495.27</v>
      </c>
      <c r="K814" s="1">
        <f ca="1">IFERROR(__xludf.DUMMYFUNCTION("""COMPUTED_VALUE"""),63.62)</f>
        <v>63.62</v>
      </c>
      <c r="L814" s="1">
        <f ca="1">IFERROR(__xludf.DUMMYFUNCTION("""COMPUTED_VALUE"""),374.96)</f>
        <v>374.96</v>
      </c>
      <c r="M814" s="1">
        <f ca="1">IFERROR(__xludf.DUMMYFUNCTION("""COMPUTED_VALUE"""),328.39)</f>
        <v>328.39</v>
      </c>
    </row>
    <row r="815" spans="1:13" x14ac:dyDescent="0.25">
      <c r="A815" s="2">
        <f ca="1">IFERROR(__xludf.DUMMYFUNCTION("""COMPUTED_VALUE"""),45013.6666666666)</f>
        <v>45013.666666666599</v>
      </c>
      <c r="B815" s="1">
        <f ca="1">IFERROR(__xludf.DUMMYFUNCTION("""COMPUTED_VALUE"""),157.65)</f>
        <v>157.65</v>
      </c>
      <c r="C815" s="1">
        <f ca="1">IFERROR(__xludf.DUMMYFUNCTION("""COMPUTED_VALUE"""),276.38)</f>
        <v>276.38</v>
      </c>
      <c r="D815" s="1">
        <f ca="1">IFERROR(__xludf.DUMMYFUNCTION("""COMPUTED_VALUE"""),98.04)</f>
        <v>98.04</v>
      </c>
      <c r="E815" s="1">
        <f ca="1">IFERROR(__xludf.DUMMYFUNCTION("""COMPUTED_VALUE"""),26.53)</f>
        <v>26.53</v>
      </c>
      <c r="F815" s="1">
        <f ca="1">IFERROR(__xludf.DUMMYFUNCTION("""COMPUTED_VALUE"""),202.84)</f>
        <v>202.84</v>
      </c>
      <c r="G815" s="1">
        <f ca="1">IFERROR(__xludf.DUMMYFUNCTION("""COMPUTED_VALUE"""),103.06)</f>
        <v>103.06</v>
      </c>
      <c r="H815" s="1">
        <f ca="1">IFERROR(__xludf.DUMMYFUNCTION("""COMPUTED_VALUE"""),191.81)</f>
        <v>191.81</v>
      </c>
      <c r="I815" s="1">
        <f ca="1">IFERROR(__xludf.DUMMYFUNCTION("""COMPUTED_VALUE"""),179.49)</f>
        <v>179.49</v>
      </c>
      <c r="J815" s="1">
        <f ca="1">IFERROR(__xludf.DUMMYFUNCTION("""COMPUTED_VALUE"""),493.22)</f>
        <v>493.22</v>
      </c>
      <c r="K815" s="1">
        <f ca="1">IFERROR(__xludf.DUMMYFUNCTION("""COMPUTED_VALUE"""),62.68)</f>
        <v>62.68</v>
      </c>
      <c r="L815" s="1">
        <f ca="1">IFERROR(__xludf.DUMMYFUNCTION("""COMPUTED_VALUE"""),373.15)</f>
        <v>373.15</v>
      </c>
      <c r="M815" s="1">
        <f ca="1">IFERROR(__xludf.DUMMYFUNCTION("""COMPUTED_VALUE"""),327.66)</f>
        <v>327.66000000000003</v>
      </c>
    </row>
    <row r="816" spans="1:13" x14ac:dyDescent="0.25">
      <c r="A816" s="2">
        <f ca="1">IFERROR(__xludf.DUMMYFUNCTION("""COMPUTED_VALUE"""),45014.6666666666)</f>
        <v>45014.666666666599</v>
      </c>
      <c r="B816" s="1">
        <f ca="1">IFERROR(__xludf.DUMMYFUNCTION("""COMPUTED_VALUE"""),160.77)</f>
        <v>160.77000000000001</v>
      </c>
      <c r="C816" s="1">
        <f ca="1">IFERROR(__xludf.DUMMYFUNCTION("""COMPUTED_VALUE"""),275.23)</f>
        <v>275.23</v>
      </c>
      <c r="D816" s="1">
        <f ca="1">IFERROR(__xludf.DUMMYFUNCTION("""COMPUTED_VALUE"""),97.24)</f>
        <v>97.24</v>
      </c>
      <c r="E816" s="1">
        <f ca="1">IFERROR(__xludf.DUMMYFUNCTION("""COMPUTED_VALUE"""),26.41)</f>
        <v>26.41</v>
      </c>
      <c r="F816" s="1">
        <f ca="1">IFERROR(__xludf.DUMMYFUNCTION("""COMPUTED_VALUE"""),200.68)</f>
        <v>200.68</v>
      </c>
      <c r="G816" s="1">
        <f ca="1">IFERROR(__xludf.DUMMYFUNCTION("""COMPUTED_VALUE"""),101.36)</f>
        <v>101.36</v>
      </c>
      <c r="H816" s="1">
        <f ca="1">IFERROR(__xludf.DUMMYFUNCTION("""COMPUTED_VALUE"""),189.19)</f>
        <v>189.19</v>
      </c>
      <c r="I816" s="1">
        <f ca="1">IFERROR(__xludf.DUMMYFUNCTION("""COMPUTED_VALUE"""),179.43)</f>
        <v>179.43</v>
      </c>
      <c r="J816" s="1">
        <f ca="1">IFERROR(__xludf.DUMMYFUNCTION("""COMPUTED_VALUE"""),486.77)</f>
        <v>486.77</v>
      </c>
      <c r="K816" s="1">
        <f ca="1">IFERROR(__xludf.DUMMYFUNCTION("""COMPUTED_VALUE"""),62.47)</f>
        <v>62.47</v>
      </c>
      <c r="L816" s="1">
        <f ca="1">IFERROR(__xludf.DUMMYFUNCTION("""COMPUTED_VALUE"""),373.4)</f>
        <v>373.4</v>
      </c>
      <c r="M816" s="1">
        <f ca="1">IFERROR(__xludf.DUMMYFUNCTION("""COMPUTED_VALUE"""),323.52)</f>
        <v>323.52</v>
      </c>
    </row>
    <row r="817" spans="1:13" x14ac:dyDescent="0.25">
      <c r="A817" s="2">
        <f ca="1">IFERROR(__xludf.DUMMYFUNCTION("""COMPUTED_VALUE"""),45015.6666666666)</f>
        <v>45015.666666666599</v>
      </c>
      <c r="B817" s="1">
        <f ca="1">IFERROR(__xludf.DUMMYFUNCTION("""COMPUTED_VALUE"""),162.36)</f>
        <v>162.36000000000001</v>
      </c>
      <c r="C817" s="1">
        <f ca="1">IFERROR(__xludf.DUMMYFUNCTION("""COMPUTED_VALUE"""),280.51)</f>
        <v>280.51</v>
      </c>
      <c r="D817" s="1">
        <f ca="1">IFERROR(__xludf.DUMMYFUNCTION("""COMPUTED_VALUE"""),100.25)</f>
        <v>100.25</v>
      </c>
      <c r="E817" s="1">
        <f ca="1">IFERROR(__xludf.DUMMYFUNCTION("""COMPUTED_VALUE"""),26.98)</f>
        <v>26.98</v>
      </c>
      <c r="F817" s="1">
        <f ca="1">IFERROR(__xludf.DUMMYFUNCTION("""COMPUTED_VALUE"""),205.35)</f>
        <v>205.35</v>
      </c>
      <c r="G817" s="1">
        <f ca="1">IFERROR(__xludf.DUMMYFUNCTION("""COMPUTED_VALUE"""),101.9)</f>
        <v>101.9</v>
      </c>
      <c r="H817" s="1">
        <f ca="1">IFERROR(__xludf.DUMMYFUNCTION("""COMPUTED_VALUE"""),193.88)</f>
        <v>193.88</v>
      </c>
      <c r="I817" s="1">
        <f ca="1">IFERROR(__xludf.DUMMYFUNCTION("""COMPUTED_VALUE"""),180.67)</f>
        <v>180.67</v>
      </c>
      <c r="J817" s="1">
        <f ca="1">IFERROR(__xludf.DUMMYFUNCTION("""COMPUTED_VALUE"""),490.87)</f>
        <v>490.87</v>
      </c>
      <c r="K817" s="1">
        <f ca="1">IFERROR(__xludf.DUMMYFUNCTION("""COMPUTED_VALUE"""),62.55)</f>
        <v>62.55</v>
      </c>
      <c r="L817" s="1">
        <f ca="1">IFERROR(__xludf.DUMMYFUNCTION("""COMPUTED_VALUE"""),379.16)</f>
        <v>379.16</v>
      </c>
      <c r="M817" s="1">
        <f ca="1">IFERROR(__xludf.DUMMYFUNCTION("""COMPUTED_VALUE"""),332.03)</f>
        <v>332.03</v>
      </c>
    </row>
    <row r="818" spans="1:13" x14ac:dyDescent="0.25">
      <c r="A818" s="2">
        <f ca="1">IFERROR(__xludf.DUMMYFUNCTION("""COMPUTED_VALUE"""),45016.6666666666)</f>
        <v>45016.666666666599</v>
      </c>
      <c r="B818" s="1">
        <f ca="1">IFERROR(__xludf.DUMMYFUNCTION("""COMPUTED_VALUE"""),164.9)</f>
        <v>164.9</v>
      </c>
      <c r="C818" s="1">
        <f ca="1">IFERROR(__xludf.DUMMYFUNCTION("""COMPUTED_VALUE"""),284.05)</f>
        <v>284.05</v>
      </c>
      <c r="D818" s="1">
        <f ca="1">IFERROR(__xludf.DUMMYFUNCTION("""COMPUTED_VALUE"""),102)</f>
        <v>102</v>
      </c>
      <c r="E818" s="1">
        <f ca="1">IFERROR(__xludf.DUMMYFUNCTION("""COMPUTED_VALUE"""),27.38)</f>
        <v>27.38</v>
      </c>
      <c r="F818" s="1">
        <f ca="1">IFERROR(__xludf.DUMMYFUNCTION("""COMPUTED_VALUE"""),207.84)</f>
        <v>207.84</v>
      </c>
      <c r="G818" s="1">
        <f ca="1">IFERROR(__xludf.DUMMYFUNCTION("""COMPUTED_VALUE"""),101.32)</f>
        <v>101.32</v>
      </c>
      <c r="H818" s="1">
        <f ca="1">IFERROR(__xludf.DUMMYFUNCTION("""COMPUTED_VALUE"""),195.28)</f>
        <v>195.28</v>
      </c>
      <c r="I818" s="1">
        <f ca="1">IFERROR(__xludf.DUMMYFUNCTION("""COMPUTED_VALUE"""),180.83)</f>
        <v>180.83</v>
      </c>
      <c r="J818" s="1">
        <f ca="1">IFERROR(__xludf.DUMMYFUNCTION("""COMPUTED_VALUE"""),491.48)</f>
        <v>491.48</v>
      </c>
      <c r="K818" s="1">
        <f ca="1">IFERROR(__xludf.DUMMYFUNCTION("""COMPUTED_VALUE"""),63.38)</f>
        <v>63.38</v>
      </c>
      <c r="L818" s="1">
        <f ca="1">IFERROR(__xludf.DUMMYFUNCTION("""COMPUTED_VALUE"""),381.9)</f>
        <v>381.9</v>
      </c>
      <c r="M818" s="1">
        <f ca="1">IFERROR(__xludf.DUMMYFUNCTION("""COMPUTED_VALUE"""),338.43)</f>
        <v>338.43</v>
      </c>
    </row>
    <row r="819" spans="1:13" x14ac:dyDescent="0.25">
      <c r="A819" s="2">
        <f ca="1">IFERROR(__xludf.DUMMYFUNCTION("""COMPUTED_VALUE"""),45019.6666666666)</f>
        <v>45019.666666666599</v>
      </c>
      <c r="B819" s="1">
        <f ca="1">IFERROR(__xludf.DUMMYFUNCTION("""COMPUTED_VALUE"""),166.17)</f>
        <v>166.17</v>
      </c>
      <c r="C819" s="1">
        <f ca="1">IFERROR(__xludf.DUMMYFUNCTION("""COMPUTED_VALUE"""),288.3)</f>
        <v>288.3</v>
      </c>
      <c r="D819" s="1">
        <f ca="1">IFERROR(__xludf.DUMMYFUNCTION("""COMPUTED_VALUE"""),103.29)</f>
        <v>103.29</v>
      </c>
      <c r="E819" s="1">
        <f ca="1">IFERROR(__xludf.DUMMYFUNCTION("""COMPUTED_VALUE"""),27.78)</f>
        <v>27.78</v>
      </c>
      <c r="F819" s="1">
        <f ca="1">IFERROR(__xludf.DUMMYFUNCTION("""COMPUTED_VALUE"""),211.94)</f>
        <v>211.94</v>
      </c>
      <c r="G819" s="1">
        <f ca="1">IFERROR(__xludf.DUMMYFUNCTION("""COMPUTED_VALUE"""),104)</f>
        <v>104</v>
      </c>
      <c r="H819" s="1">
        <f ca="1">IFERROR(__xludf.DUMMYFUNCTION("""COMPUTED_VALUE"""),207.46)</f>
        <v>207.46</v>
      </c>
      <c r="I819" s="1">
        <f ca="1">IFERROR(__xludf.DUMMYFUNCTION("""COMPUTED_VALUE"""),182.3)</f>
        <v>182.3</v>
      </c>
      <c r="J819" s="1">
        <f ca="1">IFERROR(__xludf.DUMMYFUNCTION("""COMPUTED_VALUE"""),496.87)</f>
        <v>496.87</v>
      </c>
      <c r="K819" s="1">
        <f ca="1">IFERROR(__xludf.DUMMYFUNCTION("""COMPUTED_VALUE"""),64.15)</f>
        <v>64.150000000000006</v>
      </c>
      <c r="L819" s="1">
        <f ca="1">IFERROR(__xludf.DUMMYFUNCTION("""COMPUTED_VALUE"""),385.37)</f>
        <v>385.37</v>
      </c>
      <c r="M819" s="1">
        <f ca="1">IFERROR(__xludf.DUMMYFUNCTION("""COMPUTED_VALUE"""),345.48)</f>
        <v>345.48</v>
      </c>
    </row>
    <row r="820" spans="1:13" x14ac:dyDescent="0.25">
      <c r="A820" s="2">
        <f ca="1">IFERROR(__xludf.DUMMYFUNCTION("""COMPUTED_VALUE"""),45020.6666666666)</f>
        <v>45020.666666666599</v>
      </c>
      <c r="B820" s="1">
        <f ca="1">IFERROR(__xludf.DUMMYFUNCTION("""COMPUTED_VALUE"""),165.63)</f>
        <v>165.63</v>
      </c>
      <c r="C820" s="1">
        <f ca="1">IFERROR(__xludf.DUMMYFUNCTION("""COMPUTED_VALUE"""),287.23)</f>
        <v>287.23</v>
      </c>
      <c r="D820" s="1">
        <f ca="1">IFERROR(__xludf.DUMMYFUNCTION("""COMPUTED_VALUE"""),102.41)</f>
        <v>102.41</v>
      </c>
      <c r="E820" s="1">
        <f ca="1">IFERROR(__xludf.DUMMYFUNCTION("""COMPUTED_VALUE"""),27.97)</f>
        <v>27.97</v>
      </c>
      <c r="F820" s="1">
        <f ca="1">IFERROR(__xludf.DUMMYFUNCTION("""COMPUTED_VALUE"""),213.07)</f>
        <v>213.07</v>
      </c>
      <c r="G820" s="1">
        <f ca="1">IFERROR(__xludf.DUMMYFUNCTION("""COMPUTED_VALUE"""),104.91)</f>
        <v>104.91</v>
      </c>
      <c r="H820" s="1">
        <f ca="1">IFERROR(__xludf.DUMMYFUNCTION("""COMPUTED_VALUE"""),194.77)</f>
        <v>194.77</v>
      </c>
      <c r="I820" s="1">
        <f ca="1">IFERROR(__xludf.DUMMYFUNCTION("""COMPUTED_VALUE"""),182.5)</f>
        <v>182.5</v>
      </c>
      <c r="J820" s="1">
        <f ca="1">IFERROR(__xludf.DUMMYFUNCTION("""COMPUTED_VALUE"""),497.03)</f>
        <v>497.03</v>
      </c>
      <c r="K820" s="1">
        <f ca="1">IFERROR(__xludf.DUMMYFUNCTION("""COMPUTED_VALUE"""),64.25)</f>
        <v>64.25</v>
      </c>
      <c r="L820" s="1">
        <f ca="1">IFERROR(__xludf.DUMMYFUNCTION("""COMPUTED_VALUE"""),380.08)</f>
        <v>380.08</v>
      </c>
      <c r="M820" s="1">
        <f ca="1">IFERROR(__xludf.DUMMYFUNCTION("""COMPUTED_VALUE"""),348.28)</f>
        <v>348.28</v>
      </c>
    </row>
    <row r="821" spans="1:13" x14ac:dyDescent="0.25">
      <c r="A821" s="2">
        <f ca="1">IFERROR(__xludf.DUMMYFUNCTION("""COMPUTED_VALUE"""),45021.6666666666)</f>
        <v>45021.666666666599</v>
      </c>
      <c r="B821" s="1">
        <f ca="1">IFERROR(__xludf.DUMMYFUNCTION("""COMPUTED_VALUE"""),163.76)</f>
        <v>163.76</v>
      </c>
      <c r="C821" s="1">
        <f ca="1">IFERROR(__xludf.DUMMYFUNCTION("""COMPUTED_VALUE"""),287.18)</f>
        <v>287.18</v>
      </c>
      <c r="D821" s="1">
        <f ca="1">IFERROR(__xludf.DUMMYFUNCTION("""COMPUTED_VALUE"""),103.95)</f>
        <v>103.95</v>
      </c>
      <c r="E821" s="1">
        <f ca="1">IFERROR(__xludf.DUMMYFUNCTION("""COMPUTED_VALUE"""),27.45)</f>
        <v>27.45</v>
      </c>
      <c r="F821" s="1">
        <f ca="1">IFERROR(__xludf.DUMMYFUNCTION("""COMPUTED_VALUE"""),214.72)</f>
        <v>214.72</v>
      </c>
      <c r="G821" s="1">
        <f ca="1">IFERROR(__xludf.DUMMYFUNCTION("""COMPUTED_VALUE"""),105.12)</f>
        <v>105.12</v>
      </c>
      <c r="H821" s="1">
        <f ca="1">IFERROR(__xludf.DUMMYFUNCTION("""COMPUTED_VALUE"""),192.58)</f>
        <v>192.58</v>
      </c>
      <c r="I821" s="1">
        <f ca="1">IFERROR(__xludf.DUMMYFUNCTION("""COMPUTED_VALUE"""),181.85)</f>
        <v>181.85</v>
      </c>
      <c r="J821" s="1">
        <f ca="1">IFERROR(__xludf.DUMMYFUNCTION("""COMPUTED_VALUE"""),497.73)</f>
        <v>497.73</v>
      </c>
      <c r="K821" s="1">
        <f ca="1">IFERROR(__xludf.DUMMYFUNCTION("""COMPUTED_VALUE"""),63.44)</f>
        <v>63.44</v>
      </c>
      <c r="L821" s="1">
        <f ca="1">IFERROR(__xludf.DUMMYFUNCTION("""COMPUTED_VALUE"""),385.15)</f>
        <v>385.15</v>
      </c>
      <c r="M821" s="1">
        <f ca="1">IFERROR(__xludf.DUMMYFUNCTION("""COMPUTED_VALUE"""),346.75)</f>
        <v>346.75</v>
      </c>
    </row>
    <row r="822" spans="1:13" x14ac:dyDescent="0.25">
      <c r="A822" s="2">
        <f ca="1">IFERROR(__xludf.DUMMYFUNCTION("""COMPUTED_VALUE"""),45022.6666666666)</f>
        <v>45022.666666666599</v>
      </c>
      <c r="B822" s="1">
        <f ca="1">IFERROR(__xludf.DUMMYFUNCTION("""COMPUTED_VALUE"""),164.66)</f>
        <v>164.66</v>
      </c>
      <c r="C822" s="1">
        <f ca="1">IFERROR(__xludf.DUMMYFUNCTION("""COMPUTED_VALUE"""),284.34)</f>
        <v>284.33999999999997</v>
      </c>
      <c r="D822" s="1">
        <f ca="1">IFERROR(__xludf.DUMMYFUNCTION("""COMPUTED_VALUE"""),101.1)</f>
        <v>101.1</v>
      </c>
      <c r="E822" s="1">
        <f ca="1">IFERROR(__xludf.DUMMYFUNCTION("""COMPUTED_VALUE"""),26.88)</f>
        <v>26.88</v>
      </c>
      <c r="F822" s="1">
        <f ca="1">IFERROR(__xludf.DUMMYFUNCTION("""COMPUTED_VALUE"""),211.48)</f>
        <v>211.48</v>
      </c>
      <c r="G822" s="1">
        <f ca="1">IFERROR(__xludf.DUMMYFUNCTION("""COMPUTED_VALUE"""),104.95)</f>
        <v>104.95</v>
      </c>
      <c r="H822" s="1">
        <f ca="1">IFERROR(__xludf.DUMMYFUNCTION("""COMPUTED_VALUE"""),185.52)</f>
        <v>185.52</v>
      </c>
      <c r="I822" s="1">
        <f ca="1">IFERROR(__xludf.DUMMYFUNCTION("""COMPUTED_VALUE"""),183.64)</f>
        <v>183.64</v>
      </c>
      <c r="J822" s="1">
        <f ca="1">IFERROR(__xludf.DUMMYFUNCTION("""COMPUTED_VALUE"""),497.13)</f>
        <v>497.13</v>
      </c>
      <c r="K822" s="1">
        <f ca="1">IFERROR(__xludf.DUMMYFUNCTION("""COMPUTED_VALUE"""),62.9)</f>
        <v>62.9</v>
      </c>
      <c r="L822" s="1">
        <f ca="1">IFERROR(__xludf.DUMMYFUNCTION("""COMPUTED_VALUE"""),382.02)</f>
        <v>382.02</v>
      </c>
      <c r="M822" s="1">
        <f ca="1">IFERROR(__xludf.DUMMYFUNCTION("""COMPUTED_VALUE"""),342.35)</f>
        <v>342.35</v>
      </c>
    </row>
    <row r="823" spans="1:13" x14ac:dyDescent="0.25">
      <c r="A823" s="2">
        <f ca="1">IFERROR(__xludf.DUMMYFUNCTION("""COMPUTED_VALUE"""),45026.6666666666)</f>
        <v>45026.666666666599</v>
      </c>
      <c r="B823" s="1">
        <f ca="1">IFERROR(__xludf.DUMMYFUNCTION("""COMPUTED_VALUE"""),162.03)</f>
        <v>162.03</v>
      </c>
      <c r="C823" s="1">
        <f ca="1">IFERROR(__xludf.DUMMYFUNCTION("""COMPUTED_VALUE"""),291.6)</f>
        <v>291.60000000000002</v>
      </c>
      <c r="D823" s="1">
        <f ca="1">IFERROR(__xludf.DUMMYFUNCTION("""COMPUTED_VALUE"""),102.06)</f>
        <v>102.06</v>
      </c>
      <c r="E823" s="1">
        <f ca="1">IFERROR(__xludf.DUMMYFUNCTION("""COMPUTED_VALUE"""),27.04)</f>
        <v>27.04</v>
      </c>
      <c r="F823" s="1">
        <f ca="1">IFERROR(__xludf.DUMMYFUNCTION("""COMPUTED_VALUE"""),216.1)</f>
        <v>216.1</v>
      </c>
      <c r="G823" s="1">
        <f ca="1">IFERROR(__xludf.DUMMYFUNCTION("""COMPUTED_VALUE"""),108.9)</f>
        <v>108.9</v>
      </c>
      <c r="H823" s="1">
        <f ca="1">IFERROR(__xludf.DUMMYFUNCTION("""COMPUTED_VALUE"""),185.06)</f>
        <v>185.06</v>
      </c>
      <c r="I823" s="1">
        <f ca="1">IFERROR(__xludf.DUMMYFUNCTION("""COMPUTED_VALUE"""),184.36)</f>
        <v>184.36</v>
      </c>
      <c r="J823" s="1">
        <f ca="1">IFERROR(__xludf.DUMMYFUNCTION("""COMPUTED_VALUE"""),485.98)</f>
        <v>485.98</v>
      </c>
      <c r="K823" s="1">
        <f ca="1">IFERROR(__xludf.DUMMYFUNCTION("""COMPUTED_VALUE"""),62.26)</f>
        <v>62.26</v>
      </c>
      <c r="L823" s="1">
        <f ca="1">IFERROR(__xludf.DUMMYFUNCTION("""COMPUTED_VALUE"""),380.6)</f>
        <v>380.6</v>
      </c>
      <c r="M823" s="1">
        <f ca="1">IFERROR(__xludf.DUMMYFUNCTION("""COMPUTED_VALUE"""),339.33)</f>
        <v>339.33</v>
      </c>
    </row>
    <row r="824" spans="1:13" x14ac:dyDescent="0.25">
      <c r="A824" s="2">
        <f ca="1">IFERROR(__xludf.DUMMYFUNCTION("""COMPUTED_VALUE"""),45027.6666666666)</f>
        <v>45027.666666666599</v>
      </c>
      <c r="B824" s="1">
        <f ca="1">IFERROR(__xludf.DUMMYFUNCTION("""COMPUTED_VALUE"""),160.8)</f>
        <v>160.80000000000001</v>
      </c>
      <c r="C824" s="1">
        <f ca="1">IFERROR(__xludf.DUMMYFUNCTION("""COMPUTED_VALUE"""),289.39)</f>
        <v>289.39</v>
      </c>
      <c r="D824" s="1">
        <f ca="1">IFERROR(__xludf.DUMMYFUNCTION("""COMPUTED_VALUE"""),102.17)</f>
        <v>102.17</v>
      </c>
      <c r="E824" s="1">
        <f ca="1">IFERROR(__xludf.DUMMYFUNCTION("""COMPUTED_VALUE"""),27.58)</f>
        <v>27.58</v>
      </c>
      <c r="F824" s="1">
        <f ca="1">IFERROR(__xludf.DUMMYFUNCTION("""COMPUTED_VALUE"""),214.75)</f>
        <v>214.75</v>
      </c>
      <c r="G824" s="1">
        <f ca="1">IFERROR(__xludf.DUMMYFUNCTION("""COMPUTED_VALUE"""),106.95)</f>
        <v>106.95</v>
      </c>
      <c r="H824" s="1">
        <f ca="1">IFERROR(__xludf.DUMMYFUNCTION("""COMPUTED_VALUE"""),184.51)</f>
        <v>184.51</v>
      </c>
      <c r="I824" s="1">
        <f ca="1">IFERROR(__xludf.DUMMYFUNCTION("""COMPUTED_VALUE"""),183.2)</f>
        <v>183.2</v>
      </c>
      <c r="J824" s="1">
        <f ca="1">IFERROR(__xludf.DUMMYFUNCTION("""COMPUTED_VALUE"""),493.83)</f>
        <v>493.83</v>
      </c>
      <c r="K824" s="1">
        <f ca="1">IFERROR(__xludf.DUMMYFUNCTION("""COMPUTED_VALUE"""),62.74)</f>
        <v>62.74</v>
      </c>
      <c r="L824" s="1">
        <f ca="1">IFERROR(__xludf.DUMMYFUNCTION("""COMPUTED_VALUE"""),376.25)</f>
        <v>376.25</v>
      </c>
      <c r="M824" s="1">
        <f ca="1">IFERROR(__xludf.DUMMYFUNCTION("""COMPUTED_VALUE"""),338.99)</f>
        <v>338.99</v>
      </c>
    </row>
    <row r="825" spans="1:13" x14ac:dyDescent="0.25">
      <c r="A825" s="2">
        <f ca="1">IFERROR(__xludf.DUMMYFUNCTION("""COMPUTED_VALUE"""),45028.6666666666)</f>
        <v>45028.666666666599</v>
      </c>
      <c r="B825" s="1">
        <f ca="1">IFERROR(__xludf.DUMMYFUNCTION("""COMPUTED_VALUE"""),160.1)</f>
        <v>160.1</v>
      </c>
      <c r="C825" s="1">
        <f ca="1">IFERROR(__xludf.DUMMYFUNCTION("""COMPUTED_VALUE"""),282.83)</f>
        <v>282.83</v>
      </c>
      <c r="D825" s="1">
        <f ca="1">IFERROR(__xludf.DUMMYFUNCTION("""COMPUTED_VALUE"""),99.92)</f>
        <v>99.92</v>
      </c>
      <c r="E825" s="1">
        <f ca="1">IFERROR(__xludf.DUMMYFUNCTION("""COMPUTED_VALUE"""),27.17)</f>
        <v>27.17</v>
      </c>
      <c r="F825" s="1">
        <f ca="1">IFERROR(__xludf.DUMMYFUNCTION("""COMPUTED_VALUE"""),213.85)</f>
        <v>213.85</v>
      </c>
      <c r="G825" s="1">
        <f ca="1">IFERROR(__xludf.DUMMYFUNCTION("""COMPUTED_VALUE"""),106.12)</f>
        <v>106.12</v>
      </c>
      <c r="H825" s="1">
        <f ca="1">IFERROR(__xludf.DUMMYFUNCTION("""COMPUTED_VALUE"""),186.79)</f>
        <v>186.79</v>
      </c>
      <c r="I825" s="1">
        <f ca="1">IFERROR(__xludf.DUMMYFUNCTION("""COMPUTED_VALUE"""),182.92)</f>
        <v>182.92</v>
      </c>
      <c r="J825" s="1">
        <f ca="1">IFERROR(__xludf.DUMMYFUNCTION("""COMPUTED_VALUE"""),498.65)</f>
        <v>498.65</v>
      </c>
      <c r="K825" s="1">
        <f ca="1">IFERROR(__xludf.DUMMYFUNCTION("""COMPUTED_VALUE"""),62.16)</f>
        <v>62.16</v>
      </c>
      <c r="L825" s="1">
        <f ca="1">IFERROR(__xludf.DUMMYFUNCTION("""COMPUTED_VALUE"""),371.11)</f>
        <v>371.11</v>
      </c>
      <c r="M825" s="1">
        <f ca="1">IFERROR(__xludf.DUMMYFUNCTION("""COMPUTED_VALUE"""),338.21)</f>
        <v>338.21</v>
      </c>
    </row>
    <row r="826" spans="1:13" x14ac:dyDescent="0.25">
      <c r="A826" s="2">
        <f ca="1">IFERROR(__xludf.DUMMYFUNCTION("""COMPUTED_VALUE"""),45029.6666666666)</f>
        <v>45029.666666666599</v>
      </c>
      <c r="B826" s="1">
        <f ca="1">IFERROR(__xludf.DUMMYFUNCTION("""COMPUTED_VALUE"""),165.56)</f>
        <v>165.56</v>
      </c>
      <c r="C826" s="1">
        <f ca="1">IFERROR(__xludf.DUMMYFUNCTION("""COMPUTED_VALUE"""),283.49)</f>
        <v>283.49</v>
      </c>
      <c r="D826" s="1">
        <f ca="1">IFERROR(__xludf.DUMMYFUNCTION("""COMPUTED_VALUE"""),97.83)</f>
        <v>97.83</v>
      </c>
      <c r="E826" s="1">
        <f ca="1">IFERROR(__xludf.DUMMYFUNCTION("""COMPUTED_VALUE"""),26.5)</f>
        <v>26.5</v>
      </c>
      <c r="F826" s="1">
        <f ca="1">IFERROR(__xludf.DUMMYFUNCTION("""COMPUTED_VALUE"""),214)</f>
        <v>214</v>
      </c>
      <c r="G826" s="1">
        <f ca="1">IFERROR(__xludf.DUMMYFUNCTION("""COMPUTED_VALUE"""),105.22)</f>
        <v>105.22</v>
      </c>
      <c r="H826" s="1">
        <f ca="1">IFERROR(__xludf.DUMMYFUNCTION("""COMPUTED_VALUE"""),180.54)</f>
        <v>180.54</v>
      </c>
      <c r="I826" s="1">
        <f ca="1">IFERROR(__xludf.DUMMYFUNCTION("""COMPUTED_VALUE"""),182.56)</f>
        <v>182.56</v>
      </c>
      <c r="J826" s="1">
        <f ca="1">IFERROR(__xludf.DUMMYFUNCTION("""COMPUTED_VALUE"""),489.35)</f>
        <v>489.35</v>
      </c>
      <c r="K826" s="1">
        <f ca="1">IFERROR(__xludf.DUMMYFUNCTION("""COMPUTED_VALUE"""),61.67)</f>
        <v>61.67</v>
      </c>
      <c r="L826" s="1">
        <f ca="1">IFERROR(__xludf.DUMMYFUNCTION("""COMPUTED_VALUE"""),369.89)</f>
        <v>369.89</v>
      </c>
      <c r="M826" s="1">
        <f ca="1">IFERROR(__xludf.DUMMYFUNCTION("""COMPUTED_VALUE"""),331.03)</f>
        <v>331.03</v>
      </c>
    </row>
    <row r="827" spans="1:13" x14ac:dyDescent="0.25">
      <c r="A827" s="2">
        <f ca="1">IFERROR(__xludf.DUMMYFUNCTION("""COMPUTED_VALUE"""),45030.6666666666)</f>
        <v>45030.666666666599</v>
      </c>
      <c r="B827" s="1">
        <f ca="1">IFERROR(__xludf.DUMMYFUNCTION("""COMPUTED_VALUE"""),165.21)</f>
        <v>165.21</v>
      </c>
      <c r="C827" s="1">
        <f ca="1">IFERROR(__xludf.DUMMYFUNCTION("""COMPUTED_VALUE"""),289.84)</f>
        <v>289.83999999999997</v>
      </c>
      <c r="D827" s="1">
        <f ca="1">IFERROR(__xludf.DUMMYFUNCTION("""COMPUTED_VALUE"""),102.4)</f>
        <v>102.4</v>
      </c>
      <c r="E827" s="1">
        <f ca="1">IFERROR(__xludf.DUMMYFUNCTION("""COMPUTED_VALUE"""),26.46)</f>
        <v>26.46</v>
      </c>
      <c r="F827" s="1">
        <f ca="1">IFERROR(__xludf.DUMMYFUNCTION("""COMPUTED_VALUE"""),220.35)</f>
        <v>220.35</v>
      </c>
      <c r="G827" s="1">
        <f ca="1">IFERROR(__xludf.DUMMYFUNCTION("""COMPUTED_VALUE"""),108.19)</f>
        <v>108.19</v>
      </c>
      <c r="H827" s="1">
        <f ca="1">IFERROR(__xludf.DUMMYFUNCTION("""COMPUTED_VALUE"""),185.9)</f>
        <v>185.9</v>
      </c>
      <c r="I827" s="1">
        <f ca="1">IFERROR(__xludf.DUMMYFUNCTION("""COMPUTED_VALUE"""),184.38)</f>
        <v>184.38</v>
      </c>
      <c r="J827" s="1">
        <f ca="1">IFERROR(__xludf.DUMMYFUNCTION("""COMPUTED_VALUE"""),497.89)</f>
        <v>497.89</v>
      </c>
      <c r="K827" s="1">
        <f ca="1">IFERROR(__xludf.DUMMYFUNCTION("""COMPUTED_VALUE"""),62.42)</f>
        <v>62.42</v>
      </c>
      <c r="L827" s="1">
        <f ca="1">IFERROR(__xludf.DUMMYFUNCTION("""COMPUTED_VALUE"""),378.8)</f>
        <v>378.8</v>
      </c>
      <c r="M827" s="1">
        <f ca="1">IFERROR(__xludf.DUMMYFUNCTION("""COMPUTED_VALUE"""),346.19)</f>
        <v>346.19</v>
      </c>
    </row>
    <row r="828" spans="1:13" x14ac:dyDescent="0.25">
      <c r="A828" s="2">
        <f ca="1">IFERROR(__xludf.DUMMYFUNCTION("""COMPUTED_VALUE"""),45033.6666666666)</f>
        <v>45033.666666666599</v>
      </c>
      <c r="B828" s="1">
        <f ca="1">IFERROR(__xludf.DUMMYFUNCTION("""COMPUTED_VALUE"""),165.23)</f>
        <v>165.23</v>
      </c>
      <c r="C828" s="1">
        <f ca="1">IFERROR(__xludf.DUMMYFUNCTION("""COMPUTED_VALUE"""),286.14)</f>
        <v>286.14</v>
      </c>
      <c r="D828" s="1">
        <f ca="1">IFERROR(__xludf.DUMMYFUNCTION("""COMPUTED_VALUE"""),102.51)</f>
        <v>102.51</v>
      </c>
      <c r="E828" s="1">
        <f ca="1">IFERROR(__xludf.DUMMYFUNCTION("""COMPUTED_VALUE"""),26.76)</f>
        <v>26.76</v>
      </c>
      <c r="F828" s="1">
        <f ca="1">IFERROR(__xludf.DUMMYFUNCTION("""COMPUTED_VALUE"""),221.49)</f>
        <v>221.49</v>
      </c>
      <c r="G828" s="1">
        <f ca="1">IFERROR(__xludf.DUMMYFUNCTION("""COMPUTED_VALUE"""),109.46)</f>
        <v>109.46</v>
      </c>
      <c r="H828" s="1">
        <f ca="1">IFERROR(__xludf.DUMMYFUNCTION("""COMPUTED_VALUE"""),185)</f>
        <v>185</v>
      </c>
      <c r="I828" s="1">
        <f ca="1">IFERROR(__xludf.DUMMYFUNCTION("""COMPUTED_VALUE"""),183.51)</f>
        <v>183.51</v>
      </c>
      <c r="J828" s="1">
        <f ca="1">IFERROR(__xludf.DUMMYFUNCTION("""COMPUTED_VALUE"""),491.3)</f>
        <v>491.3</v>
      </c>
      <c r="K828" s="1">
        <f ca="1">IFERROR(__xludf.DUMMYFUNCTION("""COMPUTED_VALUE"""),61.95)</f>
        <v>61.95</v>
      </c>
      <c r="L828" s="1">
        <f ca="1">IFERROR(__xludf.DUMMYFUNCTION("""COMPUTED_VALUE"""),379.38)</f>
        <v>379.38</v>
      </c>
      <c r="M828" s="1">
        <f ca="1">IFERROR(__xludf.DUMMYFUNCTION("""COMPUTED_VALUE"""),338.63)</f>
        <v>338.63</v>
      </c>
    </row>
    <row r="829" spans="1:13" x14ac:dyDescent="0.25">
      <c r="A829" s="2">
        <f ca="1">IFERROR(__xludf.DUMMYFUNCTION("""COMPUTED_VALUE"""),45034.6666666666)</f>
        <v>45034.666666666599</v>
      </c>
      <c r="B829" s="1">
        <f ca="1">IFERROR(__xludf.DUMMYFUNCTION("""COMPUTED_VALUE"""),166.47)</f>
        <v>166.47</v>
      </c>
      <c r="C829" s="1">
        <f ca="1">IFERROR(__xludf.DUMMYFUNCTION("""COMPUTED_VALUE"""),288.8)</f>
        <v>288.8</v>
      </c>
      <c r="D829" s="1">
        <f ca="1">IFERROR(__xludf.DUMMYFUNCTION("""COMPUTED_VALUE"""),102.74)</f>
        <v>102.74</v>
      </c>
      <c r="E829" s="1">
        <f ca="1">IFERROR(__xludf.DUMMYFUNCTION("""COMPUTED_VALUE"""),27)</f>
        <v>27</v>
      </c>
      <c r="F829" s="1">
        <f ca="1">IFERROR(__xludf.DUMMYFUNCTION("""COMPUTED_VALUE"""),218.86)</f>
        <v>218.86</v>
      </c>
      <c r="G829" s="1">
        <f ca="1">IFERROR(__xludf.DUMMYFUNCTION("""COMPUTED_VALUE"""),106.42)</f>
        <v>106.42</v>
      </c>
      <c r="H829" s="1">
        <f ca="1">IFERROR(__xludf.DUMMYFUNCTION("""COMPUTED_VALUE"""),187.04)</f>
        <v>187.04</v>
      </c>
      <c r="I829" s="1">
        <f ca="1">IFERROR(__xludf.DUMMYFUNCTION("""COMPUTED_VALUE"""),184.45)</f>
        <v>184.45</v>
      </c>
      <c r="J829" s="1">
        <f ca="1">IFERROR(__xludf.DUMMYFUNCTION("""COMPUTED_VALUE"""),493.94)</f>
        <v>493.94</v>
      </c>
      <c r="K829" s="1">
        <f ca="1">IFERROR(__xludf.DUMMYFUNCTION("""COMPUTED_VALUE"""),62.74)</f>
        <v>62.74</v>
      </c>
      <c r="L829" s="1">
        <f ca="1">IFERROR(__xludf.DUMMYFUNCTION("""COMPUTED_VALUE"""),377.92)</f>
        <v>377.92</v>
      </c>
      <c r="M829" s="1">
        <f ca="1">IFERROR(__xludf.DUMMYFUNCTION("""COMPUTED_VALUE"""),332.72)</f>
        <v>332.72</v>
      </c>
    </row>
    <row r="830" spans="1:13" x14ac:dyDescent="0.25">
      <c r="A830" s="2">
        <f ca="1">IFERROR(__xludf.DUMMYFUNCTION("""COMPUTED_VALUE"""),45035.6666666666)</f>
        <v>45035.666666666599</v>
      </c>
      <c r="B830" s="1">
        <f ca="1">IFERROR(__xludf.DUMMYFUNCTION("""COMPUTED_VALUE"""),167.63)</f>
        <v>167.63</v>
      </c>
      <c r="C830" s="1">
        <f ca="1">IFERROR(__xludf.DUMMYFUNCTION("""COMPUTED_VALUE"""),288.37)</f>
        <v>288.37</v>
      </c>
      <c r="D830" s="1">
        <f ca="1">IFERROR(__xludf.DUMMYFUNCTION("""COMPUTED_VALUE"""),102.3)</f>
        <v>102.3</v>
      </c>
      <c r="E830" s="1">
        <f ca="1">IFERROR(__xludf.DUMMYFUNCTION("""COMPUTED_VALUE"""),27.67)</f>
        <v>27.67</v>
      </c>
      <c r="F830" s="1">
        <f ca="1">IFERROR(__xludf.DUMMYFUNCTION("""COMPUTED_VALUE"""),217.89)</f>
        <v>217.89</v>
      </c>
      <c r="G830" s="1">
        <f ca="1">IFERROR(__xludf.DUMMYFUNCTION("""COMPUTED_VALUE"""),105.12)</f>
        <v>105.12</v>
      </c>
      <c r="H830" s="1">
        <f ca="1">IFERROR(__xludf.DUMMYFUNCTION("""COMPUTED_VALUE"""),184.31)</f>
        <v>184.31</v>
      </c>
      <c r="I830" s="1">
        <f ca="1">IFERROR(__xludf.DUMMYFUNCTION("""COMPUTED_VALUE"""),184.83)</f>
        <v>184.83</v>
      </c>
      <c r="J830" s="1">
        <f ca="1">IFERROR(__xludf.DUMMYFUNCTION("""COMPUTED_VALUE"""),496.9)</f>
        <v>496.9</v>
      </c>
      <c r="K830" s="1">
        <f ca="1">IFERROR(__xludf.DUMMYFUNCTION("""COMPUTED_VALUE"""),63.23)</f>
        <v>63.23</v>
      </c>
      <c r="L830" s="1">
        <f ca="1">IFERROR(__xludf.DUMMYFUNCTION("""COMPUTED_VALUE"""),377.55)</f>
        <v>377.55</v>
      </c>
      <c r="M830" s="1">
        <f ca="1">IFERROR(__xludf.DUMMYFUNCTION("""COMPUTED_VALUE"""),333.7)</f>
        <v>333.7</v>
      </c>
    </row>
    <row r="831" spans="1:13" x14ac:dyDescent="0.25">
      <c r="A831" s="2">
        <f ca="1">IFERROR(__xludf.DUMMYFUNCTION("""COMPUTED_VALUE"""),45036.6666666666)</f>
        <v>45036.666666666599</v>
      </c>
      <c r="B831" s="1">
        <f ca="1">IFERROR(__xludf.DUMMYFUNCTION("""COMPUTED_VALUE"""),166.65)</f>
        <v>166.65</v>
      </c>
      <c r="C831" s="1">
        <f ca="1">IFERROR(__xludf.DUMMYFUNCTION("""COMPUTED_VALUE"""),288.45)</f>
        <v>288.45</v>
      </c>
      <c r="D831" s="1">
        <f ca="1">IFERROR(__xludf.DUMMYFUNCTION("""COMPUTED_VALUE"""),104.3)</f>
        <v>104.3</v>
      </c>
      <c r="E831" s="1">
        <f ca="1">IFERROR(__xludf.DUMMYFUNCTION("""COMPUTED_VALUE"""),27.93)</f>
        <v>27.93</v>
      </c>
      <c r="F831" s="1">
        <f ca="1">IFERROR(__xludf.DUMMYFUNCTION("""COMPUTED_VALUE"""),215.7)</f>
        <v>215.7</v>
      </c>
      <c r="G831" s="1">
        <f ca="1">IFERROR(__xludf.DUMMYFUNCTION("""COMPUTED_VALUE"""),105.02)</f>
        <v>105.02</v>
      </c>
      <c r="H831" s="1">
        <f ca="1">IFERROR(__xludf.DUMMYFUNCTION("""COMPUTED_VALUE"""),180.59)</f>
        <v>180.59</v>
      </c>
      <c r="I831" s="1">
        <f ca="1">IFERROR(__xludf.DUMMYFUNCTION("""COMPUTED_VALUE"""),184.72)</f>
        <v>184.72</v>
      </c>
      <c r="J831" s="1">
        <f ca="1">IFERROR(__xludf.DUMMYFUNCTION("""COMPUTED_VALUE"""),496.03)</f>
        <v>496.03</v>
      </c>
      <c r="K831" s="1">
        <f ca="1">IFERROR(__xludf.DUMMYFUNCTION("""COMPUTED_VALUE"""),63.45)</f>
        <v>63.45</v>
      </c>
      <c r="L831" s="1">
        <f ca="1">IFERROR(__xludf.DUMMYFUNCTION("""COMPUTED_VALUE"""),380.11)</f>
        <v>380.11</v>
      </c>
      <c r="M831" s="1">
        <f ca="1">IFERROR(__xludf.DUMMYFUNCTION("""COMPUTED_VALUE"""),323.12)</f>
        <v>323.12</v>
      </c>
    </row>
    <row r="832" spans="1:13" x14ac:dyDescent="0.25">
      <c r="A832" s="2">
        <f ca="1">IFERROR(__xludf.DUMMYFUNCTION("""COMPUTED_VALUE"""),45037.6666666666)</f>
        <v>45037.666666666599</v>
      </c>
      <c r="B832" s="1">
        <f ca="1">IFERROR(__xludf.DUMMYFUNCTION("""COMPUTED_VALUE"""),165.02)</f>
        <v>165.02</v>
      </c>
      <c r="C832" s="1">
        <f ca="1">IFERROR(__xludf.DUMMYFUNCTION("""COMPUTED_VALUE"""),286.11)</f>
        <v>286.11</v>
      </c>
      <c r="D832" s="1">
        <f ca="1">IFERROR(__xludf.DUMMYFUNCTION("""COMPUTED_VALUE"""),103.81)</f>
        <v>103.81</v>
      </c>
      <c r="E832" s="1">
        <f ca="1">IFERROR(__xludf.DUMMYFUNCTION("""COMPUTED_VALUE"""),27.1)</f>
        <v>27.1</v>
      </c>
      <c r="F832" s="1">
        <f ca="1">IFERROR(__xludf.DUMMYFUNCTION("""COMPUTED_VALUE"""),213.07)</f>
        <v>213.07</v>
      </c>
      <c r="G832" s="1">
        <f ca="1">IFERROR(__xludf.DUMMYFUNCTION("""COMPUTED_VALUE"""),105.9)</f>
        <v>105.9</v>
      </c>
      <c r="H832" s="1">
        <f ca="1">IFERROR(__xludf.DUMMYFUNCTION("""COMPUTED_VALUE"""),162.99)</f>
        <v>162.99</v>
      </c>
      <c r="I832" s="1">
        <f ca="1">IFERROR(__xludf.DUMMYFUNCTION("""COMPUTED_VALUE"""),185.33)</f>
        <v>185.33</v>
      </c>
      <c r="J832" s="1">
        <f ca="1">IFERROR(__xludf.DUMMYFUNCTION("""COMPUTED_VALUE"""),505.58)</f>
        <v>505.58</v>
      </c>
      <c r="K832" s="1">
        <f ca="1">IFERROR(__xludf.DUMMYFUNCTION("""COMPUTED_VALUE"""),63.3)</f>
        <v>63.3</v>
      </c>
      <c r="L832" s="1">
        <f ca="1">IFERROR(__xludf.DUMMYFUNCTION("""COMPUTED_VALUE"""),380.26)</f>
        <v>380.26</v>
      </c>
      <c r="M832" s="1">
        <f ca="1">IFERROR(__xludf.DUMMYFUNCTION("""COMPUTED_VALUE"""),325.35)</f>
        <v>325.35000000000002</v>
      </c>
    </row>
    <row r="833" spans="1:13" x14ac:dyDescent="0.25">
      <c r="A833" s="2">
        <f ca="1">IFERROR(__xludf.DUMMYFUNCTION("""COMPUTED_VALUE"""),45040.6666666666)</f>
        <v>45040.666666666599</v>
      </c>
      <c r="B833" s="1">
        <f ca="1">IFERROR(__xludf.DUMMYFUNCTION("""COMPUTED_VALUE"""),165.33)</f>
        <v>165.33</v>
      </c>
      <c r="C833" s="1">
        <f ca="1">IFERROR(__xludf.DUMMYFUNCTION("""COMPUTED_VALUE"""),285.76)</f>
        <v>285.76</v>
      </c>
      <c r="D833" s="1">
        <f ca="1">IFERROR(__xludf.DUMMYFUNCTION("""COMPUTED_VALUE"""),106.96)</f>
        <v>106.96</v>
      </c>
      <c r="E833" s="1">
        <f ca="1">IFERROR(__xludf.DUMMYFUNCTION("""COMPUTED_VALUE"""),27.12)</f>
        <v>27.12</v>
      </c>
      <c r="F833" s="1">
        <f ca="1">IFERROR(__xludf.DUMMYFUNCTION("""COMPUTED_VALUE"""),212.89)</f>
        <v>212.89</v>
      </c>
      <c r="G833" s="1">
        <f ca="1">IFERROR(__xludf.DUMMYFUNCTION("""COMPUTED_VALUE"""),105.91)</f>
        <v>105.91</v>
      </c>
      <c r="H833" s="1">
        <f ca="1">IFERROR(__xludf.DUMMYFUNCTION("""COMPUTED_VALUE"""),165.08)</f>
        <v>165.08</v>
      </c>
      <c r="I833" s="1">
        <f ca="1">IFERROR(__xludf.DUMMYFUNCTION("""COMPUTED_VALUE"""),185.41)</f>
        <v>185.41</v>
      </c>
      <c r="J833" s="1">
        <f ca="1">IFERROR(__xludf.DUMMYFUNCTION("""COMPUTED_VALUE"""),506.35)</f>
        <v>506.35</v>
      </c>
      <c r="K833" s="1">
        <f ca="1">IFERROR(__xludf.DUMMYFUNCTION("""COMPUTED_VALUE"""),63.29)</f>
        <v>63.29</v>
      </c>
      <c r="L833" s="1">
        <f ca="1">IFERROR(__xludf.DUMMYFUNCTION("""COMPUTED_VALUE"""),377.67)</f>
        <v>377.67</v>
      </c>
      <c r="M833" s="1">
        <f ca="1">IFERROR(__xludf.DUMMYFUNCTION("""COMPUTED_VALUE"""),327.98)</f>
        <v>327.98</v>
      </c>
    </row>
    <row r="834" spans="1:13" x14ac:dyDescent="0.25">
      <c r="A834" s="2">
        <f ca="1">IFERROR(__xludf.DUMMYFUNCTION("""COMPUTED_VALUE"""),45041.6666666666)</f>
        <v>45041.666666666599</v>
      </c>
      <c r="B834" s="1">
        <f ca="1">IFERROR(__xludf.DUMMYFUNCTION("""COMPUTED_VALUE"""),163.77)</f>
        <v>163.77000000000001</v>
      </c>
      <c r="C834" s="1">
        <f ca="1">IFERROR(__xludf.DUMMYFUNCTION("""COMPUTED_VALUE"""),281.77)</f>
        <v>281.77</v>
      </c>
      <c r="D834" s="1">
        <f ca="1">IFERROR(__xludf.DUMMYFUNCTION("""COMPUTED_VALUE"""),106.21)</f>
        <v>106.21</v>
      </c>
      <c r="E834" s="1">
        <f ca="1">IFERROR(__xludf.DUMMYFUNCTION("""COMPUTED_VALUE"""),27.04)</f>
        <v>27.04</v>
      </c>
      <c r="F834" s="1">
        <f ca="1">IFERROR(__xludf.DUMMYFUNCTION("""COMPUTED_VALUE"""),212.79)</f>
        <v>212.79</v>
      </c>
      <c r="G834" s="1">
        <f ca="1">IFERROR(__xludf.DUMMYFUNCTION("""COMPUTED_VALUE"""),106.78)</f>
        <v>106.78</v>
      </c>
      <c r="H834" s="1">
        <f ca="1">IFERROR(__xludf.DUMMYFUNCTION("""COMPUTED_VALUE"""),162.55)</f>
        <v>162.55000000000001</v>
      </c>
      <c r="I834" s="1">
        <f ca="1">IFERROR(__xludf.DUMMYFUNCTION("""COMPUTED_VALUE"""),185.5)</f>
        <v>185.5</v>
      </c>
      <c r="J834" s="1">
        <f ca="1">IFERROR(__xludf.DUMMYFUNCTION("""COMPUTED_VALUE"""),511.42)</f>
        <v>511.42</v>
      </c>
      <c r="K834" s="1">
        <f ca="1">IFERROR(__xludf.DUMMYFUNCTION("""COMPUTED_VALUE"""),63.45)</f>
        <v>63.45</v>
      </c>
      <c r="L834" s="1">
        <f ca="1">IFERROR(__xludf.DUMMYFUNCTION("""COMPUTED_VALUE"""),377.34)</f>
        <v>377.34</v>
      </c>
      <c r="M834" s="1">
        <f ca="1">IFERROR(__xludf.DUMMYFUNCTION("""COMPUTED_VALUE"""),329.02)</f>
        <v>329.02</v>
      </c>
    </row>
    <row r="835" spans="1:13" x14ac:dyDescent="0.25">
      <c r="A835" s="2">
        <f ca="1">IFERROR(__xludf.DUMMYFUNCTION("""COMPUTED_VALUE"""),45042.6666666666)</f>
        <v>45042.666666666599</v>
      </c>
      <c r="B835" s="1">
        <f ca="1">IFERROR(__xludf.DUMMYFUNCTION("""COMPUTED_VALUE"""),163.76)</f>
        <v>163.76</v>
      </c>
      <c r="C835" s="1">
        <f ca="1">IFERROR(__xludf.DUMMYFUNCTION("""COMPUTED_VALUE"""),275.42)</f>
        <v>275.42</v>
      </c>
      <c r="D835" s="1">
        <f ca="1">IFERROR(__xludf.DUMMYFUNCTION("""COMPUTED_VALUE"""),102.57)</f>
        <v>102.57</v>
      </c>
      <c r="E835" s="1">
        <f ca="1">IFERROR(__xludf.DUMMYFUNCTION("""COMPUTED_VALUE"""),26.24)</f>
        <v>26.24</v>
      </c>
      <c r="F835" s="1">
        <f ca="1">IFERROR(__xludf.DUMMYFUNCTION("""COMPUTED_VALUE"""),207.55)</f>
        <v>207.55</v>
      </c>
      <c r="G835" s="1">
        <f ca="1">IFERROR(__xludf.DUMMYFUNCTION("""COMPUTED_VALUE"""),104.61)</f>
        <v>104.61</v>
      </c>
      <c r="H835" s="1">
        <f ca="1">IFERROR(__xludf.DUMMYFUNCTION("""COMPUTED_VALUE"""),160.67)</f>
        <v>160.66999999999999</v>
      </c>
      <c r="I835" s="1">
        <f ca="1">IFERROR(__xludf.DUMMYFUNCTION("""COMPUTED_VALUE"""),189.71)</f>
        <v>189.71</v>
      </c>
      <c r="J835" s="1">
        <f ca="1">IFERROR(__xludf.DUMMYFUNCTION("""COMPUTED_VALUE"""),503.17)</f>
        <v>503.17</v>
      </c>
      <c r="K835" s="1">
        <f ca="1">IFERROR(__xludf.DUMMYFUNCTION("""COMPUTED_VALUE"""),62.2)</f>
        <v>62.2</v>
      </c>
      <c r="L835" s="1">
        <f ca="1">IFERROR(__xludf.DUMMYFUNCTION("""COMPUTED_VALUE"""),369.59)</f>
        <v>369.59</v>
      </c>
      <c r="M835" s="1">
        <f ca="1">IFERROR(__xludf.DUMMYFUNCTION("""COMPUTED_VALUE"""),322.55)</f>
        <v>322.55</v>
      </c>
    </row>
    <row r="836" spans="1:13" x14ac:dyDescent="0.25">
      <c r="A836" s="2">
        <f ca="1">IFERROR(__xludf.DUMMYFUNCTION("""COMPUTED_VALUE"""),45043.6666666666)</f>
        <v>45043.666666666599</v>
      </c>
      <c r="B836" s="1">
        <f ca="1">IFERROR(__xludf.DUMMYFUNCTION("""COMPUTED_VALUE"""),168.41)</f>
        <v>168.41</v>
      </c>
      <c r="C836" s="1">
        <f ca="1">IFERROR(__xludf.DUMMYFUNCTION("""COMPUTED_VALUE"""),295.37)</f>
        <v>295.37</v>
      </c>
      <c r="D836" s="1">
        <f ca="1">IFERROR(__xludf.DUMMYFUNCTION("""COMPUTED_VALUE"""),104.98)</f>
        <v>104.98</v>
      </c>
      <c r="E836" s="1">
        <f ca="1">IFERROR(__xludf.DUMMYFUNCTION("""COMPUTED_VALUE"""),26.96)</f>
        <v>26.96</v>
      </c>
      <c r="F836" s="1">
        <f ca="1">IFERROR(__xludf.DUMMYFUNCTION("""COMPUTED_VALUE"""),209.4)</f>
        <v>209.4</v>
      </c>
      <c r="G836" s="1">
        <f ca="1">IFERROR(__xludf.DUMMYFUNCTION("""COMPUTED_VALUE"""),104.45)</f>
        <v>104.45</v>
      </c>
      <c r="H836" s="1">
        <f ca="1">IFERROR(__xludf.DUMMYFUNCTION("""COMPUTED_VALUE"""),153.75)</f>
        <v>153.75</v>
      </c>
      <c r="I836" s="1">
        <f ca="1">IFERROR(__xludf.DUMMYFUNCTION("""COMPUTED_VALUE"""),188.54)</f>
        <v>188.54</v>
      </c>
      <c r="J836" s="1">
        <f ca="1">IFERROR(__xludf.DUMMYFUNCTION("""COMPUTED_VALUE"""),494.66)</f>
        <v>494.66</v>
      </c>
      <c r="K836" s="1">
        <f ca="1">IFERROR(__xludf.DUMMYFUNCTION("""COMPUTED_VALUE"""),61.62)</f>
        <v>61.62</v>
      </c>
      <c r="L836" s="1">
        <f ca="1">IFERROR(__xludf.DUMMYFUNCTION("""COMPUTED_VALUE"""),363.06)</f>
        <v>363.06</v>
      </c>
      <c r="M836" s="1">
        <f ca="1">IFERROR(__xludf.DUMMYFUNCTION("""COMPUTED_VALUE"""),321.15)</f>
        <v>321.14999999999998</v>
      </c>
    </row>
    <row r="837" spans="1:13" x14ac:dyDescent="0.25">
      <c r="A837" s="2">
        <f ca="1">IFERROR(__xludf.DUMMYFUNCTION("""COMPUTED_VALUE"""),45044.6666666666)</f>
        <v>45044.666666666599</v>
      </c>
      <c r="B837" s="1">
        <f ca="1">IFERROR(__xludf.DUMMYFUNCTION("""COMPUTED_VALUE"""),169.68)</f>
        <v>169.68</v>
      </c>
      <c r="C837" s="1">
        <f ca="1">IFERROR(__xludf.DUMMYFUNCTION("""COMPUTED_VALUE"""),304.83)</f>
        <v>304.83</v>
      </c>
      <c r="D837" s="1">
        <f ca="1">IFERROR(__xludf.DUMMYFUNCTION("""COMPUTED_VALUE"""),109.82)</f>
        <v>109.82</v>
      </c>
      <c r="E837" s="1">
        <f ca="1">IFERROR(__xludf.DUMMYFUNCTION("""COMPUTED_VALUE"""),27.23)</f>
        <v>27.23</v>
      </c>
      <c r="F837" s="1">
        <f ca="1">IFERROR(__xludf.DUMMYFUNCTION("""COMPUTED_VALUE"""),238.56)</f>
        <v>238.56</v>
      </c>
      <c r="G837" s="1">
        <f ca="1">IFERROR(__xludf.DUMMYFUNCTION("""COMPUTED_VALUE"""),108.37)</f>
        <v>108.37</v>
      </c>
      <c r="H837" s="1">
        <f ca="1">IFERROR(__xludf.DUMMYFUNCTION("""COMPUTED_VALUE"""),160.19)</f>
        <v>160.19</v>
      </c>
      <c r="I837" s="1">
        <f ca="1">IFERROR(__xludf.DUMMYFUNCTION("""COMPUTED_VALUE"""),189.69)</f>
        <v>189.69</v>
      </c>
      <c r="J837" s="1">
        <f ca="1">IFERROR(__xludf.DUMMYFUNCTION("""COMPUTED_VALUE"""),501.27)</f>
        <v>501.27</v>
      </c>
      <c r="K837" s="1">
        <f ca="1">IFERROR(__xludf.DUMMYFUNCTION("""COMPUTED_VALUE"""),61.84)</f>
        <v>61.84</v>
      </c>
      <c r="L837" s="1">
        <f ca="1">IFERROR(__xludf.DUMMYFUNCTION("""COMPUTED_VALUE"""),371.42)</f>
        <v>371.42</v>
      </c>
      <c r="M837" s="1">
        <f ca="1">IFERROR(__xludf.DUMMYFUNCTION("""COMPUTED_VALUE"""),325.85)</f>
        <v>325.85000000000002</v>
      </c>
    </row>
    <row r="838" spans="1:13" x14ac:dyDescent="0.25">
      <c r="A838" s="2">
        <f ca="1">IFERROR(__xludf.DUMMYFUNCTION("""COMPUTED_VALUE"""),45047.6666666666)</f>
        <v>45047.666666666599</v>
      </c>
      <c r="B838" s="1">
        <f ca="1">IFERROR(__xludf.DUMMYFUNCTION("""COMPUTED_VALUE"""),169.59)</f>
        <v>169.59</v>
      </c>
      <c r="C838" s="1">
        <f ca="1">IFERROR(__xludf.DUMMYFUNCTION("""COMPUTED_VALUE"""),307.26)</f>
        <v>307.26</v>
      </c>
      <c r="D838" s="1">
        <f ca="1">IFERROR(__xludf.DUMMYFUNCTION("""COMPUTED_VALUE"""),105.45)</f>
        <v>105.45</v>
      </c>
      <c r="E838" s="1">
        <f ca="1">IFERROR(__xludf.DUMMYFUNCTION("""COMPUTED_VALUE"""),27.75)</f>
        <v>27.75</v>
      </c>
      <c r="F838" s="1">
        <f ca="1">IFERROR(__xludf.DUMMYFUNCTION("""COMPUTED_VALUE"""),240.32)</f>
        <v>240.32</v>
      </c>
      <c r="G838" s="1">
        <f ca="1">IFERROR(__xludf.DUMMYFUNCTION("""COMPUTED_VALUE"""),108.22)</f>
        <v>108.22</v>
      </c>
      <c r="H838" s="1">
        <f ca="1">IFERROR(__xludf.DUMMYFUNCTION("""COMPUTED_VALUE"""),164.31)</f>
        <v>164.31</v>
      </c>
      <c r="I838" s="1">
        <f ca="1">IFERROR(__xludf.DUMMYFUNCTION("""COMPUTED_VALUE"""),190.89)</f>
        <v>190.89</v>
      </c>
      <c r="J838" s="1">
        <f ca="1">IFERROR(__xludf.DUMMYFUNCTION("""COMPUTED_VALUE"""),503.22)</f>
        <v>503.22</v>
      </c>
      <c r="K838" s="1">
        <f ca="1">IFERROR(__xludf.DUMMYFUNCTION("""COMPUTED_VALUE"""),62.65)</f>
        <v>62.65</v>
      </c>
      <c r="L838" s="1">
        <f ca="1">IFERROR(__xludf.DUMMYFUNCTION("""COMPUTED_VALUE"""),377.56)</f>
        <v>377.56</v>
      </c>
      <c r="M838" s="1">
        <f ca="1">IFERROR(__xludf.DUMMYFUNCTION("""COMPUTED_VALUE"""),329.93)</f>
        <v>329.93</v>
      </c>
    </row>
    <row r="839" spans="1:13" x14ac:dyDescent="0.25">
      <c r="A839" s="2">
        <f ca="1">IFERROR(__xludf.DUMMYFUNCTION("""COMPUTED_VALUE"""),45048.6666666666)</f>
        <v>45048.666666666599</v>
      </c>
      <c r="B839" s="1">
        <f ca="1">IFERROR(__xludf.DUMMYFUNCTION("""COMPUTED_VALUE"""),168.54)</f>
        <v>168.54</v>
      </c>
      <c r="C839" s="1">
        <f ca="1">IFERROR(__xludf.DUMMYFUNCTION("""COMPUTED_VALUE"""),305.56)</f>
        <v>305.56</v>
      </c>
      <c r="D839" s="1">
        <f ca="1">IFERROR(__xludf.DUMMYFUNCTION("""COMPUTED_VALUE"""),102.05)</f>
        <v>102.05</v>
      </c>
      <c r="E839" s="1">
        <f ca="1">IFERROR(__xludf.DUMMYFUNCTION("""COMPUTED_VALUE"""),28.91)</f>
        <v>28.91</v>
      </c>
      <c r="F839" s="1">
        <f ca="1">IFERROR(__xludf.DUMMYFUNCTION("""COMPUTED_VALUE"""),243.18)</f>
        <v>243.18</v>
      </c>
      <c r="G839" s="1">
        <f ca="1">IFERROR(__xludf.DUMMYFUNCTION("""COMPUTED_VALUE"""),107.71)</f>
        <v>107.71</v>
      </c>
      <c r="H839" s="1">
        <f ca="1">IFERROR(__xludf.DUMMYFUNCTION("""COMPUTED_VALUE"""),161.83)</f>
        <v>161.83000000000001</v>
      </c>
      <c r="I839" s="1">
        <f ca="1">IFERROR(__xludf.DUMMYFUNCTION("""COMPUTED_VALUE"""),191.68)</f>
        <v>191.68</v>
      </c>
      <c r="J839" s="1">
        <f ca="1">IFERROR(__xludf.DUMMYFUNCTION("""COMPUTED_VALUE"""),493.59)</f>
        <v>493.59</v>
      </c>
      <c r="K839" s="1">
        <f ca="1">IFERROR(__xludf.DUMMYFUNCTION("""COMPUTED_VALUE"""),63.8)</f>
        <v>63.8</v>
      </c>
      <c r="L839" s="1">
        <f ca="1">IFERROR(__xludf.DUMMYFUNCTION("""COMPUTED_VALUE"""),374.15)</f>
        <v>374.15</v>
      </c>
      <c r="M839" s="1">
        <f ca="1">IFERROR(__xludf.DUMMYFUNCTION("""COMPUTED_VALUE"""),324.12)</f>
        <v>324.12</v>
      </c>
    </row>
    <row r="840" spans="1:13" x14ac:dyDescent="0.25">
      <c r="A840" s="2">
        <f ca="1">IFERROR(__xludf.DUMMYFUNCTION("""COMPUTED_VALUE"""),45049.6666666666)</f>
        <v>45049.666666666599</v>
      </c>
      <c r="B840" s="1">
        <f ca="1">IFERROR(__xludf.DUMMYFUNCTION("""COMPUTED_VALUE"""),167.45)</f>
        <v>167.45</v>
      </c>
      <c r="C840" s="1">
        <f ca="1">IFERROR(__xludf.DUMMYFUNCTION("""COMPUTED_VALUE"""),305.41)</f>
        <v>305.41000000000003</v>
      </c>
      <c r="D840" s="1">
        <f ca="1">IFERROR(__xludf.DUMMYFUNCTION("""COMPUTED_VALUE"""),103.63)</f>
        <v>103.63</v>
      </c>
      <c r="E840" s="1">
        <f ca="1">IFERROR(__xludf.DUMMYFUNCTION("""COMPUTED_VALUE"""),28.21)</f>
        <v>28.21</v>
      </c>
      <c r="F840" s="1">
        <f ca="1">IFERROR(__xludf.DUMMYFUNCTION("""COMPUTED_VALUE"""),239.24)</f>
        <v>239.24</v>
      </c>
      <c r="G840" s="1">
        <f ca="1">IFERROR(__xludf.DUMMYFUNCTION("""COMPUTED_VALUE"""),105.98)</f>
        <v>105.98</v>
      </c>
      <c r="H840" s="1">
        <f ca="1">IFERROR(__xludf.DUMMYFUNCTION("""COMPUTED_VALUE"""),160.31)</f>
        <v>160.31</v>
      </c>
      <c r="I840" s="1">
        <f ca="1">IFERROR(__xludf.DUMMYFUNCTION("""COMPUTED_VALUE"""),192.25)</f>
        <v>192.25</v>
      </c>
      <c r="J840" s="1">
        <f ca="1">IFERROR(__xludf.DUMMYFUNCTION("""COMPUTED_VALUE"""),494.81)</f>
        <v>494.81</v>
      </c>
      <c r="K840" s="1">
        <f ca="1">IFERROR(__xludf.DUMMYFUNCTION("""COMPUTED_VALUE"""),61.23)</f>
        <v>61.23</v>
      </c>
      <c r="L840" s="1">
        <f ca="1">IFERROR(__xludf.DUMMYFUNCTION("""COMPUTED_VALUE"""),368.66)</f>
        <v>368.66</v>
      </c>
      <c r="M840" s="1">
        <f ca="1">IFERROR(__xludf.DUMMYFUNCTION("""COMPUTED_VALUE"""),317.55)</f>
        <v>317.55</v>
      </c>
    </row>
    <row r="841" spans="1:13" x14ac:dyDescent="0.25">
      <c r="A841" s="2">
        <f ca="1">IFERROR(__xludf.DUMMYFUNCTION("""COMPUTED_VALUE"""),45050.6666666666)</f>
        <v>45050.666666666599</v>
      </c>
      <c r="B841" s="1">
        <f ca="1">IFERROR(__xludf.DUMMYFUNCTION("""COMPUTED_VALUE"""),165.79)</f>
        <v>165.79</v>
      </c>
      <c r="C841" s="1">
        <f ca="1">IFERROR(__xludf.DUMMYFUNCTION("""COMPUTED_VALUE"""),304.4)</f>
        <v>304.39999999999998</v>
      </c>
      <c r="D841" s="1">
        <f ca="1">IFERROR(__xludf.DUMMYFUNCTION("""COMPUTED_VALUE"""),103.65)</f>
        <v>103.65</v>
      </c>
      <c r="E841" s="1">
        <f ca="1">IFERROR(__xludf.DUMMYFUNCTION("""COMPUTED_VALUE"""),27.8)</f>
        <v>27.8</v>
      </c>
      <c r="F841" s="1">
        <f ca="1">IFERROR(__xludf.DUMMYFUNCTION("""COMPUTED_VALUE"""),237.03)</f>
        <v>237.03</v>
      </c>
      <c r="G841" s="1">
        <f ca="1">IFERROR(__xludf.DUMMYFUNCTION("""COMPUTED_VALUE"""),106.12)</f>
        <v>106.12</v>
      </c>
      <c r="H841" s="1">
        <f ca="1">IFERROR(__xludf.DUMMYFUNCTION("""COMPUTED_VALUE"""),160.61)</f>
        <v>160.61000000000001</v>
      </c>
      <c r="I841" s="1">
        <f ca="1">IFERROR(__xludf.DUMMYFUNCTION("""COMPUTED_VALUE"""),192.18)</f>
        <v>192.18</v>
      </c>
      <c r="J841" s="1">
        <f ca="1">IFERROR(__xludf.DUMMYFUNCTION("""COMPUTED_VALUE"""),490.06)</f>
        <v>490.06</v>
      </c>
      <c r="K841" s="1">
        <f ca="1">IFERROR(__xludf.DUMMYFUNCTION("""COMPUTED_VALUE"""),61.32)</f>
        <v>61.32</v>
      </c>
      <c r="L841" s="1">
        <f ca="1">IFERROR(__xludf.DUMMYFUNCTION("""COMPUTED_VALUE"""),345.25)</f>
        <v>345.25</v>
      </c>
      <c r="M841" s="1">
        <f ca="1">IFERROR(__xludf.DUMMYFUNCTION("""COMPUTED_VALUE"""),319.3)</f>
        <v>319.3</v>
      </c>
    </row>
    <row r="842" spans="1:13" x14ac:dyDescent="0.25">
      <c r="A842" s="2">
        <f ca="1">IFERROR(__xludf.DUMMYFUNCTION("""COMPUTED_VALUE"""),45051.6666666666)</f>
        <v>45051.666666666599</v>
      </c>
      <c r="B842" s="1">
        <f ca="1">IFERROR(__xludf.DUMMYFUNCTION("""COMPUTED_VALUE"""),173.57)</f>
        <v>173.57</v>
      </c>
      <c r="C842" s="1">
        <f ca="1">IFERROR(__xludf.DUMMYFUNCTION("""COMPUTED_VALUE"""),305.41)</f>
        <v>305.41000000000003</v>
      </c>
      <c r="D842" s="1">
        <f ca="1">IFERROR(__xludf.DUMMYFUNCTION("""COMPUTED_VALUE"""),104)</f>
        <v>104</v>
      </c>
      <c r="E842" s="1">
        <f ca="1">IFERROR(__xludf.DUMMYFUNCTION("""COMPUTED_VALUE"""),27.56)</f>
        <v>27.56</v>
      </c>
      <c r="F842" s="1">
        <f ca="1">IFERROR(__xludf.DUMMYFUNCTION("""COMPUTED_VALUE"""),233.52)</f>
        <v>233.52</v>
      </c>
      <c r="G842" s="1">
        <f ca="1">IFERROR(__xludf.DUMMYFUNCTION("""COMPUTED_VALUE"""),105.21)</f>
        <v>105.21</v>
      </c>
      <c r="H842" s="1">
        <f ca="1">IFERROR(__xludf.DUMMYFUNCTION("""COMPUTED_VALUE"""),161.2)</f>
        <v>161.19999999999999</v>
      </c>
      <c r="I842" s="1">
        <f ca="1">IFERROR(__xludf.DUMMYFUNCTION("""COMPUTED_VALUE"""),193.38)</f>
        <v>193.38</v>
      </c>
      <c r="J842" s="1">
        <f ca="1">IFERROR(__xludf.DUMMYFUNCTION("""COMPUTED_VALUE"""),490.34)</f>
        <v>490.34</v>
      </c>
      <c r="K842" s="1">
        <f ca="1">IFERROR(__xludf.DUMMYFUNCTION("""COMPUTED_VALUE"""),61.02)</f>
        <v>61.02</v>
      </c>
      <c r="L842" s="1">
        <f ca="1">IFERROR(__xludf.DUMMYFUNCTION("""COMPUTED_VALUE"""),335.83)</f>
        <v>335.83</v>
      </c>
      <c r="M842" s="1">
        <f ca="1">IFERROR(__xludf.DUMMYFUNCTION("""COMPUTED_VALUE"""),320.78)</f>
        <v>320.77999999999997</v>
      </c>
    </row>
    <row r="843" spans="1:13" x14ac:dyDescent="0.25">
      <c r="A843" s="2">
        <f ca="1">IFERROR(__xludf.DUMMYFUNCTION("""COMPUTED_VALUE"""),45054.6666666666)</f>
        <v>45054.666666666599</v>
      </c>
      <c r="B843" s="1">
        <f ca="1">IFERROR(__xludf.DUMMYFUNCTION("""COMPUTED_VALUE"""),173.5)</f>
        <v>173.5</v>
      </c>
      <c r="C843" s="1">
        <f ca="1">IFERROR(__xludf.DUMMYFUNCTION("""COMPUTED_VALUE"""),310.65)</f>
        <v>310.64999999999998</v>
      </c>
      <c r="D843" s="1">
        <f ca="1">IFERROR(__xludf.DUMMYFUNCTION("""COMPUTED_VALUE"""),105.66)</f>
        <v>105.66</v>
      </c>
      <c r="E843" s="1">
        <f ca="1">IFERROR(__xludf.DUMMYFUNCTION("""COMPUTED_VALUE"""),28.68)</f>
        <v>28.68</v>
      </c>
      <c r="F843" s="1">
        <f ca="1">IFERROR(__xludf.DUMMYFUNCTION("""COMPUTED_VALUE"""),232.78)</f>
        <v>232.78</v>
      </c>
      <c r="G843" s="1">
        <f ca="1">IFERROR(__xludf.DUMMYFUNCTION("""COMPUTED_VALUE"""),106.22)</f>
        <v>106.22</v>
      </c>
      <c r="H843" s="1">
        <f ca="1">IFERROR(__xludf.DUMMYFUNCTION("""COMPUTED_VALUE"""),170.06)</f>
        <v>170.06</v>
      </c>
      <c r="I843" s="1">
        <f ca="1">IFERROR(__xludf.DUMMYFUNCTION("""COMPUTED_VALUE"""),194.27)</f>
        <v>194.27</v>
      </c>
      <c r="J843" s="1">
        <f ca="1">IFERROR(__xludf.DUMMYFUNCTION("""COMPUTED_VALUE"""),499.06)</f>
        <v>499.06</v>
      </c>
      <c r="K843" s="1">
        <f ca="1">IFERROR(__xludf.DUMMYFUNCTION("""COMPUTED_VALUE"""),63.01)</f>
        <v>63.01</v>
      </c>
      <c r="L843" s="1">
        <f ca="1">IFERROR(__xludf.DUMMYFUNCTION("""COMPUTED_VALUE"""),348.4)</f>
        <v>348.4</v>
      </c>
      <c r="M843" s="1">
        <f ca="1">IFERROR(__xludf.DUMMYFUNCTION("""COMPUTED_VALUE"""),322.76)</f>
        <v>322.76</v>
      </c>
    </row>
    <row r="844" spans="1:13" x14ac:dyDescent="0.25">
      <c r="A844" s="2">
        <f ca="1">IFERROR(__xludf.DUMMYFUNCTION("""COMPUTED_VALUE"""),45055.6666666666)</f>
        <v>45055.666666666599</v>
      </c>
      <c r="B844" s="1">
        <f ca="1">IFERROR(__xludf.DUMMYFUNCTION("""COMPUTED_VALUE"""),171.77)</f>
        <v>171.77</v>
      </c>
      <c r="C844" s="1">
        <f ca="1">IFERROR(__xludf.DUMMYFUNCTION("""COMPUTED_VALUE"""),308.65)</f>
        <v>308.64999999999998</v>
      </c>
      <c r="D844" s="1">
        <f ca="1">IFERROR(__xludf.DUMMYFUNCTION("""COMPUTED_VALUE"""),105.83)</f>
        <v>105.83</v>
      </c>
      <c r="E844" s="1">
        <f ca="1">IFERROR(__xludf.DUMMYFUNCTION("""COMPUTED_VALUE"""),29.15)</f>
        <v>29.15</v>
      </c>
      <c r="F844" s="1">
        <f ca="1">IFERROR(__xludf.DUMMYFUNCTION("""COMPUTED_VALUE"""),233.27)</f>
        <v>233.27</v>
      </c>
      <c r="G844" s="1">
        <f ca="1">IFERROR(__xludf.DUMMYFUNCTION("""COMPUTED_VALUE"""),108.24)</f>
        <v>108.24</v>
      </c>
      <c r="H844" s="1">
        <f ca="1">IFERROR(__xludf.DUMMYFUNCTION("""COMPUTED_VALUE"""),171.79)</f>
        <v>171.79</v>
      </c>
      <c r="I844" s="1">
        <f ca="1">IFERROR(__xludf.DUMMYFUNCTION("""COMPUTED_VALUE"""),193.35)</f>
        <v>193.35</v>
      </c>
      <c r="J844" s="1">
        <f ca="1">IFERROR(__xludf.DUMMYFUNCTION("""COMPUTED_VALUE"""),499.06)</f>
        <v>499.06</v>
      </c>
      <c r="K844" s="1">
        <f ca="1">IFERROR(__xludf.DUMMYFUNCTION("""COMPUTED_VALUE"""),62.91)</f>
        <v>62.91</v>
      </c>
      <c r="L844" s="1">
        <f ca="1">IFERROR(__xludf.DUMMYFUNCTION("""COMPUTED_VALUE"""),344.06)</f>
        <v>344.06</v>
      </c>
      <c r="M844" s="1">
        <f ca="1">IFERROR(__xludf.DUMMYFUNCTION("""COMPUTED_VALUE"""),331.21)</f>
        <v>331.21</v>
      </c>
    </row>
    <row r="845" spans="1:13" x14ac:dyDescent="0.25">
      <c r="A845" s="2">
        <f ca="1">IFERROR(__xludf.DUMMYFUNCTION("""COMPUTED_VALUE"""),45056.6666666666)</f>
        <v>45056.666666666599</v>
      </c>
      <c r="B845" s="1">
        <f ca="1">IFERROR(__xludf.DUMMYFUNCTION("""COMPUTED_VALUE"""),173.56)</f>
        <v>173.56</v>
      </c>
      <c r="C845" s="1">
        <f ca="1">IFERROR(__xludf.DUMMYFUNCTION("""COMPUTED_VALUE"""),307)</f>
        <v>307</v>
      </c>
      <c r="D845" s="1">
        <f ca="1">IFERROR(__xludf.DUMMYFUNCTION("""COMPUTED_VALUE"""),106.62)</f>
        <v>106.62</v>
      </c>
      <c r="E845" s="1">
        <f ca="1">IFERROR(__xludf.DUMMYFUNCTION("""COMPUTED_VALUE"""),28.57)</f>
        <v>28.57</v>
      </c>
      <c r="F845" s="1">
        <f ca="1">IFERROR(__xludf.DUMMYFUNCTION("""COMPUTED_VALUE"""),233.37)</f>
        <v>233.37</v>
      </c>
      <c r="G845" s="1">
        <f ca="1">IFERROR(__xludf.DUMMYFUNCTION("""COMPUTED_VALUE"""),107.94)</f>
        <v>107.94</v>
      </c>
      <c r="H845" s="1">
        <f ca="1">IFERROR(__xludf.DUMMYFUNCTION("""COMPUTED_VALUE"""),169.15)</f>
        <v>169.15</v>
      </c>
      <c r="I845" s="1">
        <f ca="1">IFERROR(__xludf.DUMMYFUNCTION("""COMPUTED_VALUE"""),194.14)</f>
        <v>194.14</v>
      </c>
      <c r="J845" s="1">
        <f ca="1">IFERROR(__xludf.DUMMYFUNCTION("""COMPUTED_VALUE"""),500.79)</f>
        <v>500.79</v>
      </c>
      <c r="K845" s="1">
        <f ca="1">IFERROR(__xludf.DUMMYFUNCTION("""COMPUTED_VALUE"""),61.85)</f>
        <v>61.85</v>
      </c>
      <c r="L845" s="1">
        <f ca="1">IFERROR(__xludf.DUMMYFUNCTION("""COMPUTED_VALUE"""),342.65)</f>
        <v>342.65</v>
      </c>
      <c r="M845" s="1">
        <f ca="1">IFERROR(__xludf.DUMMYFUNCTION("""COMPUTED_VALUE"""),332.14)</f>
        <v>332.14</v>
      </c>
    </row>
    <row r="846" spans="1:13" x14ac:dyDescent="0.25">
      <c r="A846" s="2">
        <f ca="1">IFERROR(__xludf.DUMMYFUNCTION("""COMPUTED_VALUE"""),45057.6666666666)</f>
        <v>45057.666666666599</v>
      </c>
      <c r="B846" s="1">
        <f ca="1">IFERROR(__xludf.DUMMYFUNCTION("""COMPUTED_VALUE"""),173.75)</f>
        <v>173.75</v>
      </c>
      <c r="C846" s="1">
        <f ca="1">IFERROR(__xludf.DUMMYFUNCTION("""COMPUTED_VALUE"""),312.31)</f>
        <v>312.31</v>
      </c>
      <c r="D846" s="1">
        <f ca="1">IFERROR(__xludf.DUMMYFUNCTION("""COMPUTED_VALUE"""),110.19)</f>
        <v>110.19</v>
      </c>
      <c r="E846" s="1">
        <f ca="1">IFERROR(__xludf.DUMMYFUNCTION("""COMPUTED_VALUE"""),28.89)</f>
        <v>28.89</v>
      </c>
      <c r="F846" s="1">
        <f ca="1">IFERROR(__xludf.DUMMYFUNCTION("""COMPUTED_VALUE"""),233.08)</f>
        <v>233.08</v>
      </c>
      <c r="G846" s="1">
        <f ca="1">IFERROR(__xludf.DUMMYFUNCTION("""COMPUTED_VALUE"""),112.28)</f>
        <v>112.28</v>
      </c>
      <c r="H846" s="1">
        <f ca="1">IFERROR(__xludf.DUMMYFUNCTION("""COMPUTED_VALUE"""),168.54)</f>
        <v>168.54</v>
      </c>
      <c r="I846" s="1">
        <f ca="1">IFERROR(__xludf.DUMMYFUNCTION("""COMPUTED_VALUE"""),194.27)</f>
        <v>194.27</v>
      </c>
      <c r="J846" s="1">
        <f ca="1">IFERROR(__xludf.DUMMYFUNCTION("""COMPUTED_VALUE"""),499.66)</f>
        <v>499.66</v>
      </c>
      <c r="K846" s="1">
        <f ca="1">IFERROR(__xludf.DUMMYFUNCTION("""COMPUTED_VALUE"""),62.63)</f>
        <v>62.63</v>
      </c>
      <c r="L846" s="1">
        <f ca="1">IFERROR(__xludf.DUMMYFUNCTION("""COMPUTED_VALUE"""),344.02)</f>
        <v>344.02</v>
      </c>
      <c r="M846" s="1">
        <f ca="1">IFERROR(__xludf.DUMMYFUNCTION("""COMPUTED_VALUE"""),335.42)</f>
        <v>335.42</v>
      </c>
    </row>
    <row r="847" spans="1:13" x14ac:dyDescent="0.25">
      <c r="A847" s="2">
        <f ca="1">IFERROR(__xludf.DUMMYFUNCTION("""COMPUTED_VALUE"""),45058.6666666666)</f>
        <v>45058.666666666599</v>
      </c>
      <c r="B847" s="1">
        <f ca="1">IFERROR(__xludf.DUMMYFUNCTION("""COMPUTED_VALUE"""),172.57)</f>
        <v>172.57</v>
      </c>
      <c r="C847" s="1">
        <f ca="1">IFERROR(__xludf.DUMMYFUNCTION("""COMPUTED_VALUE"""),310.11)</f>
        <v>310.11</v>
      </c>
      <c r="D847" s="1">
        <f ca="1">IFERROR(__xludf.DUMMYFUNCTION("""COMPUTED_VALUE"""),112.18)</f>
        <v>112.18</v>
      </c>
      <c r="E847" s="1">
        <f ca="1">IFERROR(__xludf.DUMMYFUNCTION("""COMPUTED_VALUE"""),28.58)</f>
        <v>28.58</v>
      </c>
      <c r="F847" s="1">
        <f ca="1">IFERROR(__xludf.DUMMYFUNCTION("""COMPUTED_VALUE"""),235.79)</f>
        <v>235.79</v>
      </c>
      <c r="G847" s="1">
        <f ca="1">IFERROR(__xludf.DUMMYFUNCTION("""COMPUTED_VALUE"""),116.9)</f>
        <v>116.9</v>
      </c>
      <c r="H847" s="1">
        <f ca="1">IFERROR(__xludf.DUMMYFUNCTION("""COMPUTED_VALUE"""),172.08)</f>
        <v>172.08</v>
      </c>
      <c r="I847" s="1">
        <f ca="1">IFERROR(__xludf.DUMMYFUNCTION("""COMPUTED_VALUE"""),195.34)</f>
        <v>195.34</v>
      </c>
      <c r="J847" s="1">
        <f ca="1">IFERROR(__xludf.DUMMYFUNCTION("""COMPUTED_VALUE"""),501.89)</f>
        <v>501.89</v>
      </c>
      <c r="K847" s="1">
        <f ca="1">IFERROR(__xludf.DUMMYFUNCTION("""COMPUTED_VALUE"""),62.77)</f>
        <v>62.77</v>
      </c>
      <c r="L847" s="1">
        <f ca="1">IFERROR(__xludf.DUMMYFUNCTION("""COMPUTED_VALUE"""),341.58)</f>
        <v>341.58</v>
      </c>
      <c r="M847" s="1">
        <f ca="1">IFERROR(__xludf.DUMMYFUNCTION("""COMPUTED_VALUE"""),344.76)</f>
        <v>344.76</v>
      </c>
    </row>
    <row r="848" spans="1:13" x14ac:dyDescent="0.25">
      <c r="A848" s="2">
        <f ca="1">IFERROR(__xludf.DUMMYFUNCTION("""COMPUTED_VALUE"""),45061.6666666666)</f>
        <v>45061.666666666599</v>
      </c>
      <c r="B848" s="1">
        <f ca="1">IFERROR(__xludf.DUMMYFUNCTION("""COMPUTED_VALUE"""),172.07)</f>
        <v>172.07</v>
      </c>
      <c r="C848" s="1">
        <f ca="1">IFERROR(__xludf.DUMMYFUNCTION("""COMPUTED_VALUE"""),308.97)</f>
        <v>308.97000000000003</v>
      </c>
      <c r="D848" s="1">
        <f ca="1">IFERROR(__xludf.DUMMYFUNCTION("""COMPUTED_VALUE"""),110.26)</f>
        <v>110.26</v>
      </c>
      <c r="E848" s="1">
        <f ca="1">IFERROR(__xludf.DUMMYFUNCTION("""COMPUTED_VALUE"""),28.34)</f>
        <v>28.34</v>
      </c>
      <c r="F848" s="1">
        <f ca="1">IFERROR(__xludf.DUMMYFUNCTION("""COMPUTED_VALUE"""),233.81)</f>
        <v>233.81</v>
      </c>
      <c r="G848" s="1">
        <f ca="1">IFERROR(__xludf.DUMMYFUNCTION("""COMPUTED_VALUE"""),117.92)</f>
        <v>117.92</v>
      </c>
      <c r="H848" s="1">
        <f ca="1">IFERROR(__xludf.DUMMYFUNCTION("""COMPUTED_VALUE"""),167.98)</f>
        <v>167.98</v>
      </c>
      <c r="I848" s="1">
        <f ca="1">IFERROR(__xludf.DUMMYFUNCTION("""COMPUTED_VALUE"""),196.12)</f>
        <v>196.12</v>
      </c>
      <c r="J848" s="1">
        <f ca="1">IFERROR(__xludf.DUMMYFUNCTION("""COMPUTED_VALUE"""),504.07)</f>
        <v>504.07</v>
      </c>
      <c r="K848" s="1">
        <f ca="1">IFERROR(__xludf.DUMMYFUNCTION("""COMPUTED_VALUE"""),63.12)</f>
        <v>63.12</v>
      </c>
      <c r="L848" s="1">
        <f ca="1">IFERROR(__xludf.DUMMYFUNCTION("""COMPUTED_VALUE"""),335.45)</f>
        <v>335.45</v>
      </c>
      <c r="M848" s="1">
        <f ca="1">IFERROR(__xludf.DUMMYFUNCTION("""COMPUTED_VALUE"""),339.89)</f>
        <v>339.89</v>
      </c>
    </row>
    <row r="849" spans="1:13" x14ac:dyDescent="0.25">
      <c r="A849" s="2">
        <f ca="1">IFERROR(__xludf.DUMMYFUNCTION("""COMPUTED_VALUE"""),45062.6666666666)</f>
        <v>45062.666666666599</v>
      </c>
      <c r="B849" s="1">
        <f ca="1">IFERROR(__xludf.DUMMYFUNCTION("""COMPUTED_VALUE"""),172.07)</f>
        <v>172.07</v>
      </c>
      <c r="C849" s="1">
        <f ca="1">IFERROR(__xludf.DUMMYFUNCTION("""COMPUTED_VALUE"""),309.46)</f>
        <v>309.45999999999998</v>
      </c>
      <c r="D849" s="1">
        <f ca="1">IFERROR(__xludf.DUMMYFUNCTION("""COMPUTED_VALUE"""),111.2)</f>
        <v>111.2</v>
      </c>
      <c r="E849" s="1">
        <f ca="1">IFERROR(__xludf.DUMMYFUNCTION("""COMPUTED_VALUE"""),28.95)</f>
        <v>28.95</v>
      </c>
      <c r="F849" s="1">
        <f ca="1">IFERROR(__xludf.DUMMYFUNCTION("""COMPUTED_VALUE"""),238.86)</f>
        <v>238.86</v>
      </c>
      <c r="G849" s="1">
        <f ca="1">IFERROR(__xludf.DUMMYFUNCTION("""COMPUTED_VALUE"""),116.96)</f>
        <v>116.96</v>
      </c>
      <c r="H849" s="1">
        <f ca="1">IFERROR(__xludf.DUMMYFUNCTION("""COMPUTED_VALUE"""),166.35)</f>
        <v>166.35</v>
      </c>
      <c r="I849" s="1">
        <f ca="1">IFERROR(__xludf.DUMMYFUNCTION("""COMPUTED_VALUE"""),194.27)</f>
        <v>194.27</v>
      </c>
      <c r="J849" s="1">
        <f ca="1">IFERROR(__xludf.DUMMYFUNCTION("""COMPUTED_VALUE"""),502.04)</f>
        <v>502.04</v>
      </c>
      <c r="K849" s="1">
        <f ca="1">IFERROR(__xludf.DUMMYFUNCTION("""COMPUTED_VALUE"""),63.98)</f>
        <v>63.98</v>
      </c>
      <c r="L849" s="1">
        <f ca="1">IFERROR(__xludf.DUMMYFUNCTION("""COMPUTED_VALUE"""),345.67)</f>
        <v>345.67</v>
      </c>
      <c r="M849" s="1">
        <f ca="1">IFERROR(__xludf.DUMMYFUNCTION("""COMPUTED_VALUE"""),335.89)</f>
        <v>335.89</v>
      </c>
    </row>
    <row r="850" spans="1:13" x14ac:dyDescent="0.25">
      <c r="A850" s="2">
        <f ca="1">IFERROR(__xludf.DUMMYFUNCTION("""COMPUTED_VALUE"""),45063.6666666666)</f>
        <v>45063.666666666599</v>
      </c>
      <c r="B850" s="1">
        <f ca="1">IFERROR(__xludf.DUMMYFUNCTION("""COMPUTED_VALUE"""),172.69)</f>
        <v>172.69</v>
      </c>
      <c r="C850" s="1">
        <f ca="1">IFERROR(__xludf.DUMMYFUNCTION("""COMPUTED_VALUE"""),311.74)</f>
        <v>311.74</v>
      </c>
      <c r="D850" s="1">
        <f ca="1">IFERROR(__xludf.DUMMYFUNCTION("""COMPUTED_VALUE"""),113.4)</f>
        <v>113.4</v>
      </c>
      <c r="E850" s="1">
        <f ca="1">IFERROR(__xludf.DUMMYFUNCTION("""COMPUTED_VALUE"""),29.21)</f>
        <v>29.21</v>
      </c>
      <c r="F850" s="1">
        <f ca="1">IFERROR(__xludf.DUMMYFUNCTION("""COMPUTED_VALUE"""),238.82)</f>
        <v>238.82</v>
      </c>
      <c r="G850" s="1">
        <f ca="1">IFERROR(__xludf.DUMMYFUNCTION("""COMPUTED_VALUE"""),120.09)</f>
        <v>120.09</v>
      </c>
      <c r="H850" s="1">
        <f ca="1">IFERROR(__xludf.DUMMYFUNCTION("""COMPUTED_VALUE"""),166.52)</f>
        <v>166.52</v>
      </c>
      <c r="I850" s="1">
        <f ca="1">IFERROR(__xludf.DUMMYFUNCTION("""COMPUTED_VALUE"""),193.43)</f>
        <v>193.43</v>
      </c>
      <c r="J850" s="1">
        <f ca="1">IFERROR(__xludf.DUMMYFUNCTION("""COMPUTED_VALUE"""),496.15)</f>
        <v>496.15</v>
      </c>
      <c r="K850" s="1">
        <f ca="1">IFERROR(__xludf.DUMMYFUNCTION("""COMPUTED_VALUE"""),64.14)</f>
        <v>64.14</v>
      </c>
      <c r="L850" s="1">
        <f ca="1">IFERROR(__xludf.DUMMYFUNCTION("""COMPUTED_VALUE"""),345.11)</f>
        <v>345.11</v>
      </c>
      <c r="M850" s="1">
        <f ca="1">IFERROR(__xludf.DUMMYFUNCTION("""COMPUTED_VALUE"""),333.75)</f>
        <v>333.75</v>
      </c>
    </row>
    <row r="851" spans="1:13" x14ac:dyDescent="0.25">
      <c r="A851" s="2">
        <f ca="1">IFERROR(__xludf.DUMMYFUNCTION("""COMPUTED_VALUE"""),45064.6666666666)</f>
        <v>45064.666666666599</v>
      </c>
      <c r="B851" s="1">
        <f ca="1">IFERROR(__xludf.DUMMYFUNCTION("""COMPUTED_VALUE"""),175.05)</f>
        <v>175.05</v>
      </c>
      <c r="C851" s="1">
        <f ca="1">IFERROR(__xludf.DUMMYFUNCTION("""COMPUTED_VALUE"""),314)</f>
        <v>314</v>
      </c>
      <c r="D851" s="1">
        <f ca="1">IFERROR(__xludf.DUMMYFUNCTION("""COMPUTED_VALUE"""),115.5)</f>
        <v>115.5</v>
      </c>
      <c r="E851" s="1">
        <f ca="1">IFERROR(__xludf.DUMMYFUNCTION("""COMPUTED_VALUE"""),30.18)</f>
        <v>30.18</v>
      </c>
      <c r="F851" s="1">
        <f ca="1">IFERROR(__xludf.DUMMYFUNCTION("""COMPUTED_VALUE"""),242.49)</f>
        <v>242.49</v>
      </c>
      <c r="G851" s="1">
        <f ca="1">IFERROR(__xludf.DUMMYFUNCTION("""COMPUTED_VALUE"""),121.48)</f>
        <v>121.48</v>
      </c>
      <c r="H851" s="1">
        <f ca="1">IFERROR(__xludf.DUMMYFUNCTION("""COMPUTED_VALUE"""),173.86)</f>
        <v>173.86</v>
      </c>
      <c r="I851" s="1">
        <f ca="1">IFERROR(__xludf.DUMMYFUNCTION("""COMPUTED_VALUE"""),192.06)</f>
        <v>192.06</v>
      </c>
      <c r="J851" s="1">
        <f ca="1">IFERROR(__xludf.DUMMYFUNCTION("""COMPUTED_VALUE"""),495)</f>
        <v>495</v>
      </c>
      <c r="K851" s="1">
        <f ca="1">IFERROR(__xludf.DUMMYFUNCTION("""COMPUTED_VALUE"""),65.75)</f>
        <v>65.75</v>
      </c>
      <c r="L851" s="1">
        <f ca="1">IFERROR(__xludf.DUMMYFUNCTION("""COMPUTED_VALUE"""),356.63)</f>
        <v>356.63</v>
      </c>
      <c r="M851" s="1">
        <f ca="1">IFERROR(__xludf.DUMMYFUNCTION("""COMPUTED_VALUE"""),339.96)</f>
        <v>339.96</v>
      </c>
    </row>
    <row r="852" spans="1:13" x14ac:dyDescent="0.25">
      <c r="A852" s="2">
        <f ca="1">IFERROR(__xludf.DUMMYFUNCTION("""COMPUTED_VALUE"""),45065.6666666666)</f>
        <v>45065.666666666599</v>
      </c>
      <c r="B852" s="1">
        <f ca="1">IFERROR(__xludf.DUMMYFUNCTION("""COMPUTED_VALUE"""),175.16)</f>
        <v>175.16</v>
      </c>
      <c r="C852" s="1">
        <f ca="1">IFERROR(__xludf.DUMMYFUNCTION("""COMPUTED_VALUE"""),318.52)</f>
        <v>318.52</v>
      </c>
      <c r="D852" s="1">
        <f ca="1">IFERROR(__xludf.DUMMYFUNCTION("""COMPUTED_VALUE"""),118.15)</f>
        <v>118.15</v>
      </c>
      <c r="E852" s="1">
        <f ca="1">IFERROR(__xludf.DUMMYFUNCTION("""COMPUTED_VALUE"""),31.68)</f>
        <v>31.68</v>
      </c>
      <c r="F852" s="1">
        <f ca="1">IFERROR(__xludf.DUMMYFUNCTION("""COMPUTED_VALUE"""),246.85)</f>
        <v>246.85</v>
      </c>
      <c r="G852" s="1">
        <f ca="1">IFERROR(__xludf.DUMMYFUNCTION("""COMPUTED_VALUE"""),123.52)</f>
        <v>123.52</v>
      </c>
      <c r="H852" s="1">
        <f ca="1">IFERROR(__xludf.DUMMYFUNCTION("""COMPUTED_VALUE"""),176.89)</f>
        <v>176.89</v>
      </c>
      <c r="I852" s="1">
        <f ca="1">IFERROR(__xludf.DUMMYFUNCTION("""COMPUTED_VALUE"""),191.56)</f>
        <v>191.56</v>
      </c>
      <c r="J852" s="1">
        <f ca="1">IFERROR(__xludf.DUMMYFUNCTION("""COMPUTED_VALUE"""),498.1)</f>
        <v>498.1</v>
      </c>
      <c r="K852" s="1">
        <f ca="1">IFERROR(__xludf.DUMMYFUNCTION("""COMPUTED_VALUE"""),67.79)</f>
        <v>67.790000000000006</v>
      </c>
      <c r="L852" s="1">
        <f ca="1">IFERROR(__xludf.DUMMYFUNCTION("""COMPUTED_VALUE"""),360.43)</f>
        <v>360.43</v>
      </c>
      <c r="M852" s="1">
        <f ca="1">IFERROR(__xludf.DUMMYFUNCTION("""COMPUTED_VALUE"""),371.29)</f>
        <v>371.29</v>
      </c>
    </row>
    <row r="853" spans="1:13" x14ac:dyDescent="0.25">
      <c r="A853" s="2">
        <f ca="1">IFERROR(__xludf.DUMMYFUNCTION("""COMPUTED_VALUE"""),45068.6666666666)</f>
        <v>45068.666666666599</v>
      </c>
      <c r="B853" s="1">
        <f ca="1">IFERROR(__xludf.DUMMYFUNCTION("""COMPUTED_VALUE"""),174.2)</f>
        <v>174.2</v>
      </c>
      <c r="C853" s="1">
        <f ca="1">IFERROR(__xludf.DUMMYFUNCTION("""COMPUTED_VALUE"""),318.34)</f>
        <v>318.33999999999997</v>
      </c>
      <c r="D853" s="1">
        <f ca="1">IFERROR(__xludf.DUMMYFUNCTION("""COMPUTED_VALUE"""),116.25)</f>
        <v>116.25</v>
      </c>
      <c r="E853" s="1">
        <f ca="1">IFERROR(__xludf.DUMMYFUNCTION("""COMPUTED_VALUE"""),31.26)</f>
        <v>31.26</v>
      </c>
      <c r="F853" s="1">
        <f ca="1">IFERROR(__xludf.DUMMYFUNCTION("""COMPUTED_VALUE"""),245.64)</f>
        <v>245.64</v>
      </c>
      <c r="G853" s="1">
        <f ca="1">IFERROR(__xludf.DUMMYFUNCTION("""COMPUTED_VALUE"""),123.25)</f>
        <v>123.25</v>
      </c>
      <c r="H853" s="1">
        <f ca="1">IFERROR(__xludf.DUMMYFUNCTION("""COMPUTED_VALUE"""),180.14)</f>
        <v>180.14</v>
      </c>
      <c r="I853" s="1">
        <f ca="1">IFERROR(__xludf.DUMMYFUNCTION("""COMPUTED_VALUE"""),191.84)</f>
        <v>191.84</v>
      </c>
      <c r="J853" s="1">
        <f ca="1">IFERROR(__xludf.DUMMYFUNCTION("""COMPUTED_VALUE"""),496.52)</f>
        <v>496.52</v>
      </c>
      <c r="K853" s="1">
        <f ca="1">IFERROR(__xludf.DUMMYFUNCTION("""COMPUTED_VALUE"""),68.22)</f>
        <v>68.22</v>
      </c>
      <c r="L853" s="1">
        <f ca="1">IFERROR(__xludf.DUMMYFUNCTION("""COMPUTED_VALUE"""),371.25)</f>
        <v>371.25</v>
      </c>
      <c r="M853" s="1">
        <f ca="1">IFERROR(__xludf.DUMMYFUNCTION("""COMPUTED_VALUE"""),365.36)</f>
        <v>365.36</v>
      </c>
    </row>
    <row r="854" spans="1:13" x14ac:dyDescent="0.25">
      <c r="A854" s="2">
        <f ca="1">IFERROR(__xludf.DUMMYFUNCTION("""COMPUTED_VALUE"""),45069.6666666666)</f>
        <v>45069.666666666599</v>
      </c>
      <c r="B854" s="1">
        <f ca="1">IFERROR(__xludf.DUMMYFUNCTION("""COMPUTED_VALUE"""),171.56)</f>
        <v>171.56</v>
      </c>
      <c r="C854" s="1">
        <f ca="1">IFERROR(__xludf.DUMMYFUNCTION("""COMPUTED_VALUE"""),321.18)</f>
        <v>321.18</v>
      </c>
      <c r="D854" s="1">
        <f ca="1">IFERROR(__xludf.DUMMYFUNCTION("""COMPUTED_VALUE"""),115.01)</f>
        <v>115.01</v>
      </c>
      <c r="E854" s="1">
        <f ca="1">IFERROR(__xludf.DUMMYFUNCTION("""COMPUTED_VALUE"""),31.18)</f>
        <v>31.18</v>
      </c>
      <c r="F854" s="1">
        <f ca="1">IFERROR(__xludf.DUMMYFUNCTION("""COMPUTED_VALUE"""),248.32)</f>
        <v>248.32</v>
      </c>
      <c r="G854" s="1">
        <f ca="1">IFERROR(__xludf.DUMMYFUNCTION("""COMPUTED_VALUE"""),125.87)</f>
        <v>125.87</v>
      </c>
      <c r="H854" s="1">
        <f ca="1">IFERROR(__xludf.DUMMYFUNCTION("""COMPUTED_VALUE"""),188.87)</f>
        <v>188.87</v>
      </c>
      <c r="I854" s="1">
        <f ca="1">IFERROR(__xludf.DUMMYFUNCTION("""COMPUTED_VALUE"""),186.64)</f>
        <v>186.64</v>
      </c>
      <c r="J854" s="1">
        <f ca="1">IFERROR(__xludf.DUMMYFUNCTION("""COMPUTED_VALUE"""),491.87)</f>
        <v>491.87</v>
      </c>
      <c r="K854" s="1">
        <f ca="1">IFERROR(__xludf.DUMMYFUNCTION("""COMPUTED_VALUE"""),67.84)</f>
        <v>67.84</v>
      </c>
      <c r="L854" s="1">
        <f ca="1">IFERROR(__xludf.DUMMYFUNCTION("""COMPUTED_VALUE"""),372.05)</f>
        <v>372.05</v>
      </c>
      <c r="M854" s="1">
        <f ca="1">IFERROR(__xludf.DUMMYFUNCTION("""COMPUTED_VALUE"""),363.01)</f>
        <v>363.01</v>
      </c>
    </row>
    <row r="855" spans="1:13" x14ac:dyDescent="0.25">
      <c r="A855" s="2">
        <f ca="1">IFERROR(__xludf.DUMMYFUNCTION("""COMPUTED_VALUE"""),45070.6666666666)</f>
        <v>45070.666666666599</v>
      </c>
      <c r="B855" s="1">
        <f ca="1">IFERROR(__xludf.DUMMYFUNCTION("""COMPUTED_VALUE"""),171.84)</f>
        <v>171.84</v>
      </c>
      <c r="C855" s="1">
        <f ca="1">IFERROR(__xludf.DUMMYFUNCTION("""COMPUTED_VALUE"""),315.26)</f>
        <v>315.26</v>
      </c>
      <c r="D855" s="1">
        <f ca="1">IFERROR(__xludf.DUMMYFUNCTION("""COMPUTED_VALUE"""),114.99)</f>
        <v>114.99</v>
      </c>
      <c r="E855" s="1">
        <f ca="1">IFERROR(__xludf.DUMMYFUNCTION("""COMPUTED_VALUE"""),30.69)</f>
        <v>30.69</v>
      </c>
      <c r="F855" s="1">
        <f ca="1">IFERROR(__xludf.DUMMYFUNCTION("""COMPUTED_VALUE"""),246.74)</f>
        <v>246.74</v>
      </c>
      <c r="G855" s="1">
        <f ca="1">IFERROR(__xludf.DUMMYFUNCTION("""COMPUTED_VALUE"""),123.29)</f>
        <v>123.29</v>
      </c>
      <c r="H855" s="1">
        <f ca="1">IFERROR(__xludf.DUMMYFUNCTION("""COMPUTED_VALUE"""),185.77)</f>
        <v>185.77</v>
      </c>
      <c r="I855" s="1">
        <f ca="1">IFERROR(__xludf.DUMMYFUNCTION("""COMPUTED_VALUE"""),186.07)</f>
        <v>186.07</v>
      </c>
      <c r="J855" s="1">
        <f ca="1">IFERROR(__xludf.DUMMYFUNCTION("""COMPUTED_VALUE"""),484.87)</f>
        <v>484.87</v>
      </c>
      <c r="K855" s="1">
        <f ca="1">IFERROR(__xludf.DUMMYFUNCTION("""COMPUTED_VALUE"""),68.65)</f>
        <v>68.650000000000006</v>
      </c>
      <c r="L855" s="1">
        <f ca="1">IFERROR(__xludf.DUMMYFUNCTION("""COMPUTED_VALUE"""),370.42)</f>
        <v>370.42</v>
      </c>
      <c r="M855" s="1">
        <f ca="1">IFERROR(__xludf.DUMMYFUNCTION("""COMPUTED_VALUE"""),355.99)</f>
        <v>355.99</v>
      </c>
    </row>
    <row r="856" spans="1:13" x14ac:dyDescent="0.25">
      <c r="A856" s="2">
        <f ca="1">IFERROR(__xludf.DUMMYFUNCTION("""COMPUTED_VALUE"""),45071.6666666666)</f>
        <v>45071.666666666599</v>
      </c>
      <c r="B856" s="1">
        <f ca="1">IFERROR(__xludf.DUMMYFUNCTION("""COMPUTED_VALUE"""),172.99)</f>
        <v>172.99</v>
      </c>
      <c r="C856" s="1">
        <f ca="1">IFERROR(__xludf.DUMMYFUNCTION("""COMPUTED_VALUE"""),313.85)</f>
        <v>313.85000000000002</v>
      </c>
      <c r="D856" s="1">
        <f ca="1">IFERROR(__xludf.DUMMYFUNCTION("""COMPUTED_VALUE"""),116.75)</f>
        <v>116.75</v>
      </c>
      <c r="E856" s="1">
        <f ca="1">IFERROR(__xludf.DUMMYFUNCTION("""COMPUTED_VALUE"""),30.54)</f>
        <v>30.54</v>
      </c>
      <c r="F856" s="1">
        <f ca="1">IFERROR(__xludf.DUMMYFUNCTION("""COMPUTED_VALUE"""),249.21)</f>
        <v>249.21</v>
      </c>
      <c r="G856" s="1">
        <f ca="1">IFERROR(__xludf.DUMMYFUNCTION("""COMPUTED_VALUE"""),121.64)</f>
        <v>121.64</v>
      </c>
      <c r="H856" s="1">
        <f ca="1">IFERROR(__xludf.DUMMYFUNCTION("""COMPUTED_VALUE"""),182.9)</f>
        <v>182.9</v>
      </c>
      <c r="I856" s="1">
        <f ca="1">IFERROR(__xludf.DUMMYFUNCTION("""COMPUTED_VALUE"""),184.89)</f>
        <v>184.89</v>
      </c>
      <c r="J856" s="1">
        <f ca="1">IFERROR(__xludf.DUMMYFUNCTION("""COMPUTED_VALUE"""),482.76)</f>
        <v>482.76</v>
      </c>
      <c r="K856" s="1">
        <f ca="1">IFERROR(__xludf.DUMMYFUNCTION("""COMPUTED_VALUE"""),67.95)</f>
        <v>67.95</v>
      </c>
      <c r="L856" s="1">
        <f ca="1">IFERROR(__xludf.DUMMYFUNCTION("""COMPUTED_VALUE"""),365.76)</f>
        <v>365.76</v>
      </c>
      <c r="M856" s="1">
        <f ca="1">IFERROR(__xludf.DUMMYFUNCTION("""COMPUTED_VALUE"""),364.85)</f>
        <v>364.85</v>
      </c>
    </row>
    <row r="857" spans="1:13" x14ac:dyDescent="0.25">
      <c r="A857" s="2">
        <f ca="1">IFERROR(__xludf.DUMMYFUNCTION("""COMPUTED_VALUE"""),45072.6666666666)</f>
        <v>45072.666666666599</v>
      </c>
      <c r="B857" s="1">
        <f ca="1">IFERROR(__xludf.DUMMYFUNCTION("""COMPUTED_VALUE"""),175.43)</f>
        <v>175.43</v>
      </c>
      <c r="C857" s="1">
        <f ca="1">IFERROR(__xludf.DUMMYFUNCTION("""COMPUTED_VALUE"""),325.92)</f>
        <v>325.92</v>
      </c>
      <c r="D857" s="1">
        <f ca="1">IFERROR(__xludf.DUMMYFUNCTION("""COMPUTED_VALUE"""),115)</f>
        <v>115</v>
      </c>
      <c r="E857" s="1">
        <f ca="1">IFERROR(__xludf.DUMMYFUNCTION("""COMPUTED_VALUE"""),37.98)</f>
        <v>37.979999999999997</v>
      </c>
      <c r="F857" s="1">
        <f ca="1">IFERROR(__xludf.DUMMYFUNCTION("""COMPUTED_VALUE"""),252.69)</f>
        <v>252.69</v>
      </c>
      <c r="G857" s="1">
        <f ca="1">IFERROR(__xludf.DUMMYFUNCTION("""COMPUTED_VALUE"""),124.35)</f>
        <v>124.35</v>
      </c>
      <c r="H857" s="1">
        <f ca="1">IFERROR(__xludf.DUMMYFUNCTION("""COMPUTED_VALUE"""),184.47)</f>
        <v>184.47</v>
      </c>
      <c r="I857" s="1">
        <f ca="1">IFERROR(__xludf.DUMMYFUNCTION("""COMPUTED_VALUE"""),183.8)</f>
        <v>183.8</v>
      </c>
      <c r="J857" s="1">
        <f ca="1">IFERROR(__xludf.DUMMYFUNCTION("""COMPUTED_VALUE"""),486.55)</f>
        <v>486.55</v>
      </c>
      <c r="K857" s="1">
        <f ca="1">IFERROR(__xludf.DUMMYFUNCTION("""COMPUTED_VALUE"""),72.88)</f>
        <v>72.88</v>
      </c>
      <c r="L857" s="1">
        <f ca="1">IFERROR(__xludf.DUMMYFUNCTION("""COMPUTED_VALUE"""),392.06)</f>
        <v>392.06</v>
      </c>
      <c r="M857" s="1">
        <f ca="1">IFERROR(__xludf.DUMMYFUNCTION("""COMPUTED_VALUE"""),359)</f>
        <v>359</v>
      </c>
    </row>
    <row r="858" spans="1:13" x14ac:dyDescent="0.25">
      <c r="A858" s="2">
        <f ca="1">IFERROR(__xludf.DUMMYFUNCTION("""COMPUTED_VALUE"""),45076.6666666666)</f>
        <v>45076.666666666599</v>
      </c>
      <c r="B858" s="1">
        <f ca="1">IFERROR(__xludf.DUMMYFUNCTION("""COMPUTED_VALUE"""),177.3)</f>
        <v>177.3</v>
      </c>
      <c r="C858" s="1">
        <f ca="1">IFERROR(__xludf.DUMMYFUNCTION("""COMPUTED_VALUE"""),332.89)</f>
        <v>332.89</v>
      </c>
      <c r="D858" s="1">
        <f ca="1">IFERROR(__xludf.DUMMYFUNCTION("""COMPUTED_VALUE"""),120.11)</f>
        <v>120.11</v>
      </c>
      <c r="E858" s="1">
        <f ca="1">IFERROR(__xludf.DUMMYFUNCTION("""COMPUTED_VALUE"""),38.95)</f>
        <v>38.950000000000003</v>
      </c>
      <c r="F858" s="1">
        <f ca="1">IFERROR(__xludf.DUMMYFUNCTION("""COMPUTED_VALUE"""),262.04)</f>
        <v>262.04000000000002</v>
      </c>
      <c r="G858" s="1">
        <f ca="1">IFERROR(__xludf.DUMMYFUNCTION("""COMPUTED_VALUE"""),125.43)</f>
        <v>125.43</v>
      </c>
      <c r="H858" s="1">
        <f ca="1">IFERROR(__xludf.DUMMYFUNCTION("""COMPUTED_VALUE"""),193.17)</f>
        <v>193.17</v>
      </c>
      <c r="I858" s="1">
        <f ca="1">IFERROR(__xludf.DUMMYFUNCTION("""COMPUTED_VALUE"""),183.58)</f>
        <v>183.58</v>
      </c>
      <c r="J858" s="1">
        <f ca="1">IFERROR(__xludf.DUMMYFUNCTION("""COMPUTED_VALUE"""),507.26)</f>
        <v>507.26</v>
      </c>
      <c r="K858" s="1">
        <f ca="1">IFERROR(__xludf.DUMMYFUNCTION("""COMPUTED_VALUE"""),81.27)</f>
        <v>81.27</v>
      </c>
      <c r="L858" s="1">
        <f ca="1">IFERROR(__xludf.DUMMYFUNCTION("""COMPUTED_VALUE"""),415.39)</f>
        <v>415.39</v>
      </c>
      <c r="M858" s="1">
        <f ca="1">IFERROR(__xludf.DUMMYFUNCTION("""COMPUTED_VALUE"""),378.88)</f>
        <v>378.88</v>
      </c>
    </row>
    <row r="859" spans="1:13" x14ac:dyDescent="0.25">
      <c r="A859" s="2">
        <f ca="1">IFERROR(__xludf.DUMMYFUNCTION("""COMPUTED_VALUE"""),45077.6666666666)</f>
        <v>45077.666666666599</v>
      </c>
      <c r="B859" s="1">
        <f ca="1">IFERROR(__xludf.DUMMYFUNCTION("""COMPUTED_VALUE"""),177.25)</f>
        <v>177.25</v>
      </c>
      <c r="C859" s="1">
        <f ca="1">IFERROR(__xludf.DUMMYFUNCTION("""COMPUTED_VALUE"""),331.21)</f>
        <v>331.21</v>
      </c>
      <c r="D859" s="1">
        <f ca="1">IFERROR(__xludf.DUMMYFUNCTION("""COMPUTED_VALUE"""),121.66)</f>
        <v>121.66</v>
      </c>
      <c r="E859" s="1">
        <f ca="1">IFERROR(__xludf.DUMMYFUNCTION("""COMPUTED_VALUE"""),40.11)</f>
        <v>40.11</v>
      </c>
      <c r="F859" s="1">
        <f ca="1">IFERROR(__xludf.DUMMYFUNCTION("""COMPUTED_VALUE"""),262.52)</f>
        <v>262.52</v>
      </c>
      <c r="G859" s="1">
        <f ca="1">IFERROR(__xludf.DUMMYFUNCTION("""COMPUTED_VALUE"""),124.64)</f>
        <v>124.64</v>
      </c>
      <c r="H859" s="1">
        <f ca="1">IFERROR(__xludf.DUMMYFUNCTION("""COMPUTED_VALUE"""),201.16)</f>
        <v>201.16</v>
      </c>
      <c r="I859" s="1">
        <f ca="1">IFERROR(__xludf.DUMMYFUNCTION("""COMPUTED_VALUE"""),181.61)</f>
        <v>181.61</v>
      </c>
      <c r="J859" s="1">
        <f ca="1">IFERROR(__xludf.DUMMYFUNCTION("""COMPUTED_VALUE"""),508.03)</f>
        <v>508.03</v>
      </c>
      <c r="K859" s="1">
        <f ca="1">IFERROR(__xludf.DUMMYFUNCTION("""COMPUTED_VALUE"""),80.33)</f>
        <v>80.33</v>
      </c>
      <c r="L859" s="1">
        <f ca="1">IFERROR(__xludf.DUMMYFUNCTION("""COMPUTED_VALUE"""),417.21)</f>
        <v>417.21</v>
      </c>
      <c r="M859" s="1">
        <f ca="1">IFERROR(__xludf.DUMMYFUNCTION("""COMPUTED_VALUE"""),392.98)</f>
        <v>392.98</v>
      </c>
    </row>
    <row r="860" spans="1:13" x14ac:dyDescent="0.25">
      <c r="A860" s="2">
        <f ca="1">IFERROR(__xludf.DUMMYFUNCTION("""COMPUTED_VALUE"""),45078.6666666666)</f>
        <v>45078.666666666599</v>
      </c>
      <c r="B860" s="1">
        <f ca="1">IFERROR(__xludf.DUMMYFUNCTION("""COMPUTED_VALUE"""),180.09)</f>
        <v>180.09</v>
      </c>
      <c r="C860" s="1">
        <f ca="1">IFERROR(__xludf.DUMMYFUNCTION("""COMPUTED_VALUE"""),328.39)</f>
        <v>328.39</v>
      </c>
      <c r="D860" s="1">
        <f ca="1">IFERROR(__xludf.DUMMYFUNCTION("""COMPUTED_VALUE"""),120.58)</f>
        <v>120.58</v>
      </c>
      <c r="E860" s="1">
        <f ca="1">IFERROR(__xludf.DUMMYFUNCTION("""COMPUTED_VALUE"""),37.83)</f>
        <v>37.83</v>
      </c>
      <c r="F860" s="1">
        <f ca="1">IFERROR(__xludf.DUMMYFUNCTION("""COMPUTED_VALUE"""),264.72)</f>
        <v>264.72000000000003</v>
      </c>
      <c r="G860" s="1">
        <f ca="1">IFERROR(__xludf.DUMMYFUNCTION("""COMPUTED_VALUE"""),123.37)</f>
        <v>123.37</v>
      </c>
      <c r="H860" s="1">
        <f ca="1">IFERROR(__xludf.DUMMYFUNCTION("""COMPUTED_VALUE"""),203.93)</f>
        <v>203.93</v>
      </c>
      <c r="I860" s="1">
        <f ca="1">IFERROR(__xludf.DUMMYFUNCTION("""COMPUTED_VALUE"""),182.35)</f>
        <v>182.35</v>
      </c>
      <c r="J860" s="1">
        <f ca="1">IFERROR(__xludf.DUMMYFUNCTION("""COMPUTED_VALUE"""),511.56)</f>
        <v>511.56</v>
      </c>
      <c r="K860" s="1">
        <f ca="1">IFERROR(__xludf.DUMMYFUNCTION("""COMPUTED_VALUE"""),80.8)</f>
        <v>80.8</v>
      </c>
      <c r="L860" s="1">
        <f ca="1">IFERROR(__xludf.DUMMYFUNCTION("""COMPUTED_VALUE"""),417.79)</f>
        <v>417.79</v>
      </c>
      <c r="M860" s="1">
        <f ca="1">IFERROR(__xludf.DUMMYFUNCTION("""COMPUTED_VALUE"""),395.23)</f>
        <v>395.23</v>
      </c>
    </row>
    <row r="861" spans="1:13" x14ac:dyDescent="0.25">
      <c r="A861" s="2">
        <f ca="1">IFERROR(__xludf.DUMMYFUNCTION("""COMPUTED_VALUE"""),45079.6666666666)</f>
        <v>45079.666666666599</v>
      </c>
      <c r="B861" s="1">
        <f ca="1">IFERROR(__xludf.DUMMYFUNCTION("""COMPUTED_VALUE"""),180.95)</f>
        <v>180.95</v>
      </c>
      <c r="C861" s="1">
        <f ca="1">IFERROR(__xludf.DUMMYFUNCTION("""COMPUTED_VALUE"""),332.58)</f>
        <v>332.58</v>
      </c>
      <c r="D861" s="1">
        <f ca="1">IFERROR(__xludf.DUMMYFUNCTION("""COMPUTED_VALUE"""),122.77)</f>
        <v>122.77</v>
      </c>
      <c r="E861" s="1">
        <f ca="1">IFERROR(__xludf.DUMMYFUNCTION("""COMPUTED_VALUE"""),39.77)</f>
        <v>39.770000000000003</v>
      </c>
      <c r="F861" s="1">
        <f ca="1">IFERROR(__xludf.DUMMYFUNCTION("""COMPUTED_VALUE"""),272.61)</f>
        <v>272.61</v>
      </c>
      <c r="G861" s="1">
        <f ca="1">IFERROR(__xludf.DUMMYFUNCTION("""COMPUTED_VALUE"""),124.37)</f>
        <v>124.37</v>
      </c>
      <c r="H861" s="1">
        <f ca="1">IFERROR(__xludf.DUMMYFUNCTION("""COMPUTED_VALUE"""),207.52)</f>
        <v>207.52</v>
      </c>
      <c r="I861" s="1">
        <f ca="1">IFERROR(__xludf.DUMMYFUNCTION("""COMPUTED_VALUE"""),182.19)</f>
        <v>182.19</v>
      </c>
      <c r="J861" s="1">
        <f ca="1">IFERROR(__xludf.DUMMYFUNCTION("""COMPUTED_VALUE"""),512.6)</f>
        <v>512.6</v>
      </c>
      <c r="K861" s="1">
        <f ca="1">IFERROR(__xludf.DUMMYFUNCTION("""COMPUTED_VALUE"""),79)</f>
        <v>79</v>
      </c>
      <c r="L861" s="1">
        <f ca="1">IFERROR(__xludf.DUMMYFUNCTION("""COMPUTED_VALUE"""),426.75)</f>
        <v>426.75</v>
      </c>
      <c r="M861" s="1">
        <f ca="1">IFERROR(__xludf.DUMMYFUNCTION("""COMPUTED_VALUE"""),403.13)</f>
        <v>403.13</v>
      </c>
    </row>
    <row r="862" spans="1:13" x14ac:dyDescent="0.25">
      <c r="A862" s="2">
        <f ca="1">IFERROR(__xludf.DUMMYFUNCTION("""COMPUTED_VALUE"""),45082.6666666666)</f>
        <v>45082.666666666599</v>
      </c>
      <c r="B862" s="1">
        <f ca="1">IFERROR(__xludf.DUMMYFUNCTION("""COMPUTED_VALUE"""),179.58)</f>
        <v>179.58</v>
      </c>
      <c r="C862" s="1">
        <f ca="1">IFERROR(__xludf.DUMMYFUNCTION("""COMPUTED_VALUE"""),335.4)</f>
        <v>335.4</v>
      </c>
      <c r="D862" s="1">
        <f ca="1">IFERROR(__xludf.DUMMYFUNCTION("""COMPUTED_VALUE"""),124.25)</f>
        <v>124.25</v>
      </c>
      <c r="E862" s="1">
        <f ca="1">IFERROR(__xludf.DUMMYFUNCTION("""COMPUTED_VALUE"""),39.33)</f>
        <v>39.33</v>
      </c>
      <c r="F862" s="1">
        <f ca="1">IFERROR(__xludf.DUMMYFUNCTION("""COMPUTED_VALUE"""),272.61)</f>
        <v>272.61</v>
      </c>
      <c r="G862" s="1">
        <f ca="1">IFERROR(__xludf.DUMMYFUNCTION("""COMPUTED_VALUE"""),125.23)</f>
        <v>125.23</v>
      </c>
      <c r="H862" s="1">
        <f ca="1">IFERROR(__xludf.DUMMYFUNCTION("""COMPUTED_VALUE"""),213.97)</f>
        <v>213.97</v>
      </c>
      <c r="I862" s="1">
        <f ca="1">IFERROR(__xludf.DUMMYFUNCTION("""COMPUTED_VALUE"""),184.06)</f>
        <v>184.06</v>
      </c>
      <c r="J862" s="1">
        <f ca="1">IFERROR(__xludf.DUMMYFUNCTION("""COMPUTED_VALUE"""),512.59)</f>
        <v>512.59</v>
      </c>
      <c r="K862" s="1">
        <f ca="1">IFERROR(__xludf.DUMMYFUNCTION("""COMPUTED_VALUE"""),81.2)</f>
        <v>81.2</v>
      </c>
      <c r="L862" s="1">
        <f ca="1">IFERROR(__xludf.DUMMYFUNCTION("""COMPUTED_VALUE"""),436.37)</f>
        <v>436.37</v>
      </c>
      <c r="M862" s="1">
        <f ca="1">IFERROR(__xludf.DUMMYFUNCTION("""COMPUTED_VALUE"""),400.47)</f>
        <v>400.47</v>
      </c>
    </row>
    <row r="863" spans="1:13" x14ac:dyDescent="0.25">
      <c r="A863" s="2">
        <f ca="1">IFERROR(__xludf.DUMMYFUNCTION("""COMPUTED_VALUE"""),45083.6666666666)</f>
        <v>45083.666666666599</v>
      </c>
      <c r="B863" s="1">
        <f ca="1">IFERROR(__xludf.DUMMYFUNCTION("""COMPUTED_VALUE"""),179.21)</f>
        <v>179.21</v>
      </c>
      <c r="C863" s="1">
        <f ca="1">IFERROR(__xludf.DUMMYFUNCTION("""COMPUTED_VALUE"""),335.94)</f>
        <v>335.94</v>
      </c>
      <c r="D863" s="1">
        <f ca="1">IFERROR(__xludf.DUMMYFUNCTION("""COMPUTED_VALUE"""),125.3)</f>
        <v>125.3</v>
      </c>
      <c r="E863" s="1">
        <f ca="1">IFERROR(__xludf.DUMMYFUNCTION("""COMPUTED_VALUE"""),39.17)</f>
        <v>39.17</v>
      </c>
      <c r="F863" s="1">
        <f ca="1">IFERROR(__xludf.DUMMYFUNCTION("""COMPUTED_VALUE"""),271.39)</f>
        <v>271.39</v>
      </c>
      <c r="G863" s="1">
        <f ca="1">IFERROR(__xludf.DUMMYFUNCTION("""COMPUTED_VALUE"""),126.63)</f>
        <v>126.63</v>
      </c>
      <c r="H863" s="1">
        <f ca="1">IFERROR(__xludf.DUMMYFUNCTION("""COMPUTED_VALUE"""),217.61)</f>
        <v>217.61</v>
      </c>
      <c r="I863" s="1">
        <f ca="1">IFERROR(__xludf.DUMMYFUNCTION("""COMPUTED_VALUE"""),184.19)</f>
        <v>184.19</v>
      </c>
      <c r="J863" s="1">
        <f ca="1">IFERROR(__xludf.DUMMYFUNCTION("""COMPUTED_VALUE"""),518.25)</f>
        <v>518.25</v>
      </c>
      <c r="K863" s="1">
        <f ca="1">IFERROR(__xludf.DUMMYFUNCTION("""COMPUTED_VALUE"""),80.23)</f>
        <v>80.23</v>
      </c>
      <c r="L863" s="1">
        <f ca="1">IFERROR(__xludf.DUMMYFUNCTION("""COMPUTED_VALUE"""),434.18)</f>
        <v>434.18</v>
      </c>
      <c r="M863" s="1">
        <f ca="1">IFERROR(__xludf.DUMMYFUNCTION("""COMPUTED_VALUE"""),403.54)</f>
        <v>403.54</v>
      </c>
    </row>
    <row r="864" spans="1:13" x14ac:dyDescent="0.25">
      <c r="A864" s="2">
        <f ca="1">IFERROR(__xludf.DUMMYFUNCTION("""COMPUTED_VALUE"""),45084.6666666666)</f>
        <v>45084.666666666599</v>
      </c>
      <c r="B864" s="1">
        <f ca="1">IFERROR(__xludf.DUMMYFUNCTION("""COMPUTED_VALUE"""),177.82)</f>
        <v>177.82</v>
      </c>
      <c r="C864" s="1">
        <f ca="1">IFERROR(__xludf.DUMMYFUNCTION("""COMPUTED_VALUE"""),333.68)</f>
        <v>333.68</v>
      </c>
      <c r="D864" s="1">
        <f ca="1">IFERROR(__xludf.DUMMYFUNCTION("""COMPUTED_VALUE"""),126.61)</f>
        <v>126.61</v>
      </c>
      <c r="E864" s="1">
        <f ca="1">IFERROR(__xludf.DUMMYFUNCTION("""COMPUTED_VALUE"""),38.65)</f>
        <v>38.65</v>
      </c>
      <c r="F864" s="1">
        <f ca="1">IFERROR(__xludf.DUMMYFUNCTION("""COMPUTED_VALUE"""),271.12)</f>
        <v>271.12</v>
      </c>
      <c r="G864" s="1">
        <f ca="1">IFERROR(__xludf.DUMMYFUNCTION("""COMPUTED_VALUE"""),127.91)</f>
        <v>127.91</v>
      </c>
      <c r="H864" s="1">
        <f ca="1">IFERROR(__xludf.DUMMYFUNCTION("""COMPUTED_VALUE"""),221.31)</f>
        <v>221.31</v>
      </c>
      <c r="I864" s="1">
        <f ca="1">IFERROR(__xludf.DUMMYFUNCTION("""COMPUTED_VALUE"""),181.56)</f>
        <v>181.56</v>
      </c>
      <c r="J864" s="1">
        <f ca="1">IFERROR(__xludf.DUMMYFUNCTION("""COMPUTED_VALUE"""),516.26)</f>
        <v>516.26</v>
      </c>
      <c r="K864" s="1">
        <f ca="1">IFERROR(__xludf.DUMMYFUNCTION("""COMPUTED_VALUE"""),79)</f>
        <v>79</v>
      </c>
      <c r="L864" s="1">
        <f ca="1">IFERROR(__xludf.DUMMYFUNCTION("""COMPUTED_VALUE"""),432.89)</f>
        <v>432.89</v>
      </c>
      <c r="M864" s="1">
        <f ca="1">IFERROR(__xludf.DUMMYFUNCTION("""COMPUTED_VALUE"""),399.29)</f>
        <v>399.29</v>
      </c>
    </row>
    <row r="865" spans="1:13" x14ac:dyDescent="0.25">
      <c r="A865" s="2">
        <f ca="1">IFERROR(__xludf.DUMMYFUNCTION("""COMPUTED_VALUE"""),45085.6666666666)</f>
        <v>45085.666666666599</v>
      </c>
      <c r="B865" s="1">
        <f ca="1">IFERROR(__xludf.DUMMYFUNCTION("""COMPUTED_VALUE"""),180.57)</f>
        <v>180.57</v>
      </c>
      <c r="C865" s="1">
        <f ca="1">IFERROR(__xludf.DUMMYFUNCTION("""COMPUTED_VALUE"""),323.38)</f>
        <v>323.38</v>
      </c>
      <c r="D865" s="1">
        <f ca="1">IFERROR(__xludf.DUMMYFUNCTION("""COMPUTED_VALUE"""),121.23)</f>
        <v>121.23</v>
      </c>
      <c r="E865" s="1">
        <f ca="1">IFERROR(__xludf.DUMMYFUNCTION("""COMPUTED_VALUE"""),37.48)</f>
        <v>37.479999999999997</v>
      </c>
      <c r="F865" s="1">
        <f ca="1">IFERROR(__xludf.DUMMYFUNCTION("""COMPUTED_VALUE"""),263.6)</f>
        <v>263.60000000000002</v>
      </c>
      <c r="G865" s="1">
        <f ca="1">IFERROR(__xludf.DUMMYFUNCTION("""COMPUTED_VALUE"""),122.94)</f>
        <v>122.94</v>
      </c>
      <c r="H865" s="1">
        <f ca="1">IFERROR(__xludf.DUMMYFUNCTION("""COMPUTED_VALUE"""),224.57)</f>
        <v>224.57</v>
      </c>
      <c r="I865" s="1">
        <f ca="1">IFERROR(__xludf.DUMMYFUNCTION("""COMPUTED_VALUE"""),180.11)</f>
        <v>180.11</v>
      </c>
      <c r="J865" s="1">
        <f ca="1">IFERROR(__xludf.DUMMYFUNCTION("""COMPUTED_VALUE"""),511.23)</f>
        <v>511.23</v>
      </c>
      <c r="K865" s="1">
        <f ca="1">IFERROR(__xludf.DUMMYFUNCTION("""COMPUTED_VALUE"""),79.26)</f>
        <v>79.260000000000005</v>
      </c>
      <c r="L865" s="1">
        <f ca="1">IFERROR(__xludf.DUMMYFUNCTION("""COMPUTED_VALUE"""),418.32)</f>
        <v>418.32</v>
      </c>
      <c r="M865" s="1">
        <f ca="1">IFERROR(__xludf.DUMMYFUNCTION("""COMPUTED_VALUE"""),399.77)</f>
        <v>399.77</v>
      </c>
    </row>
    <row r="866" spans="1:13" x14ac:dyDescent="0.25">
      <c r="A866" s="2">
        <f ca="1">IFERROR(__xludf.DUMMYFUNCTION("""COMPUTED_VALUE"""),45086.6666666666)</f>
        <v>45086.666666666599</v>
      </c>
      <c r="B866" s="1">
        <f ca="1">IFERROR(__xludf.DUMMYFUNCTION("""COMPUTED_VALUE"""),180.96)</f>
        <v>180.96</v>
      </c>
      <c r="C866" s="1">
        <f ca="1">IFERROR(__xludf.DUMMYFUNCTION("""COMPUTED_VALUE"""),325.26)</f>
        <v>325.26</v>
      </c>
      <c r="D866" s="1">
        <f ca="1">IFERROR(__xludf.DUMMYFUNCTION("""COMPUTED_VALUE"""),124.25)</f>
        <v>124.25</v>
      </c>
      <c r="E866" s="1">
        <f ca="1">IFERROR(__xludf.DUMMYFUNCTION("""COMPUTED_VALUE"""),38.51)</f>
        <v>38.51</v>
      </c>
      <c r="F866" s="1">
        <f ca="1">IFERROR(__xludf.DUMMYFUNCTION("""COMPUTED_VALUE"""),264.58)</f>
        <v>264.58</v>
      </c>
      <c r="G866" s="1">
        <f ca="1">IFERROR(__xludf.DUMMYFUNCTION("""COMPUTED_VALUE"""),122.67)</f>
        <v>122.67</v>
      </c>
      <c r="H866" s="1">
        <f ca="1">IFERROR(__xludf.DUMMYFUNCTION("""COMPUTED_VALUE"""),234.86)</f>
        <v>234.86</v>
      </c>
      <c r="I866" s="1">
        <f ca="1">IFERROR(__xludf.DUMMYFUNCTION("""COMPUTED_VALUE"""),182.1)</f>
        <v>182.1</v>
      </c>
      <c r="J866" s="1">
        <f ca="1">IFERROR(__xludf.DUMMYFUNCTION("""COMPUTED_VALUE"""),520.09)</f>
        <v>520.09</v>
      </c>
      <c r="K866" s="1">
        <f ca="1">IFERROR(__xludf.DUMMYFUNCTION("""COMPUTED_VALUE"""),80.42)</f>
        <v>80.42</v>
      </c>
      <c r="L866" s="1">
        <f ca="1">IFERROR(__xludf.DUMMYFUNCTION("""COMPUTED_VALUE"""),439.03)</f>
        <v>439.03</v>
      </c>
      <c r="M866" s="1">
        <f ca="1">IFERROR(__xludf.DUMMYFUNCTION("""COMPUTED_VALUE"""),409.37)</f>
        <v>409.37</v>
      </c>
    </row>
    <row r="867" spans="1:13" x14ac:dyDescent="0.25">
      <c r="A867" s="2">
        <f ca="1">IFERROR(__xludf.DUMMYFUNCTION("""COMPUTED_VALUE"""),45089.6666666666)</f>
        <v>45089.666666666599</v>
      </c>
      <c r="B867" s="1">
        <f ca="1">IFERROR(__xludf.DUMMYFUNCTION("""COMPUTED_VALUE"""),183.79)</f>
        <v>183.79</v>
      </c>
      <c r="C867" s="1">
        <f ca="1">IFERROR(__xludf.DUMMYFUNCTION("""COMPUTED_VALUE"""),326.79)</f>
        <v>326.79000000000002</v>
      </c>
      <c r="D867" s="1">
        <f ca="1">IFERROR(__xludf.DUMMYFUNCTION("""COMPUTED_VALUE"""),123.43)</f>
        <v>123.43</v>
      </c>
      <c r="E867" s="1">
        <f ca="1">IFERROR(__xludf.DUMMYFUNCTION("""COMPUTED_VALUE"""),38.77)</f>
        <v>38.770000000000003</v>
      </c>
      <c r="F867" s="1">
        <f ca="1">IFERROR(__xludf.DUMMYFUNCTION("""COMPUTED_VALUE"""),264.95)</f>
        <v>264.95</v>
      </c>
      <c r="G867" s="1">
        <f ca="1">IFERROR(__xludf.DUMMYFUNCTION("""COMPUTED_VALUE"""),122.87)</f>
        <v>122.87</v>
      </c>
      <c r="H867" s="1">
        <f ca="1">IFERROR(__xludf.DUMMYFUNCTION("""COMPUTED_VALUE"""),244.4)</f>
        <v>244.4</v>
      </c>
      <c r="I867" s="1">
        <f ca="1">IFERROR(__xludf.DUMMYFUNCTION("""COMPUTED_VALUE"""),182.35)</f>
        <v>182.35</v>
      </c>
      <c r="J867" s="1">
        <f ca="1">IFERROR(__xludf.DUMMYFUNCTION("""COMPUTED_VALUE"""),517.28)</f>
        <v>517.28</v>
      </c>
      <c r="K867" s="1">
        <f ca="1">IFERROR(__xludf.DUMMYFUNCTION("""COMPUTED_VALUE"""),80.46)</f>
        <v>80.459999999999994</v>
      </c>
      <c r="L867" s="1">
        <f ca="1">IFERROR(__xludf.DUMMYFUNCTION("""COMPUTED_VALUE"""),454)</f>
        <v>454</v>
      </c>
      <c r="M867" s="1">
        <f ca="1">IFERROR(__xludf.DUMMYFUNCTION("""COMPUTED_VALUE"""),420.02)</f>
        <v>420.02</v>
      </c>
    </row>
    <row r="868" spans="1:13" x14ac:dyDescent="0.25">
      <c r="A868" s="2">
        <f ca="1">IFERROR(__xludf.DUMMYFUNCTION("""COMPUTED_VALUE"""),45090.6666666666)</f>
        <v>45090.666666666599</v>
      </c>
      <c r="B868" s="1">
        <f ca="1">IFERROR(__xludf.DUMMYFUNCTION("""COMPUTED_VALUE"""),183.31)</f>
        <v>183.31</v>
      </c>
      <c r="C868" s="1">
        <f ca="1">IFERROR(__xludf.DUMMYFUNCTION("""COMPUTED_VALUE"""),331.85)</f>
        <v>331.85</v>
      </c>
      <c r="D868" s="1">
        <f ca="1">IFERROR(__xludf.DUMMYFUNCTION("""COMPUTED_VALUE"""),126.57)</f>
        <v>126.57</v>
      </c>
      <c r="E868" s="1">
        <f ca="1">IFERROR(__xludf.DUMMYFUNCTION("""COMPUTED_VALUE"""),39.48)</f>
        <v>39.479999999999997</v>
      </c>
      <c r="F868" s="1">
        <f ca="1">IFERROR(__xludf.DUMMYFUNCTION("""COMPUTED_VALUE"""),271.05)</f>
        <v>271.05</v>
      </c>
      <c r="G868" s="1">
        <f ca="1">IFERROR(__xludf.DUMMYFUNCTION("""COMPUTED_VALUE"""),124.35)</f>
        <v>124.35</v>
      </c>
      <c r="H868" s="1">
        <f ca="1">IFERROR(__xludf.DUMMYFUNCTION("""COMPUTED_VALUE"""),249.83)</f>
        <v>249.83</v>
      </c>
      <c r="I868" s="1">
        <f ca="1">IFERROR(__xludf.DUMMYFUNCTION("""COMPUTED_VALUE"""),181.9)</f>
        <v>181.9</v>
      </c>
      <c r="J868" s="1">
        <f ca="1">IFERROR(__xludf.DUMMYFUNCTION("""COMPUTED_VALUE"""),520.97)</f>
        <v>520.97</v>
      </c>
      <c r="K868" s="1">
        <f ca="1">IFERROR(__xludf.DUMMYFUNCTION("""COMPUTED_VALUE"""),85.54)</f>
        <v>85.54</v>
      </c>
      <c r="L868" s="1">
        <f ca="1">IFERROR(__xludf.DUMMYFUNCTION("""COMPUTED_VALUE"""),474.63)</f>
        <v>474.63</v>
      </c>
      <c r="M868" s="1">
        <f ca="1">IFERROR(__xludf.DUMMYFUNCTION("""COMPUTED_VALUE"""),423.97)</f>
        <v>423.97</v>
      </c>
    </row>
    <row r="869" spans="1:13" x14ac:dyDescent="0.25">
      <c r="A869" s="2">
        <f ca="1">IFERROR(__xludf.DUMMYFUNCTION("""COMPUTED_VALUE"""),45091.6666666666)</f>
        <v>45091.666666666599</v>
      </c>
      <c r="B869" s="1">
        <f ca="1">IFERROR(__xludf.DUMMYFUNCTION("""COMPUTED_VALUE"""),183.95)</f>
        <v>183.95</v>
      </c>
      <c r="C869" s="1">
        <f ca="1">IFERROR(__xludf.DUMMYFUNCTION("""COMPUTED_VALUE"""),334.29)</f>
        <v>334.29</v>
      </c>
      <c r="D869" s="1">
        <f ca="1">IFERROR(__xludf.DUMMYFUNCTION("""COMPUTED_VALUE"""),126.66)</f>
        <v>126.66</v>
      </c>
      <c r="E869" s="1">
        <f ca="1">IFERROR(__xludf.DUMMYFUNCTION("""COMPUTED_VALUE"""),41.02)</f>
        <v>41.02</v>
      </c>
      <c r="F869" s="1">
        <f ca="1">IFERROR(__xludf.DUMMYFUNCTION("""COMPUTED_VALUE"""),271.32)</f>
        <v>271.32</v>
      </c>
      <c r="G869" s="1">
        <f ca="1">IFERROR(__xludf.DUMMYFUNCTION("""COMPUTED_VALUE"""),124.43)</f>
        <v>124.43</v>
      </c>
      <c r="H869" s="1">
        <f ca="1">IFERROR(__xludf.DUMMYFUNCTION("""COMPUTED_VALUE"""),258.71)</f>
        <v>258.70999999999998</v>
      </c>
      <c r="I869" s="1">
        <f ca="1">IFERROR(__xludf.DUMMYFUNCTION("""COMPUTED_VALUE"""),181.54)</f>
        <v>181.54</v>
      </c>
      <c r="J869" s="1">
        <f ca="1">IFERROR(__xludf.DUMMYFUNCTION("""COMPUTED_VALUE"""),522.02)</f>
        <v>522.02</v>
      </c>
      <c r="K869" s="1">
        <f ca="1">IFERROR(__xludf.DUMMYFUNCTION("""COMPUTED_VALUE"""),85.11)</f>
        <v>85.11</v>
      </c>
      <c r="L869" s="1">
        <f ca="1">IFERROR(__xludf.DUMMYFUNCTION("""COMPUTED_VALUE"""),478.99)</f>
        <v>478.99</v>
      </c>
      <c r="M869" s="1">
        <f ca="1">IFERROR(__xludf.DUMMYFUNCTION("""COMPUTED_VALUE"""),435.73)</f>
        <v>435.73</v>
      </c>
    </row>
    <row r="870" spans="1:13" x14ac:dyDescent="0.25">
      <c r="A870" s="2">
        <f ca="1">IFERROR(__xludf.DUMMYFUNCTION("""COMPUTED_VALUE"""),45092.6666666666)</f>
        <v>45092.666666666599</v>
      </c>
      <c r="B870" s="1">
        <f ca="1">IFERROR(__xludf.DUMMYFUNCTION("""COMPUTED_VALUE"""),186.01)</f>
        <v>186.01</v>
      </c>
      <c r="C870" s="1">
        <f ca="1">IFERROR(__xludf.DUMMYFUNCTION("""COMPUTED_VALUE"""),337.34)</f>
        <v>337.34</v>
      </c>
      <c r="D870" s="1">
        <f ca="1">IFERROR(__xludf.DUMMYFUNCTION("""COMPUTED_VALUE"""),126.42)</f>
        <v>126.42</v>
      </c>
      <c r="E870" s="1">
        <f ca="1">IFERROR(__xludf.DUMMYFUNCTION("""COMPUTED_VALUE"""),43)</f>
        <v>43</v>
      </c>
      <c r="F870" s="1">
        <f ca="1">IFERROR(__xludf.DUMMYFUNCTION("""COMPUTED_VALUE"""),273.35)</f>
        <v>273.35000000000002</v>
      </c>
      <c r="G870" s="1">
        <f ca="1">IFERROR(__xludf.DUMMYFUNCTION("""COMPUTED_VALUE"""),124.38)</f>
        <v>124.38</v>
      </c>
      <c r="H870" s="1">
        <f ca="1">IFERROR(__xludf.DUMMYFUNCTION("""COMPUTED_VALUE"""),256.79)</f>
        <v>256.79000000000002</v>
      </c>
      <c r="I870" s="1">
        <f ca="1">IFERROR(__xludf.DUMMYFUNCTION("""COMPUTED_VALUE"""),183.17)</f>
        <v>183.17</v>
      </c>
      <c r="J870" s="1">
        <f ca="1">IFERROR(__xludf.DUMMYFUNCTION("""COMPUTED_VALUE"""),527.2)</f>
        <v>527.20000000000005</v>
      </c>
      <c r="K870" s="1">
        <f ca="1">IFERROR(__xludf.DUMMYFUNCTION("""COMPUTED_VALUE"""),88.62)</f>
        <v>88.62</v>
      </c>
      <c r="L870" s="1">
        <f ca="1">IFERROR(__xludf.DUMMYFUNCTION("""COMPUTED_VALUE"""),479.53)</f>
        <v>479.53</v>
      </c>
      <c r="M870" s="1">
        <f ca="1">IFERROR(__xludf.DUMMYFUNCTION("""COMPUTED_VALUE"""),440.86)</f>
        <v>440.86</v>
      </c>
    </row>
    <row r="871" spans="1:13" x14ac:dyDescent="0.25">
      <c r="A871" s="2">
        <f ca="1">IFERROR(__xludf.DUMMYFUNCTION("""COMPUTED_VALUE"""),45093.6666666666)</f>
        <v>45093.666666666599</v>
      </c>
      <c r="B871" s="1">
        <f ca="1">IFERROR(__xludf.DUMMYFUNCTION("""COMPUTED_VALUE"""),184.92)</f>
        <v>184.92</v>
      </c>
      <c r="C871" s="1">
        <f ca="1">IFERROR(__xludf.DUMMYFUNCTION("""COMPUTED_VALUE"""),348.1)</f>
        <v>348.1</v>
      </c>
      <c r="D871" s="1">
        <f ca="1">IFERROR(__xludf.DUMMYFUNCTION("""COMPUTED_VALUE"""),127.11)</f>
        <v>127.11</v>
      </c>
      <c r="E871" s="1">
        <f ca="1">IFERROR(__xludf.DUMMYFUNCTION("""COMPUTED_VALUE"""),42.65)</f>
        <v>42.65</v>
      </c>
      <c r="F871" s="1">
        <f ca="1">IFERROR(__xludf.DUMMYFUNCTION("""COMPUTED_VALUE"""),281.83)</f>
        <v>281.83</v>
      </c>
      <c r="G871" s="1">
        <f ca="1">IFERROR(__xludf.DUMMYFUNCTION("""COMPUTED_VALUE"""),125.79)</f>
        <v>125.79</v>
      </c>
      <c r="H871" s="1">
        <f ca="1">IFERROR(__xludf.DUMMYFUNCTION("""COMPUTED_VALUE"""),255.9)</f>
        <v>255.9</v>
      </c>
      <c r="I871" s="1">
        <f ca="1">IFERROR(__xludf.DUMMYFUNCTION("""COMPUTED_VALUE"""),185.71)</f>
        <v>185.71</v>
      </c>
      <c r="J871" s="1">
        <f ca="1">IFERROR(__xludf.DUMMYFUNCTION("""COMPUTED_VALUE"""),529.18)</f>
        <v>529.17999999999995</v>
      </c>
      <c r="K871" s="1">
        <f ca="1">IFERROR(__xludf.DUMMYFUNCTION("""COMPUTED_VALUE"""),88.34)</f>
        <v>88.34</v>
      </c>
      <c r="L871" s="1">
        <f ca="1">IFERROR(__xludf.DUMMYFUNCTION("""COMPUTED_VALUE"""),490.91)</f>
        <v>490.91</v>
      </c>
      <c r="M871" s="1">
        <f ca="1">IFERROR(__xludf.DUMMYFUNCTION("""COMPUTED_VALUE"""),445.27)</f>
        <v>445.27</v>
      </c>
    </row>
    <row r="872" spans="1:13" x14ac:dyDescent="0.25">
      <c r="A872" s="2">
        <f ca="1">IFERROR(__xludf.DUMMYFUNCTION("""COMPUTED_VALUE"""),45097.6666666666)</f>
        <v>45097.666666666599</v>
      </c>
      <c r="B872" s="1">
        <f ca="1">IFERROR(__xludf.DUMMYFUNCTION("""COMPUTED_VALUE"""),185.01)</f>
        <v>185.01</v>
      </c>
      <c r="C872" s="1">
        <f ca="1">IFERROR(__xludf.DUMMYFUNCTION("""COMPUTED_VALUE"""),342.33)</f>
        <v>342.33</v>
      </c>
      <c r="D872" s="1">
        <f ca="1">IFERROR(__xludf.DUMMYFUNCTION("""COMPUTED_VALUE"""),125.49)</f>
        <v>125.49</v>
      </c>
      <c r="E872" s="1">
        <f ca="1">IFERROR(__xludf.DUMMYFUNCTION("""COMPUTED_VALUE"""),42.69)</f>
        <v>42.69</v>
      </c>
      <c r="F872" s="1">
        <f ca="1">IFERROR(__xludf.DUMMYFUNCTION("""COMPUTED_VALUE"""),281)</f>
        <v>281</v>
      </c>
      <c r="G872" s="1">
        <f ca="1">IFERROR(__xludf.DUMMYFUNCTION("""COMPUTED_VALUE"""),124.06)</f>
        <v>124.06</v>
      </c>
      <c r="H872" s="1">
        <f ca="1">IFERROR(__xludf.DUMMYFUNCTION("""COMPUTED_VALUE"""),260.54)</f>
        <v>260.54000000000002</v>
      </c>
      <c r="I872" s="1">
        <f ca="1">IFERROR(__xludf.DUMMYFUNCTION("""COMPUTED_VALUE"""),186.04)</f>
        <v>186.04</v>
      </c>
      <c r="J872" s="1">
        <f ca="1">IFERROR(__xludf.DUMMYFUNCTION("""COMPUTED_VALUE"""),523.65)</f>
        <v>523.65</v>
      </c>
      <c r="K872" s="1">
        <f ca="1">IFERROR(__xludf.DUMMYFUNCTION("""COMPUTED_VALUE"""),86.81)</f>
        <v>86.81</v>
      </c>
      <c r="L872" s="1">
        <f ca="1">IFERROR(__xludf.DUMMYFUNCTION("""COMPUTED_VALUE"""),495.18)</f>
        <v>495.18</v>
      </c>
      <c r="M872" s="1">
        <f ca="1">IFERROR(__xludf.DUMMYFUNCTION("""COMPUTED_VALUE"""),431.96)</f>
        <v>431.96</v>
      </c>
    </row>
    <row r="873" spans="1:13" x14ac:dyDescent="0.25">
      <c r="A873" s="2">
        <f ca="1">IFERROR(__xludf.DUMMYFUNCTION("""COMPUTED_VALUE"""),45098.6666666666)</f>
        <v>45098.666666666599</v>
      </c>
      <c r="B873" s="1">
        <f ca="1">IFERROR(__xludf.DUMMYFUNCTION("""COMPUTED_VALUE"""),183.96)</f>
        <v>183.96</v>
      </c>
      <c r="C873" s="1">
        <f ca="1">IFERROR(__xludf.DUMMYFUNCTION("""COMPUTED_VALUE"""),338.05)</f>
        <v>338.05</v>
      </c>
      <c r="D873" s="1">
        <f ca="1">IFERROR(__xludf.DUMMYFUNCTION("""COMPUTED_VALUE"""),125.78)</f>
        <v>125.78</v>
      </c>
      <c r="E873" s="1">
        <f ca="1">IFERROR(__xludf.DUMMYFUNCTION("""COMPUTED_VALUE"""),43.81)</f>
        <v>43.81</v>
      </c>
      <c r="F873" s="1">
        <f ca="1">IFERROR(__xludf.DUMMYFUNCTION("""COMPUTED_VALUE"""),284.33)</f>
        <v>284.33</v>
      </c>
      <c r="G873" s="1">
        <f ca="1">IFERROR(__xludf.DUMMYFUNCTION("""COMPUTED_VALUE"""),123.85)</f>
        <v>123.85</v>
      </c>
      <c r="H873" s="1">
        <f ca="1">IFERROR(__xludf.DUMMYFUNCTION("""COMPUTED_VALUE"""),274.45)</f>
        <v>274.45</v>
      </c>
      <c r="I873" s="1">
        <f ca="1">IFERROR(__xludf.DUMMYFUNCTION("""COMPUTED_VALUE"""),185.31)</f>
        <v>185.31</v>
      </c>
      <c r="J873" s="1">
        <f ca="1">IFERROR(__xludf.DUMMYFUNCTION("""COMPUTED_VALUE"""),519.7)</f>
        <v>519.70000000000005</v>
      </c>
      <c r="K873" s="1">
        <f ca="1">IFERROR(__xludf.DUMMYFUNCTION("""COMPUTED_VALUE"""),86.8)</f>
        <v>86.8</v>
      </c>
      <c r="L873" s="1">
        <f ca="1">IFERROR(__xludf.DUMMYFUNCTION("""COMPUTED_VALUE"""),485.86)</f>
        <v>485.86</v>
      </c>
      <c r="M873" s="1">
        <f ca="1">IFERROR(__xludf.DUMMYFUNCTION("""COMPUTED_VALUE"""),434.7)</f>
        <v>434.7</v>
      </c>
    </row>
    <row r="874" spans="1:13" x14ac:dyDescent="0.25">
      <c r="A874" s="2">
        <f ca="1">IFERROR(__xludf.DUMMYFUNCTION("""COMPUTED_VALUE"""),45099.6666666666)</f>
        <v>45099.666666666599</v>
      </c>
      <c r="B874" s="1">
        <f ca="1">IFERROR(__xludf.DUMMYFUNCTION("""COMPUTED_VALUE"""),187)</f>
        <v>187</v>
      </c>
      <c r="C874" s="1">
        <f ca="1">IFERROR(__xludf.DUMMYFUNCTION("""COMPUTED_VALUE"""),333.56)</f>
        <v>333.56</v>
      </c>
      <c r="D874" s="1">
        <f ca="1">IFERROR(__xludf.DUMMYFUNCTION("""COMPUTED_VALUE"""),124.83)</f>
        <v>124.83</v>
      </c>
      <c r="E874" s="1">
        <f ca="1">IFERROR(__xludf.DUMMYFUNCTION("""COMPUTED_VALUE"""),43.05)</f>
        <v>43.05</v>
      </c>
      <c r="F874" s="1">
        <f ca="1">IFERROR(__xludf.DUMMYFUNCTION("""COMPUTED_VALUE"""),281.64)</f>
        <v>281.64</v>
      </c>
      <c r="G874" s="1">
        <f ca="1">IFERROR(__xludf.DUMMYFUNCTION("""COMPUTED_VALUE"""),121.26)</f>
        <v>121.26</v>
      </c>
      <c r="H874" s="1">
        <f ca="1">IFERROR(__xludf.DUMMYFUNCTION("""COMPUTED_VALUE"""),259.46)</f>
        <v>259.45999999999998</v>
      </c>
      <c r="I874" s="1">
        <f ca="1">IFERROR(__xludf.DUMMYFUNCTION("""COMPUTED_VALUE"""),185.43)</f>
        <v>185.43</v>
      </c>
      <c r="J874" s="1">
        <f ca="1">IFERROR(__xludf.DUMMYFUNCTION("""COMPUTED_VALUE"""),519.62)</f>
        <v>519.62</v>
      </c>
      <c r="K874" s="1">
        <f ca="1">IFERROR(__xludf.DUMMYFUNCTION("""COMPUTED_VALUE"""),84.77)</f>
        <v>84.77</v>
      </c>
      <c r="L874" s="1">
        <f ca="1">IFERROR(__xludf.DUMMYFUNCTION("""COMPUTED_VALUE"""),477.48)</f>
        <v>477.48</v>
      </c>
      <c r="M874" s="1">
        <f ca="1">IFERROR(__xludf.DUMMYFUNCTION("""COMPUTED_VALUE"""),424.45)</f>
        <v>424.45</v>
      </c>
    </row>
    <row r="875" spans="1:13" x14ac:dyDescent="0.25">
      <c r="A875" s="2">
        <f ca="1">IFERROR(__xludf.DUMMYFUNCTION("""COMPUTED_VALUE"""),45100.6666666666)</f>
        <v>45100.666666666599</v>
      </c>
      <c r="B875" s="1">
        <f ca="1">IFERROR(__xludf.DUMMYFUNCTION("""COMPUTED_VALUE"""),186.68)</f>
        <v>186.68</v>
      </c>
      <c r="C875" s="1">
        <f ca="1">IFERROR(__xludf.DUMMYFUNCTION("""COMPUTED_VALUE"""),339.71)</f>
        <v>339.71</v>
      </c>
      <c r="D875" s="1">
        <f ca="1">IFERROR(__xludf.DUMMYFUNCTION("""COMPUTED_VALUE"""),130.15)</f>
        <v>130.15</v>
      </c>
      <c r="E875" s="1">
        <f ca="1">IFERROR(__xludf.DUMMYFUNCTION("""COMPUTED_VALUE"""),43.03)</f>
        <v>43.03</v>
      </c>
      <c r="F875" s="1">
        <f ca="1">IFERROR(__xludf.DUMMYFUNCTION("""COMPUTED_VALUE"""),284.88)</f>
        <v>284.88</v>
      </c>
      <c r="G875" s="1">
        <f ca="1">IFERROR(__xludf.DUMMYFUNCTION("""COMPUTED_VALUE"""),123.87)</f>
        <v>123.87</v>
      </c>
      <c r="H875" s="1">
        <f ca="1">IFERROR(__xludf.DUMMYFUNCTION("""COMPUTED_VALUE"""),264.61)</f>
        <v>264.61</v>
      </c>
      <c r="I875" s="1">
        <f ca="1">IFERROR(__xludf.DUMMYFUNCTION("""COMPUTED_VALUE"""),187.35)</f>
        <v>187.35</v>
      </c>
      <c r="J875" s="1">
        <f ca="1">IFERROR(__xludf.DUMMYFUNCTION("""COMPUTED_VALUE"""),524.2)</f>
        <v>524.20000000000005</v>
      </c>
      <c r="K875" s="1">
        <f ca="1">IFERROR(__xludf.DUMMYFUNCTION("""COMPUTED_VALUE"""),84.24)</f>
        <v>84.24</v>
      </c>
      <c r="L875" s="1">
        <f ca="1">IFERROR(__xludf.DUMMYFUNCTION("""COMPUTED_VALUE"""),477.58)</f>
        <v>477.58</v>
      </c>
      <c r="M875" s="1">
        <f ca="1">IFERROR(__xludf.DUMMYFUNCTION("""COMPUTED_VALUE"""),422.48)</f>
        <v>422.48</v>
      </c>
    </row>
    <row r="876" spans="1:13" x14ac:dyDescent="0.25">
      <c r="A876" s="2">
        <f ca="1">IFERROR(__xludf.DUMMYFUNCTION("""COMPUTED_VALUE"""),45103.6666666666)</f>
        <v>45103.666666666599</v>
      </c>
      <c r="B876" s="1">
        <f ca="1">IFERROR(__xludf.DUMMYFUNCTION("""COMPUTED_VALUE"""),185.27)</f>
        <v>185.27</v>
      </c>
      <c r="C876" s="1">
        <f ca="1">IFERROR(__xludf.DUMMYFUNCTION("""COMPUTED_VALUE"""),335.02)</f>
        <v>335.02</v>
      </c>
      <c r="D876" s="1">
        <f ca="1">IFERROR(__xludf.DUMMYFUNCTION("""COMPUTED_VALUE"""),129.33)</f>
        <v>129.33000000000001</v>
      </c>
      <c r="E876" s="1">
        <f ca="1">IFERROR(__xludf.DUMMYFUNCTION("""COMPUTED_VALUE"""),42.21)</f>
        <v>42.21</v>
      </c>
      <c r="F876" s="1">
        <f ca="1">IFERROR(__xludf.DUMMYFUNCTION("""COMPUTED_VALUE"""),288.73)</f>
        <v>288.73</v>
      </c>
      <c r="G876" s="1">
        <f ca="1">IFERROR(__xludf.DUMMYFUNCTION("""COMPUTED_VALUE"""),123.02)</f>
        <v>123.02</v>
      </c>
      <c r="H876" s="1">
        <f ca="1">IFERROR(__xludf.DUMMYFUNCTION("""COMPUTED_VALUE"""),256.6)</f>
        <v>256.60000000000002</v>
      </c>
      <c r="I876" s="1">
        <f ca="1">IFERROR(__xludf.DUMMYFUNCTION("""COMPUTED_VALUE"""),186.07)</f>
        <v>186.07</v>
      </c>
      <c r="J876" s="1">
        <f ca="1">IFERROR(__xludf.DUMMYFUNCTION("""COMPUTED_VALUE"""),524.44)</f>
        <v>524.44000000000005</v>
      </c>
      <c r="K876" s="1">
        <f ca="1">IFERROR(__xludf.DUMMYFUNCTION("""COMPUTED_VALUE"""),82.22)</f>
        <v>82.22</v>
      </c>
      <c r="L876" s="1">
        <f ca="1">IFERROR(__xludf.DUMMYFUNCTION("""COMPUTED_VALUE"""),484.72)</f>
        <v>484.72</v>
      </c>
      <c r="M876" s="1">
        <f ca="1">IFERROR(__xludf.DUMMYFUNCTION("""COMPUTED_VALUE"""),424.02)</f>
        <v>424.02</v>
      </c>
    </row>
    <row r="877" spans="1:13" x14ac:dyDescent="0.25">
      <c r="A877" s="2">
        <f ca="1">IFERROR(__xludf.DUMMYFUNCTION("""COMPUTED_VALUE"""),45104.6666666666)</f>
        <v>45104.666666666599</v>
      </c>
      <c r="B877" s="1">
        <f ca="1">IFERROR(__xludf.DUMMYFUNCTION("""COMPUTED_VALUE"""),188.06)</f>
        <v>188.06</v>
      </c>
      <c r="C877" s="1">
        <f ca="1">IFERROR(__xludf.DUMMYFUNCTION("""COMPUTED_VALUE"""),328.6)</f>
        <v>328.6</v>
      </c>
      <c r="D877" s="1">
        <f ca="1">IFERROR(__xludf.DUMMYFUNCTION("""COMPUTED_VALUE"""),127.33)</f>
        <v>127.33</v>
      </c>
      <c r="E877" s="1">
        <f ca="1">IFERROR(__xludf.DUMMYFUNCTION("""COMPUTED_VALUE"""),40.63)</f>
        <v>40.630000000000003</v>
      </c>
      <c r="F877" s="1">
        <f ca="1">IFERROR(__xludf.DUMMYFUNCTION("""COMPUTED_VALUE"""),278.47)</f>
        <v>278.47000000000003</v>
      </c>
      <c r="G877" s="1">
        <f ca="1">IFERROR(__xludf.DUMMYFUNCTION("""COMPUTED_VALUE"""),119.09)</f>
        <v>119.09</v>
      </c>
      <c r="H877" s="1">
        <f ca="1">IFERROR(__xludf.DUMMYFUNCTION("""COMPUTED_VALUE"""),241.05)</f>
        <v>241.05</v>
      </c>
      <c r="I877" s="1">
        <f ca="1">IFERROR(__xludf.DUMMYFUNCTION("""COMPUTED_VALUE"""),184.89)</f>
        <v>184.89</v>
      </c>
      <c r="J877" s="1">
        <f ca="1">IFERROR(__xludf.DUMMYFUNCTION("""COMPUTED_VALUE"""),523.42)</f>
        <v>523.41999999999996</v>
      </c>
      <c r="K877" s="1">
        <f ca="1">IFERROR(__xludf.DUMMYFUNCTION("""COMPUTED_VALUE"""),82.16)</f>
        <v>82.16</v>
      </c>
      <c r="L877" s="1">
        <f ca="1">IFERROR(__xludf.DUMMYFUNCTION("""COMPUTED_VALUE"""),479.51)</f>
        <v>479.51</v>
      </c>
      <c r="M877" s="1">
        <f ca="1">IFERROR(__xludf.DUMMYFUNCTION("""COMPUTED_VALUE"""),415.94)</f>
        <v>415.94</v>
      </c>
    </row>
    <row r="878" spans="1:13" x14ac:dyDescent="0.25">
      <c r="A878" s="2">
        <f ca="1">IFERROR(__xludf.DUMMYFUNCTION("""COMPUTED_VALUE"""),45105.6666666666)</f>
        <v>45105.666666666599</v>
      </c>
      <c r="B878" s="1">
        <f ca="1">IFERROR(__xludf.DUMMYFUNCTION("""COMPUTED_VALUE"""),189.25)</f>
        <v>189.25</v>
      </c>
      <c r="C878" s="1">
        <f ca="1">IFERROR(__xludf.DUMMYFUNCTION("""COMPUTED_VALUE"""),334.57)</f>
        <v>334.57</v>
      </c>
      <c r="D878" s="1">
        <f ca="1">IFERROR(__xludf.DUMMYFUNCTION("""COMPUTED_VALUE"""),129.18)</f>
        <v>129.18</v>
      </c>
      <c r="E878" s="1">
        <f ca="1">IFERROR(__xludf.DUMMYFUNCTION("""COMPUTED_VALUE"""),41.88)</f>
        <v>41.88</v>
      </c>
      <c r="F878" s="1">
        <f ca="1">IFERROR(__xludf.DUMMYFUNCTION("""COMPUTED_VALUE"""),287.05)</f>
        <v>287.05</v>
      </c>
      <c r="G878" s="1">
        <f ca="1">IFERROR(__xludf.DUMMYFUNCTION("""COMPUTED_VALUE"""),119.01)</f>
        <v>119.01</v>
      </c>
      <c r="H878" s="1">
        <f ca="1">IFERROR(__xludf.DUMMYFUNCTION("""COMPUTED_VALUE"""),250.21)</f>
        <v>250.21</v>
      </c>
      <c r="I878" s="1">
        <f ca="1">IFERROR(__xludf.DUMMYFUNCTION("""COMPUTED_VALUE"""),186.22)</f>
        <v>186.22</v>
      </c>
      <c r="J878" s="1">
        <f ca="1">IFERROR(__xludf.DUMMYFUNCTION("""COMPUTED_VALUE"""),530.33)</f>
        <v>530.33000000000004</v>
      </c>
      <c r="K878" s="1">
        <f ca="1">IFERROR(__xludf.DUMMYFUNCTION("""COMPUTED_VALUE"""),84.84)</f>
        <v>84.84</v>
      </c>
      <c r="L878" s="1">
        <f ca="1">IFERROR(__xludf.DUMMYFUNCTION("""COMPUTED_VALUE"""),489.27)</f>
        <v>489.27</v>
      </c>
      <c r="M878" s="1">
        <f ca="1">IFERROR(__xludf.DUMMYFUNCTION("""COMPUTED_VALUE"""),417.08)</f>
        <v>417.08</v>
      </c>
    </row>
    <row r="879" spans="1:13" x14ac:dyDescent="0.25">
      <c r="A879" s="2">
        <f ca="1">IFERROR(__xludf.DUMMYFUNCTION("""COMPUTED_VALUE"""),45106.6666666666)</f>
        <v>45106.666666666599</v>
      </c>
      <c r="B879" s="1">
        <f ca="1">IFERROR(__xludf.DUMMYFUNCTION("""COMPUTED_VALUE"""),189.59)</f>
        <v>189.59</v>
      </c>
      <c r="C879" s="1">
        <f ca="1">IFERROR(__xludf.DUMMYFUNCTION("""COMPUTED_VALUE"""),335.85)</f>
        <v>335.85</v>
      </c>
      <c r="D879" s="1">
        <f ca="1">IFERROR(__xludf.DUMMYFUNCTION("""COMPUTED_VALUE"""),129.04)</f>
        <v>129.04</v>
      </c>
      <c r="E879" s="1">
        <f ca="1">IFERROR(__xludf.DUMMYFUNCTION("""COMPUTED_VALUE"""),41.12)</f>
        <v>41.12</v>
      </c>
      <c r="F879" s="1">
        <f ca="1">IFERROR(__xludf.DUMMYFUNCTION("""COMPUTED_VALUE"""),285.29)</f>
        <v>285.29000000000002</v>
      </c>
      <c r="G879" s="1">
        <f ca="1">IFERROR(__xludf.DUMMYFUNCTION("""COMPUTED_VALUE"""),121.08)</f>
        <v>121.08</v>
      </c>
      <c r="H879" s="1">
        <f ca="1">IFERROR(__xludf.DUMMYFUNCTION("""COMPUTED_VALUE"""),256.24)</f>
        <v>256.24</v>
      </c>
      <c r="I879" s="1">
        <f ca="1">IFERROR(__xludf.DUMMYFUNCTION("""COMPUTED_VALUE"""),183.7)</f>
        <v>183.7</v>
      </c>
      <c r="J879" s="1">
        <f ca="1">IFERROR(__xludf.DUMMYFUNCTION("""COMPUTED_VALUE"""),532.8)</f>
        <v>532.79999999999995</v>
      </c>
      <c r="K879" s="1">
        <f ca="1">IFERROR(__xludf.DUMMYFUNCTION("""COMPUTED_VALUE"""),84.79)</f>
        <v>84.79</v>
      </c>
      <c r="L879" s="1">
        <f ca="1">IFERROR(__xludf.DUMMYFUNCTION("""COMPUTED_VALUE"""),482.43)</f>
        <v>482.43</v>
      </c>
      <c r="M879" s="1">
        <f ca="1">IFERROR(__xludf.DUMMYFUNCTION("""COMPUTED_VALUE"""),429.84)</f>
        <v>429.84</v>
      </c>
    </row>
    <row r="880" spans="1:13" x14ac:dyDescent="0.25">
      <c r="A880" s="2">
        <f ca="1">IFERROR(__xludf.DUMMYFUNCTION("""COMPUTED_VALUE"""),45107.6666666666)</f>
        <v>45107.666666666599</v>
      </c>
      <c r="B880" s="1">
        <f ca="1">IFERROR(__xludf.DUMMYFUNCTION("""COMPUTED_VALUE"""),193.97)</f>
        <v>193.97</v>
      </c>
      <c r="C880" s="1">
        <f ca="1">IFERROR(__xludf.DUMMYFUNCTION("""COMPUTED_VALUE"""),335.05)</f>
        <v>335.05</v>
      </c>
      <c r="D880" s="1">
        <f ca="1">IFERROR(__xludf.DUMMYFUNCTION("""COMPUTED_VALUE"""),127.9)</f>
        <v>127.9</v>
      </c>
      <c r="E880" s="1">
        <f ca="1">IFERROR(__xludf.DUMMYFUNCTION("""COMPUTED_VALUE"""),40.82)</f>
        <v>40.82</v>
      </c>
      <c r="F880" s="1">
        <f ca="1">IFERROR(__xludf.DUMMYFUNCTION("""COMPUTED_VALUE"""),281.53)</f>
        <v>281.52999999999997</v>
      </c>
      <c r="G880" s="1">
        <f ca="1">IFERROR(__xludf.DUMMYFUNCTION("""COMPUTED_VALUE"""),120.01)</f>
        <v>120.01</v>
      </c>
      <c r="H880" s="1">
        <f ca="1">IFERROR(__xludf.DUMMYFUNCTION("""COMPUTED_VALUE"""),257.5)</f>
        <v>257.5</v>
      </c>
      <c r="I880" s="1">
        <f ca="1">IFERROR(__xludf.DUMMYFUNCTION("""COMPUTED_VALUE"""),183.88)</f>
        <v>183.88</v>
      </c>
      <c r="J880" s="1">
        <f ca="1">IFERROR(__xludf.DUMMYFUNCTION("""COMPUTED_VALUE"""),531.69)</f>
        <v>531.69000000000005</v>
      </c>
      <c r="K880" s="1">
        <f ca="1">IFERROR(__xludf.DUMMYFUNCTION("""COMPUTED_VALUE"""),86.26)</f>
        <v>86.26</v>
      </c>
      <c r="L880" s="1">
        <f ca="1">IFERROR(__xludf.DUMMYFUNCTION("""COMPUTED_VALUE"""),483.77)</f>
        <v>483.77</v>
      </c>
      <c r="M880" s="1">
        <f ca="1">IFERROR(__xludf.DUMMYFUNCTION("""COMPUTED_VALUE"""),428.24)</f>
        <v>428.24</v>
      </c>
    </row>
    <row r="881" spans="1:13" x14ac:dyDescent="0.25">
      <c r="A881" s="2">
        <f ca="1">IFERROR(__xludf.DUMMYFUNCTION("""COMPUTED_VALUE"""),45110.5451388888)</f>
        <v>45110.545138888803</v>
      </c>
      <c r="B881" s="1">
        <f ca="1">IFERROR(__xludf.DUMMYFUNCTION("""COMPUTED_VALUE"""),192.46)</f>
        <v>192.46</v>
      </c>
      <c r="C881" s="1">
        <f ca="1">IFERROR(__xludf.DUMMYFUNCTION("""COMPUTED_VALUE"""),340.54)</f>
        <v>340.54</v>
      </c>
      <c r="D881" s="1">
        <f ca="1">IFERROR(__xludf.DUMMYFUNCTION("""COMPUTED_VALUE"""),130.36)</f>
        <v>130.36000000000001</v>
      </c>
      <c r="E881" s="1">
        <f ca="1">IFERROR(__xludf.DUMMYFUNCTION("""COMPUTED_VALUE"""),42.3)</f>
        <v>42.3</v>
      </c>
      <c r="F881" s="1">
        <f ca="1">IFERROR(__xludf.DUMMYFUNCTION("""COMPUTED_VALUE"""),286.98)</f>
        <v>286.98</v>
      </c>
      <c r="G881" s="1">
        <f ca="1">IFERROR(__xludf.DUMMYFUNCTION("""COMPUTED_VALUE"""),120.97)</f>
        <v>120.97</v>
      </c>
      <c r="H881" s="1">
        <f ca="1">IFERROR(__xludf.DUMMYFUNCTION("""COMPUTED_VALUE"""),261.77)</f>
        <v>261.77</v>
      </c>
      <c r="I881" s="1">
        <f ca="1">IFERROR(__xludf.DUMMYFUNCTION("""COMPUTED_VALUE"""),185.22)</f>
        <v>185.22</v>
      </c>
      <c r="J881" s="1">
        <f ca="1">IFERROR(__xludf.DUMMYFUNCTION("""COMPUTED_VALUE"""),538.38)</f>
        <v>538.38</v>
      </c>
      <c r="K881" s="1">
        <f ca="1">IFERROR(__xludf.DUMMYFUNCTION("""COMPUTED_VALUE"""),86.74)</f>
        <v>86.74</v>
      </c>
      <c r="L881" s="1">
        <f ca="1">IFERROR(__xludf.DUMMYFUNCTION("""COMPUTED_VALUE"""),488.99)</f>
        <v>488.99</v>
      </c>
      <c r="M881" s="1">
        <f ca="1">IFERROR(__xludf.DUMMYFUNCTION("""COMPUTED_VALUE"""),440.49)</f>
        <v>440.49</v>
      </c>
    </row>
    <row r="882" spans="1:13" x14ac:dyDescent="0.25">
      <c r="A882" s="2">
        <f ca="1">IFERROR(__xludf.DUMMYFUNCTION("""COMPUTED_VALUE"""),45112.6666666666)</f>
        <v>45112.666666666599</v>
      </c>
      <c r="B882" s="1">
        <f ca="1">IFERROR(__xludf.DUMMYFUNCTION("""COMPUTED_VALUE"""),191.33)</f>
        <v>191.33</v>
      </c>
      <c r="C882" s="1">
        <f ca="1">IFERROR(__xludf.DUMMYFUNCTION("""COMPUTED_VALUE"""),337.99)</f>
        <v>337.99</v>
      </c>
      <c r="D882" s="1">
        <f ca="1">IFERROR(__xludf.DUMMYFUNCTION("""COMPUTED_VALUE"""),130.22)</f>
        <v>130.22</v>
      </c>
      <c r="E882" s="1">
        <f ca="1">IFERROR(__xludf.DUMMYFUNCTION("""COMPUTED_VALUE"""),42.41)</f>
        <v>42.41</v>
      </c>
      <c r="F882" s="1">
        <f ca="1">IFERROR(__xludf.DUMMYFUNCTION("""COMPUTED_VALUE"""),286.02)</f>
        <v>286.02</v>
      </c>
      <c r="G882" s="1">
        <f ca="1">IFERROR(__xludf.DUMMYFUNCTION("""COMPUTED_VALUE"""),120.56)</f>
        <v>120.56</v>
      </c>
      <c r="H882" s="1">
        <f ca="1">IFERROR(__xludf.DUMMYFUNCTION("""COMPUTED_VALUE"""),279.82)</f>
        <v>279.82</v>
      </c>
      <c r="I882" s="1">
        <f ca="1">IFERROR(__xludf.DUMMYFUNCTION("""COMPUTED_VALUE"""),185.6)</f>
        <v>185.6</v>
      </c>
      <c r="J882" s="1">
        <f ca="1">IFERROR(__xludf.DUMMYFUNCTION("""COMPUTED_VALUE"""),541.04)</f>
        <v>541.04</v>
      </c>
      <c r="K882" s="1">
        <f ca="1">IFERROR(__xludf.DUMMYFUNCTION("""COMPUTED_VALUE"""),87.64)</f>
        <v>87.64</v>
      </c>
      <c r="L882" s="1">
        <f ca="1">IFERROR(__xludf.DUMMYFUNCTION("""COMPUTED_VALUE"""),485.21)</f>
        <v>485.21</v>
      </c>
      <c r="M882" s="1">
        <f ca="1">IFERROR(__xludf.DUMMYFUNCTION("""COMPUTED_VALUE"""),441.44)</f>
        <v>441.44</v>
      </c>
    </row>
    <row r="883" spans="1:13" x14ac:dyDescent="0.25">
      <c r="A883" s="2">
        <f ca="1">IFERROR(__xludf.DUMMYFUNCTION("""COMPUTED_VALUE"""),45113.6666666666)</f>
        <v>45113.666666666599</v>
      </c>
      <c r="B883" s="1">
        <f ca="1">IFERROR(__xludf.DUMMYFUNCTION("""COMPUTED_VALUE"""),191.81)</f>
        <v>191.81</v>
      </c>
      <c r="C883" s="1">
        <f ca="1">IFERROR(__xludf.DUMMYFUNCTION("""COMPUTED_VALUE"""),338.15)</f>
        <v>338.15</v>
      </c>
      <c r="D883" s="1">
        <f ca="1">IFERROR(__xludf.DUMMYFUNCTION("""COMPUTED_VALUE"""),130.38)</f>
        <v>130.38</v>
      </c>
      <c r="E883" s="1">
        <f ca="1">IFERROR(__xludf.DUMMYFUNCTION("""COMPUTED_VALUE"""),42.32)</f>
        <v>42.32</v>
      </c>
      <c r="F883" s="1">
        <f ca="1">IFERROR(__xludf.DUMMYFUNCTION("""COMPUTED_VALUE"""),294.37)</f>
        <v>294.37</v>
      </c>
      <c r="G883" s="1">
        <f ca="1">IFERROR(__xludf.DUMMYFUNCTION("""COMPUTED_VALUE"""),122.63)</f>
        <v>122.63</v>
      </c>
      <c r="H883" s="1">
        <f ca="1">IFERROR(__xludf.DUMMYFUNCTION("""COMPUTED_VALUE"""),282.48)</f>
        <v>282.48</v>
      </c>
      <c r="I883" s="1">
        <f ca="1">IFERROR(__xludf.DUMMYFUNCTION("""COMPUTED_VALUE"""),186.58)</f>
        <v>186.58</v>
      </c>
      <c r="J883" s="1">
        <f ca="1">IFERROR(__xludf.DUMMYFUNCTION("""COMPUTED_VALUE"""),541.13)</f>
        <v>541.13</v>
      </c>
      <c r="K883" s="1">
        <f ca="1">IFERROR(__xludf.DUMMYFUNCTION("""COMPUTED_VALUE"""),86.19)</f>
        <v>86.19</v>
      </c>
      <c r="L883" s="1">
        <f ca="1">IFERROR(__xludf.DUMMYFUNCTION("""COMPUTED_VALUE"""),487.26)</f>
        <v>487.26</v>
      </c>
      <c r="M883" s="1">
        <f ca="1">IFERROR(__xludf.DUMMYFUNCTION("""COMPUTED_VALUE"""),445.9)</f>
        <v>445.9</v>
      </c>
    </row>
    <row r="884" spans="1:13" x14ac:dyDescent="0.25">
      <c r="A884" s="2">
        <f ca="1">IFERROR(__xludf.DUMMYFUNCTION("""COMPUTED_VALUE"""),45114.6666666666)</f>
        <v>45114.666666666599</v>
      </c>
      <c r="B884" s="1">
        <f ca="1">IFERROR(__xludf.DUMMYFUNCTION("""COMPUTED_VALUE"""),190.68)</f>
        <v>190.68</v>
      </c>
      <c r="C884" s="1">
        <f ca="1">IFERROR(__xludf.DUMMYFUNCTION("""COMPUTED_VALUE"""),341.27)</f>
        <v>341.27</v>
      </c>
      <c r="D884" s="1">
        <f ca="1">IFERROR(__xludf.DUMMYFUNCTION("""COMPUTED_VALUE"""),128.36)</f>
        <v>128.36000000000001</v>
      </c>
      <c r="E884" s="1">
        <f ca="1">IFERROR(__xludf.DUMMYFUNCTION("""COMPUTED_VALUE"""),42.1)</f>
        <v>42.1</v>
      </c>
      <c r="F884" s="1">
        <f ca="1">IFERROR(__xludf.DUMMYFUNCTION("""COMPUTED_VALUE"""),291.99)</f>
        <v>291.99</v>
      </c>
      <c r="G884" s="1">
        <f ca="1">IFERROR(__xludf.DUMMYFUNCTION("""COMPUTED_VALUE"""),120.93)</f>
        <v>120.93</v>
      </c>
      <c r="H884" s="1">
        <f ca="1">IFERROR(__xludf.DUMMYFUNCTION("""COMPUTED_VALUE"""),276.54)</f>
        <v>276.54000000000002</v>
      </c>
      <c r="I884" s="1">
        <f ca="1">IFERROR(__xludf.DUMMYFUNCTION("""COMPUTED_VALUE"""),186.6)</f>
        <v>186.6</v>
      </c>
      <c r="J884" s="1">
        <f ca="1">IFERROR(__xludf.DUMMYFUNCTION("""COMPUTED_VALUE"""),537.37)</f>
        <v>537.37</v>
      </c>
      <c r="K884" s="1">
        <f ca="1">IFERROR(__xludf.DUMMYFUNCTION("""COMPUTED_VALUE"""),84.8)</f>
        <v>84.8</v>
      </c>
      <c r="L884" s="1">
        <f ca="1">IFERROR(__xludf.DUMMYFUNCTION("""COMPUTED_VALUE"""),481.29)</f>
        <v>481.29</v>
      </c>
      <c r="M884" s="1">
        <f ca="1">IFERROR(__xludf.DUMMYFUNCTION("""COMPUTED_VALUE"""),438.84)</f>
        <v>438.84</v>
      </c>
    </row>
    <row r="885" spans="1:13" x14ac:dyDescent="0.25">
      <c r="A885" s="2">
        <f ca="1">IFERROR(__xludf.DUMMYFUNCTION("""COMPUTED_VALUE"""),45117.6666666666)</f>
        <v>45117.666666666599</v>
      </c>
      <c r="B885" s="1">
        <f ca="1">IFERROR(__xludf.DUMMYFUNCTION("""COMPUTED_VALUE"""),188.61)</f>
        <v>188.61</v>
      </c>
      <c r="C885" s="1">
        <f ca="1">IFERROR(__xludf.DUMMYFUNCTION("""COMPUTED_VALUE"""),337.22)</f>
        <v>337.22</v>
      </c>
      <c r="D885" s="1">
        <f ca="1">IFERROR(__xludf.DUMMYFUNCTION("""COMPUTED_VALUE"""),129.78)</f>
        <v>129.78</v>
      </c>
      <c r="E885" s="1">
        <f ca="1">IFERROR(__xludf.DUMMYFUNCTION("""COMPUTED_VALUE"""),42.5)</f>
        <v>42.5</v>
      </c>
      <c r="F885" s="1">
        <f ca="1">IFERROR(__xludf.DUMMYFUNCTION("""COMPUTED_VALUE"""),290.53)</f>
        <v>290.52999999999997</v>
      </c>
      <c r="G885" s="1">
        <f ca="1">IFERROR(__xludf.DUMMYFUNCTION("""COMPUTED_VALUE"""),120.14)</f>
        <v>120.14</v>
      </c>
      <c r="H885" s="1">
        <f ca="1">IFERROR(__xludf.DUMMYFUNCTION("""COMPUTED_VALUE"""),274.43)</f>
        <v>274.43</v>
      </c>
      <c r="I885" s="1">
        <f ca="1">IFERROR(__xludf.DUMMYFUNCTION("""COMPUTED_VALUE"""),183.08)</f>
        <v>183.08</v>
      </c>
      <c r="J885" s="1">
        <f ca="1">IFERROR(__xludf.DUMMYFUNCTION("""COMPUTED_VALUE"""),525.05)</f>
        <v>525.04999999999995</v>
      </c>
      <c r="K885" s="1">
        <f ca="1">IFERROR(__xludf.DUMMYFUNCTION("""COMPUTED_VALUE"""),84.68)</f>
        <v>84.68</v>
      </c>
      <c r="L885" s="1">
        <f ca="1">IFERROR(__xludf.DUMMYFUNCTION("""COMPUTED_VALUE"""),485.27)</f>
        <v>485.27</v>
      </c>
      <c r="M885" s="1">
        <f ca="1">IFERROR(__xludf.DUMMYFUNCTION("""COMPUTED_VALUE"""),438.1)</f>
        <v>438.1</v>
      </c>
    </row>
    <row r="886" spans="1:13" x14ac:dyDescent="0.25">
      <c r="A886" s="2">
        <f ca="1">IFERROR(__xludf.DUMMYFUNCTION("""COMPUTED_VALUE"""),45118.6666666666)</f>
        <v>45118.666666666599</v>
      </c>
      <c r="B886" s="1">
        <f ca="1">IFERROR(__xludf.DUMMYFUNCTION("""COMPUTED_VALUE"""),188.08)</f>
        <v>188.08</v>
      </c>
      <c r="C886" s="1">
        <f ca="1">IFERROR(__xludf.DUMMYFUNCTION("""COMPUTED_VALUE"""),331.83)</f>
        <v>331.83</v>
      </c>
      <c r="D886" s="1">
        <f ca="1">IFERROR(__xludf.DUMMYFUNCTION("""COMPUTED_VALUE"""),127.13)</f>
        <v>127.13</v>
      </c>
      <c r="E886" s="1">
        <f ca="1">IFERROR(__xludf.DUMMYFUNCTION("""COMPUTED_VALUE"""),42.18)</f>
        <v>42.18</v>
      </c>
      <c r="F886" s="1">
        <f ca="1">IFERROR(__xludf.DUMMYFUNCTION("""COMPUTED_VALUE"""),294.1)</f>
        <v>294.10000000000002</v>
      </c>
      <c r="G886" s="1">
        <f ca="1">IFERROR(__xludf.DUMMYFUNCTION("""COMPUTED_VALUE"""),116.87)</f>
        <v>116.87</v>
      </c>
      <c r="H886" s="1">
        <f ca="1">IFERROR(__xludf.DUMMYFUNCTION("""COMPUTED_VALUE"""),269.61)</f>
        <v>269.61</v>
      </c>
      <c r="I886" s="1">
        <f ca="1">IFERROR(__xludf.DUMMYFUNCTION("""COMPUTED_VALUE"""),184.3)</f>
        <v>184.3</v>
      </c>
      <c r="J886" s="1">
        <f ca="1">IFERROR(__xludf.DUMMYFUNCTION("""COMPUTED_VALUE"""),527.01)</f>
        <v>527.01</v>
      </c>
      <c r="K886" s="1">
        <f ca="1">IFERROR(__xludf.DUMMYFUNCTION("""COMPUTED_VALUE"""),87.77)</f>
        <v>87.77</v>
      </c>
      <c r="L886" s="1">
        <f ca="1">IFERROR(__xludf.DUMMYFUNCTION("""COMPUTED_VALUE"""),496.35)</f>
        <v>496.35</v>
      </c>
      <c r="M886" s="1">
        <f ca="1">IFERROR(__xludf.DUMMYFUNCTION("""COMPUTED_VALUE"""),441.71)</f>
        <v>441.71</v>
      </c>
    </row>
    <row r="887" spans="1:13" x14ac:dyDescent="0.25">
      <c r="A887" s="2">
        <f ca="1">IFERROR(__xludf.DUMMYFUNCTION("""COMPUTED_VALUE"""),45119.6666666666)</f>
        <v>45119.666666666599</v>
      </c>
      <c r="B887" s="1">
        <f ca="1">IFERROR(__xludf.DUMMYFUNCTION("""COMPUTED_VALUE"""),189.77)</f>
        <v>189.77</v>
      </c>
      <c r="C887" s="1">
        <f ca="1">IFERROR(__xludf.DUMMYFUNCTION("""COMPUTED_VALUE"""),332.47)</f>
        <v>332.47</v>
      </c>
      <c r="D887" s="1">
        <f ca="1">IFERROR(__xludf.DUMMYFUNCTION("""COMPUTED_VALUE"""),128.78)</f>
        <v>128.78</v>
      </c>
      <c r="E887" s="1">
        <f ca="1">IFERROR(__xludf.DUMMYFUNCTION("""COMPUTED_VALUE"""),42.41)</f>
        <v>42.41</v>
      </c>
      <c r="F887" s="1">
        <f ca="1">IFERROR(__xludf.DUMMYFUNCTION("""COMPUTED_VALUE"""),298.29)</f>
        <v>298.29000000000002</v>
      </c>
      <c r="G887" s="1">
        <f ca="1">IFERROR(__xludf.DUMMYFUNCTION("""COMPUTED_VALUE"""),117.71)</f>
        <v>117.71</v>
      </c>
      <c r="H887" s="1">
        <f ca="1">IFERROR(__xludf.DUMMYFUNCTION("""COMPUTED_VALUE"""),269.79)</f>
        <v>269.79000000000002</v>
      </c>
      <c r="I887" s="1">
        <f ca="1">IFERROR(__xludf.DUMMYFUNCTION("""COMPUTED_VALUE"""),183.98)</f>
        <v>183.98</v>
      </c>
      <c r="J887" s="1">
        <f ca="1">IFERROR(__xludf.DUMMYFUNCTION("""COMPUTED_VALUE"""),529.64)</f>
        <v>529.64</v>
      </c>
      <c r="K887" s="1">
        <f ca="1">IFERROR(__xludf.DUMMYFUNCTION("""COMPUTED_VALUE"""),88.21)</f>
        <v>88.21</v>
      </c>
      <c r="L887" s="1">
        <f ca="1">IFERROR(__xludf.DUMMYFUNCTION("""COMPUTED_VALUE"""),504.74)</f>
        <v>504.74</v>
      </c>
      <c r="M887" s="1">
        <f ca="1">IFERROR(__xludf.DUMMYFUNCTION("""COMPUTED_VALUE"""),440.21)</f>
        <v>440.21</v>
      </c>
    </row>
    <row r="888" spans="1:13" x14ac:dyDescent="0.25">
      <c r="A888" s="2">
        <f ca="1">IFERROR(__xludf.DUMMYFUNCTION("""COMPUTED_VALUE"""),45120.6666666666)</f>
        <v>45120.666666666599</v>
      </c>
      <c r="B888" s="1">
        <f ca="1">IFERROR(__xludf.DUMMYFUNCTION("""COMPUTED_VALUE"""),190.54)</f>
        <v>190.54</v>
      </c>
      <c r="C888" s="1">
        <f ca="1">IFERROR(__xludf.DUMMYFUNCTION("""COMPUTED_VALUE"""),337.2)</f>
        <v>337.2</v>
      </c>
      <c r="D888" s="1">
        <f ca="1">IFERROR(__xludf.DUMMYFUNCTION("""COMPUTED_VALUE"""),130.8)</f>
        <v>130.80000000000001</v>
      </c>
      <c r="E888" s="1">
        <f ca="1">IFERROR(__xludf.DUMMYFUNCTION("""COMPUTED_VALUE"""),43.9)</f>
        <v>43.9</v>
      </c>
      <c r="F888" s="1">
        <f ca="1">IFERROR(__xludf.DUMMYFUNCTION("""COMPUTED_VALUE"""),309.34)</f>
        <v>309.33999999999997</v>
      </c>
      <c r="G888" s="1">
        <f ca="1">IFERROR(__xludf.DUMMYFUNCTION("""COMPUTED_VALUE"""),119.62)</f>
        <v>119.62</v>
      </c>
      <c r="H888" s="1">
        <f ca="1">IFERROR(__xludf.DUMMYFUNCTION("""COMPUTED_VALUE"""),271.99)</f>
        <v>271.99</v>
      </c>
      <c r="I888" s="1">
        <f ca="1">IFERROR(__xludf.DUMMYFUNCTION("""COMPUTED_VALUE"""),183.17)</f>
        <v>183.17</v>
      </c>
      <c r="J888" s="1">
        <f ca="1">IFERROR(__xludf.DUMMYFUNCTION("""COMPUTED_VALUE"""),538)</f>
        <v>538</v>
      </c>
      <c r="K888" s="1">
        <f ca="1">IFERROR(__xludf.DUMMYFUNCTION("""COMPUTED_VALUE"""),89)</f>
        <v>89</v>
      </c>
      <c r="L888" s="1">
        <f ca="1">IFERROR(__xludf.DUMMYFUNCTION("""COMPUTED_VALUE"""),507.36)</f>
        <v>507.36</v>
      </c>
      <c r="M888" s="1">
        <f ca="1">IFERROR(__xludf.DUMMYFUNCTION("""COMPUTED_VALUE"""),444.05)</f>
        <v>444.05</v>
      </c>
    </row>
    <row r="889" spans="1:13" x14ac:dyDescent="0.25">
      <c r="A889" s="2">
        <f ca="1">IFERROR(__xludf.DUMMYFUNCTION("""COMPUTED_VALUE"""),45121.6666666666)</f>
        <v>45121.666666666599</v>
      </c>
      <c r="B889" s="1">
        <f ca="1">IFERROR(__xludf.DUMMYFUNCTION("""COMPUTED_VALUE"""),190.69)</f>
        <v>190.69</v>
      </c>
      <c r="C889" s="1">
        <f ca="1">IFERROR(__xludf.DUMMYFUNCTION("""COMPUTED_VALUE"""),342.66)</f>
        <v>342.66</v>
      </c>
      <c r="D889" s="1">
        <f ca="1">IFERROR(__xludf.DUMMYFUNCTION("""COMPUTED_VALUE"""),134.3)</f>
        <v>134.30000000000001</v>
      </c>
      <c r="E889" s="1">
        <f ca="1">IFERROR(__xludf.DUMMYFUNCTION("""COMPUTED_VALUE"""),45.98)</f>
        <v>45.98</v>
      </c>
      <c r="F889" s="1">
        <f ca="1">IFERROR(__xludf.DUMMYFUNCTION("""COMPUTED_VALUE"""),313.41)</f>
        <v>313.41000000000003</v>
      </c>
      <c r="G889" s="1">
        <f ca="1">IFERROR(__xludf.DUMMYFUNCTION("""COMPUTED_VALUE"""),124.83)</f>
        <v>124.83</v>
      </c>
      <c r="H889" s="1">
        <f ca="1">IFERROR(__xludf.DUMMYFUNCTION("""COMPUTED_VALUE"""),277.9)</f>
        <v>277.89999999999998</v>
      </c>
      <c r="I889" s="1">
        <f ca="1">IFERROR(__xludf.DUMMYFUNCTION("""COMPUTED_VALUE"""),187.53)</f>
        <v>187.53</v>
      </c>
      <c r="J889" s="1">
        <f ca="1">IFERROR(__xludf.DUMMYFUNCTION("""COMPUTED_VALUE"""),538.45)</f>
        <v>538.45000000000005</v>
      </c>
      <c r="K889" s="1">
        <f ca="1">IFERROR(__xludf.DUMMYFUNCTION("""COMPUTED_VALUE"""),89.04)</f>
        <v>89.04</v>
      </c>
      <c r="L889" s="1">
        <f ca="1">IFERROR(__xludf.DUMMYFUNCTION("""COMPUTED_VALUE"""),517.28)</f>
        <v>517.28</v>
      </c>
      <c r="M889" s="1">
        <f ca="1">IFERROR(__xludf.DUMMYFUNCTION("""COMPUTED_VALUE"""),450.38)</f>
        <v>450.38</v>
      </c>
    </row>
    <row r="890" spans="1:13" x14ac:dyDescent="0.25">
      <c r="A890" s="2">
        <f ca="1">IFERROR(__xludf.DUMMYFUNCTION("""COMPUTED_VALUE"""),45124.6666666666)</f>
        <v>45124.666666666599</v>
      </c>
      <c r="B890" s="1">
        <f ca="1">IFERROR(__xludf.DUMMYFUNCTION("""COMPUTED_VALUE"""),193.99)</f>
        <v>193.99</v>
      </c>
      <c r="C890" s="1">
        <f ca="1">IFERROR(__xludf.DUMMYFUNCTION("""COMPUTED_VALUE"""),345.24)</f>
        <v>345.24</v>
      </c>
      <c r="D890" s="1">
        <f ca="1">IFERROR(__xludf.DUMMYFUNCTION("""COMPUTED_VALUE"""),134.68)</f>
        <v>134.68</v>
      </c>
      <c r="E890" s="1">
        <f ca="1">IFERROR(__xludf.DUMMYFUNCTION("""COMPUTED_VALUE"""),45.47)</f>
        <v>45.47</v>
      </c>
      <c r="F890" s="1">
        <f ca="1">IFERROR(__xludf.DUMMYFUNCTION("""COMPUTED_VALUE"""),308.87)</f>
        <v>308.87</v>
      </c>
      <c r="G890" s="1">
        <f ca="1">IFERROR(__xludf.DUMMYFUNCTION("""COMPUTED_VALUE"""),125.7)</f>
        <v>125.7</v>
      </c>
      <c r="H890" s="1">
        <f ca="1">IFERROR(__xludf.DUMMYFUNCTION("""COMPUTED_VALUE"""),281.38)</f>
        <v>281.38</v>
      </c>
      <c r="I890" s="1">
        <f ca="1">IFERROR(__xludf.DUMMYFUNCTION("""COMPUTED_VALUE"""),188.21)</f>
        <v>188.21</v>
      </c>
      <c r="J890" s="1">
        <f ca="1">IFERROR(__xludf.DUMMYFUNCTION("""COMPUTED_VALUE"""),546.7)</f>
        <v>546.70000000000005</v>
      </c>
      <c r="K890" s="1">
        <f ca="1">IFERROR(__xludf.DUMMYFUNCTION("""COMPUTED_VALUE"""),88.86)</f>
        <v>88.86</v>
      </c>
      <c r="L890" s="1">
        <f ca="1">IFERROR(__xludf.DUMMYFUNCTION("""COMPUTED_VALUE"""),514.83)</f>
        <v>514.83000000000004</v>
      </c>
      <c r="M890" s="1">
        <f ca="1">IFERROR(__xludf.DUMMYFUNCTION("""COMPUTED_VALUE"""),441.91)</f>
        <v>441.91</v>
      </c>
    </row>
    <row r="891" spans="1:13" x14ac:dyDescent="0.25">
      <c r="A891" s="2">
        <f ca="1">IFERROR(__xludf.DUMMYFUNCTION("""COMPUTED_VALUE"""),45125.6666666666)</f>
        <v>45125.666666666599</v>
      </c>
      <c r="B891" s="1">
        <f ca="1">IFERROR(__xludf.DUMMYFUNCTION("""COMPUTED_VALUE"""),193.73)</f>
        <v>193.73</v>
      </c>
      <c r="C891" s="1">
        <f ca="1">IFERROR(__xludf.DUMMYFUNCTION("""COMPUTED_VALUE"""),345.73)</f>
        <v>345.73</v>
      </c>
      <c r="D891" s="1">
        <f ca="1">IFERROR(__xludf.DUMMYFUNCTION("""COMPUTED_VALUE"""),133.56)</f>
        <v>133.56</v>
      </c>
      <c r="E891" s="1">
        <f ca="1">IFERROR(__xludf.DUMMYFUNCTION("""COMPUTED_VALUE"""),46.46)</f>
        <v>46.46</v>
      </c>
      <c r="F891" s="1">
        <f ca="1">IFERROR(__xludf.DUMMYFUNCTION("""COMPUTED_VALUE"""),310.62)</f>
        <v>310.62</v>
      </c>
      <c r="G891" s="1">
        <f ca="1">IFERROR(__xludf.DUMMYFUNCTION("""COMPUTED_VALUE"""),125.06)</f>
        <v>125.06</v>
      </c>
      <c r="H891" s="1">
        <f ca="1">IFERROR(__xludf.DUMMYFUNCTION("""COMPUTED_VALUE"""),290.38)</f>
        <v>290.38</v>
      </c>
      <c r="I891" s="1">
        <f ca="1">IFERROR(__xludf.DUMMYFUNCTION("""COMPUTED_VALUE"""),185.63)</f>
        <v>185.63</v>
      </c>
      <c r="J891" s="1">
        <f ca="1">IFERROR(__xludf.DUMMYFUNCTION("""COMPUTED_VALUE"""),552.96)</f>
        <v>552.96</v>
      </c>
      <c r="K891" s="1">
        <f ca="1">IFERROR(__xludf.DUMMYFUNCTION("""COMPUTED_VALUE"""),91.04)</f>
        <v>91.04</v>
      </c>
      <c r="L891" s="1">
        <f ca="1">IFERROR(__xludf.DUMMYFUNCTION("""COMPUTED_VALUE"""),522)</f>
        <v>522</v>
      </c>
      <c r="M891" s="1">
        <f ca="1">IFERROR(__xludf.DUMMYFUNCTION("""COMPUTED_VALUE"""),450.05)</f>
        <v>450.05</v>
      </c>
    </row>
    <row r="892" spans="1:13" x14ac:dyDescent="0.25">
      <c r="A892" s="2">
        <f ca="1">IFERROR(__xludf.DUMMYFUNCTION("""COMPUTED_VALUE"""),45126.6666666666)</f>
        <v>45126.666666666599</v>
      </c>
      <c r="B892" s="1">
        <f ca="1">IFERROR(__xludf.DUMMYFUNCTION("""COMPUTED_VALUE"""),195.1)</f>
        <v>195.1</v>
      </c>
      <c r="C892" s="1">
        <f ca="1">IFERROR(__xludf.DUMMYFUNCTION("""COMPUTED_VALUE"""),359.49)</f>
        <v>359.49</v>
      </c>
      <c r="D892" s="1">
        <f ca="1">IFERROR(__xludf.DUMMYFUNCTION("""COMPUTED_VALUE"""),132.83)</f>
        <v>132.83000000000001</v>
      </c>
      <c r="E892" s="1">
        <f ca="1">IFERROR(__xludf.DUMMYFUNCTION("""COMPUTED_VALUE"""),47.49)</f>
        <v>47.49</v>
      </c>
      <c r="F892" s="1">
        <f ca="1">IFERROR(__xludf.DUMMYFUNCTION("""COMPUTED_VALUE"""),312.05)</f>
        <v>312.05</v>
      </c>
      <c r="G892" s="1">
        <f ca="1">IFERROR(__xludf.DUMMYFUNCTION("""COMPUTED_VALUE"""),124.08)</f>
        <v>124.08</v>
      </c>
      <c r="H892" s="1">
        <f ca="1">IFERROR(__xludf.DUMMYFUNCTION("""COMPUTED_VALUE"""),293.34)</f>
        <v>293.33999999999997</v>
      </c>
      <c r="I892" s="1">
        <f ca="1">IFERROR(__xludf.DUMMYFUNCTION("""COMPUTED_VALUE"""),184.45)</f>
        <v>184.45</v>
      </c>
      <c r="J892" s="1">
        <f ca="1">IFERROR(__xludf.DUMMYFUNCTION("""COMPUTED_VALUE"""),553.59)</f>
        <v>553.59</v>
      </c>
      <c r="K892" s="1">
        <f ca="1">IFERROR(__xludf.DUMMYFUNCTION("""COMPUTED_VALUE"""),90.34)</f>
        <v>90.34</v>
      </c>
      <c r="L892" s="1">
        <f ca="1">IFERROR(__xludf.DUMMYFUNCTION("""COMPUTED_VALUE"""),532.23)</f>
        <v>532.23</v>
      </c>
      <c r="M892" s="1">
        <f ca="1">IFERROR(__xludf.DUMMYFUNCTION("""COMPUTED_VALUE"""),474.8)</f>
        <v>474.8</v>
      </c>
    </row>
    <row r="893" spans="1:13" x14ac:dyDescent="0.25">
      <c r="A893" s="2">
        <f ca="1">IFERROR(__xludf.DUMMYFUNCTION("""COMPUTED_VALUE"""),45127.6666666666)</f>
        <v>45127.666666666599</v>
      </c>
      <c r="B893" s="1">
        <f ca="1">IFERROR(__xludf.DUMMYFUNCTION("""COMPUTED_VALUE"""),193.13)</f>
        <v>193.13</v>
      </c>
      <c r="C893" s="1">
        <f ca="1">IFERROR(__xludf.DUMMYFUNCTION("""COMPUTED_VALUE"""),355.08)</f>
        <v>355.08</v>
      </c>
      <c r="D893" s="1">
        <f ca="1">IFERROR(__xludf.DUMMYFUNCTION("""COMPUTED_VALUE"""),135.36)</f>
        <v>135.36000000000001</v>
      </c>
      <c r="E893" s="1">
        <f ca="1">IFERROR(__xludf.DUMMYFUNCTION("""COMPUTED_VALUE"""),47.08)</f>
        <v>47.08</v>
      </c>
      <c r="F893" s="1">
        <f ca="1">IFERROR(__xludf.DUMMYFUNCTION("""COMPUTED_VALUE"""),316.01)</f>
        <v>316.01</v>
      </c>
      <c r="G893" s="1">
        <f ca="1">IFERROR(__xludf.DUMMYFUNCTION("""COMPUTED_VALUE"""),122.78)</f>
        <v>122.78</v>
      </c>
      <c r="H893" s="1">
        <f ca="1">IFERROR(__xludf.DUMMYFUNCTION("""COMPUTED_VALUE"""),291.26)</f>
        <v>291.26</v>
      </c>
      <c r="I893" s="1">
        <f ca="1">IFERROR(__xludf.DUMMYFUNCTION("""COMPUTED_VALUE"""),186.26)</f>
        <v>186.26</v>
      </c>
      <c r="J893" s="1">
        <f ca="1">IFERROR(__xludf.DUMMYFUNCTION("""COMPUTED_VALUE"""),554.11)</f>
        <v>554.11</v>
      </c>
      <c r="K893" s="1">
        <f ca="1">IFERROR(__xludf.DUMMYFUNCTION("""COMPUTED_VALUE"""),90.14)</f>
        <v>90.14</v>
      </c>
      <c r="L893" s="1">
        <f ca="1">IFERROR(__xludf.DUMMYFUNCTION("""COMPUTED_VALUE"""),527.17)</f>
        <v>527.16999999999996</v>
      </c>
      <c r="M893" s="1">
        <f ca="1">IFERROR(__xludf.DUMMYFUNCTION("""COMPUTED_VALUE"""),477.59)</f>
        <v>477.59</v>
      </c>
    </row>
    <row r="894" spans="1:13" x14ac:dyDescent="0.25">
      <c r="A894" s="2">
        <f ca="1">IFERROR(__xludf.DUMMYFUNCTION("""COMPUTED_VALUE"""),45128.6666666666)</f>
        <v>45128.666666666599</v>
      </c>
      <c r="B894" s="1">
        <f ca="1">IFERROR(__xludf.DUMMYFUNCTION("""COMPUTED_VALUE"""),191.94)</f>
        <v>191.94</v>
      </c>
      <c r="C894" s="1">
        <f ca="1">IFERROR(__xludf.DUMMYFUNCTION("""COMPUTED_VALUE"""),346.87)</f>
        <v>346.87</v>
      </c>
      <c r="D894" s="1">
        <f ca="1">IFERROR(__xludf.DUMMYFUNCTION("""COMPUTED_VALUE"""),129.96)</f>
        <v>129.96</v>
      </c>
      <c r="E894" s="1">
        <f ca="1">IFERROR(__xludf.DUMMYFUNCTION("""COMPUTED_VALUE"""),45.52)</f>
        <v>45.52</v>
      </c>
      <c r="F894" s="1">
        <f ca="1">IFERROR(__xludf.DUMMYFUNCTION("""COMPUTED_VALUE"""),302.52)</f>
        <v>302.52</v>
      </c>
      <c r="G894" s="1">
        <f ca="1">IFERROR(__xludf.DUMMYFUNCTION("""COMPUTED_VALUE"""),119.53)</f>
        <v>119.53</v>
      </c>
      <c r="H894" s="1">
        <f ca="1">IFERROR(__xludf.DUMMYFUNCTION("""COMPUTED_VALUE"""),262.9)</f>
        <v>262.89999999999998</v>
      </c>
      <c r="I894" s="1">
        <f ca="1">IFERROR(__xludf.DUMMYFUNCTION("""COMPUTED_VALUE"""),189.3)</f>
        <v>189.3</v>
      </c>
      <c r="J894" s="1">
        <f ca="1">IFERROR(__xludf.DUMMYFUNCTION("""COMPUTED_VALUE"""),556.96)</f>
        <v>556.96</v>
      </c>
      <c r="K894" s="1">
        <f ca="1">IFERROR(__xludf.DUMMYFUNCTION("""COMPUTED_VALUE"""),88.83)</f>
        <v>88.83</v>
      </c>
      <c r="L894" s="1">
        <f ca="1">IFERROR(__xludf.DUMMYFUNCTION("""COMPUTED_VALUE"""),516.88)</f>
        <v>516.88</v>
      </c>
      <c r="M894" s="1">
        <f ca="1">IFERROR(__xludf.DUMMYFUNCTION("""COMPUTED_VALUE"""),437.42)</f>
        <v>437.42</v>
      </c>
    </row>
    <row r="895" spans="1:13" x14ac:dyDescent="0.25">
      <c r="A895" s="2">
        <f ca="1">IFERROR(__xludf.DUMMYFUNCTION("""COMPUTED_VALUE"""),45131.6666666666)</f>
        <v>45131.666666666599</v>
      </c>
      <c r="B895" s="1">
        <f ca="1">IFERROR(__xludf.DUMMYFUNCTION("""COMPUTED_VALUE"""),192.75)</f>
        <v>192.75</v>
      </c>
      <c r="C895" s="1">
        <f ca="1">IFERROR(__xludf.DUMMYFUNCTION("""COMPUTED_VALUE"""),343.77)</f>
        <v>343.77</v>
      </c>
      <c r="D895" s="1">
        <f ca="1">IFERROR(__xludf.DUMMYFUNCTION("""COMPUTED_VALUE"""),130)</f>
        <v>130</v>
      </c>
      <c r="E895" s="1">
        <f ca="1">IFERROR(__xludf.DUMMYFUNCTION("""COMPUTED_VALUE"""),44.31)</f>
        <v>44.31</v>
      </c>
      <c r="F895" s="1">
        <f ca="1">IFERROR(__xludf.DUMMYFUNCTION("""COMPUTED_VALUE"""),294.26)</f>
        <v>294.26</v>
      </c>
      <c r="G895" s="1">
        <f ca="1">IFERROR(__xludf.DUMMYFUNCTION("""COMPUTED_VALUE"""),120.31)</f>
        <v>120.31</v>
      </c>
      <c r="H895" s="1">
        <f ca="1">IFERROR(__xludf.DUMMYFUNCTION("""COMPUTED_VALUE"""),260.02)</f>
        <v>260.02</v>
      </c>
      <c r="I895" s="1">
        <f ca="1">IFERROR(__xludf.DUMMYFUNCTION("""COMPUTED_VALUE"""),190.16)</f>
        <v>190.16</v>
      </c>
      <c r="J895" s="1">
        <f ca="1">IFERROR(__xludf.DUMMYFUNCTION("""COMPUTED_VALUE"""),557.86)</f>
        <v>557.86</v>
      </c>
      <c r="K895" s="1">
        <f ca="1">IFERROR(__xludf.DUMMYFUNCTION("""COMPUTED_VALUE"""),89.68)</f>
        <v>89.68</v>
      </c>
      <c r="L895" s="1">
        <f ca="1">IFERROR(__xludf.DUMMYFUNCTION("""COMPUTED_VALUE"""),520.23)</f>
        <v>520.23</v>
      </c>
      <c r="M895" s="1">
        <f ca="1">IFERROR(__xludf.DUMMYFUNCTION("""COMPUTED_VALUE"""),427.5)</f>
        <v>427.5</v>
      </c>
    </row>
    <row r="896" spans="1:13" x14ac:dyDescent="0.25">
      <c r="A896" s="2">
        <f ca="1">IFERROR(__xludf.DUMMYFUNCTION("""COMPUTED_VALUE"""),45132.6666666666)</f>
        <v>45132.666666666599</v>
      </c>
      <c r="B896" s="1">
        <f ca="1">IFERROR(__xludf.DUMMYFUNCTION("""COMPUTED_VALUE"""),193.62)</f>
        <v>193.62</v>
      </c>
      <c r="C896" s="1">
        <f ca="1">IFERROR(__xludf.DUMMYFUNCTION("""COMPUTED_VALUE"""),345.11)</f>
        <v>345.11</v>
      </c>
      <c r="D896" s="1">
        <f ca="1">IFERROR(__xludf.DUMMYFUNCTION("""COMPUTED_VALUE"""),128.8)</f>
        <v>128.80000000000001</v>
      </c>
      <c r="E896" s="1">
        <f ca="1">IFERROR(__xludf.DUMMYFUNCTION("""COMPUTED_VALUE"""),44.61)</f>
        <v>44.61</v>
      </c>
      <c r="F896" s="1">
        <f ca="1">IFERROR(__xludf.DUMMYFUNCTION("""COMPUTED_VALUE"""),291.61)</f>
        <v>291.61</v>
      </c>
      <c r="G896" s="1">
        <f ca="1">IFERROR(__xludf.DUMMYFUNCTION("""COMPUTED_VALUE"""),121.88)</f>
        <v>121.88</v>
      </c>
      <c r="H896" s="1">
        <f ca="1">IFERROR(__xludf.DUMMYFUNCTION("""COMPUTED_VALUE"""),269.06)</f>
        <v>269.06</v>
      </c>
      <c r="I896" s="1">
        <f ca="1">IFERROR(__xludf.DUMMYFUNCTION("""COMPUTED_VALUE"""),190.92)</f>
        <v>190.92</v>
      </c>
      <c r="J896" s="1">
        <f ca="1">IFERROR(__xludf.DUMMYFUNCTION("""COMPUTED_VALUE"""),563.93)</f>
        <v>563.92999999999995</v>
      </c>
      <c r="K896" s="1">
        <f ca="1">IFERROR(__xludf.DUMMYFUNCTION("""COMPUTED_VALUE"""),90.16)</f>
        <v>90.16</v>
      </c>
      <c r="L896" s="1">
        <f ca="1">IFERROR(__xludf.DUMMYFUNCTION("""COMPUTED_VALUE"""),523.86)</f>
        <v>523.86</v>
      </c>
      <c r="M896" s="1">
        <f ca="1">IFERROR(__xludf.DUMMYFUNCTION("""COMPUTED_VALUE"""),428.37)</f>
        <v>428.37</v>
      </c>
    </row>
    <row r="897" spans="1:13" x14ac:dyDescent="0.25">
      <c r="A897" s="2">
        <f ca="1">IFERROR(__xludf.DUMMYFUNCTION("""COMPUTED_VALUE"""),45133.6666666666)</f>
        <v>45133.666666666599</v>
      </c>
      <c r="B897" s="1">
        <f ca="1">IFERROR(__xludf.DUMMYFUNCTION("""COMPUTED_VALUE"""),194.5)</f>
        <v>194.5</v>
      </c>
      <c r="C897" s="1">
        <f ca="1">IFERROR(__xludf.DUMMYFUNCTION("""COMPUTED_VALUE"""),350.98)</f>
        <v>350.98</v>
      </c>
      <c r="D897" s="1">
        <f ca="1">IFERROR(__xludf.DUMMYFUNCTION("""COMPUTED_VALUE"""),129.13)</f>
        <v>129.13</v>
      </c>
      <c r="E897" s="1">
        <f ca="1">IFERROR(__xludf.DUMMYFUNCTION("""COMPUTED_VALUE"""),45.68)</f>
        <v>45.68</v>
      </c>
      <c r="F897" s="1">
        <f ca="1">IFERROR(__xludf.DUMMYFUNCTION("""COMPUTED_VALUE"""),294.47)</f>
        <v>294.47000000000003</v>
      </c>
      <c r="G897" s="1">
        <f ca="1">IFERROR(__xludf.DUMMYFUNCTION("""COMPUTED_VALUE"""),122.79)</f>
        <v>122.79</v>
      </c>
      <c r="H897" s="1">
        <f ca="1">IFERROR(__xludf.DUMMYFUNCTION("""COMPUTED_VALUE"""),265.28)</f>
        <v>265.27999999999997</v>
      </c>
      <c r="I897" s="1">
        <f ca="1">IFERROR(__xludf.DUMMYFUNCTION("""COMPUTED_VALUE"""),191.36)</f>
        <v>191.36</v>
      </c>
      <c r="J897" s="1">
        <f ca="1">IFERROR(__xludf.DUMMYFUNCTION("""COMPUTED_VALUE"""),565.19)</f>
        <v>565.19000000000005</v>
      </c>
      <c r="K897" s="1">
        <f ca="1">IFERROR(__xludf.DUMMYFUNCTION("""COMPUTED_VALUE"""),91.8)</f>
        <v>91.8</v>
      </c>
      <c r="L897" s="1">
        <f ca="1">IFERROR(__xludf.DUMMYFUNCTION("""COMPUTED_VALUE"""),525.34)</f>
        <v>525.34</v>
      </c>
      <c r="M897" s="1">
        <f ca="1">IFERROR(__xludf.DUMMYFUNCTION("""COMPUTED_VALUE"""),427.7)</f>
        <v>427.7</v>
      </c>
    </row>
    <row r="898" spans="1:13" x14ac:dyDescent="0.25">
      <c r="A898" s="2">
        <f ca="1">IFERROR(__xludf.DUMMYFUNCTION("""COMPUTED_VALUE"""),45134.6666666666)</f>
        <v>45134.666666666599</v>
      </c>
      <c r="B898" s="1">
        <f ca="1">IFERROR(__xludf.DUMMYFUNCTION("""COMPUTED_VALUE"""),193.22)</f>
        <v>193.22</v>
      </c>
      <c r="C898" s="1">
        <f ca="1">IFERROR(__xludf.DUMMYFUNCTION("""COMPUTED_VALUE"""),337.77)</f>
        <v>337.77</v>
      </c>
      <c r="D898" s="1">
        <f ca="1">IFERROR(__xludf.DUMMYFUNCTION("""COMPUTED_VALUE"""),128.15)</f>
        <v>128.15</v>
      </c>
      <c r="E898" s="1">
        <f ca="1">IFERROR(__xludf.DUMMYFUNCTION("""COMPUTED_VALUE"""),45.45)</f>
        <v>45.45</v>
      </c>
      <c r="F898" s="1">
        <f ca="1">IFERROR(__xludf.DUMMYFUNCTION("""COMPUTED_VALUE"""),298.57)</f>
        <v>298.57</v>
      </c>
      <c r="G898" s="1">
        <f ca="1">IFERROR(__xludf.DUMMYFUNCTION("""COMPUTED_VALUE"""),129.66)</f>
        <v>129.66</v>
      </c>
      <c r="H898" s="1">
        <f ca="1">IFERROR(__xludf.DUMMYFUNCTION("""COMPUTED_VALUE"""),264.35)</f>
        <v>264.35000000000002</v>
      </c>
      <c r="I898" s="1">
        <f ca="1">IFERROR(__xludf.DUMMYFUNCTION("""COMPUTED_VALUE"""),191.6)</f>
        <v>191.6</v>
      </c>
      <c r="J898" s="1">
        <f ca="1">IFERROR(__xludf.DUMMYFUNCTION("""COMPUTED_VALUE"""),566.17)</f>
        <v>566.16999999999996</v>
      </c>
      <c r="K898" s="1">
        <f ca="1">IFERROR(__xludf.DUMMYFUNCTION("""COMPUTED_VALUE"""),89.31)</f>
        <v>89.31</v>
      </c>
      <c r="L898" s="1">
        <f ca="1">IFERROR(__xludf.DUMMYFUNCTION("""COMPUTED_VALUE"""),514.55)</f>
        <v>514.54999999999995</v>
      </c>
      <c r="M898" s="1">
        <f ca="1">IFERROR(__xludf.DUMMYFUNCTION("""COMPUTED_VALUE"""),422.67)</f>
        <v>422.67</v>
      </c>
    </row>
    <row r="899" spans="1:13" x14ac:dyDescent="0.25">
      <c r="A899" s="2">
        <f ca="1">IFERROR(__xludf.DUMMYFUNCTION("""COMPUTED_VALUE"""),45135.6666666666)</f>
        <v>45135.666666666599</v>
      </c>
      <c r="B899" s="1">
        <f ca="1">IFERROR(__xludf.DUMMYFUNCTION("""COMPUTED_VALUE"""),195.83)</f>
        <v>195.83</v>
      </c>
      <c r="C899" s="1">
        <f ca="1">IFERROR(__xludf.DUMMYFUNCTION("""COMPUTED_VALUE"""),330.72)</f>
        <v>330.72</v>
      </c>
      <c r="D899" s="1">
        <f ca="1">IFERROR(__xludf.DUMMYFUNCTION("""COMPUTED_VALUE"""),128.25)</f>
        <v>128.25</v>
      </c>
      <c r="E899" s="1">
        <f ca="1">IFERROR(__xludf.DUMMYFUNCTION("""COMPUTED_VALUE"""),45.9)</f>
        <v>45.9</v>
      </c>
      <c r="F899" s="1">
        <f ca="1">IFERROR(__xludf.DUMMYFUNCTION("""COMPUTED_VALUE"""),311.71)</f>
        <v>311.70999999999998</v>
      </c>
      <c r="G899" s="1">
        <f ca="1">IFERROR(__xludf.DUMMYFUNCTION("""COMPUTED_VALUE"""),129.87)</f>
        <v>129.87</v>
      </c>
      <c r="H899" s="1">
        <f ca="1">IFERROR(__xludf.DUMMYFUNCTION("""COMPUTED_VALUE"""),255.71)</f>
        <v>255.71</v>
      </c>
      <c r="I899" s="1">
        <f ca="1">IFERROR(__xludf.DUMMYFUNCTION("""COMPUTED_VALUE"""),188.53)</f>
        <v>188.53</v>
      </c>
      <c r="J899" s="1">
        <f ca="1">IFERROR(__xludf.DUMMYFUNCTION("""COMPUTED_VALUE"""),561.83)</f>
        <v>561.83000000000004</v>
      </c>
      <c r="K899" s="1">
        <f ca="1">IFERROR(__xludf.DUMMYFUNCTION("""COMPUTED_VALUE"""),89.35)</f>
        <v>89.35</v>
      </c>
      <c r="L899" s="1">
        <f ca="1">IFERROR(__xludf.DUMMYFUNCTION("""COMPUTED_VALUE"""),513.97)</f>
        <v>513.97</v>
      </c>
      <c r="M899" s="1">
        <f ca="1">IFERROR(__xludf.DUMMYFUNCTION("""COMPUTED_VALUE"""),413.17)</f>
        <v>413.17</v>
      </c>
    </row>
    <row r="900" spans="1:13" x14ac:dyDescent="0.25">
      <c r="A900" s="2">
        <f ca="1">IFERROR(__xludf.DUMMYFUNCTION("""COMPUTED_VALUE"""),45138.6666666666)</f>
        <v>45138.666666666599</v>
      </c>
      <c r="B900" s="1">
        <f ca="1">IFERROR(__xludf.DUMMYFUNCTION("""COMPUTED_VALUE"""),196.45)</f>
        <v>196.45</v>
      </c>
      <c r="C900" s="1">
        <f ca="1">IFERROR(__xludf.DUMMYFUNCTION("""COMPUTED_VALUE"""),338.37)</f>
        <v>338.37</v>
      </c>
      <c r="D900" s="1">
        <f ca="1">IFERROR(__xludf.DUMMYFUNCTION("""COMPUTED_VALUE"""),132.21)</f>
        <v>132.21</v>
      </c>
      <c r="E900" s="1">
        <f ca="1">IFERROR(__xludf.DUMMYFUNCTION("""COMPUTED_VALUE"""),46.75)</f>
        <v>46.75</v>
      </c>
      <c r="F900" s="1">
        <f ca="1">IFERROR(__xludf.DUMMYFUNCTION("""COMPUTED_VALUE"""),325.48)</f>
        <v>325.48</v>
      </c>
      <c r="G900" s="1">
        <f ca="1">IFERROR(__xludf.DUMMYFUNCTION("""COMPUTED_VALUE"""),133.01)</f>
        <v>133.01</v>
      </c>
      <c r="H900" s="1">
        <f ca="1">IFERROR(__xludf.DUMMYFUNCTION("""COMPUTED_VALUE"""),266.44)</f>
        <v>266.44</v>
      </c>
      <c r="I900" s="1">
        <f ca="1">IFERROR(__xludf.DUMMYFUNCTION("""COMPUTED_VALUE"""),190.31)</f>
        <v>190.31</v>
      </c>
      <c r="J900" s="1">
        <f ca="1">IFERROR(__xludf.DUMMYFUNCTION("""COMPUTED_VALUE"""),563.32)</f>
        <v>563.32000000000005</v>
      </c>
      <c r="K900" s="1">
        <f ca="1">IFERROR(__xludf.DUMMYFUNCTION("""COMPUTED_VALUE"""),89.98)</f>
        <v>89.98</v>
      </c>
      <c r="L900" s="1">
        <f ca="1">IFERROR(__xludf.DUMMYFUNCTION("""COMPUTED_VALUE"""),528.87)</f>
        <v>528.87</v>
      </c>
      <c r="M900" s="1">
        <f ca="1">IFERROR(__xludf.DUMMYFUNCTION("""COMPUTED_VALUE"""),425.78)</f>
        <v>425.78</v>
      </c>
    </row>
    <row r="901" spans="1:13" x14ac:dyDescent="0.25">
      <c r="A901" s="2">
        <f ca="1">IFERROR(__xludf.DUMMYFUNCTION("""COMPUTED_VALUE"""),45139.6666666666)</f>
        <v>45139.666666666599</v>
      </c>
      <c r="B901" s="1">
        <f ca="1">IFERROR(__xludf.DUMMYFUNCTION("""COMPUTED_VALUE"""),195.61)</f>
        <v>195.61</v>
      </c>
      <c r="C901" s="1">
        <f ca="1">IFERROR(__xludf.DUMMYFUNCTION("""COMPUTED_VALUE"""),335.92)</f>
        <v>335.92</v>
      </c>
      <c r="D901" s="1">
        <f ca="1">IFERROR(__xludf.DUMMYFUNCTION("""COMPUTED_VALUE"""),133.68)</f>
        <v>133.68</v>
      </c>
      <c r="E901" s="1">
        <f ca="1">IFERROR(__xludf.DUMMYFUNCTION("""COMPUTED_VALUE"""),46.73)</f>
        <v>46.73</v>
      </c>
      <c r="F901" s="1">
        <f ca="1">IFERROR(__xludf.DUMMYFUNCTION("""COMPUTED_VALUE"""),318.6)</f>
        <v>318.60000000000002</v>
      </c>
      <c r="G901" s="1">
        <f ca="1">IFERROR(__xludf.DUMMYFUNCTION("""COMPUTED_VALUE"""),133.11)</f>
        <v>133.11000000000001</v>
      </c>
      <c r="H901" s="1">
        <f ca="1">IFERROR(__xludf.DUMMYFUNCTION("""COMPUTED_VALUE"""),267.43)</f>
        <v>267.43</v>
      </c>
      <c r="I901" s="1">
        <f ca="1">IFERROR(__xludf.DUMMYFUNCTION("""COMPUTED_VALUE"""),187.46)</f>
        <v>187.46</v>
      </c>
      <c r="J901" s="1">
        <f ca="1">IFERROR(__xludf.DUMMYFUNCTION("""COMPUTED_VALUE"""),560.67)</f>
        <v>560.66999999999996</v>
      </c>
      <c r="K901" s="1">
        <f ca="1">IFERROR(__xludf.DUMMYFUNCTION("""COMPUTED_VALUE"""),89.87)</f>
        <v>89.87</v>
      </c>
      <c r="L901" s="1">
        <f ca="1">IFERROR(__xludf.DUMMYFUNCTION("""COMPUTED_VALUE"""),546.17)</f>
        <v>546.16999999999996</v>
      </c>
      <c r="M901" s="1">
        <f ca="1">IFERROR(__xludf.DUMMYFUNCTION("""COMPUTED_VALUE"""),438.97)</f>
        <v>438.97</v>
      </c>
    </row>
    <row r="902" spans="1:13" x14ac:dyDescent="0.25">
      <c r="A902" s="2">
        <f ca="1">IFERROR(__xludf.DUMMYFUNCTION("""COMPUTED_VALUE"""),45140.6666666666)</f>
        <v>45140.666666666599</v>
      </c>
      <c r="B902" s="1">
        <f ca="1">IFERROR(__xludf.DUMMYFUNCTION("""COMPUTED_VALUE"""),192.58)</f>
        <v>192.58</v>
      </c>
      <c r="C902" s="1">
        <f ca="1">IFERROR(__xludf.DUMMYFUNCTION("""COMPUTED_VALUE"""),336.34)</f>
        <v>336.34</v>
      </c>
      <c r="D902" s="1">
        <f ca="1">IFERROR(__xludf.DUMMYFUNCTION("""COMPUTED_VALUE"""),131.69)</f>
        <v>131.69</v>
      </c>
      <c r="E902" s="1">
        <f ca="1">IFERROR(__xludf.DUMMYFUNCTION("""COMPUTED_VALUE"""),46.51)</f>
        <v>46.51</v>
      </c>
      <c r="F902" s="1">
        <f ca="1">IFERROR(__xludf.DUMMYFUNCTION("""COMPUTED_VALUE"""),322.71)</f>
        <v>322.70999999999998</v>
      </c>
      <c r="G902" s="1">
        <f ca="1">IFERROR(__xludf.DUMMYFUNCTION("""COMPUTED_VALUE"""),131.89)</f>
        <v>131.88999999999999</v>
      </c>
      <c r="H902" s="1">
        <f ca="1">IFERROR(__xludf.DUMMYFUNCTION("""COMPUTED_VALUE"""),261.07)</f>
        <v>261.07</v>
      </c>
      <c r="I902" s="1">
        <f ca="1">IFERROR(__xludf.DUMMYFUNCTION("""COMPUTED_VALUE"""),186.82)</f>
        <v>186.82</v>
      </c>
      <c r="J902" s="1">
        <f ca="1">IFERROR(__xludf.DUMMYFUNCTION("""COMPUTED_VALUE"""),555.47)</f>
        <v>555.47</v>
      </c>
      <c r="K902" s="1">
        <f ca="1">IFERROR(__xludf.DUMMYFUNCTION("""COMPUTED_VALUE"""),92)</f>
        <v>92</v>
      </c>
      <c r="L902" s="1">
        <f ca="1">IFERROR(__xludf.DUMMYFUNCTION("""COMPUTED_VALUE"""),549.1)</f>
        <v>549.1</v>
      </c>
      <c r="M902" s="1">
        <f ca="1">IFERROR(__xludf.DUMMYFUNCTION("""COMPUTED_VALUE"""),438.62)</f>
        <v>438.62</v>
      </c>
    </row>
    <row r="903" spans="1:13" x14ac:dyDescent="0.25">
      <c r="A903" s="2">
        <f ca="1">IFERROR(__xludf.DUMMYFUNCTION("""COMPUTED_VALUE"""),45141.6666666666)</f>
        <v>45141.666666666599</v>
      </c>
      <c r="B903" s="1">
        <f ca="1">IFERROR(__xludf.DUMMYFUNCTION("""COMPUTED_VALUE"""),191.17)</f>
        <v>191.17</v>
      </c>
      <c r="C903" s="1">
        <f ca="1">IFERROR(__xludf.DUMMYFUNCTION("""COMPUTED_VALUE"""),327.5)</f>
        <v>327.5</v>
      </c>
      <c r="D903" s="1">
        <f ca="1">IFERROR(__xludf.DUMMYFUNCTION("""COMPUTED_VALUE"""),128.21)</f>
        <v>128.21</v>
      </c>
      <c r="E903" s="1">
        <f ca="1">IFERROR(__xludf.DUMMYFUNCTION("""COMPUTED_VALUE"""),44.27)</f>
        <v>44.27</v>
      </c>
      <c r="F903" s="1">
        <f ca="1">IFERROR(__xludf.DUMMYFUNCTION("""COMPUTED_VALUE"""),314.31)</f>
        <v>314.31</v>
      </c>
      <c r="G903" s="1">
        <f ca="1">IFERROR(__xludf.DUMMYFUNCTION("""COMPUTED_VALUE"""),128.64)</f>
        <v>128.63999999999999</v>
      </c>
      <c r="H903" s="1">
        <f ca="1">IFERROR(__xludf.DUMMYFUNCTION("""COMPUTED_VALUE"""),254.11)</f>
        <v>254.11</v>
      </c>
      <c r="I903" s="1">
        <f ca="1">IFERROR(__xludf.DUMMYFUNCTION("""COMPUTED_VALUE"""),188.31)</f>
        <v>188.31</v>
      </c>
      <c r="J903" s="1">
        <f ca="1">IFERROR(__xludf.DUMMYFUNCTION("""COMPUTED_VALUE"""),552.35)</f>
        <v>552.35</v>
      </c>
      <c r="K903" s="1">
        <f ca="1">IFERROR(__xludf.DUMMYFUNCTION("""COMPUTED_VALUE"""),89.23)</f>
        <v>89.23</v>
      </c>
      <c r="L903" s="1">
        <f ca="1">IFERROR(__xludf.DUMMYFUNCTION("""COMPUTED_VALUE"""),530.3)</f>
        <v>530.29999999999995</v>
      </c>
      <c r="M903" s="1">
        <f ca="1">IFERROR(__xludf.DUMMYFUNCTION("""COMPUTED_VALUE"""),429.7)</f>
        <v>429.7</v>
      </c>
    </row>
    <row r="904" spans="1:13" x14ac:dyDescent="0.25">
      <c r="A904" s="2">
        <f ca="1">IFERROR(__xludf.DUMMYFUNCTION("""COMPUTED_VALUE"""),45142.6666666666)</f>
        <v>45142.666666666599</v>
      </c>
      <c r="B904" s="1">
        <f ca="1">IFERROR(__xludf.DUMMYFUNCTION("""COMPUTED_VALUE"""),181.99)</f>
        <v>181.99</v>
      </c>
      <c r="C904" s="1">
        <f ca="1">IFERROR(__xludf.DUMMYFUNCTION("""COMPUTED_VALUE"""),326.66)</f>
        <v>326.66000000000003</v>
      </c>
      <c r="D904" s="1">
        <f ca="1">IFERROR(__xludf.DUMMYFUNCTION("""COMPUTED_VALUE"""),128.91)</f>
        <v>128.91</v>
      </c>
      <c r="E904" s="1">
        <f ca="1">IFERROR(__xludf.DUMMYFUNCTION("""COMPUTED_VALUE"""),44.52)</f>
        <v>44.52</v>
      </c>
      <c r="F904" s="1">
        <f ca="1">IFERROR(__xludf.DUMMYFUNCTION("""COMPUTED_VALUE"""),313.19)</f>
        <v>313.19</v>
      </c>
      <c r="G904" s="1">
        <f ca="1">IFERROR(__xludf.DUMMYFUNCTION("""COMPUTED_VALUE"""),128.77)</f>
        <v>128.77000000000001</v>
      </c>
      <c r="H904" s="1">
        <f ca="1">IFERROR(__xludf.DUMMYFUNCTION("""COMPUTED_VALUE"""),259.32)</f>
        <v>259.32</v>
      </c>
      <c r="I904" s="1">
        <f ca="1">IFERROR(__xludf.DUMMYFUNCTION("""COMPUTED_VALUE"""),187.12)</f>
        <v>187.12</v>
      </c>
      <c r="J904" s="1">
        <f ca="1">IFERROR(__xludf.DUMMYFUNCTION("""COMPUTED_VALUE"""),557.69)</f>
        <v>557.69000000000005</v>
      </c>
      <c r="K904" s="1">
        <f ca="1">IFERROR(__xludf.DUMMYFUNCTION("""COMPUTED_VALUE"""),88.5)</f>
        <v>88.5</v>
      </c>
      <c r="L904" s="1">
        <f ca="1">IFERROR(__xludf.DUMMYFUNCTION("""COMPUTED_VALUE"""),523.76)</f>
        <v>523.76</v>
      </c>
      <c r="M904" s="1">
        <f ca="1">IFERROR(__xludf.DUMMYFUNCTION("""COMPUTED_VALUE"""),431)</f>
        <v>431</v>
      </c>
    </row>
    <row r="905" spans="1:13" x14ac:dyDescent="0.25">
      <c r="A905" s="2">
        <f ca="1">IFERROR(__xludf.DUMMYFUNCTION("""COMPUTED_VALUE"""),45145.6666666666)</f>
        <v>45145.666666666599</v>
      </c>
      <c r="B905" s="1">
        <f ca="1">IFERROR(__xludf.DUMMYFUNCTION("""COMPUTED_VALUE"""),178.85)</f>
        <v>178.85</v>
      </c>
      <c r="C905" s="1">
        <f ca="1">IFERROR(__xludf.DUMMYFUNCTION("""COMPUTED_VALUE"""),327.78)</f>
        <v>327.78</v>
      </c>
      <c r="D905" s="1">
        <f ca="1">IFERROR(__xludf.DUMMYFUNCTION("""COMPUTED_VALUE"""),139.57)</f>
        <v>139.57</v>
      </c>
      <c r="E905" s="1">
        <f ca="1">IFERROR(__xludf.DUMMYFUNCTION("""COMPUTED_VALUE"""),44.68)</f>
        <v>44.68</v>
      </c>
      <c r="F905" s="1">
        <f ca="1">IFERROR(__xludf.DUMMYFUNCTION("""COMPUTED_VALUE"""),310.73)</f>
        <v>310.73</v>
      </c>
      <c r="G905" s="1">
        <f ca="1">IFERROR(__xludf.DUMMYFUNCTION("""COMPUTED_VALUE"""),128.54)</f>
        <v>128.54</v>
      </c>
      <c r="H905" s="1">
        <f ca="1">IFERROR(__xludf.DUMMYFUNCTION("""COMPUTED_VALUE"""),253.86)</f>
        <v>253.86</v>
      </c>
      <c r="I905" s="1">
        <f ca="1">IFERROR(__xludf.DUMMYFUNCTION("""COMPUTED_VALUE"""),184.6)</f>
        <v>184.6</v>
      </c>
      <c r="J905" s="1">
        <f ca="1">IFERROR(__xludf.DUMMYFUNCTION("""COMPUTED_VALUE"""),552.04)</f>
        <v>552.04</v>
      </c>
      <c r="K905" s="1">
        <f ca="1">IFERROR(__xludf.DUMMYFUNCTION("""COMPUTED_VALUE"""),88.17)</f>
        <v>88.17</v>
      </c>
      <c r="L905" s="1">
        <f ca="1">IFERROR(__xludf.DUMMYFUNCTION("""COMPUTED_VALUE"""),526.88)</f>
        <v>526.88</v>
      </c>
      <c r="M905" s="1">
        <f ca="1">IFERROR(__xludf.DUMMYFUNCTION("""COMPUTED_VALUE"""),431.6)</f>
        <v>431.6</v>
      </c>
    </row>
    <row r="906" spans="1:13" x14ac:dyDescent="0.25">
      <c r="A906" s="2">
        <f ca="1">IFERROR(__xludf.DUMMYFUNCTION("""COMPUTED_VALUE"""),45146.6666666666)</f>
        <v>45146.666666666599</v>
      </c>
      <c r="B906" s="1">
        <f ca="1">IFERROR(__xludf.DUMMYFUNCTION("""COMPUTED_VALUE"""),179.8)</f>
        <v>179.8</v>
      </c>
      <c r="C906" s="1">
        <f ca="1">IFERROR(__xludf.DUMMYFUNCTION("""COMPUTED_VALUE"""),330.11)</f>
        <v>330.11</v>
      </c>
      <c r="D906" s="1">
        <f ca="1">IFERROR(__xludf.DUMMYFUNCTION("""COMPUTED_VALUE"""),142.22)</f>
        <v>142.22</v>
      </c>
      <c r="E906" s="1">
        <f ca="1">IFERROR(__xludf.DUMMYFUNCTION("""COMPUTED_VALUE"""),45.42)</f>
        <v>45.42</v>
      </c>
      <c r="F906" s="1">
        <f ca="1">IFERROR(__xludf.DUMMYFUNCTION("""COMPUTED_VALUE"""),316.56)</f>
        <v>316.56</v>
      </c>
      <c r="G906" s="1">
        <f ca="1">IFERROR(__xludf.DUMMYFUNCTION("""COMPUTED_VALUE"""),131.94)</f>
        <v>131.94</v>
      </c>
      <c r="H906" s="1">
        <f ca="1">IFERROR(__xludf.DUMMYFUNCTION("""COMPUTED_VALUE"""),251.45)</f>
        <v>251.45</v>
      </c>
      <c r="I906" s="1">
        <f ca="1">IFERROR(__xludf.DUMMYFUNCTION("""COMPUTED_VALUE"""),186.89)</f>
        <v>186.89</v>
      </c>
      <c r="J906" s="1">
        <f ca="1">IFERROR(__xludf.DUMMYFUNCTION("""COMPUTED_VALUE"""),558.41)</f>
        <v>558.41</v>
      </c>
      <c r="K906" s="1">
        <f ca="1">IFERROR(__xludf.DUMMYFUNCTION("""COMPUTED_VALUE"""),89.71)</f>
        <v>89.71</v>
      </c>
      <c r="L906" s="1">
        <f ca="1">IFERROR(__xludf.DUMMYFUNCTION("""COMPUTED_VALUE"""),529.73)</f>
        <v>529.73</v>
      </c>
      <c r="M906" s="1">
        <f ca="1">IFERROR(__xludf.DUMMYFUNCTION("""COMPUTED_VALUE"""),440.76)</f>
        <v>440.76</v>
      </c>
    </row>
    <row r="907" spans="1:13" x14ac:dyDescent="0.25">
      <c r="A907" s="2">
        <f ca="1">IFERROR(__xludf.DUMMYFUNCTION("""COMPUTED_VALUE"""),45147.6666666666)</f>
        <v>45147.666666666599</v>
      </c>
      <c r="B907" s="1">
        <f ca="1">IFERROR(__xludf.DUMMYFUNCTION("""COMPUTED_VALUE"""),178.19)</f>
        <v>178.19</v>
      </c>
      <c r="C907" s="1">
        <f ca="1">IFERROR(__xludf.DUMMYFUNCTION("""COMPUTED_VALUE"""),326.05)</f>
        <v>326.05</v>
      </c>
      <c r="D907" s="1">
        <f ca="1">IFERROR(__xludf.DUMMYFUNCTION("""COMPUTED_VALUE"""),139.94)</f>
        <v>139.94</v>
      </c>
      <c r="E907" s="1">
        <f ca="1">IFERROR(__xludf.DUMMYFUNCTION("""COMPUTED_VALUE"""),44.66)</f>
        <v>44.66</v>
      </c>
      <c r="F907" s="1">
        <f ca="1">IFERROR(__xludf.DUMMYFUNCTION("""COMPUTED_VALUE"""),312.64)</f>
        <v>312.64</v>
      </c>
      <c r="G907" s="1">
        <f ca="1">IFERROR(__xludf.DUMMYFUNCTION("""COMPUTED_VALUE"""),131.84)</f>
        <v>131.84</v>
      </c>
      <c r="H907" s="1">
        <f ca="1">IFERROR(__xludf.DUMMYFUNCTION("""COMPUTED_VALUE"""),249.7)</f>
        <v>249.7</v>
      </c>
      <c r="I907" s="1">
        <f ca="1">IFERROR(__xludf.DUMMYFUNCTION("""COMPUTED_VALUE"""),184.44)</f>
        <v>184.44</v>
      </c>
      <c r="J907" s="1">
        <f ca="1">IFERROR(__xludf.DUMMYFUNCTION("""COMPUTED_VALUE"""),556.12)</f>
        <v>556.12</v>
      </c>
      <c r="K907" s="1">
        <f ca="1">IFERROR(__xludf.DUMMYFUNCTION("""COMPUTED_VALUE"""),88.32)</f>
        <v>88.32</v>
      </c>
      <c r="L907" s="1">
        <f ca="1">IFERROR(__xludf.DUMMYFUNCTION("""COMPUTED_VALUE"""),520.6)</f>
        <v>520.6</v>
      </c>
      <c r="M907" s="1">
        <f ca="1">IFERROR(__xludf.DUMMYFUNCTION("""COMPUTED_VALUE"""),438.3)</f>
        <v>438.3</v>
      </c>
    </row>
    <row r="908" spans="1:13" x14ac:dyDescent="0.25">
      <c r="A908" s="2">
        <f ca="1">IFERROR(__xludf.DUMMYFUNCTION("""COMPUTED_VALUE"""),45148.6666666666)</f>
        <v>45148.666666666599</v>
      </c>
      <c r="B908" s="1">
        <f ca="1">IFERROR(__xludf.DUMMYFUNCTION("""COMPUTED_VALUE"""),177.97)</f>
        <v>177.97</v>
      </c>
      <c r="C908" s="1">
        <f ca="1">IFERROR(__xludf.DUMMYFUNCTION("""COMPUTED_VALUE"""),322.23)</f>
        <v>322.23</v>
      </c>
      <c r="D908" s="1">
        <f ca="1">IFERROR(__xludf.DUMMYFUNCTION("""COMPUTED_VALUE"""),137.85)</f>
        <v>137.85</v>
      </c>
      <c r="E908" s="1">
        <f ca="1">IFERROR(__xludf.DUMMYFUNCTION("""COMPUTED_VALUE"""),42.55)</f>
        <v>42.55</v>
      </c>
      <c r="F908" s="1">
        <f ca="1">IFERROR(__xludf.DUMMYFUNCTION("""COMPUTED_VALUE"""),305.21)</f>
        <v>305.20999999999998</v>
      </c>
      <c r="G908" s="1">
        <f ca="1">IFERROR(__xludf.DUMMYFUNCTION("""COMPUTED_VALUE"""),130.15)</f>
        <v>130.15</v>
      </c>
      <c r="H908" s="1">
        <f ca="1">IFERROR(__xludf.DUMMYFUNCTION("""COMPUTED_VALUE"""),242.19)</f>
        <v>242.19</v>
      </c>
      <c r="I908" s="1">
        <f ca="1">IFERROR(__xludf.DUMMYFUNCTION("""COMPUTED_VALUE"""),183.98)</f>
        <v>183.98</v>
      </c>
      <c r="J908" s="1">
        <f ca="1">IFERROR(__xludf.DUMMYFUNCTION("""COMPUTED_VALUE"""),559.7)</f>
        <v>559.70000000000005</v>
      </c>
      <c r="K908" s="1">
        <f ca="1">IFERROR(__xludf.DUMMYFUNCTION("""COMPUTED_VALUE"""),85.07)</f>
        <v>85.07</v>
      </c>
      <c r="L908" s="1">
        <f ca="1">IFERROR(__xludf.DUMMYFUNCTION("""COMPUTED_VALUE"""),513.78)</f>
        <v>513.78</v>
      </c>
      <c r="M908" s="1">
        <f ca="1">IFERROR(__xludf.DUMMYFUNCTION("""COMPUTED_VALUE"""),428.9)</f>
        <v>428.9</v>
      </c>
    </row>
    <row r="909" spans="1:13" x14ac:dyDescent="0.25">
      <c r="A909" s="2">
        <f ca="1">IFERROR(__xludf.DUMMYFUNCTION("""COMPUTED_VALUE"""),45149.6666666666)</f>
        <v>45149.666666666599</v>
      </c>
      <c r="B909" s="1">
        <f ca="1">IFERROR(__xludf.DUMMYFUNCTION("""COMPUTED_VALUE"""),177.79)</f>
        <v>177.79</v>
      </c>
      <c r="C909" s="1">
        <f ca="1">IFERROR(__xludf.DUMMYFUNCTION("""COMPUTED_VALUE"""),322.93)</f>
        <v>322.93</v>
      </c>
      <c r="D909" s="1">
        <f ca="1">IFERROR(__xludf.DUMMYFUNCTION("""COMPUTED_VALUE"""),138.56)</f>
        <v>138.56</v>
      </c>
      <c r="E909" s="1">
        <f ca="1">IFERROR(__xludf.DUMMYFUNCTION("""COMPUTED_VALUE"""),42.39)</f>
        <v>42.39</v>
      </c>
      <c r="F909" s="1">
        <f ca="1">IFERROR(__xludf.DUMMYFUNCTION("""COMPUTED_VALUE"""),305.74)</f>
        <v>305.74</v>
      </c>
      <c r="G909" s="1">
        <f ca="1">IFERROR(__xludf.DUMMYFUNCTION("""COMPUTED_VALUE"""),130.21)</f>
        <v>130.21</v>
      </c>
      <c r="H909" s="1">
        <f ca="1">IFERROR(__xludf.DUMMYFUNCTION("""COMPUTED_VALUE"""),245.34)</f>
        <v>245.34</v>
      </c>
      <c r="I909" s="1">
        <f ca="1">IFERROR(__xludf.DUMMYFUNCTION("""COMPUTED_VALUE"""),183.75)</f>
        <v>183.75</v>
      </c>
      <c r="J909" s="1">
        <f ca="1">IFERROR(__xludf.DUMMYFUNCTION("""COMPUTED_VALUE"""),561.49)</f>
        <v>561.49</v>
      </c>
      <c r="K909" s="1">
        <f ca="1">IFERROR(__xludf.DUMMYFUNCTION("""COMPUTED_VALUE"""),84.29)</f>
        <v>84.29</v>
      </c>
      <c r="L909" s="1">
        <f ca="1">IFERROR(__xludf.DUMMYFUNCTION("""COMPUTED_VALUE"""),515.83)</f>
        <v>515.83000000000004</v>
      </c>
      <c r="M909" s="1">
        <f ca="1">IFERROR(__xludf.DUMMYFUNCTION("""COMPUTED_VALUE"""),429.98)</f>
        <v>429.98</v>
      </c>
    </row>
    <row r="910" spans="1:13" x14ac:dyDescent="0.25">
      <c r="A910" s="2">
        <f ca="1">IFERROR(__xludf.DUMMYFUNCTION("""COMPUTED_VALUE"""),45152.6666666666)</f>
        <v>45152.666666666599</v>
      </c>
      <c r="B910" s="1">
        <f ca="1">IFERROR(__xludf.DUMMYFUNCTION("""COMPUTED_VALUE"""),179.46)</f>
        <v>179.46</v>
      </c>
      <c r="C910" s="1">
        <f ca="1">IFERROR(__xludf.DUMMYFUNCTION("""COMPUTED_VALUE"""),321.01)</f>
        <v>321.01</v>
      </c>
      <c r="D910" s="1">
        <f ca="1">IFERROR(__xludf.DUMMYFUNCTION("""COMPUTED_VALUE"""),138.41)</f>
        <v>138.41</v>
      </c>
      <c r="E910" s="1">
        <f ca="1">IFERROR(__xludf.DUMMYFUNCTION("""COMPUTED_VALUE"""),40.85)</f>
        <v>40.85</v>
      </c>
      <c r="F910" s="1">
        <f ca="1">IFERROR(__xludf.DUMMYFUNCTION("""COMPUTED_VALUE"""),301.64)</f>
        <v>301.64</v>
      </c>
      <c r="G910" s="1">
        <f ca="1">IFERROR(__xludf.DUMMYFUNCTION("""COMPUTED_VALUE"""),130.17)</f>
        <v>130.16999999999999</v>
      </c>
      <c r="H910" s="1">
        <f ca="1">IFERROR(__xludf.DUMMYFUNCTION("""COMPUTED_VALUE"""),242.65)</f>
        <v>242.65</v>
      </c>
      <c r="I910" s="1">
        <f ca="1">IFERROR(__xludf.DUMMYFUNCTION("""COMPUTED_VALUE"""),184.04)</f>
        <v>184.04</v>
      </c>
      <c r="J910" s="1">
        <f ca="1">IFERROR(__xludf.DUMMYFUNCTION("""COMPUTED_VALUE"""),562.96)</f>
        <v>562.96</v>
      </c>
      <c r="K910" s="1">
        <f ca="1">IFERROR(__xludf.DUMMYFUNCTION("""COMPUTED_VALUE"""),82.98)</f>
        <v>82.98</v>
      </c>
      <c r="L910" s="1">
        <f ca="1">IFERROR(__xludf.DUMMYFUNCTION("""COMPUTED_VALUE"""),508.45)</f>
        <v>508.45</v>
      </c>
      <c r="M910" s="1">
        <f ca="1">IFERROR(__xludf.DUMMYFUNCTION("""COMPUTED_VALUE"""),421.66)</f>
        <v>421.66</v>
      </c>
    </row>
    <row r="911" spans="1:13" x14ac:dyDescent="0.25">
      <c r="A911" s="2">
        <f ca="1">IFERROR(__xludf.DUMMYFUNCTION("""COMPUTED_VALUE"""),45153.6666666666)</f>
        <v>45153.666666666599</v>
      </c>
      <c r="B911" s="1">
        <f ca="1">IFERROR(__xludf.DUMMYFUNCTION("""COMPUTED_VALUE"""),177.45)</f>
        <v>177.45</v>
      </c>
      <c r="C911" s="1">
        <f ca="1">IFERROR(__xludf.DUMMYFUNCTION("""COMPUTED_VALUE"""),324.04)</f>
        <v>324.04000000000002</v>
      </c>
      <c r="D911" s="1">
        <f ca="1">IFERROR(__xludf.DUMMYFUNCTION("""COMPUTED_VALUE"""),140.57)</f>
        <v>140.57</v>
      </c>
      <c r="E911" s="1">
        <f ca="1">IFERROR(__xludf.DUMMYFUNCTION("""COMPUTED_VALUE"""),43.75)</f>
        <v>43.75</v>
      </c>
      <c r="F911" s="1">
        <f ca="1">IFERROR(__xludf.DUMMYFUNCTION("""COMPUTED_VALUE"""),306.19)</f>
        <v>306.19</v>
      </c>
      <c r="G911" s="1">
        <f ca="1">IFERROR(__xludf.DUMMYFUNCTION("""COMPUTED_VALUE"""),131.83)</f>
        <v>131.83000000000001</v>
      </c>
      <c r="H911" s="1">
        <f ca="1">IFERROR(__xludf.DUMMYFUNCTION("""COMPUTED_VALUE"""),239.76)</f>
        <v>239.76</v>
      </c>
      <c r="I911" s="1">
        <f ca="1">IFERROR(__xludf.DUMMYFUNCTION("""COMPUTED_VALUE"""),183.62)</f>
        <v>183.62</v>
      </c>
      <c r="J911" s="1">
        <f ca="1">IFERROR(__xludf.DUMMYFUNCTION("""COMPUTED_VALUE"""),561.47)</f>
        <v>561.47</v>
      </c>
      <c r="K911" s="1">
        <f ca="1">IFERROR(__xludf.DUMMYFUNCTION("""COMPUTED_VALUE"""),85.41)</f>
        <v>85.41</v>
      </c>
      <c r="L911" s="1">
        <f ca="1">IFERROR(__xludf.DUMMYFUNCTION("""COMPUTED_VALUE"""),522.25)</f>
        <v>522.25</v>
      </c>
      <c r="M911" s="1">
        <f ca="1">IFERROR(__xludf.DUMMYFUNCTION("""COMPUTED_VALUE"""),427.78)</f>
        <v>427.78</v>
      </c>
    </row>
    <row r="912" spans="1:13" x14ac:dyDescent="0.25">
      <c r="A912" s="2">
        <f ca="1">IFERROR(__xludf.DUMMYFUNCTION("""COMPUTED_VALUE"""),45154.6666666666)</f>
        <v>45154.666666666599</v>
      </c>
      <c r="B912" s="1">
        <f ca="1">IFERROR(__xludf.DUMMYFUNCTION("""COMPUTED_VALUE"""),176.57)</f>
        <v>176.57</v>
      </c>
      <c r="C912" s="1">
        <f ca="1">IFERROR(__xludf.DUMMYFUNCTION("""COMPUTED_VALUE"""),321.86)</f>
        <v>321.86</v>
      </c>
      <c r="D912" s="1">
        <f ca="1">IFERROR(__xludf.DUMMYFUNCTION("""COMPUTED_VALUE"""),137.67)</f>
        <v>137.66999999999999</v>
      </c>
      <c r="E912" s="1">
        <f ca="1">IFERROR(__xludf.DUMMYFUNCTION("""COMPUTED_VALUE"""),43.94)</f>
        <v>43.94</v>
      </c>
      <c r="F912" s="1">
        <f ca="1">IFERROR(__xludf.DUMMYFUNCTION("""COMPUTED_VALUE"""),301.95)</f>
        <v>301.95</v>
      </c>
      <c r="G912" s="1">
        <f ca="1">IFERROR(__xludf.DUMMYFUNCTION("""COMPUTED_VALUE"""),130.27)</f>
        <v>130.27000000000001</v>
      </c>
      <c r="H912" s="1">
        <f ca="1">IFERROR(__xludf.DUMMYFUNCTION("""COMPUTED_VALUE"""),232.96)</f>
        <v>232.96</v>
      </c>
      <c r="I912" s="1">
        <f ca="1">IFERROR(__xludf.DUMMYFUNCTION("""COMPUTED_VALUE"""),181.35)</f>
        <v>181.35</v>
      </c>
      <c r="J912" s="1">
        <f ca="1">IFERROR(__xludf.DUMMYFUNCTION("""COMPUTED_VALUE"""),558.51)</f>
        <v>558.51</v>
      </c>
      <c r="K912" s="1">
        <f ca="1">IFERROR(__xludf.DUMMYFUNCTION("""COMPUTED_VALUE"""),84.25)</f>
        <v>84.25</v>
      </c>
      <c r="L912" s="1">
        <f ca="1">IFERROR(__xludf.DUMMYFUNCTION("""COMPUTED_VALUE"""),518.7)</f>
        <v>518.70000000000005</v>
      </c>
      <c r="M912" s="1">
        <f ca="1">IFERROR(__xludf.DUMMYFUNCTION("""COMPUTED_VALUE"""),423.7)</f>
        <v>423.7</v>
      </c>
    </row>
    <row r="913" spans="1:13" x14ac:dyDescent="0.25">
      <c r="A913" s="2">
        <f ca="1">IFERROR(__xludf.DUMMYFUNCTION("""COMPUTED_VALUE"""),45155.6666666666)</f>
        <v>45155.666666666599</v>
      </c>
      <c r="B913" s="1">
        <f ca="1">IFERROR(__xludf.DUMMYFUNCTION("""COMPUTED_VALUE"""),174)</f>
        <v>174</v>
      </c>
      <c r="C913" s="1">
        <f ca="1">IFERROR(__xludf.DUMMYFUNCTION("""COMPUTED_VALUE"""),320.4)</f>
        <v>320.39999999999998</v>
      </c>
      <c r="D913" s="1">
        <f ca="1">IFERROR(__xludf.DUMMYFUNCTION("""COMPUTED_VALUE"""),135.07)</f>
        <v>135.07</v>
      </c>
      <c r="E913" s="1">
        <f ca="1">IFERROR(__xludf.DUMMYFUNCTION("""COMPUTED_VALUE"""),43.49)</f>
        <v>43.49</v>
      </c>
      <c r="F913" s="1">
        <f ca="1">IFERROR(__xludf.DUMMYFUNCTION("""COMPUTED_VALUE"""),294.29)</f>
        <v>294.29000000000002</v>
      </c>
      <c r="G913" s="1">
        <f ca="1">IFERROR(__xludf.DUMMYFUNCTION("""COMPUTED_VALUE"""),129.11)</f>
        <v>129.11000000000001</v>
      </c>
      <c r="H913" s="1">
        <f ca="1">IFERROR(__xludf.DUMMYFUNCTION("""COMPUTED_VALUE"""),225.6)</f>
        <v>225.6</v>
      </c>
      <c r="I913" s="1">
        <f ca="1">IFERROR(__xludf.DUMMYFUNCTION("""COMPUTED_VALUE"""),181.21)</f>
        <v>181.21</v>
      </c>
      <c r="J913" s="1">
        <f ca="1">IFERROR(__xludf.DUMMYFUNCTION("""COMPUTED_VALUE"""),559.05)</f>
        <v>559.04999999999995</v>
      </c>
      <c r="K913" s="1">
        <f ca="1">IFERROR(__xludf.DUMMYFUNCTION("""COMPUTED_VALUE"""),83.3)</f>
        <v>83.3</v>
      </c>
      <c r="L913" s="1">
        <f ca="1">IFERROR(__xludf.DUMMYFUNCTION("""COMPUTED_VALUE"""),514.49)</f>
        <v>514.49</v>
      </c>
      <c r="M913" s="1">
        <f ca="1">IFERROR(__xludf.DUMMYFUNCTION("""COMPUTED_VALUE"""),415.45)</f>
        <v>415.45</v>
      </c>
    </row>
    <row r="914" spans="1:13" x14ac:dyDescent="0.25">
      <c r="A914" s="2">
        <f ca="1">IFERROR(__xludf.DUMMYFUNCTION("""COMPUTED_VALUE"""),45156.6666666666)</f>
        <v>45156.666666666599</v>
      </c>
      <c r="B914" s="1">
        <f ca="1">IFERROR(__xludf.DUMMYFUNCTION("""COMPUTED_VALUE"""),174.49)</f>
        <v>174.49</v>
      </c>
      <c r="C914" s="1">
        <f ca="1">IFERROR(__xludf.DUMMYFUNCTION("""COMPUTED_VALUE"""),316.88)</f>
        <v>316.88</v>
      </c>
      <c r="D914" s="1">
        <f ca="1">IFERROR(__xludf.DUMMYFUNCTION("""COMPUTED_VALUE"""),133.98)</f>
        <v>133.97999999999999</v>
      </c>
      <c r="E914" s="1">
        <f ca="1">IFERROR(__xludf.DUMMYFUNCTION("""COMPUTED_VALUE"""),43.34)</f>
        <v>43.34</v>
      </c>
      <c r="F914" s="1">
        <f ca="1">IFERROR(__xludf.DUMMYFUNCTION("""COMPUTED_VALUE"""),285.09)</f>
        <v>285.08999999999997</v>
      </c>
      <c r="G914" s="1">
        <f ca="1">IFERROR(__xludf.DUMMYFUNCTION("""COMPUTED_VALUE"""),130.46)</f>
        <v>130.46</v>
      </c>
      <c r="H914" s="1">
        <f ca="1">IFERROR(__xludf.DUMMYFUNCTION("""COMPUTED_VALUE"""),219.22)</f>
        <v>219.22</v>
      </c>
      <c r="I914" s="1">
        <f ca="1">IFERROR(__xludf.DUMMYFUNCTION("""COMPUTED_VALUE"""),178.45)</f>
        <v>178.45</v>
      </c>
      <c r="J914" s="1">
        <f ca="1">IFERROR(__xludf.DUMMYFUNCTION("""COMPUTED_VALUE"""),547.11)</f>
        <v>547.11</v>
      </c>
      <c r="K914" s="1">
        <f ca="1">IFERROR(__xludf.DUMMYFUNCTION("""COMPUTED_VALUE"""),82.71)</f>
        <v>82.71</v>
      </c>
      <c r="L914" s="1">
        <f ca="1">IFERROR(__xludf.DUMMYFUNCTION("""COMPUTED_VALUE"""),511.67)</f>
        <v>511.67</v>
      </c>
      <c r="M914" s="1">
        <f ca="1">IFERROR(__xludf.DUMMYFUNCTION("""COMPUTED_VALUE"""),403)</f>
        <v>403</v>
      </c>
    </row>
    <row r="915" spans="1:13" x14ac:dyDescent="0.25">
      <c r="A915" s="2">
        <f ca="1">IFERROR(__xludf.DUMMYFUNCTION("""COMPUTED_VALUE"""),45159.6666666666)</f>
        <v>45159.666666666599</v>
      </c>
      <c r="B915" s="1">
        <f ca="1">IFERROR(__xludf.DUMMYFUNCTION("""COMPUTED_VALUE"""),175.84)</f>
        <v>175.84</v>
      </c>
      <c r="C915" s="1">
        <f ca="1">IFERROR(__xludf.DUMMYFUNCTION("""COMPUTED_VALUE"""),316.48)</f>
        <v>316.48</v>
      </c>
      <c r="D915" s="1">
        <f ca="1">IFERROR(__xludf.DUMMYFUNCTION("""COMPUTED_VALUE"""),133.22)</f>
        <v>133.22</v>
      </c>
      <c r="E915" s="1">
        <f ca="1">IFERROR(__xludf.DUMMYFUNCTION("""COMPUTED_VALUE"""),43.3)</f>
        <v>43.3</v>
      </c>
      <c r="F915" s="1">
        <f ca="1">IFERROR(__xludf.DUMMYFUNCTION("""COMPUTED_VALUE"""),283.25)</f>
        <v>283.25</v>
      </c>
      <c r="G915" s="1">
        <f ca="1">IFERROR(__xludf.DUMMYFUNCTION("""COMPUTED_VALUE"""),128.11)</f>
        <v>128.11000000000001</v>
      </c>
      <c r="H915" s="1">
        <f ca="1">IFERROR(__xludf.DUMMYFUNCTION("""COMPUTED_VALUE"""),215.49)</f>
        <v>215.49</v>
      </c>
      <c r="I915" s="1">
        <f ca="1">IFERROR(__xludf.DUMMYFUNCTION("""COMPUTED_VALUE"""),178.18)</f>
        <v>178.18</v>
      </c>
      <c r="J915" s="1">
        <f ca="1">IFERROR(__xludf.DUMMYFUNCTION("""COMPUTED_VALUE"""),544.94)</f>
        <v>544.94000000000005</v>
      </c>
      <c r="K915" s="1">
        <f ca="1">IFERROR(__xludf.DUMMYFUNCTION("""COMPUTED_VALUE"""),82.58)</f>
        <v>82.58</v>
      </c>
      <c r="L915" s="1">
        <f ca="1">IFERROR(__xludf.DUMMYFUNCTION("""COMPUTED_VALUE"""),508.13)</f>
        <v>508.13</v>
      </c>
      <c r="M915" s="1">
        <f ca="1">IFERROR(__xludf.DUMMYFUNCTION("""COMPUTED_VALUE"""),404.53)</f>
        <v>404.53</v>
      </c>
    </row>
    <row r="916" spans="1:13" x14ac:dyDescent="0.25">
      <c r="A916" s="2">
        <f ca="1">IFERROR(__xludf.DUMMYFUNCTION("""COMPUTED_VALUE"""),45160.6666666666)</f>
        <v>45160.666666666599</v>
      </c>
      <c r="B916" s="1">
        <f ca="1">IFERROR(__xludf.DUMMYFUNCTION("""COMPUTED_VALUE"""),177.23)</f>
        <v>177.23</v>
      </c>
      <c r="C916" s="1">
        <f ca="1">IFERROR(__xludf.DUMMYFUNCTION("""COMPUTED_VALUE"""),321.88)</f>
        <v>321.88</v>
      </c>
      <c r="D916" s="1">
        <f ca="1">IFERROR(__xludf.DUMMYFUNCTION("""COMPUTED_VALUE"""),134.68)</f>
        <v>134.68</v>
      </c>
      <c r="E916" s="1">
        <f ca="1">IFERROR(__xludf.DUMMYFUNCTION("""COMPUTED_VALUE"""),46.97)</f>
        <v>46.97</v>
      </c>
      <c r="F916" s="1">
        <f ca="1">IFERROR(__xludf.DUMMYFUNCTION("""COMPUTED_VALUE"""),289.9)</f>
        <v>289.89999999999998</v>
      </c>
      <c r="G916" s="1">
        <f ca="1">IFERROR(__xludf.DUMMYFUNCTION("""COMPUTED_VALUE"""),128.93)</f>
        <v>128.93</v>
      </c>
      <c r="H916" s="1">
        <f ca="1">IFERROR(__xludf.DUMMYFUNCTION("""COMPUTED_VALUE"""),231.28)</f>
        <v>231.28</v>
      </c>
      <c r="I916" s="1">
        <f ca="1">IFERROR(__xludf.DUMMYFUNCTION("""COMPUTED_VALUE"""),177.05)</f>
        <v>177.05</v>
      </c>
      <c r="J916" s="1">
        <f ca="1">IFERROR(__xludf.DUMMYFUNCTION("""COMPUTED_VALUE"""),543.21)</f>
        <v>543.21</v>
      </c>
      <c r="K916" s="1">
        <f ca="1">IFERROR(__xludf.DUMMYFUNCTION("""COMPUTED_VALUE"""),86.51)</f>
        <v>86.51</v>
      </c>
      <c r="L916" s="1">
        <f ca="1">IFERROR(__xludf.DUMMYFUNCTION("""COMPUTED_VALUE"""),520.47)</f>
        <v>520.47</v>
      </c>
      <c r="M916" s="1">
        <f ca="1">IFERROR(__xludf.DUMMYFUNCTION("""COMPUTED_VALUE"""),408.29)</f>
        <v>408.29</v>
      </c>
    </row>
    <row r="917" spans="1:13" x14ac:dyDescent="0.25">
      <c r="A917" s="2">
        <f ca="1">IFERROR(__xludf.DUMMYFUNCTION("""COMPUTED_VALUE"""),45161.6666666666)</f>
        <v>45161.666666666599</v>
      </c>
      <c r="B917" s="1">
        <f ca="1">IFERROR(__xludf.DUMMYFUNCTION("""COMPUTED_VALUE"""),181.12)</f>
        <v>181.12</v>
      </c>
      <c r="C917" s="1">
        <f ca="1">IFERROR(__xludf.DUMMYFUNCTION("""COMPUTED_VALUE"""),322.46)</f>
        <v>322.45999999999998</v>
      </c>
      <c r="D917" s="1">
        <f ca="1">IFERROR(__xludf.DUMMYFUNCTION("""COMPUTED_VALUE"""),134.25)</f>
        <v>134.25</v>
      </c>
      <c r="E917" s="1">
        <f ca="1">IFERROR(__xludf.DUMMYFUNCTION("""COMPUTED_VALUE"""),45.67)</f>
        <v>45.67</v>
      </c>
      <c r="F917" s="1">
        <f ca="1">IFERROR(__xludf.DUMMYFUNCTION("""COMPUTED_VALUE"""),287.6)</f>
        <v>287.60000000000002</v>
      </c>
      <c r="G917" s="1">
        <f ca="1">IFERROR(__xludf.DUMMYFUNCTION("""COMPUTED_VALUE"""),129.69)</f>
        <v>129.69</v>
      </c>
      <c r="H917" s="1">
        <f ca="1">IFERROR(__xludf.DUMMYFUNCTION("""COMPUTED_VALUE"""),233.19)</f>
        <v>233.19</v>
      </c>
      <c r="I917" s="1">
        <f ca="1">IFERROR(__xludf.DUMMYFUNCTION("""COMPUTED_VALUE"""),175.7)</f>
        <v>175.7</v>
      </c>
      <c r="J917" s="1">
        <f ca="1">IFERROR(__xludf.DUMMYFUNCTION("""COMPUTED_VALUE"""),538.37)</f>
        <v>538.37</v>
      </c>
      <c r="K917" s="1">
        <f ca="1">IFERROR(__xludf.DUMMYFUNCTION("""COMPUTED_VALUE"""),85.58)</f>
        <v>85.58</v>
      </c>
      <c r="L917" s="1">
        <f ca="1">IFERROR(__xludf.DUMMYFUNCTION("""COMPUTED_VALUE"""),519.48)</f>
        <v>519.48</v>
      </c>
      <c r="M917" s="1">
        <f ca="1">IFERROR(__xludf.DUMMYFUNCTION("""COMPUTED_VALUE"""),413.17)</f>
        <v>413.17</v>
      </c>
    </row>
    <row r="918" spans="1:13" x14ac:dyDescent="0.25">
      <c r="A918" s="2">
        <f ca="1">IFERROR(__xludf.DUMMYFUNCTION("""COMPUTED_VALUE"""),45162.6666666666)</f>
        <v>45162.666666666599</v>
      </c>
      <c r="B918" s="1">
        <f ca="1">IFERROR(__xludf.DUMMYFUNCTION("""COMPUTED_VALUE"""),176.38)</f>
        <v>176.38</v>
      </c>
      <c r="C918" s="1">
        <f ca="1">IFERROR(__xludf.DUMMYFUNCTION("""COMPUTED_VALUE"""),327)</f>
        <v>327</v>
      </c>
      <c r="D918" s="1">
        <f ca="1">IFERROR(__xludf.DUMMYFUNCTION("""COMPUTED_VALUE"""),135.52)</f>
        <v>135.52000000000001</v>
      </c>
      <c r="E918" s="1">
        <f ca="1">IFERROR(__xludf.DUMMYFUNCTION("""COMPUTED_VALUE"""),47.12)</f>
        <v>47.12</v>
      </c>
      <c r="F918" s="1">
        <f ca="1">IFERROR(__xludf.DUMMYFUNCTION("""COMPUTED_VALUE"""),294.24)</f>
        <v>294.24</v>
      </c>
      <c r="G918" s="1">
        <f ca="1">IFERROR(__xludf.DUMMYFUNCTION("""COMPUTED_VALUE"""),133.21)</f>
        <v>133.21</v>
      </c>
      <c r="H918" s="1">
        <f ca="1">IFERROR(__xludf.DUMMYFUNCTION("""COMPUTED_VALUE"""),236.86)</f>
        <v>236.86</v>
      </c>
      <c r="I918" s="1">
        <f ca="1">IFERROR(__xludf.DUMMYFUNCTION("""COMPUTED_VALUE"""),178.12)</f>
        <v>178.12</v>
      </c>
      <c r="J918" s="1">
        <f ca="1">IFERROR(__xludf.DUMMYFUNCTION("""COMPUTED_VALUE"""),540.86)</f>
        <v>540.86</v>
      </c>
      <c r="K918" s="1">
        <f ca="1">IFERROR(__xludf.DUMMYFUNCTION("""COMPUTED_VALUE"""),87.66)</f>
        <v>87.66</v>
      </c>
      <c r="L918" s="1">
        <f ca="1">IFERROR(__xludf.DUMMYFUNCTION("""COMPUTED_VALUE"""),530.71)</f>
        <v>530.71</v>
      </c>
      <c r="M918" s="1">
        <f ca="1">IFERROR(__xludf.DUMMYFUNCTION("""COMPUTED_VALUE"""),427.55)</f>
        <v>427.55</v>
      </c>
    </row>
    <row r="919" spans="1:13" x14ac:dyDescent="0.25">
      <c r="A919" s="2">
        <f ca="1">IFERROR(__xludf.DUMMYFUNCTION("""COMPUTED_VALUE"""),45163.6666666666)</f>
        <v>45163.666666666599</v>
      </c>
      <c r="B919" s="1">
        <f ca="1">IFERROR(__xludf.DUMMYFUNCTION("""COMPUTED_VALUE"""),178.61)</f>
        <v>178.61</v>
      </c>
      <c r="C919" s="1">
        <f ca="1">IFERROR(__xludf.DUMMYFUNCTION("""COMPUTED_VALUE"""),319.97)</f>
        <v>319.97000000000003</v>
      </c>
      <c r="D919" s="1">
        <f ca="1">IFERROR(__xludf.DUMMYFUNCTION("""COMPUTED_VALUE"""),131.84)</f>
        <v>131.84</v>
      </c>
      <c r="E919" s="1">
        <f ca="1">IFERROR(__xludf.DUMMYFUNCTION("""COMPUTED_VALUE"""),47.16)</f>
        <v>47.16</v>
      </c>
      <c r="F919" s="1">
        <f ca="1">IFERROR(__xludf.DUMMYFUNCTION("""COMPUTED_VALUE"""),286.75)</f>
        <v>286.75</v>
      </c>
      <c r="G919" s="1">
        <f ca="1">IFERROR(__xludf.DUMMYFUNCTION("""COMPUTED_VALUE"""),130.42)</f>
        <v>130.41999999999999</v>
      </c>
      <c r="H919" s="1">
        <f ca="1">IFERROR(__xludf.DUMMYFUNCTION("""COMPUTED_VALUE"""),230.04)</f>
        <v>230.04</v>
      </c>
      <c r="I919" s="1">
        <f ca="1">IFERROR(__xludf.DUMMYFUNCTION("""COMPUTED_VALUE"""),177.18)</f>
        <v>177.18</v>
      </c>
      <c r="J919" s="1">
        <f ca="1">IFERROR(__xludf.DUMMYFUNCTION("""COMPUTED_VALUE"""),531.71)</f>
        <v>531.71</v>
      </c>
      <c r="K919" s="1">
        <f ca="1">IFERROR(__xludf.DUMMYFUNCTION("""COMPUTED_VALUE"""),85.45)</f>
        <v>85.45</v>
      </c>
      <c r="L919" s="1">
        <f ca="1">IFERROR(__xludf.DUMMYFUNCTION("""COMPUTED_VALUE"""),512.43)</f>
        <v>512.42999999999995</v>
      </c>
      <c r="M919" s="1">
        <f ca="1">IFERROR(__xludf.DUMMYFUNCTION("""COMPUTED_VALUE"""),406.93)</f>
        <v>406.93</v>
      </c>
    </row>
    <row r="920" spans="1:13" x14ac:dyDescent="0.25">
      <c r="A920" s="2">
        <f ca="1">IFERROR(__xludf.DUMMYFUNCTION("""COMPUTED_VALUE"""),45166.6666666666)</f>
        <v>45166.666666666599</v>
      </c>
      <c r="B920" s="1">
        <f ca="1">IFERROR(__xludf.DUMMYFUNCTION("""COMPUTED_VALUE"""),180.19)</f>
        <v>180.19</v>
      </c>
      <c r="C920" s="1">
        <f ca="1">IFERROR(__xludf.DUMMYFUNCTION("""COMPUTED_VALUE"""),322.98)</f>
        <v>322.98</v>
      </c>
      <c r="D920" s="1">
        <f ca="1">IFERROR(__xludf.DUMMYFUNCTION("""COMPUTED_VALUE"""),133.26)</f>
        <v>133.26</v>
      </c>
      <c r="E920" s="1">
        <f ca="1">IFERROR(__xludf.DUMMYFUNCTION("""COMPUTED_VALUE"""),46.02)</f>
        <v>46.02</v>
      </c>
      <c r="F920" s="1">
        <f ca="1">IFERROR(__xludf.DUMMYFUNCTION("""COMPUTED_VALUE"""),285.5)</f>
        <v>285.5</v>
      </c>
      <c r="G920" s="1">
        <f ca="1">IFERROR(__xludf.DUMMYFUNCTION("""COMPUTED_VALUE"""),130.69)</f>
        <v>130.69</v>
      </c>
      <c r="H920" s="1">
        <f ca="1">IFERROR(__xludf.DUMMYFUNCTION("""COMPUTED_VALUE"""),238.59)</f>
        <v>238.59</v>
      </c>
      <c r="I920" s="1">
        <f ca="1">IFERROR(__xludf.DUMMYFUNCTION("""COMPUTED_VALUE"""),179.42)</f>
        <v>179.42</v>
      </c>
      <c r="J920" s="1">
        <f ca="1">IFERROR(__xludf.DUMMYFUNCTION("""COMPUTED_VALUE"""),534.01)</f>
        <v>534.01</v>
      </c>
      <c r="K920" s="1">
        <f ca="1">IFERROR(__xludf.DUMMYFUNCTION("""COMPUTED_VALUE"""),85.18)</f>
        <v>85.18</v>
      </c>
      <c r="L920" s="1">
        <f ca="1">IFERROR(__xludf.DUMMYFUNCTION("""COMPUTED_VALUE"""),525.06)</f>
        <v>525.05999999999995</v>
      </c>
      <c r="M920" s="1">
        <f ca="1">IFERROR(__xludf.DUMMYFUNCTION("""COMPUTED_VALUE"""),416.03)</f>
        <v>416.03</v>
      </c>
    </row>
    <row r="921" spans="1:13" x14ac:dyDescent="0.25">
      <c r="A921" s="2">
        <f ca="1">IFERROR(__xludf.DUMMYFUNCTION("""COMPUTED_VALUE"""),45167.6666666666)</f>
        <v>45167.666666666599</v>
      </c>
      <c r="B921" s="1">
        <f ca="1">IFERROR(__xludf.DUMMYFUNCTION("""COMPUTED_VALUE"""),184.12)</f>
        <v>184.12</v>
      </c>
      <c r="C921" s="1">
        <f ca="1">IFERROR(__xludf.DUMMYFUNCTION("""COMPUTED_VALUE"""),323.7)</f>
        <v>323.7</v>
      </c>
      <c r="D921" s="1">
        <f ca="1">IFERROR(__xludf.DUMMYFUNCTION("""COMPUTED_VALUE"""),133.14)</f>
        <v>133.13999999999999</v>
      </c>
      <c r="E921" s="1">
        <f ca="1">IFERROR(__xludf.DUMMYFUNCTION("""COMPUTED_VALUE"""),46.84)</f>
        <v>46.84</v>
      </c>
      <c r="F921" s="1">
        <f ca="1">IFERROR(__xludf.DUMMYFUNCTION("""COMPUTED_VALUE"""),290.26)</f>
        <v>290.26</v>
      </c>
      <c r="G921" s="1">
        <f ca="1">IFERROR(__xludf.DUMMYFUNCTION("""COMPUTED_VALUE"""),131.79)</f>
        <v>131.79</v>
      </c>
      <c r="H921" s="1">
        <f ca="1">IFERROR(__xludf.DUMMYFUNCTION("""COMPUTED_VALUE"""),238.82)</f>
        <v>238.82</v>
      </c>
      <c r="I921" s="1">
        <f ca="1">IFERROR(__xludf.DUMMYFUNCTION("""COMPUTED_VALUE"""),180.25)</f>
        <v>180.25</v>
      </c>
      <c r="J921" s="1">
        <f ca="1">IFERROR(__xludf.DUMMYFUNCTION("""COMPUTED_VALUE"""),536.19)</f>
        <v>536.19000000000005</v>
      </c>
      <c r="K921" s="1">
        <f ca="1">IFERROR(__xludf.DUMMYFUNCTION("""COMPUTED_VALUE"""),86.11)</f>
        <v>86.11</v>
      </c>
      <c r="L921" s="1">
        <f ca="1">IFERROR(__xludf.DUMMYFUNCTION("""COMPUTED_VALUE"""),529.92)</f>
        <v>529.91999999999996</v>
      </c>
      <c r="M921" s="1">
        <f ca="1">IFERROR(__xludf.DUMMYFUNCTION("""COMPUTED_VALUE"""),418.06)</f>
        <v>418.06</v>
      </c>
    </row>
    <row r="922" spans="1:13" x14ac:dyDescent="0.25">
      <c r="A922" s="2">
        <f ca="1">IFERROR(__xludf.DUMMYFUNCTION("""COMPUTED_VALUE"""),45168.6666666666)</f>
        <v>45168.666666666599</v>
      </c>
      <c r="B922" s="1">
        <f ca="1">IFERROR(__xludf.DUMMYFUNCTION("""COMPUTED_VALUE"""),187.65)</f>
        <v>187.65</v>
      </c>
      <c r="C922" s="1">
        <f ca="1">IFERROR(__xludf.DUMMYFUNCTION("""COMPUTED_VALUE"""),328.41)</f>
        <v>328.41</v>
      </c>
      <c r="D922" s="1">
        <f ca="1">IFERROR(__xludf.DUMMYFUNCTION("""COMPUTED_VALUE"""),134.91)</f>
        <v>134.91</v>
      </c>
      <c r="E922" s="1">
        <f ca="1">IFERROR(__xludf.DUMMYFUNCTION("""COMPUTED_VALUE"""),48.78)</f>
        <v>48.78</v>
      </c>
      <c r="F922" s="1">
        <f ca="1">IFERROR(__xludf.DUMMYFUNCTION("""COMPUTED_VALUE"""),297.99)</f>
        <v>297.99</v>
      </c>
      <c r="G922" s="1">
        <f ca="1">IFERROR(__xludf.DUMMYFUNCTION("""COMPUTED_VALUE"""),135.49)</f>
        <v>135.49</v>
      </c>
      <c r="H922" s="1">
        <f ca="1">IFERROR(__xludf.DUMMYFUNCTION("""COMPUTED_VALUE"""),257.18)</f>
        <v>257.18</v>
      </c>
      <c r="I922" s="1">
        <f ca="1">IFERROR(__xludf.DUMMYFUNCTION("""COMPUTED_VALUE"""),180.93)</f>
        <v>180.93</v>
      </c>
      <c r="J922" s="1">
        <f ca="1">IFERROR(__xludf.DUMMYFUNCTION("""COMPUTED_VALUE"""),542.77)</f>
        <v>542.77</v>
      </c>
      <c r="K922" s="1">
        <f ca="1">IFERROR(__xludf.DUMMYFUNCTION("""COMPUTED_VALUE"""),88.99)</f>
        <v>88.99</v>
      </c>
      <c r="L922" s="1">
        <f ca="1">IFERROR(__xludf.DUMMYFUNCTION("""COMPUTED_VALUE"""),540.57)</f>
        <v>540.57000000000005</v>
      </c>
      <c r="M922" s="1">
        <f ca="1">IFERROR(__xludf.DUMMYFUNCTION("""COMPUTED_VALUE"""),429.99)</f>
        <v>429.99</v>
      </c>
    </row>
    <row r="923" spans="1:13" x14ac:dyDescent="0.25">
      <c r="A923" s="2">
        <f ca="1">IFERROR(__xludf.DUMMYFUNCTION("""COMPUTED_VALUE"""),45169.6666666666)</f>
        <v>45169.666666666599</v>
      </c>
      <c r="B923" s="1">
        <f ca="1">IFERROR(__xludf.DUMMYFUNCTION("""COMPUTED_VALUE"""),187.87)</f>
        <v>187.87</v>
      </c>
      <c r="C923" s="1">
        <f ca="1">IFERROR(__xludf.DUMMYFUNCTION("""COMPUTED_VALUE"""),328.79)</f>
        <v>328.79</v>
      </c>
      <c r="D923" s="1">
        <f ca="1">IFERROR(__xludf.DUMMYFUNCTION("""COMPUTED_VALUE"""),135.07)</f>
        <v>135.07</v>
      </c>
      <c r="E923" s="1">
        <f ca="1">IFERROR(__xludf.DUMMYFUNCTION("""COMPUTED_VALUE"""),49.26)</f>
        <v>49.26</v>
      </c>
      <c r="F923" s="1">
        <f ca="1">IFERROR(__xludf.DUMMYFUNCTION("""COMPUTED_VALUE"""),295.1)</f>
        <v>295.10000000000002</v>
      </c>
      <c r="G923" s="1">
        <f ca="1">IFERROR(__xludf.DUMMYFUNCTION("""COMPUTED_VALUE"""),136.93)</f>
        <v>136.93</v>
      </c>
      <c r="H923" s="1">
        <f ca="1">IFERROR(__xludf.DUMMYFUNCTION("""COMPUTED_VALUE"""),256.9)</f>
        <v>256.89999999999998</v>
      </c>
      <c r="I923" s="1">
        <f ca="1">IFERROR(__xludf.DUMMYFUNCTION("""COMPUTED_VALUE"""),181.08)</f>
        <v>181.08</v>
      </c>
      <c r="J923" s="1">
        <f ca="1">IFERROR(__xludf.DUMMYFUNCTION("""COMPUTED_VALUE"""),542.26)</f>
        <v>542.26</v>
      </c>
      <c r="K923" s="1">
        <f ca="1">IFERROR(__xludf.DUMMYFUNCTION("""COMPUTED_VALUE"""),89.23)</f>
        <v>89.23</v>
      </c>
      <c r="L923" s="1">
        <f ca="1">IFERROR(__xludf.DUMMYFUNCTION("""COMPUTED_VALUE"""),545.36)</f>
        <v>545.36</v>
      </c>
      <c r="M923" s="1">
        <f ca="1">IFERROR(__xludf.DUMMYFUNCTION("""COMPUTED_VALUE"""),434.67)</f>
        <v>434.67</v>
      </c>
    </row>
    <row r="924" spans="1:13" x14ac:dyDescent="0.25">
      <c r="A924" s="2">
        <f ca="1">IFERROR(__xludf.DUMMYFUNCTION("""COMPUTED_VALUE"""),45170.6666666666)</f>
        <v>45170.666666666599</v>
      </c>
      <c r="B924" s="1">
        <f ca="1">IFERROR(__xludf.DUMMYFUNCTION("""COMPUTED_VALUE"""),189.46)</f>
        <v>189.46</v>
      </c>
      <c r="C924" s="1">
        <f ca="1">IFERROR(__xludf.DUMMYFUNCTION("""COMPUTED_VALUE"""),327.76)</f>
        <v>327.76</v>
      </c>
      <c r="D924" s="1">
        <f ca="1">IFERROR(__xludf.DUMMYFUNCTION("""COMPUTED_VALUE"""),138.01)</f>
        <v>138.01</v>
      </c>
      <c r="E924" s="1">
        <f ca="1">IFERROR(__xludf.DUMMYFUNCTION("""COMPUTED_VALUE"""),49.36)</f>
        <v>49.36</v>
      </c>
      <c r="F924" s="1">
        <f ca="1">IFERROR(__xludf.DUMMYFUNCTION("""COMPUTED_VALUE"""),295.89)</f>
        <v>295.89</v>
      </c>
      <c r="G924" s="1">
        <f ca="1">IFERROR(__xludf.DUMMYFUNCTION("""COMPUTED_VALUE"""),137.35)</f>
        <v>137.35</v>
      </c>
      <c r="H924" s="1">
        <f ca="1">IFERROR(__xludf.DUMMYFUNCTION("""COMPUTED_VALUE"""),258.08)</f>
        <v>258.08</v>
      </c>
      <c r="I924" s="1">
        <f ca="1">IFERROR(__xludf.DUMMYFUNCTION("""COMPUTED_VALUE"""),177.92)</f>
        <v>177.92</v>
      </c>
      <c r="J924" s="1">
        <f ca="1">IFERROR(__xludf.DUMMYFUNCTION("""COMPUTED_VALUE"""),549.28)</f>
        <v>549.28</v>
      </c>
      <c r="K924" s="1">
        <f ca="1">IFERROR(__xludf.DUMMYFUNCTION("""COMPUTED_VALUE"""),92.29)</f>
        <v>92.29</v>
      </c>
      <c r="L924" s="1">
        <f ca="1">IFERROR(__xludf.DUMMYFUNCTION("""COMPUTED_VALUE"""),559.34)</f>
        <v>559.34</v>
      </c>
      <c r="M924" s="1">
        <f ca="1">IFERROR(__xludf.DUMMYFUNCTION("""COMPUTED_VALUE"""),433.68)</f>
        <v>433.68</v>
      </c>
    </row>
    <row r="925" spans="1:13" x14ac:dyDescent="0.25">
      <c r="A925" s="2">
        <f ca="1">IFERROR(__xludf.DUMMYFUNCTION("""COMPUTED_VALUE"""),45174.6666666666)</f>
        <v>45174.666666666599</v>
      </c>
      <c r="B925" s="1">
        <f ca="1">IFERROR(__xludf.DUMMYFUNCTION("""COMPUTED_VALUE"""),189.7)</f>
        <v>189.7</v>
      </c>
      <c r="C925" s="1">
        <f ca="1">IFERROR(__xludf.DUMMYFUNCTION("""COMPUTED_VALUE"""),328.66)</f>
        <v>328.66</v>
      </c>
      <c r="D925" s="1">
        <f ca="1">IFERROR(__xludf.DUMMYFUNCTION("""COMPUTED_VALUE"""),138.12)</f>
        <v>138.12</v>
      </c>
      <c r="E925" s="1">
        <f ca="1">IFERROR(__xludf.DUMMYFUNCTION("""COMPUTED_VALUE"""),48.51)</f>
        <v>48.51</v>
      </c>
      <c r="F925" s="1">
        <f ca="1">IFERROR(__xludf.DUMMYFUNCTION("""COMPUTED_VALUE"""),296.38)</f>
        <v>296.38</v>
      </c>
      <c r="G925" s="1">
        <f ca="1">IFERROR(__xludf.DUMMYFUNCTION("""COMPUTED_VALUE"""),136.8)</f>
        <v>136.80000000000001</v>
      </c>
      <c r="H925" s="1">
        <f ca="1">IFERROR(__xludf.DUMMYFUNCTION("""COMPUTED_VALUE"""),245.01)</f>
        <v>245.01</v>
      </c>
      <c r="I925" s="1">
        <f ca="1">IFERROR(__xludf.DUMMYFUNCTION("""COMPUTED_VALUE"""),175.32)</f>
        <v>175.32</v>
      </c>
      <c r="J925" s="1">
        <f ca="1">IFERROR(__xludf.DUMMYFUNCTION("""COMPUTED_VALUE"""),544.25)</f>
        <v>544.25</v>
      </c>
      <c r="K925" s="1">
        <f ca="1">IFERROR(__xludf.DUMMYFUNCTION("""COMPUTED_VALUE"""),87.25)</f>
        <v>87.25</v>
      </c>
      <c r="L925" s="1">
        <f ca="1">IFERROR(__xludf.DUMMYFUNCTION("""COMPUTED_VALUE"""),563.21)</f>
        <v>563.21</v>
      </c>
      <c r="M925" s="1">
        <f ca="1">IFERROR(__xludf.DUMMYFUNCTION("""COMPUTED_VALUE"""),439.88)</f>
        <v>439.88</v>
      </c>
    </row>
    <row r="926" spans="1:13" x14ac:dyDescent="0.25">
      <c r="A926" s="2">
        <f ca="1">IFERROR(__xludf.DUMMYFUNCTION("""COMPUTED_VALUE"""),45175.6666666666)</f>
        <v>45175.666666666599</v>
      </c>
      <c r="B926" s="1">
        <f ca="1">IFERROR(__xludf.DUMMYFUNCTION("""COMPUTED_VALUE"""),182.91)</f>
        <v>182.91</v>
      </c>
      <c r="C926" s="1">
        <f ca="1">IFERROR(__xludf.DUMMYFUNCTION("""COMPUTED_VALUE"""),333.55)</f>
        <v>333.55</v>
      </c>
      <c r="D926" s="1">
        <f ca="1">IFERROR(__xludf.DUMMYFUNCTION("""COMPUTED_VALUE"""),137.27)</f>
        <v>137.27000000000001</v>
      </c>
      <c r="E926" s="1">
        <f ca="1">IFERROR(__xludf.DUMMYFUNCTION("""COMPUTED_VALUE"""),48.55)</f>
        <v>48.55</v>
      </c>
      <c r="F926" s="1">
        <f ca="1">IFERROR(__xludf.DUMMYFUNCTION("""COMPUTED_VALUE"""),300.15)</f>
        <v>300.14999999999998</v>
      </c>
      <c r="G926" s="1">
        <f ca="1">IFERROR(__xludf.DUMMYFUNCTION("""COMPUTED_VALUE"""),136.71)</f>
        <v>136.71</v>
      </c>
      <c r="H926" s="1">
        <f ca="1">IFERROR(__xludf.DUMMYFUNCTION("""COMPUTED_VALUE"""),256.49)</f>
        <v>256.49</v>
      </c>
      <c r="I926" s="1">
        <f ca="1">IFERROR(__xludf.DUMMYFUNCTION("""COMPUTED_VALUE"""),174.16)</f>
        <v>174.16</v>
      </c>
      <c r="J926" s="1">
        <f ca="1">IFERROR(__xludf.DUMMYFUNCTION("""COMPUTED_VALUE"""),544.73)</f>
        <v>544.73</v>
      </c>
      <c r="K926" s="1">
        <f ca="1">IFERROR(__xludf.DUMMYFUNCTION("""COMPUTED_VALUE"""),87.22)</f>
        <v>87.22</v>
      </c>
      <c r="L926" s="1">
        <f ca="1">IFERROR(__xludf.DUMMYFUNCTION("""COMPUTED_VALUE"""),564.88)</f>
        <v>564.88</v>
      </c>
      <c r="M926" s="1">
        <f ca="1">IFERROR(__xludf.DUMMYFUNCTION("""COMPUTED_VALUE"""),448.68)</f>
        <v>448.68</v>
      </c>
    </row>
    <row r="927" spans="1:13" x14ac:dyDescent="0.25">
      <c r="A927" s="2">
        <f ca="1">IFERROR(__xludf.DUMMYFUNCTION("""COMPUTED_VALUE"""),45176.6666666666)</f>
        <v>45176.666666666599</v>
      </c>
      <c r="B927" s="1">
        <f ca="1">IFERROR(__xludf.DUMMYFUNCTION("""COMPUTED_VALUE"""),177.56)</f>
        <v>177.56</v>
      </c>
      <c r="C927" s="1">
        <f ca="1">IFERROR(__xludf.DUMMYFUNCTION("""COMPUTED_VALUE"""),332.88)</f>
        <v>332.88</v>
      </c>
      <c r="D927" s="1">
        <f ca="1">IFERROR(__xludf.DUMMYFUNCTION("""COMPUTED_VALUE"""),135.36)</f>
        <v>135.36000000000001</v>
      </c>
      <c r="E927" s="1">
        <f ca="1">IFERROR(__xludf.DUMMYFUNCTION("""COMPUTED_VALUE"""),47.06)</f>
        <v>47.06</v>
      </c>
      <c r="F927" s="1">
        <f ca="1">IFERROR(__xludf.DUMMYFUNCTION("""COMPUTED_VALUE"""),299.17)</f>
        <v>299.17</v>
      </c>
      <c r="G927" s="1">
        <f ca="1">IFERROR(__xludf.DUMMYFUNCTION("""COMPUTED_VALUE"""),135.37)</f>
        <v>135.37</v>
      </c>
      <c r="H927" s="1">
        <f ca="1">IFERROR(__xludf.DUMMYFUNCTION("""COMPUTED_VALUE"""),251.92)</f>
        <v>251.92</v>
      </c>
      <c r="I927" s="1">
        <f ca="1">IFERROR(__xludf.DUMMYFUNCTION("""COMPUTED_VALUE"""),174.73)</f>
        <v>174.73</v>
      </c>
      <c r="J927" s="1">
        <f ca="1">IFERROR(__xludf.DUMMYFUNCTION("""COMPUTED_VALUE"""),546.69)</f>
        <v>546.69000000000005</v>
      </c>
      <c r="K927" s="1">
        <f ca="1">IFERROR(__xludf.DUMMYFUNCTION("""COMPUTED_VALUE"""),87.23)</f>
        <v>87.23</v>
      </c>
      <c r="L927" s="1">
        <f ca="1">IFERROR(__xludf.DUMMYFUNCTION("""COMPUTED_VALUE"""),561.94)</f>
        <v>561.94000000000005</v>
      </c>
      <c r="M927" s="1">
        <f ca="1">IFERROR(__xludf.DUMMYFUNCTION("""COMPUTED_VALUE"""),445.76)</f>
        <v>445.76</v>
      </c>
    </row>
    <row r="928" spans="1:13" x14ac:dyDescent="0.25">
      <c r="A928" s="2">
        <f ca="1">IFERROR(__xludf.DUMMYFUNCTION("""COMPUTED_VALUE"""),45177.6666666666)</f>
        <v>45177.666666666599</v>
      </c>
      <c r="B928" s="1">
        <f ca="1">IFERROR(__xludf.DUMMYFUNCTION("""COMPUTED_VALUE"""),178.18)</f>
        <v>178.18</v>
      </c>
      <c r="C928" s="1">
        <f ca="1">IFERROR(__xludf.DUMMYFUNCTION("""COMPUTED_VALUE"""),329.91)</f>
        <v>329.91</v>
      </c>
      <c r="D928" s="1">
        <f ca="1">IFERROR(__xludf.DUMMYFUNCTION("""COMPUTED_VALUE"""),137.85)</f>
        <v>137.85</v>
      </c>
      <c r="E928" s="1">
        <f ca="1">IFERROR(__xludf.DUMMYFUNCTION("""COMPUTED_VALUE"""),46.24)</f>
        <v>46.24</v>
      </c>
      <c r="F928" s="1">
        <f ca="1">IFERROR(__xludf.DUMMYFUNCTION("""COMPUTED_VALUE"""),298.67)</f>
        <v>298.67</v>
      </c>
      <c r="G928" s="1">
        <f ca="1">IFERROR(__xludf.DUMMYFUNCTION("""COMPUTED_VALUE"""),136.2)</f>
        <v>136.19999999999999</v>
      </c>
      <c r="H928" s="1">
        <f ca="1">IFERROR(__xludf.DUMMYFUNCTION("""COMPUTED_VALUE"""),251.49)</f>
        <v>251.49</v>
      </c>
      <c r="I928" s="1">
        <f ca="1">IFERROR(__xludf.DUMMYFUNCTION("""COMPUTED_VALUE"""),176.4)</f>
        <v>176.4</v>
      </c>
      <c r="J928" s="1">
        <f ca="1">IFERROR(__xludf.DUMMYFUNCTION("""COMPUTED_VALUE"""),548.62)</f>
        <v>548.62</v>
      </c>
      <c r="K928" s="1">
        <f ca="1">IFERROR(__xludf.DUMMYFUNCTION("""COMPUTED_VALUE"""),85.7)</f>
        <v>85.7</v>
      </c>
      <c r="L928" s="1">
        <f ca="1">IFERROR(__xludf.DUMMYFUNCTION("""COMPUTED_VALUE"""),560.46)</f>
        <v>560.46</v>
      </c>
      <c r="M928" s="1">
        <f ca="1">IFERROR(__xludf.DUMMYFUNCTION("""COMPUTED_VALUE"""),443.14)</f>
        <v>443.14</v>
      </c>
    </row>
    <row r="929" spans="1:13" x14ac:dyDescent="0.25">
      <c r="A929" s="2">
        <f ca="1">IFERROR(__xludf.DUMMYFUNCTION("""COMPUTED_VALUE"""),45180.6666666666)</f>
        <v>45180.666666666599</v>
      </c>
      <c r="B929" s="1">
        <f ca="1">IFERROR(__xludf.DUMMYFUNCTION("""COMPUTED_VALUE"""),179.36)</f>
        <v>179.36</v>
      </c>
      <c r="C929" s="1">
        <f ca="1">IFERROR(__xludf.DUMMYFUNCTION("""COMPUTED_VALUE"""),334.27)</f>
        <v>334.27</v>
      </c>
      <c r="D929" s="1">
        <f ca="1">IFERROR(__xludf.DUMMYFUNCTION("""COMPUTED_VALUE"""),138.23)</f>
        <v>138.22999999999999</v>
      </c>
      <c r="E929" s="1">
        <f ca="1">IFERROR(__xludf.DUMMYFUNCTION("""COMPUTED_VALUE"""),45.57)</f>
        <v>45.57</v>
      </c>
      <c r="F929" s="1">
        <f ca="1">IFERROR(__xludf.DUMMYFUNCTION("""COMPUTED_VALUE"""),297.89)</f>
        <v>297.89</v>
      </c>
      <c r="G929" s="1">
        <f ca="1">IFERROR(__xludf.DUMMYFUNCTION("""COMPUTED_VALUE"""),137.2)</f>
        <v>137.19999999999999</v>
      </c>
      <c r="H929" s="1">
        <f ca="1">IFERROR(__xludf.DUMMYFUNCTION("""COMPUTED_VALUE"""),248.5)</f>
        <v>248.5</v>
      </c>
      <c r="I929" s="1">
        <f ca="1">IFERROR(__xludf.DUMMYFUNCTION("""COMPUTED_VALUE"""),176.27)</f>
        <v>176.27</v>
      </c>
      <c r="J929" s="1">
        <f ca="1">IFERROR(__xludf.DUMMYFUNCTION("""COMPUTED_VALUE"""),551.19)</f>
        <v>551.19000000000005</v>
      </c>
      <c r="K929" s="1">
        <f ca="1">IFERROR(__xludf.DUMMYFUNCTION("""COMPUTED_VALUE"""),85.76)</f>
        <v>85.76</v>
      </c>
      <c r="L929" s="1">
        <f ca="1">IFERROR(__xludf.DUMMYFUNCTION("""COMPUTED_VALUE"""),560.36)</f>
        <v>560.36</v>
      </c>
      <c r="M929" s="1">
        <f ca="1">IFERROR(__xludf.DUMMYFUNCTION("""COMPUTED_VALUE"""),442.8)</f>
        <v>442.8</v>
      </c>
    </row>
    <row r="930" spans="1:13" x14ac:dyDescent="0.25">
      <c r="A930" s="2">
        <f ca="1">IFERROR(__xludf.DUMMYFUNCTION("""COMPUTED_VALUE"""),45181.6666666666)</f>
        <v>45181.666666666599</v>
      </c>
      <c r="B930" s="1">
        <f ca="1">IFERROR(__xludf.DUMMYFUNCTION("""COMPUTED_VALUE"""),176.3)</f>
        <v>176.3</v>
      </c>
      <c r="C930" s="1">
        <f ca="1">IFERROR(__xludf.DUMMYFUNCTION("""COMPUTED_VALUE"""),337.94)</f>
        <v>337.94</v>
      </c>
      <c r="D930" s="1">
        <f ca="1">IFERROR(__xludf.DUMMYFUNCTION("""COMPUTED_VALUE"""),143.1)</f>
        <v>143.1</v>
      </c>
      <c r="E930" s="1">
        <f ca="1">IFERROR(__xludf.DUMMYFUNCTION("""COMPUTED_VALUE"""),45.18)</f>
        <v>45.18</v>
      </c>
      <c r="F930" s="1">
        <f ca="1">IFERROR(__xludf.DUMMYFUNCTION("""COMPUTED_VALUE"""),307.56)</f>
        <v>307.56</v>
      </c>
      <c r="G930" s="1">
        <f ca="1">IFERROR(__xludf.DUMMYFUNCTION("""COMPUTED_VALUE"""),137.74)</f>
        <v>137.74</v>
      </c>
      <c r="H930" s="1">
        <f ca="1">IFERROR(__xludf.DUMMYFUNCTION("""COMPUTED_VALUE"""),273.58)</f>
        <v>273.58</v>
      </c>
      <c r="I930" s="1">
        <f ca="1">IFERROR(__xludf.DUMMYFUNCTION("""COMPUTED_VALUE"""),178.93)</f>
        <v>178.93</v>
      </c>
      <c r="J930" s="1">
        <f ca="1">IFERROR(__xludf.DUMMYFUNCTION("""COMPUTED_VALUE"""),558.78)</f>
        <v>558.78</v>
      </c>
      <c r="K930" s="1">
        <f ca="1">IFERROR(__xludf.DUMMYFUNCTION("""COMPUTED_VALUE"""),85.91)</f>
        <v>85.91</v>
      </c>
      <c r="L930" s="1">
        <f ca="1">IFERROR(__xludf.DUMMYFUNCTION("""COMPUTED_VALUE"""),564.5)</f>
        <v>564.5</v>
      </c>
      <c r="M930" s="1">
        <f ca="1">IFERROR(__xludf.DUMMYFUNCTION("""COMPUTED_VALUE"""),445.36)</f>
        <v>445.36</v>
      </c>
    </row>
    <row r="931" spans="1:13" x14ac:dyDescent="0.25">
      <c r="A931" s="2">
        <f ca="1">IFERROR(__xludf.DUMMYFUNCTION("""COMPUTED_VALUE"""),45182.6666666666)</f>
        <v>45182.666666666599</v>
      </c>
      <c r="B931" s="1">
        <f ca="1">IFERROR(__xludf.DUMMYFUNCTION("""COMPUTED_VALUE"""),174.21)</f>
        <v>174.21</v>
      </c>
      <c r="C931" s="1">
        <f ca="1">IFERROR(__xludf.DUMMYFUNCTION("""COMPUTED_VALUE"""),331.77)</f>
        <v>331.77</v>
      </c>
      <c r="D931" s="1">
        <f ca="1">IFERROR(__xludf.DUMMYFUNCTION("""COMPUTED_VALUE"""),141.23)</f>
        <v>141.22999999999999</v>
      </c>
      <c r="E931" s="1">
        <f ca="1">IFERROR(__xludf.DUMMYFUNCTION("""COMPUTED_VALUE"""),44.87)</f>
        <v>44.87</v>
      </c>
      <c r="F931" s="1">
        <f ca="1">IFERROR(__xludf.DUMMYFUNCTION("""COMPUTED_VALUE"""),301.66)</f>
        <v>301.66000000000003</v>
      </c>
      <c r="G931" s="1">
        <f ca="1">IFERROR(__xludf.DUMMYFUNCTION("""COMPUTED_VALUE"""),136.07)</f>
        <v>136.07</v>
      </c>
      <c r="H931" s="1">
        <f ca="1">IFERROR(__xludf.DUMMYFUNCTION("""COMPUTED_VALUE"""),267.48)</f>
        <v>267.48</v>
      </c>
      <c r="I931" s="1">
        <f ca="1">IFERROR(__xludf.DUMMYFUNCTION("""COMPUTED_VALUE"""),178.27)</f>
        <v>178.27</v>
      </c>
      <c r="J931" s="1">
        <f ca="1">IFERROR(__xludf.DUMMYFUNCTION("""COMPUTED_VALUE"""),558.79)</f>
        <v>558.79</v>
      </c>
      <c r="K931" s="1">
        <f ca="1">IFERROR(__xludf.DUMMYFUNCTION("""COMPUTED_VALUE"""),84.45)</f>
        <v>84.45</v>
      </c>
      <c r="L931" s="1">
        <f ca="1">IFERROR(__xludf.DUMMYFUNCTION("""COMPUTED_VALUE"""),542.21)</f>
        <v>542.21</v>
      </c>
      <c r="M931" s="1">
        <f ca="1">IFERROR(__xludf.DUMMYFUNCTION("""COMPUTED_VALUE"""),434.69)</f>
        <v>434.69</v>
      </c>
    </row>
    <row r="932" spans="1:13" x14ac:dyDescent="0.25">
      <c r="A932" s="2">
        <f ca="1">IFERROR(__xludf.DUMMYFUNCTION("""COMPUTED_VALUE"""),45183.6666666666)</f>
        <v>45183.666666666599</v>
      </c>
      <c r="B932" s="1">
        <f ca="1">IFERROR(__xludf.DUMMYFUNCTION("""COMPUTED_VALUE"""),175.74)</f>
        <v>175.74</v>
      </c>
      <c r="C932" s="1">
        <f ca="1">IFERROR(__xludf.DUMMYFUNCTION("""COMPUTED_VALUE"""),336.06)</f>
        <v>336.06</v>
      </c>
      <c r="D932" s="1">
        <f ca="1">IFERROR(__xludf.DUMMYFUNCTION("""COMPUTED_VALUE"""),144.85)</f>
        <v>144.85</v>
      </c>
      <c r="E932" s="1">
        <f ca="1">IFERROR(__xludf.DUMMYFUNCTION("""COMPUTED_VALUE"""),45.49)</f>
        <v>45.49</v>
      </c>
      <c r="F932" s="1">
        <f ca="1">IFERROR(__xludf.DUMMYFUNCTION("""COMPUTED_VALUE"""),305.06)</f>
        <v>305.06</v>
      </c>
      <c r="G932" s="1">
        <f ca="1">IFERROR(__xludf.DUMMYFUNCTION("""COMPUTED_VALUE"""),137.5)</f>
        <v>137.5</v>
      </c>
      <c r="H932" s="1">
        <f ca="1">IFERROR(__xludf.DUMMYFUNCTION("""COMPUTED_VALUE"""),271.3)</f>
        <v>271.3</v>
      </c>
      <c r="I932" s="1">
        <f ca="1">IFERROR(__xludf.DUMMYFUNCTION("""COMPUTED_VALUE"""),179.68)</f>
        <v>179.68</v>
      </c>
      <c r="J932" s="1">
        <f ca="1">IFERROR(__xludf.DUMMYFUNCTION("""COMPUTED_VALUE"""),559.76)</f>
        <v>559.76</v>
      </c>
      <c r="K932" s="1">
        <f ca="1">IFERROR(__xludf.DUMMYFUNCTION("""COMPUTED_VALUE"""),85.29)</f>
        <v>85.29</v>
      </c>
      <c r="L932" s="1">
        <f ca="1">IFERROR(__xludf.DUMMYFUNCTION("""COMPUTED_VALUE"""),553.56)</f>
        <v>553.55999999999995</v>
      </c>
      <c r="M932" s="1">
        <f ca="1">IFERROR(__xludf.DUMMYFUNCTION("""COMPUTED_VALUE"""),412.24)</f>
        <v>412.24</v>
      </c>
    </row>
    <row r="933" spans="1:13" x14ac:dyDescent="0.25">
      <c r="A933" s="2">
        <f ca="1">IFERROR(__xludf.DUMMYFUNCTION("""COMPUTED_VALUE"""),45184.6666666666)</f>
        <v>45184.666666666599</v>
      </c>
      <c r="B933" s="1">
        <f ca="1">IFERROR(__xludf.DUMMYFUNCTION("""COMPUTED_VALUE"""),175.01)</f>
        <v>175.01</v>
      </c>
      <c r="C933" s="1">
        <f ca="1">IFERROR(__xludf.DUMMYFUNCTION("""COMPUTED_VALUE"""),338.7)</f>
        <v>338.7</v>
      </c>
      <c r="D933" s="1">
        <f ca="1">IFERROR(__xludf.DUMMYFUNCTION("""COMPUTED_VALUE"""),144.72)</f>
        <v>144.72</v>
      </c>
      <c r="E933" s="1">
        <f ca="1">IFERROR(__xludf.DUMMYFUNCTION("""COMPUTED_VALUE"""),45.58)</f>
        <v>45.58</v>
      </c>
      <c r="F933" s="1">
        <f ca="1">IFERROR(__xludf.DUMMYFUNCTION("""COMPUTED_VALUE"""),311.72)</f>
        <v>311.72000000000003</v>
      </c>
      <c r="G933" s="1">
        <f ca="1">IFERROR(__xludf.DUMMYFUNCTION("""COMPUTED_VALUE"""),138.99)</f>
        <v>138.99</v>
      </c>
      <c r="H933" s="1">
        <f ca="1">IFERROR(__xludf.DUMMYFUNCTION("""COMPUTED_VALUE"""),276.04)</f>
        <v>276.04000000000002</v>
      </c>
      <c r="I933" s="1">
        <f ca="1">IFERROR(__xludf.DUMMYFUNCTION("""COMPUTED_VALUE"""),181.23)</f>
        <v>181.23</v>
      </c>
      <c r="J933" s="1">
        <f ca="1">IFERROR(__xludf.DUMMYFUNCTION("""COMPUTED_VALUE"""),564.77)</f>
        <v>564.77</v>
      </c>
      <c r="K933" s="1">
        <f ca="1">IFERROR(__xludf.DUMMYFUNCTION("""COMPUTED_VALUE"""),87.16)</f>
        <v>87.16</v>
      </c>
      <c r="L933" s="1">
        <f ca="1">IFERROR(__xludf.DUMMYFUNCTION("""COMPUTED_VALUE"""),552.16)</f>
        <v>552.16</v>
      </c>
      <c r="M933" s="1">
        <f ca="1">IFERROR(__xludf.DUMMYFUNCTION("""COMPUTED_VALUE"""),400.49)</f>
        <v>400.49</v>
      </c>
    </row>
    <row r="934" spans="1:13" x14ac:dyDescent="0.25">
      <c r="A934" s="2">
        <f ca="1">IFERROR(__xludf.DUMMYFUNCTION("""COMPUTED_VALUE"""),45187.6666666666)</f>
        <v>45187.666666666599</v>
      </c>
      <c r="B934" s="1">
        <f ca="1">IFERROR(__xludf.DUMMYFUNCTION("""COMPUTED_VALUE"""),177.97)</f>
        <v>177.97</v>
      </c>
      <c r="C934" s="1">
        <f ca="1">IFERROR(__xludf.DUMMYFUNCTION("""COMPUTED_VALUE"""),330.22)</f>
        <v>330.22</v>
      </c>
      <c r="D934" s="1">
        <f ca="1">IFERROR(__xludf.DUMMYFUNCTION("""COMPUTED_VALUE"""),140.39)</f>
        <v>140.38999999999999</v>
      </c>
      <c r="E934" s="1">
        <f ca="1">IFERROR(__xludf.DUMMYFUNCTION("""COMPUTED_VALUE"""),43.9)</f>
        <v>43.9</v>
      </c>
      <c r="F934" s="1">
        <f ca="1">IFERROR(__xludf.DUMMYFUNCTION("""COMPUTED_VALUE"""),300.31)</f>
        <v>300.31</v>
      </c>
      <c r="G934" s="1">
        <f ca="1">IFERROR(__xludf.DUMMYFUNCTION("""COMPUTED_VALUE"""),138.3)</f>
        <v>138.30000000000001</v>
      </c>
      <c r="H934" s="1">
        <f ca="1">IFERROR(__xludf.DUMMYFUNCTION("""COMPUTED_VALUE"""),274.39)</f>
        <v>274.39</v>
      </c>
      <c r="I934" s="1">
        <f ca="1">IFERROR(__xludf.DUMMYFUNCTION("""COMPUTED_VALUE"""),179.84)</f>
        <v>179.84</v>
      </c>
      <c r="J934" s="1">
        <f ca="1">IFERROR(__xludf.DUMMYFUNCTION("""COMPUTED_VALUE"""),556.36)</f>
        <v>556.36</v>
      </c>
      <c r="K934" s="1">
        <f ca="1">IFERROR(__xludf.DUMMYFUNCTION("""COMPUTED_VALUE"""),85.17)</f>
        <v>85.17</v>
      </c>
      <c r="L934" s="1">
        <f ca="1">IFERROR(__xludf.DUMMYFUNCTION("""COMPUTED_VALUE"""),528.89)</f>
        <v>528.89</v>
      </c>
      <c r="M934" s="1">
        <f ca="1">IFERROR(__xludf.DUMMYFUNCTION("""COMPUTED_VALUE"""),396.94)</f>
        <v>396.94</v>
      </c>
    </row>
    <row r="935" spans="1:13" x14ac:dyDescent="0.25">
      <c r="A935" s="2">
        <f ca="1">IFERROR(__xludf.DUMMYFUNCTION("""COMPUTED_VALUE"""),45188.6666666666)</f>
        <v>45188.666666666599</v>
      </c>
      <c r="B935" s="1">
        <f ca="1">IFERROR(__xludf.DUMMYFUNCTION("""COMPUTED_VALUE"""),179.07)</f>
        <v>179.07</v>
      </c>
      <c r="C935" s="1">
        <f ca="1">IFERROR(__xludf.DUMMYFUNCTION("""COMPUTED_VALUE"""),329.06)</f>
        <v>329.06</v>
      </c>
      <c r="D935" s="1">
        <f ca="1">IFERROR(__xludf.DUMMYFUNCTION("""COMPUTED_VALUE"""),139.98)</f>
        <v>139.97999999999999</v>
      </c>
      <c r="E935" s="1">
        <f ca="1">IFERROR(__xludf.DUMMYFUNCTION("""COMPUTED_VALUE"""),43.97)</f>
        <v>43.97</v>
      </c>
      <c r="F935" s="1">
        <f ca="1">IFERROR(__xludf.DUMMYFUNCTION("""COMPUTED_VALUE"""),302.55)</f>
        <v>302.55</v>
      </c>
      <c r="G935" s="1">
        <f ca="1">IFERROR(__xludf.DUMMYFUNCTION("""COMPUTED_VALUE"""),138.96)</f>
        <v>138.96</v>
      </c>
      <c r="H935" s="1">
        <f ca="1">IFERROR(__xludf.DUMMYFUNCTION("""COMPUTED_VALUE"""),265.28)</f>
        <v>265.27999999999997</v>
      </c>
      <c r="I935" s="1">
        <f ca="1">IFERROR(__xludf.DUMMYFUNCTION("""COMPUTED_VALUE"""),179.38)</f>
        <v>179.38</v>
      </c>
      <c r="J935" s="1">
        <f ca="1">IFERROR(__xludf.DUMMYFUNCTION("""COMPUTED_VALUE"""),562.72)</f>
        <v>562.72</v>
      </c>
      <c r="K935" s="1">
        <f ca="1">IFERROR(__xludf.DUMMYFUNCTION("""COMPUTED_VALUE"""),85)</f>
        <v>85</v>
      </c>
      <c r="L935" s="1">
        <f ca="1">IFERROR(__xludf.DUMMYFUNCTION("""COMPUTED_VALUE"""),532.42)</f>
        <v>532.41999999999996</v>
      </c>
      <c r="M935" s="1">
        <f ca="1">IFERROR(__xludf.DUMMYFUNCTION("""COMPUTED_VALUE"""),394.4)</f>
        <v>394.4</v>
      </c>
    </row>
    <row r="936" spans="1:13" x14ac:dyDescent="0.25">
      <c r="A936" s="2">
        <f ca="1">IFERROR(__xludf.DUMMYFUNCTION("""COMPUTED_VALUE"""),45189.6666666666)</f>
        <v>45189.666666666599</v>
      </c>
      <c r="B936" s="1">
        <f ca="1">IFERROR(__xludf.DUMMYFUNCTION("""COMPUTED_VALUE"""),175.49)</f>
        <v>175.49</v>
      </c>
      <c r="C936" s="1">
        <f ca="1">IFERROR(__xludf.DUMMYFUNCTION("""COMPUTED_VALUE"""),328.65)</f>
        <v>328.65</v>
      </c>
      <c r="D936" s="1">
        <f ca="1">IFERROR(__xludf.DUMMYFUNCTION("""COMPUTED_VALUE"""),137.63)</f>
        <v>137.63</v>
      </c>
      <c r="E936" s="1">
        <f ca="1">IFERROR(__xludf.DUMMYFUNCTION("""COMPUTED_VALUE"""),43.52)</f>
        <v>43.52</v>
      </c>
      <c r="F936" s="1">
        <f ca="1">IFERROR(__xludf.DUMMYFUNCTION("""COMPUTED_VALUE"""),305.07)</f>
        <v>305.07</v>
      </c>
      <c r="G936" s="1">
        <f ca="1">IFERROR(__xludf.DUMMYFUNCTION("""COMPUTED_VALUE"""),138.83)</f>
        <v>138.83000000000001</v>
      </c>
      <c r="H936" s="1">
        <f ca="1">IFERROR(__xludf.DUMMYFUNCTION("""COMPUTED_VALUE"""),266.5)</f>
        <v>266.5</v>
      </c>
      <c r="I936" s="1">
        <f ca="1">IFERROR(__xludf.DUMMYFUNCTION("""COMPUTED_VALUE"""),178.32)</f>
        <v>178.32</v>
      </c>
      <c r="J936" s="1">
        <f ca="1">IFERROR(__xludf.DUMMYFUNCTION("""COMPUTED_VALUE"""),564.35)</f>
        <v>564.35</v>
      </c>
      <c r="K936" s="1">
        <f ca="1">IFERROR(__xludf.DUMMYFUNCTION("""COMPUTED_VALUE"""),84.92)</f>
        <v>84.92</v>
      </c>
      <c r="L936" s="1">
        <f ca="1">IFERROR(__xludf.DUMMYFUNCTION("""COMPUTED_VALUE"""),541.69)</f>
        <v>541.69000000000005</v>
      </c>
      <c r="M936" s="1">
        <f ca="1">IFERROR(__xludf.DUMMYFUNCTION("""COMPUTED_VALUE"""),396.2)</f>
        <v>396.2</v>
      </c>
    </row>
    <row r="937" spans="1:13" x14ac:dyDescent="0.25">
      <c r="A937" s="2">
        <f ca="1">IFERROR(__xludf.DUMMYFUNCTION("""COMPUTED_VALUE"""),45190.6666666666)</f>
        <v>45190.666666666599</v>
      </c>
      <c r="B937" s="1">
        <f ca="1">IFERROR(__xludf.DUMMYFUNCTION("""COMPUTED_VALUE"""),173.93)</f>
        <v>173.93</v>
      </c>
      <c r="C937" s="1">
        <f ca="1">IFERROR(__xludf.DUMMYFUNCTION("""COMPUTED_VALUE"""),320.77)</f>
        <v>320.77</v>
      </c>
      <c r="D937" s="1">
        <f ca="1">IFERROR(__xludf.DUMMYFUNCTION("""COMPUTED_VALUE"""),135.29)</f>
        <v>135.29</v>
      </c>
      <c r="E937" s="1">
        <f ca="1">IFERROR(__xludf.DUMMYFUNCTION("""COMPUTED_VALUE"""),42.24)</f>
        <v>42.24</v>
      </c>
      <c r="F937" s="1">
        <f ca="1">IFERROR(__xludf.DUMMYFUNCTION("""COMPUTED_VALUE"""),299.67)</f>
        <v>299.67</v>
      </c>
      <c r="G937" s="1">
        <f ca="1">IFERROR(__xludf.DUMMYFUNCTION("""COMPUTED_VALUE"""),134.59)</f>
        <v>134.59</v>
      </c>
      <c r="H937" s="1">
        <f ca="1">IFERROR(__xludf.DUMMYFUNCTION("""COMPUTED_VALUE"""),262.59)</f>
        <v>262.58999999999997</v>
      </c>
      <c r="I937" s="1">
        <f ca="1">IFERROR(__xludf.DUMMYFUNCTION("""COMPUTED_VALUE"""),178.38)</f>
        <v>178.38</v>
      </c>
      <c r="J937" s="1">
        <f ca="1">IFERROR(__xludf.DUMMYFUNCTION("""COMPUTED_VALUE"""),563.83)</f>
        <v>563.83000000000004</v>
      </c>
      <c r="K937" s="1">
        <f ca="1">IFERROR(__xludf.DUMMYFUNCTION("""COMPUTED_VALUE"""),83.06)</f>
        <v>83.06</v>
      </c>
      <c r="L937" s="1">
        <f ca="1">IFERROR(__xludf.DUMMYFUNCTION("""COMPUTED_VALUE"""),535.78)</f>
        <v>535.78</v>
      </c>
      <c r="M937" s="1">
        <f ca="1">IFERROR(__xludf.DUMMYFUNCTION("""COMPUTED_VALUE"""),386.3)</f>
        <v>386.3</v>
      </c>
    </row>
    <row r="938" spans="1:13" x14ac:dyDescent="0.25">
      <c r="A938" s="2">
        <f ca="1">IFERROR(__xludf.DUMMYFUNCTION("""COMPUTED_VALUE"""),45191.6666666666)</f>
        <v>45191.666666666599</v>
      </c>
      <c r="B938" s="1">
        <f ca="1">IFERROR(__xludf.DUMMYFUNCTION("""COMPUTED_VALUE"""),174.79)</f>
        <v>174.79</v>
      </c>
      <c r="C938" s="1">
        <f ca="1">IFERROR(__xludf.DUMMYFUNCTION("""COMPUTED_VALUE"""),319.53)</f>
        <v>319.52999999999997</v>
      </c>
      <c r="D938" s="1">
        <f ca="1">IFERROR(__xludf.DUMMYFUNCTION("""COMPUTED_VALUE"""),129.33)</f>
        <v>129.33000000000001</v>
      </c>
      <c r="E938" s="1">
        <f ca="1">IFERROR(__xludf.DUMMYFUNCTION("""COMPUTED_VALUE"""),41.02)</f>
        <v>41.02</v>
      </c>
      <c r="F938" s="1">
        <f ca="1">IFERROR(__xludf.DUMMYFUNCTION("""COMPUTED_VALUE"""),295.73)</f>
        <v>295.73</v>
      </c>
      <c r="G938" s="1">
        <f ca="1">IFERROR(__xludf.DUMMYFUNCTION("""COMPUTED_VALUE"""),131.36)</f>
        <v>131.36000000000001</v>
      </c>
      <c r="H938" s="1">
        <f ca="1">IFERROR(__xludf.DUMMYFUNCTION("""COMPUTED_VALUE"""),255.7)</f>
        <v>255.7</v>
      </c>
      <c r="I938" s="1">
        <f ca="1">IFERROR(__xludf.DUMMYFUNCTION("""COMPUTED_VALUE"""),175.38)</f>
        <v>175.38</v>
      </c>
      <c r="J938" s="1">
        <f ca="1">IFERROR(__xludf.DUMMYFUNCTION("""COMPUTED_VALUE"""),555.08)</f>
        <v>555.08000000000004</v>
      </c>
      <c r="K938" s="1">
        <f ca="1">IFERROR(__xludf.DUMMYFUNCTION("""COMPUTED_VALUE"""),80.84)</f>
        <v>80.84</v>
      </c>
      <c r="L938" s="1">
        <f ca="1">IFERROR(__xludf.DUMMYFUNCTION("""COMPUTED_VALUE"""),513.88)</f>
        <v>513.88</v>
      </c>
      <c r="M938" s="1">
        <f ca="1">IFERROR(__xludf.DUMMYFUNCTION("""COMPUTED_VALUE"""),384.15)</f>
        <v>384.15</v>
      </c>
    </row>
    <row r="939" spans="1:13" x14ac:dyDescent="0.25">
      <c r="A939" s="2">
        <f ca="1">IFERROR(__xludf.DUMMYFUNCTION("""COMPUTED_VALUE"""),45194.6666666666)</f>
        <v>45194.666666666599</v>
      </c>
      <c r="B939" s="1">
        <f ca="1">IFERROR(__xludf.DUMMYFUNCTION("""COMPUTED_VALUE"""),176.08)</f>
        <v>176.08</v>
      </c>
      <c r="C939" s="1">
        <f ca="1">IFERROR(__xludf.DUMMYFUNCTION("""COMPUTED_VALUE"""),317.01)</f>
        <v>317.01</v>
      </c>
      <c r="D939" s="1">
        <f ca="1">IFERROR(__xludf.DUMMYFUNCTION("""COMPUTED_VALUE"""),129.12)</f>
        <v>129.12</v>
      </c>
      <c r="E939" s="1">
        <f ca="1">IFERROR(__xludf.DUMMYFUNCTION("""COMPUTED_VALUE"""),41.61)</f>
        <v>41.61</v>
      </c>
      <c r="F939" s="1">
        <f ca="1">IFERROR(__xludf.DUMMYFUNCTION("""COMPUTED_VALUE"""),299.08)</f>
        <v>299.08</v>
      </c>
      <c r="G939" s="1">
        <f ca="1">IFERROR(__xludf.DUMMYFUNCTION("""COMPUTED_VALUE"""),131.25)</f>
        <v>131.25</v>
      </c>
      <c r="H939" s="1">
        <f ca="1">IFERROR(__xludf.DUMMYFUNCTION("""COMPUTED_VALUE"""),244.88)</f>
        <v>244.88</v>
      </c>
      <c r="I939" s="1">
        <f ca="1">IFERROR(__xludf.DUMMYFUNCTION("""COMPUTED_VALUE"""),175.27)</f>
        <v>175.27</v>
      </c>
      <c r="J939" s="1">
        <f ca="1">IFERROR(__xludf.DUMMYFUNCTION("""COMPUTED_VALUE"""),558.59)</f>
        <v>558.59</v>
      </c>
      <c r="K939" s="1">
        <f ca="1">IFERROR(__xludf.DUMMYFUNCTION("""COMPUTED_VALUE"""),82.91)</f>
        <v>82.91</v>
      </c>
      <c r="L939" s="1">
        <f ca="1">IFERROR(__xludf.DUMMYFUNCTION("""COMPUTED_VALUE"""),512.9)</f>
        <v>512.9</v>
      </c>
      <c r="M939" s="1">
        <f ca="1">IFERROR(__xludf.DUMMYFUNCTION("""COMPUTED_VALUE"""),379.81)</f>
        <v>379.81</v>
      </c>
    </row>
    <row r="940" spans="1:13" x14ac:dyDescent="0.25">
      <c r="A940" s="2">
        <f ca="1">IFERROR(__xludf.DUMMYFUNCTION("""COMPUTED_VALUE"""),45195.6666666666)</f>
        <v>45195.666666666599</v>
      </c>
      <c r="B940" s="1">
        <f ca="1">IFERROR(__xludf.DUMMYFUNCTION("""COMPUTED_VALUE"""),171.96)</f>
        <v>171.96</v>
      </c>
      <c r="C940" s="1">
        <f ca="1">IFERROR(__xludf.DUMMYFUNCTION("""COMPUTED_VALUE"""),317.54)</f>
        <v>317.54000000000002</v>
      </c>
      <c r="D940" s="1">
        <f ca="1">IFERROR(__xludf.DUMMYFUNCTION("""COMPUTED_VALUE"""),131.27)</f>
        <v>131.27000000000001</v>
      </c>
      <c r="E940" s="1">
        <f ca="1">IFERROR(__xludf.DUMMYFUNCTION("""COMPUTED_VALUE"""),42.22)</f>
        <v>42.22</v>
      </c>
      <c r="F940" s="1">
        <f ca="1">IFERROR(__xludf.DUMMYFUNCTION("""COMPUTED_VALUE"""),300.83)</f>
        <v>300.83</v>
      </c>
      <c r="G940" s="1">
        <f ca="1">IFERROR(__xludf.DUMMYFUNCTION("""COMPUTED_VALUE"""),132.17)</f>
        <v>132.16999999999999</v>
      </c>
      <c r="H940" s="1">
        <f ca="1">IFERROR(__xludf.DUMMYFUNCTION("""COMPUTED_VALUE"""),246.99)</f>
        <v>246.99</v>
      </c>
      <c r="I940" s="1">
        <f ca="1">IFERROR(__xludf.DUMMYFUNCTION("""COMPUTED_VALUE"""),174.33)</f>
        <v>174.33</v>
      </c>
      <c r="J940" s="1">
        <f ca="1">IFERROR(__xludf.DUMMYFUNCTION("""COMPUTED_VALUE"""),558.62)</f>
        <v>558.62</v>
      </c>
      <c r="K940" s="1">
        <f ca="1">IFERROR(__xludf.DUMMYFUNCTION("""COMPUTED_VALUE"""),83.39)</f>
        <v>83.39</v>
      </c>
      <c r="L940" s="1">
        <f ca="1">IFERROR(__xludf.DUMMYFUNCTION("""COMPUTED_VALUE"""),511.6)</f>
        <v>511.6</v>
      </c>
      <c r="M940" s="1">
        <f ca="1">IFERROR(__xludf.DUMMYFUNCTION("""COMPUTED_VALUE"""),384.8)</f>
        <v>384.8</v>
      </c>
    </row>
    <row r="941" spans="1:13" x14ac:dyDescent="0.25">
      <c r="A941" s="2">
        <f ca="1">IFERROR(__xludf.DUMMYFUNCTION("""COMPUTED_VALUE"""),45196.6666666666)</f>
        <v>45196.666666666599</v>
      </c>
      <c r="B941" s="1">
        <f ca="1">IFERROR(__xludf.DUMMYFUNCTION("""COMPUTED_VALUE"""),170.43)</f>
        <v>170.43</v>
      </c>
      <c r="C941" s="1">
        <f ca="1">IFERROR(__xludf.DUMMYFUNCTION("""COMPUTED_VALUE"""),312.14)</f>
        <v>312.14</v>
      </c>
      <c r="D941" s="1">
        <f ca="1">IFERROR(__xludf.DUMMYFUNCTION("""COMPUTED_VALUE"""),125.98)</f>
        <v>125.98</v>
      </c>
      <c r="E941" s="1">
        <f ca="1">IFERROR(__xludf.DUMMYFUNCTION("""COMPUTED_VALUE"""),41.91)</f>
        <v>41.91</v>
      </c>
      <c r="F941" s="1">
        <f ca="1">IFERROR(__xludf.DUMMYFUNCTION("""COMPUTED_VALUE"""),298.96)</f>
        <v>298.95999999999998</v>
      </c>
      <c r="G941" s="1">
        <f ca="1">IFERROR(__xludf.DUMMYFUNCTION("""COMPUTED_VALUE"""),129.45)</f>
        <v>129.44999999999999</v>
      </c>
      <c r="H941" s="1">
        <f ca="1">IFERROR(__xludf.DUMMYFUNCTION("""COMPUTED_VALUE"""),244.12)</f>
        <v>244.12</v>
      </c>
      <c r="I941" s="1">
        <f ca="1">IFERROR(__xludf.DUMMYFUNCTION("""COMPUTED_VALUE"""),172.52)</f>
        <v>172.52</v>
      </c>
      <c r="J941" s="1">
        <f ca="1">IFERROR(__xludf.DUMMYFUNCTION("""COMPUTED_VALUE"""),552.96)</f>
        <v>552.96</v>
      </c>
      <c r="K941" s="1">
        <f ca="1">IFERROR(__xludf.DUMMYFUNCTION("""COMPUTED_VALUE"""),81.62)</f>
        <v>81.62</v>
      </c>
      <c r="L941" s="1">
        <f ca="1">IFERROR(__xludf.DUMMYFUNCTION("""COMPUTED_VALUE"""),506.3)</f>
        <v>506.3</v>
      </c>
      <c r="M941" s="1">
        <f ca="1">IFERROR(__xludf.DUMMYFUNCTION("""COMPUTED_VALUE"""),379.25)</f>
        <v>379.25</v>
      </c>
    </row>
    <row r="942" spans="1:13" x14ac:dyDescent="0.25">
      <c r="A942" s="2">
        <f ca="1">IFERROR(__xludf.DUMMYFUNCTION("""COMPUTED_VALUE"""),45197.6666666666)</f>
        <v>45197.666666666599</v>
      </c>
      <c r="B942" s="1">
        <f ca="1">IFERROR(__xludf.DUMMYFUNCTION("""COMPUTED_VALUE"""),170.69)</f>
        <v>170.69</v>
      </c>
      <c r="C942" s="1">
        <f ca="1">IFERROR(__xludf.DUMMYFUNCTION("""COMPUTED_VALUE"""),312.79)</f>
        <v>312.79000000000002</v>
      </c>
      <c r="D942" s="1">
        <f ca="1">IFERROR(__xludf.DUMMYFUNCTION("""COMPUTED_VALUE"""),125.98)</f>
        <v>125.98</v>
      </c>
      <c r="E942" s="1">
        <f ca="1">IFERROR(__xludf.DUMMYFUNCTION("""COMPUTED_VALUE"""),42.47)</f>
        <v>42.47</v>
      </c>
      <c r="F942" s="1">
        <f ca="1">IFERROR(__xludf.DUMMYFUNCTION("""COMPUTED_VALUE"""),297.74)</f>
        <v>297.74</v>
      </c>
      <c r="G942" s="1">
        <f ca="1">IFERROR(__xludf.DUMMYFUNCTION("""COMPUTED_VALUE"""),131.46)</f>
        <v>131.46</v>
      </c>
      <c r="H942" s="1">
        <f ca="1">IFERROR(__xludf.DUMMYFUNCTION("""COMPUTED_VALUE"""),240.5)</f>
        <v>240.5</v>
      </c>
      <c r="I942" s="1">
        <f ca="1">IFERROR(__xludf.DUMMYFUNCTION("""COMPUTED_VALUE"""),169.57)</f>
        <v>169.57</v>
      </c>
      <c r="J942" s="1">
        <f ca="1">IFERROR(__xludf.DUMMYFUNCTION("""COMPUTED_VALUE"""),563.53)</f>
        <v>563.53</v>
      </c>
      <c r="K942" s="1">
        <f ca="1">IFERROR(__xludf.DUMMYFUNCTION("""COMPUTED_VALUE"""),81.68)</f>
        <v>81.680000000000007</v>
      </c>
      <c r="L942" s="1">
        <f ca="1">IFERROR(__xludf.DUMMYFUNCTION("""COMPUTED_VALUE"""),502.6)</f>
        <v>502.6</v>
      </c>
      <c r="M942" s="1">
        <f ca="1">IFERROR(__xludf.DUMMYFUNCTION("""COMPUTED_VALUE"""),377.59)</f>
        <v>377.59</v>
      </c>
    </row>
    <row r="943" spans="1:13" x14ac:dyDescent="0.25">
      <c r="A943" s="2">
        <f ca="1">IFERROR(__xludf.DUMMYFUNCTION("""COMPUTED_VALUE"""),45198.6666666666)</f>
        <v>45198.666666666599</v>
      </c>
      <c r="B943" s="1">
        <f ca="1">IFERROR(__xludf.DUMMYFUNCTION("""COMPUTED_VALUE"""),171.21)</f>
        <v>171.21</v>
      </c>
      <c r="C943" s="1">
        <f ca="1">IFERROR(__xludf.DUMMYFUNCTION("""COMPUTED_VALUE"""),313.64)</f>
        <v>313.64</v>
      </c>
      <c r="D943" s="1">
        <f ca="1">IFERROR(__xludf.DUMMYFUNCTION("""COMPUTED_VALUE"""),125.98)</f>
        <v>125.98</v>
      </c>
      <c r="E943" s="1">
        <f ca="1">IFERROR(__xludf.DUMMYFUNCTION("""COMPUTED_VALUE"""),43.09)</f>
        <v>43.09</v>
      </c>
      <c r="F943" s="1">
        <f ca="1">IFERROR(__xludf.DUMMYFUNCTION("""COMPUTED_VALUE"""),303.96)</f>
        <v>303.95999999999998</v>
      </c>
      <c r="G943" s="1">
        <f ca="1">IFERROR(__xludf.DUMMYFUNCTION("""COMPUTED_VALUE"""),133.13)</f>
        <v>133.13</v>
      </c>
      <c r="H943" s="1">
        <f ca="1">IFERROR(__xludf.DUMMYFUNCTION("""COMPUTED_VALUE"""),246.38)</f>
        <v>246.38</v>
      </c>
      <c r="I943" s="1">
        <f ca="1">IFERROR(__xludf.DUMMYFUNCTION("""COMPUTED_VALUE"""),169.5)</f>
        <v>169.5</v>
      </c>
      <c r="J943" s="1">
        <f ca="1">IFERROR(__xludf.DUMMYFUNCTION("""COMPUTED_VALUE"""),568.63)</f>
        <v>568.63</v>
      </c>
      <c r="K943" s="1">
        <f ca="1">IFERROR(__xludf.DUMMYFUNCTION("""COMPUTED_VALUE"""),83.2)</f>
        <v>83.2</v>
      </c>
      <c r="L943" s="1">
        <f ca="1">IFERROR(__xludf.DUMMYFUNCTION("""COMPUTED_VALUE"""),504.67)</f>
        <v>504.67</v>
      </c>
      <c r="M943" s="1">
        <f ca="1">IFERROR(__xludf.DUMMYFUNCTION("""COMPUTED_VALUE"""),376.36)</f>
        <v>376.36</v>
      </c>
    </row>
    <row r="944" spans="1:13" x14ac:dyDescent="0.25">
      <c r="A944" s="2">
        <f ca="1">IFERROR(__xludf.DUMMYFUNCTION("""COMPUTED_VALUE"""),45201.6666666666)</f>
        <v>45201.666666666599</v>
      </c>
      <c r="B944" s="1">
        <f ca="1">IFERROR(__xludf.DUMMYFUNCTION("""COMPUTED_VALUE"""),173.75)</f>
        <v>173.75</v>
      </c>
      <c r="C944" s="1">
        <f ca="1">IFERROR(__xludf.DUMMYFUNCTION("""COMPUTED_VALUE"""),315.75)</f>
        <v>315.75</v>
      </c>
      <c r="D944" s="1">
        <f ca="1">IFERROR(__xludf.DUMMYFUNCTION("""COMPUTED_VALUE"""),127.12)</f>
        <v>127.12</v>
      </c>
      <c r="E944" s="1">
        <f ca="1">IFERROR(__xludf.DUMMYFUNCTION("""COMPUTED_VALUE"""),43.5)</f>
        <v>43.5</v>
      </c>
      <c r="F944" s="1">
        <f ca="1">IFERROR(__xludf.DUMMYFUNCTION("""COMPUTED_VALUE"""),300.21)</f>
        <v>300.20999999999998</v>
      </c>
      <c r="G944" s="1">
        <f ca="1">IFERROR(__xludf.DUMMYFUNCTION("""COMPUTED_VALUE"""),131.85)</f>
        <v>131.85</v>
      </c>
      <c r="H944" s="1">
        <f ca="1">IFERROR(__xludf.DUMMYFUNCTION("""COMPUTED_VALUE"""),250.22)</f>
        <v>250.22</v>
      </c>
      <c r="I944" s="1">
        <f ca="1">IFERROR(__xludf.DUMMYFUNCTION("""COMPUTED_VALUE"""),169.44)</f>
        <v>169.44</v>
      </c>
      <c r="J944" s="1">
        <f ca="1">IFERROR(__xludf.DUMMYFUNCTION("""COMPUTED_VALUE"""),564.96)</f>
        <v>564.96</v>
      </c>
      <c r="K944" s="1">
        <f ca="1">IFERROR(__xludf.DUMMYFUNCTION("""COMPUTED_VALUE"""),83.06)</f>
        <v>83.06</v>
      </c>
      <c r="L944" s="1">
        <f ca="1">IFERROR(__xludf.DUMMYFUNCTION("""COMPUTED_VALUE"""),509.9)</f>
        <v>509.9</v>
      </c>
      <c r="M944" s="1">
        <f ca="1">IFERROR(__xludf.DUMMYFUNCTION("""COMPUTED_VALUE"""),377.6)</f>
        <v>377.6</v>
      </c>
    </row>
    <row r="945" spans="1:13" x14ac:dyDescent="0.25">
      <c r="A945" s="2">
        <f ca="1">IFERROR(__xludf.DUMMYFUNCTION("""COMPUTED_VALUE"""),45202.6666666666)</f>
        <v>45202.666666666599</v>
      </c>
      <c r="B945" s="1">
        <f ca="1">IFERROR(__xludf.DUMMYFUNCTION("""COMPUTED_VALUE"""),172.4)</f>
        <v>172.4</v>
      </c>
      <c r="C945" s="1">
        <f ca="1">IFERROR(__xludf.DUMMYFUNCTION("""COMPUTED_VALUE"""),321.8)</f>
        <v>321.8</v>
      </c>
      <c r="D945" s="1">
        <f ca="1">IFERROR(__xludf.DUMMYFUNCTION("""COMPUTED_VALUE"""),129.46)</f>
        <v>129.46</v>
      </c>
      <c r="E945" s="1">
        <f ca="1">IFERROR(__xludf.DUMMYFUNCTION("""COMPUTED_VALUE"""),44.78)</f>
        <v>44.78</v>
      </c>
      <c r="F945" s="1">
        <f ca="1">IFERROR(__xludf.DUMMYFUNCTION("""COMPUTED_VALUE"""),306.82)</f>
        <v>306.82</v>
      </c>
      <c r="G945" s="1">
        <f ca="1">IFERROR(__xludf.DUMMYFUNCTION("""COMPUTED_VALUE"""),135.17)</f>
        <v>135.16999999999999</v>
      </c>
      <c r="H945" s="1">
        <f ca="1">IFERROR(__xludf.DUMMYFUNCTION("""COMPUTED_VALUE"""),251.6)</f>
        <v>251.6</v>
      </c>
      <c r="I945" s="1">
        <f ca="1">IFERROR(__xludf.DUMMYFUNCTION("""COMPUTED_VALUE"""),169.17)</f>
        <v>169.17</v>
      </c>
      <c r="J945" s="1">
        <f ca="1">IFERROR(__xludf.DUMMYFUNCTION("""COMPUTED_VALUE"""),571.31)</f>
        <v>571.30999999999995</v>
      </c>
      <c r="K945" s="1">
        <f ca="1">IFERROR(__xludf.DUMMYFUNCTION("""COMPUTED_VALUE"""),83.5)</f>
        <v>83.5</v>
      </c>
      <c r="L945" s="1">
        <f ca="1">IFERROR(__xludf.DUMMYFUNCTION("""COMPUTED_VALUE"""),521.13)</f>
        <v>521.13</v>
      </c>
      <c r="M945" s="1">
        <f ca="1">IFERROR(__xludf.DUMMYFUNCTION("""COMPUTED_VALUE"""),380.33)</f>
        <v>380.33</v>
      </c>
    </row>
    <row r="946" spans="1:13" x14ac:dyDescent="0.25">
      <c r="A946" s="2">
        <f ca="1">IFERROR(__xludf.DUMMYFUNCTION("""COMPUTED_VALUE"""),45203.6666666666)</f>
        <v>45203.666666666599</v>
      </c>
      <c r="B946" s="1">
        <f ca="1">IFERROR(__xludf.DUMMYFUNCTION("""COMPUTED_VALUE"""),173.66)</f>
        <v>173.66</v>
      </c>
      <c r="C946" s="1">
        <f ca="1">IFERROR(__xludf.DUMMYFUNCTION("""COMPUTED_VALUE"""),313.39)</f>
        <v>313.39</v>
      </c>
      <c r="D946" s="1">
        <f ca="1">IFERROR(__xludf.DUMMYFUNCTION("""COMPUTED_VALUE"""),124.72)</f>
        <v>124.72</v>
      </c>
      <c r="E946" s="1">
        <f ca="1">IFERROR(__xludf.DUMMYFUNCTION("""COMPUTED_VALUE"""),43.52)</f>
        <v>43.52</v>
      </c>
      <c r="F946" s="1">
        <f ca="1">IFERROR(__xludf.DUMMYFUNCTION("""COMPUTED_VALUE"""),300.94)</f>
        <v>300.94</v>
      </c>
      <c r="G946" s="1">
        <f ca="1">IFERROR(__xludf.DUMMYFUNCTION("""COMPUTED_VALUE"""),133.3)</f>
        <v>133.30000000000001</v>
      </c>
      <c r="H946" s="1">
        <f ca="1">IFERROR(__xludf.DUMMYFUNCTION("""COMPUTED_VALUE"""),246.53)</f>
        <v>246.53</v>
      </c>
      <c r="I946" s="1">
        <f ca="1">IFERROR(__xludf.DUMMYFUNCTION("""COMPUTED_VALUE"""),167.7)</f>
        <v>167.7</v>
      </c>
      <c r="J946" s="1">
        <f ca="1">IFERROR(__xludf.DUMMYFUNCTION("""COMPUTED_VALUE"""),565.04)</f>
        <v>565.04</v>
      </c>
      <c r="K946" s="1">
        <f ca="1">IFERROR(__xludf.DUMMYFUNCTION("""COMPUTED_VALUE"""),81.48)</f>
        <v>81.48</v>
      </c>
      <c r="L946" s="1">
        <f ca="1">IFERROR(__xludf.DUMMYFUNCTION("""COMPUTED_VALUE"""),507.03)</f>
        <v>507.03</v>
      </c>
      <c r="M946" s="1">
        <f ca="1">IFERROR(__xludf.DUMMYFUNCTION("""COMPUTED_VALUE"""),376.75)</f>
        <v>376.75</v>
      </c>
    </row>
    <row r="947" spans="1:13" x14ac:dyDescent="0.25">
      <c r="A947" s="2">
        <f ca="1">IFERROR(__xludf.DUMMYFUNCTION("""COMPUTED_VALUE"""),45204.6666666666)</f>
        <v>45204.666666666599</v>
      </c>
      <c r="B947" s="1">
        <f ca="1">IFERROR(__xludf.DUMMYFUNCTION("""COMPUTED_VALUE"""),174.91)</f>
        <v>174.91</v>
      </c>
      <c r="C947" s="1">
        <f ca="1">IFERROR(__xludf.DUMMYFUNCTION("""COMPUTED_VALUE"""),318.96)</f>
        <v>318.95999999999998</v>
      </c>
      <c r="D947" s="1">
        <f ca="1">IFERROR(__xludf.DUMMYFUNCTION("""COMPUTED_VALUE"""),127)</f>
        <v>127</v>
      </c>
      <c r="E947" s="1">
        <f ca="1">IFERROR(__xludf.DUMMYFUNCTION("""COMPUTED_VALUE"""),44.04)</f>
        <v>44.04</v>
      </c>
      <c r="F947" s="1">
        <f ca="1">IFERROR(__xludf.DUMMYFUNCTION("""COMPUTED_VALUE"""),305.58)</f>
        <v>305.58</v>
      </c>
      <c r="G947" s="1">
        <f ca="1">IFERROR(__xludf.DUMMYFUNCTION("""COMPUTED_VALUE"""),136.27)</f>
        <v>136.27000000000001</v>
      </c>
      <c r="H947" s="1">
        <f ca="1">IFERROR(__xludf.DUMMYFUNCTION("""COMPUTED_VALUE"""),261.16)</f>
        <v>261.16000000000003</v>
      </c>
      <c r="I947" s="1">
        <f ca="1">IFERROR(__xludf.DUMMYFUNCTION("""COMPUTED_VALUE"""),168.91)</f>
        <v>168.91</v>
      </c>
      <c r="J947" s="1">
        <f ca="1">IFERROR(__xludf.DUMMYFUNCTION("""COMPUTED_VALUE"""),571.8)</f>
        <v>571.79999999999995</v>
      </c>
      <c r="K947" s="1">
        <f ca="1">IFERROR(__xludf.DUMMYFUNCTION("""COMPUTED_VALUE"""),82.38)</f>
        <v>82.38</v>
      </c>
      <c r="L947" s="1">
        <f ca="1">IFERROR(__xludf.DUMMYFUNCTION("""COMPUTED_VALUE"""),518.42)</f>
        <v>518.41999999999996</v>
      </c>
      <c r="M947" s="1">
        <f ca="1">IFERROR(__xludf.DUMMYFUNCTION("""COMPUTED_VALUE"""),376.9)</f>
        <v>376.9</v>
      </c>
    </row>
    <row r="948" spans="1:13" x14ac:dyDescent="0.25">
      <c r="A948" s="2">
        <f ca="1">IFERROR(__xludf.DUMMYFUNCTION("""COMPUTED_VALUE"""),45205.6666666666)</f>
        <v>45205.666666666599</v>
      </c>
      <c r="B948" s="1">
        <f ca="1">IFERROR(__xludf.DUMMYFUNCTION("""COMPUTED_VALUE"""),177.49)</f>
        <v>177.49</v>
      </c>
      <c r="C948" s="1">
        <f ca="1">IFERROR(__xludf.DUMMYFUNCTION("""COMPUTED_VALUE"""),319.36)</f>
        <v>319.36</v>
      </c>
      <c r="D948" s="1">
        <f ca="1">IFERROR(__xludf.DUMMYFUNCTION("""COMPUTED_VALUE"""),125.96)</f>
        <v>125.96</v>
      </c>
      <c r="E948" s="1">
        <f ca="1">IFERROR(__xludf.DUMMYFUNCTION("""COMPUTED_VALUE"""),44.69)</f>
        <v>44.69</v>
      </c>
      <c r="F948" s="1">
        <f ca="1">IFERROR(__xludf.DUMMYFUNCTION("""COMPUTED_VALUE"""),304.79)</f>
        <v>304.79000000000002</v>
      </c>
      <c r="G948" s="1">
        <f ca="1">IFERROR(__xludf.DUMMYFUNCTION("""COMPUTED_VALUE"""),135.99)</f>
        <v>135.99</v>
      </c>
      <c r="H948" s="1">
        <f ca="1">IFERROR(__xludf.DUMMYFUNCTION("""COMPUTED_VALUE"""),260.05)</f>
        <v>260.05</v>
      </c>
      <c r="I948" s="1">
        <f ca="1">IFERROR(__xludf.DUMMYFUNCTION("""COMPUTED_VALUE"""),160.1)</f>
        <v>160.1</v>
      </c>
      <c r="J948" s="1">
        <f ca="1">IFERROR(__xludf.DUMMYFUNCTION("""COMPUTED_VALUE"""),569.52)</f>
        <v>569.52</v>
      </c>
      <c r="K948" s="1">
        <f ca="1">IFERROR(__xludf.DUMMYFUNCTION("""COMPUTED_VALUE"""),82.39)</f>
        <v>82.39</v>
      </c>
      <c r="L948" s="1">
        <f ca="1">IFERROR(__xludf.DUMMYFUNCTION("""COMPUTED_VALUE"""),516.44)</f>
        <v>516.44000000000005</v>
      </c>
      <c r="M948" s="1">
        <f ca="1">IFERROR(__xludf.DUMMYFUNCTION("""COMPUTED_VALUE"""),372.59)</f>
        <v>372.59</v>
      </c>
    </row>
    <row r="949" spans="1:13" x14ac:dyDescent="0.25">
      <c r="A949" s="2">
        <f ca="1">IFERROR(__xludf.DUMMYFUNCTION("""COMPUTED_VALUE"""),45208.6666666666)</f>
        <v>45208.666666666599</v>
      </c>
      <c r="B949" s="1">
        <f ca="1">IFERROR(__xludf.DUMMYFUNCTION("""COMPUTED_VALUE"""),178.99)</f>
        <v>178.99</v>
      </c>
      <c r="C949" s="1">
        <f ca="1">IFERROR(__xludf.DUMMYFUNCTION("""COMPUTED_VALUE"""),327.26)</f>
        <v>327.26</v>
      </c>
      <c r="D949" s="1">
        <f ca="1">IFERROR(__xludf.DUMMYFUNCTION("""COMPUTED_VALUE"""),127.96)</f>
        <v>127.96</v>
      </c>
      <c r="E949" s="1">
        <f ca="1">IFERROR(__xludf.DUMMYFUNCTION("""COMPUTED_VALUE"""),45.76)</f>
        <v>45.76</v>
      </c>
      <c r="F949" s="1">
        <f ca="1">IFERROR(__xludf.DUMMYFUNCTION("""COMPUTED_VALUE"""),315.43)</f>
        <v>315.43</v>
      </c>
      <c r="G949" s="1">
        <f ca="1">IFERROR(__xludf.DUMMYFUNCTION("""COMPUTED_VALUE"""),138.73)</f>
        <v>138.72999999999999</v>
      </c>
      <c r="H949" s="1">
        <f ca="1">IFERROR(__xludf.DUMMYFUNCTION("""COMPUTED_VALUE"""),260.53)</f>
        <v>260.52999999999997</v>
      </c>
      <c r="I949" s="1">
        <f ca="1">IFERROR(__xludf.DUMMYFUNCTION("""COMPUTED_VALUE"""),160.29)</f>
        <v>160.29</v>
      </c>
      <c r="J949" s="1">
        <f ca="1">IFERROR(__xludf.DUMMYFUNCTION("""COMPUTED_VALUE"""),557.53)</f>
        <v>557.53</v>
      </c>
      <c r="K949" s="1">
        <f ca="1">IFERROR(__xludf.DUMMYFUNCTION("""COMPUTED_VALUE"""),84.53)</f>
        <v>84.53</v>
      </c>
      <c r="L949" s="1">
        <f ca="1">IFERROR(__xludf.DUMMYFUNCTION("""COMPUTED_VALUE"""),526.68)</f>
        <v>526.67999999999995</v>
      </c>
      <c r="M949" s="1">
        <f ca="1">IFERROR(__xludf.DUMMYFUNCTION("""COMPUTED_VALUE"""),381.51)</f>
        <v>381.51</v>
      </c>
    </row>
    <row r="950" spans="1:13" x14ac:dyDescent="0.25">
      <c r="A950" s="2">
        <f ca="1">IFERROR(__xludf.DUMMYFUNCTION("""COMPUTED_VALUE"""),45209.6666666666)</f>
        <v>45209.666666666599</v>
      </c>
      <c r="B950" s="1">
        <f ca="1">IFERROR(__xludf.DUMMYFUNCTION("""COMPUTED_VALUE"""),178.39)</f>
        <v>178.39</v>
      </c>
      <c r="C950" s="1">
        <f ca="1">IFERROR(__xludf.DUMMYFUNCTION("""COMPUTED_VALUE"""),329.82)</f>
        <v>329.82</v>
      </c>
      <c r="D950" s="1">
        <f ca="1">IFERROR(__xludf.DUMMYFUNCTION("""COMPUTED_VALUE"""),128.26)</f>
        <v>128.26</v>
      </c>
      <c r="E950" s="1">
        <f ca="1">IFERROR(__xludf.DUMMYFUNCTION("""COMPUTED_VALUE"""),45.27)</f>
        <v>45.27</v>
      </c>
      <c r="F950" s="1">
        <f ca="1">IFERROR(__xludf.DUMMYFUNCTION("""COMPUTED_VALUE"""),318.36)</f>
        <v>318.36</v>
      </c>
      <c r="G950" s="1">
        <f ca="1">IFERROR(__xludf.DUMMYFUNCTION("""COMPUTED_VALUE"""),139.5)</f>
        <v>139.5</v>
      </c>
      <c r="H950" s="1">
        <f ca="1">IFERROR(__xludf.DUMMYFUNCTION("""COMPUTED_VALUE"""),259.67)</f>
        <v>259.67</v>
      </c>
      <c r="I950" s="1">
        <f ca="1">IFERROR(__xludf.DUMMYFUNCTION("""COMPUTED_VALUE"""),161.36)</f>
        <v>161.36000000000001</v>
      </c>
      <c r="J950" s="1">
        <f ca="1">IFERROR(__xludf.DUMMYFUNCTION("""COMPUTED_VALUE"""),558.97)</f>
        <v>558.97</v>
      </c>
      <c r="K950" s="1">
        <f ca="1">IFERROR(__xludf.DUMMYFUNCTION("""COMPUTED_VALUE"""),85.59)</f>
        <v>85.59</v>
      </c>
      <c r="L950" s="1">
        <f ca="1">IFERROR(__xludf.DUMMYFUNCTION("""COMPUTED_VALUE"""),529.29)</f>
        <v>529.29</v>
      </c>
      <c r="M950" s="1">
        <f ca="1">IFERROR(__xludf.DUMMYFUNCTION("""COMPUTED_VALUE"""),385.95)</f>
        <v>385.95</v>
      </c>
    </row>
    <row r="951" spans="1:13" x14ac:dyDescent="0.25">
      <c r="A951" s="2">
        <f ca="1">IFERROR(__xludf.DUMMYFUNCTION("""COMPUTED_VALUE"""),45210.6666666666)</f>
        <v>45210.666666666599</v>
      </c>
      <c r="B951" s="1">
        <f ca="1">IFERROR(__xludf.DUMMYFUNCTION("""COMPUTED_VALUE"""),179.8)</f>
        <v>179.8</v>
      </c>
      <c r="C951" s="1">
        <f ca="1">IFERROR(__xludf.DUMMYFUNCTION("""COMPUTED_VALUE"""),328.39)</f>
        <v>328.39</v>
      </c>
      <c r="D951" s="1">
        <f ca="1">IFERROR(__xludf.DUMMYFUNCTION("""COMPUTED_VALUE"""),129.48)</f>
        <v>129.47999999999999</v>
      </c>
      <c r="E951" s="1">
        <f ca="1">IFERROR(__xludf.DUMMYFUNCTION("""COMPUTED_VALUE"""),45.8)</f>
        <v>45.8</v>
      </c>
      <c r="F951" s="1">
        <f ca="1">IFERROR(__xludf.DUMMYFUNCTION("""COMPUTED_VALUE"""),321.84)</f>
        <v>321.83999999999997</v>
      </c>
      <c r="G951" s="1">
        <f ca="1">IFERROR(__xludf.DUMMYFUNCTION("""COMPUTED_VALUE"""),139.2)</f>
        <v>139.19999999999999</v>
      </c>
      <c r="H951" s="1">
        <f ca="1">IFERROR(__xludf.DUMMYFUNCTION("""COMPUTED_VALUE"""),263.62)</f>
        <v>263.62</v>
      </c>
      <c r="I951" s="1">
        <f ca="1">IFERROR(__xludf.DUMMYFUNCTION("""COMPUTED_VALUE"""),164.4)</f>
        <v>164.4</v>
      </c>
      <c r="J951" s="1">
        <f ca="1">IFERROR(__xludf.DUMMYFUNCTION("""COMPUTED_VALUE"""),562.09)</f>
        <v>562.09</v>
      </c>
      <c r="K951" s="1">
        <f ca="1">IFERROR(__xludf.DUMMYFUNCTION("""COMPUTED_VALUE"""),85.84)</f>
        <v>85.84</v>
      </c>
      <c r="L951" s="1">
        <f ca="1">IFERROR(__xludf.DUMMYFUNCTION("""COMPUTED_VALUE"""),532.72)</f>
        <v>532.72</v>
      </c>
      <c r="M951" s="1">
        <f ca="1">IFERROR(__xludf.DUMMYFUNCTION("""COMPUTED_VALUE"""),373.32)</f>
        <v>373.32</v>
      </c>
    </row>
    <row r="952" spans="1:13" x14ac:dyDescent="0.25">
      <c r="A952" s="2">
        <f ca="1">IFERROR(__xludf.DUMMYFUNCTION("""COMPUTED_VALUE"""),45211.6666666666)</f>
        <v>45211.666666666599</v>
      </c>
      <c r="B952" s="1">
        <f ca="1">IFERROR(__xludf.DUMMYFUNCTION("""COMPUTED_VALUE"""),180.71)</f>
        <v>180.71</v>
      </c>
      <c r="C952" s="1">
        <f ca="1">IFERROR(__xludf.DUMMYFUNCTION("""COMPUTED_VALUE"""),332.42)</f>
        <v>332.42</v>
      </c>
      <c r="D952" s="1">
        <f ca="1">IFERROR(__xludf.DUMMYFUNCTION("""COMPUTED_VALUE"""),131.83)</f>
        <v>131.83000000000001</v>
      </c>
      <c r="E952" s="1">
        <f ca="1">IFERROR(__xludf.DUMMYFUNCTION("""COMPUTED_VALUE"""),46.81)</f>
        <v>46.81</v>
      </c>
      <c r="F952" s="1">
        <f ca="1">IFERROR(__xludf.DUMMYFUNCTION("""COMPUTED_VALUE"""),327.82)</f>
        <v>327.82</v>
      </c>
      <c r="G952" s="1">
        <f ca="1">IFERROR(__xludf.DUMMYFUNCTION("""COMPUTED_VALUE"""),141.7)</f>
        <v>141.69999999999999</v>
      </c>
      <c r="H952" s="1">
        <f ca="1">IFERROR(__xludf.DUMMYFUNCTION("""COMPUTED_VALUE"""),262.99)</f>
        <v>262.99</v>
      </c>
      <c r="I952" s="1">
        <f ca="1">IFERROR(__xludf.DUMMYFUNCTION("""COMPUTED_VALUE"""),162.62)</f>
        <v>162.62</v>
      </c>
      <c r="J952" s="1">
        <f ca="1">IFERROR(__xludf.DUMMYFUNCTION("""COMPUTED_VALUE"""),565.52)</f>
        <v>565.52</v>
      </c>
      <c r="K952" s="1">
        <f ca="1">IFERROR(__xludf.DUMMYFUNCTION("""COMPUTED_VALUE"""),87.46)</f>
        <v>87.46</v>
      </c>
      <c r="L952" s="1">
        <f ca="1">IFERROR(__xludf.DUMMYFUNCTION("""COMPUTED_VALUE"""),549.91)</f>
        <v>549.91</v>
      </c>
      <c r="M952" s="1">
        <f ca="1">IFERROR(__xludf.DUMMYFUNCTION("""COMPUTED_VALUE"""),365.93)</f>
        <v>365.93</v>
      </c>
    </row>
    <row r="953" spans="1:13" x14ac:dyDescent="0.25">
      <c r="A953" s="2">
        <f ca="1">IFERROR(__xludf.DUMMYFUNCTION("""COMPUTED_VALUE"""),45212.6666666666)</f>
        <v>45212.666666666599</v>
      </c>
      <c r="B953" s="1">
        <f ca="1">IFERROR(__xludf.DUMMYFUNCTION("""COMPUTED_VALUE"""),178.85)</f>
        <v>178.85</v>
      </c>
      <c r="C953" s="1">
        <f ca="1">IFERROR(__xludf.DUMMYFUNCTION("""COMPUTED_VALUE"""),331.16)</f>
        <v>331.16</v>
      </c>
      <c r="D953" s="1">
        <f ca="1">IFERROR(__xludf.DUMMYFUNCTION("""COMPUTED_VALUE"""),132.33)</f>
        <v>132.33000000000001</v>
      </c>
      <c r="E953" s="1">
        <f ca="1">IFERROR(__xludf.DUMMYFUNCTION("""COMPUTED_VALUE"""),46.95)</f>
        <v>46.95</v>
      </c>
      <c r="F953" s="1">
        <f ca="1">IFERROR(__xludf.DUMMYFUNCTION("""COMPUTED_VALUE"""),324.16)</f>
        <v>324.16000000000003</v>
      </c>
      <c r="G953" s="1">
        <f ca="1">IFERROR(__xludf.DUMMYFUNCTION("""COMPUTED_VALUE"""),140.29)</f>
        <v>140.29</v>
      </c>
      <c r="H953" s="1">
        <f ca="1">IFERROR(__xludf.DUMMYFUNCTION("""COMPUTED_VALUE"""),258.87)</f>
        <v>258.87</v>
      </c>
      <c r="I953" s="1">
        <f ca="1">IFERROR(__xludf.DUMMYFUNCTION("""COMPUTED_VALUE"""),158.08)</f>
        <v>158.08000000000001</v>
      </c>
      <c r="J953" s="1">
        <f ca="1">IFERROR(__xludf.DUMMYFUNCTION("""COMPUTED_VALUE"""),563.78)</f>
        <v>563.78</v>
      </c>
      <c r="K953" s="1">
        <f ca="1">IFERROR(__xludf.DUMMYFUNCTION("""COMPUTED_VALUE"""),90.56)</f>
        <v>90.56</v>
      </c>
      <c r="L953" s="1">
        <f ca="1">IFERROR(__xludf.DUMMYFUNCTION("""COMPUTED_VALUE"""),559.63)</f>
        <v>559.63</v>
      </c>
      <c r="M953" s="1">
        <f ca="1">IFERROR(__xludf.DUMMYFUNCTION("""COMPUTED_VALUE"""),361.2)</f>
        <v>361.2</v>
      </c>
    </row>
    <row r="954" spans="1:13" x14ac:dyDescent="0.25">
      <c r="A954" s="2">
        <f ca="1">IFERROR(__xludf.DUMMYFUNCTION("""COMPUTED_VALUE"""),45215.6666666666)</f>
        <v>45215.666666666599</v>
      </c>
      <c r="B954" s="1">
        <f ca="1">IFERROR(__xludf.DUMMYFUNCTION("""COMPUTED_VALUE"""),178.72)</f>
        <v>178.72</v>
      </c>
      <c r="C954" s="1">
        <f ca="1">IFERROR(__xludf.DUMMYFUNCTION("""COMPUTED_VALUE"""),327.73)</f>
        <v>327.73</v>
      </c>
      <c r="D954" s="1">
        <f ca="1">IFERROR(__xludf.DUMMYFUNCTION("""COMPUTED_VALUE"""),129.79)</f>
        <v>129.79</v>
      </c>
      <c r="E954" s="1">
        <f ca="1">IFERROR(__xludf.DUMMYFUNCTION("""COMPUTED_VALUE"""),45.46)</f>
        <v>45.46</v>
      </c>
      <c r="F954" s="1">
        <f ca="1">IFERROR(__xludf.DUMMYFUNCTION("""COMPUTED_VALUE"""),314.69)</f>
        <v>314.69</v>
      </c>
      <c r="G954" s="1">
        <f ca="1">IFERROR(__xludf.DUMMYFUNCTION("""COMPUTED_VALUE"""),138.58)</f>
        <v>138.58000000000001</v>
      </c>
      <c r="H954" s="1">
        <f ca="1">IFERROR(__xludf.DUMMYFUNCTION("""COMPUTED_VALUE"""),251.12)</f>
        <v>251.12</v>
      </c>
      <c r="I954" s="1">
        <f ca="1">IFERROR(__xludf.DUMMYFUNCTION("""COMPUTED_VALUE"""),160)</f>
        <v>160</v>
      </c>
      <c r="J954" s="1">
        <f ca="1">IFERROR(__xludf.DUMMYFUNCTION("""COMPUTED_VALUE"""),566.84)</f>
        <v>566.84</v>
      </c>
      <c r="K954" s="1">
        <f ca="1">IFERROR(__xludf.DUMMYFUNCTION("""COMPUTED_VALUE"""),88.32)</f>
        <v>88.32</v>
      </c>
      <c r="L954" s="1">
        <f ca="1">IFERROR(__xludf.DUMMYFUNCTION("""COMPUTED_VALUE"""),548.76)</f>
        <v>548.76</v>
      </c>
      <c r="M954" s="1">
        <f ca="1">IFERROR(__xludf.DUMMYFUNCTION("""COMPUTED_VALUE"""),355.68)</f>
        <v>355.68</v>
      </c>
    </row>
    <row r="955" spans="1:13" x14ac:dyDescent="0.25">
      <c r="A955" s="2">
        <f ca="1">IFERROR(__xludf.DUMMYFUNCTION("""COMPUTED_VALUE"""),45216.6666666666)</f>
        <v>45216.666666666599</v>
      </c>
      <c r="B955" s="1">
        <f ca="1">IFERROR(__xludf.DUMMYFUNCTION("""COMPUTED_VALUE"""),177.15)</f>
        <v>177.15</v>
      </c>
      <c r="C955" s="1">
        <f ca="1">IFERROR(__xludf.DUMMYFUNCTION("""COMPUTED_VALUE"""),332.64)</f>
        <v>332.64</v>
      </c>
      <c r="D955" s="1">
        <f ca="1">IFERROR(__xludf.DUMMYFUNCTION("""COMPUTED_VALUE"""),132.55)</f>
        <v>132.55000000000001</v>
      </c>
      <c r="E955" s="1">
        <f ca="1">IFERROR(__xludf.DUMMYFUNCTION("""COMPUTED_VALUE"""),46.1)</f>
        <v>46.1</v>
      </c>
      <c r="F955" s="1">
        <f ca="1">IFERROR(__xludf.DUMMYFUNCTION("""COMPUTED_VALUE"""),321.15)</f>
        <v>321.14999999999998</v>
      </c>
      <c r="G955" s="1">
        <f ca="1">IFERROR(__xludf.DUMMYFUNCTION("""COMPUTED_VALUE"""),140.49)</f>
        <v>140.49</v>
      </c>
      <c r="H955" s="1">
        <f ca="1">IFERROR(__xludf.DUMMYFUNCTION("""COMPUTED_VALUE"""),253.92)</f>
        <v>253.92</v>
      </c>
      <c r="I955" s="1">
        <f ca="1">IFERROR(__xludf.DUMMYFUNCTION("""COMPUTED_VALUE"""),161.08)</f>
        <v>161.08000000000001</v>
      </c>
      <c r="J955" s="1">
        <f ca="1">IFERROR(__xludf.DUMMYFUNCTION("""COMPUTED_VALUE"""),572.24)</f>
        <v>572.24</v>
      </c>
      <c r="K955" s="1">
        <f ca="1">IFERROR(__xludf.DUMMYFUNCTION("""COMPUTED_VALUE"""),90.26)</f>
        <v>90.26</v>
      </c>
      <c r="L955" s="1">
        <f ca="1">IFERROR(__xludf.DUMMYFUNCTION("""COMPUTED_VALUE"""),550.74)</f>
        <v>550.74</v>
      </c>
      <c r="M955" s="1">
        <f ca="1">IFERROR(__xludf.DUMMYFUNCTION("""COMPUTED_VALUE"""),360.82)</f>
        <v>360.82</v>
      </c>
    </row>
    <row r="956" spans="1:13" x14ac:dyDescent="0.25">
      <c r="A956" s="2">
        <f ca="1">IFERROR(__xludf.DUMMYFUNCTION("""COMPUTED_VALUE"""),45217.6666666666)</f>
        <v>45217.666666666599</v>
      </c>
      <c r="B956" s="1">
        <f ca="1">IFERROR(__xludf.DUMMYFUNCTION("""COMPUTED_VALUE"""),175.84)</f>
        <v>175.84</v>
      </c>
      <c r="C956" s="1">
        <f ca="1">IFERROR(__xludf.DUMMYFUNCTION("""COMPUTED_VALUE"""),332.06)</f>
        <v>332.06</v>
      </c>
      <c r="D956" s="1">
        <f ca="1">IFERROR(__xludf.DUMMYFUNCTION("""COMPUTED_VALUE"""),131.47)</f>
        <v>131.47</v>
      </c>
      <c r="E956" s="1">
        <f ca="1">IFERROR(__xludf.DUMMYFUNCTION("""COMPUTED_VALUE"""),43.94)</f>
        <v>43.94</v>
      </c>
      <c r="F956" s="1">
        <f ca="1">IFERROR(__xludf.DUMMYFUNCTION("""COMPUTED_VALUE"""),324)</f>
        <v>324</v>
      </c>
      <c r="G956" s="1">
        <f ca="1">IFERROR(__xludf.DUMMYFUNCTION("""COMPUTED_VALUE"""),140.99)</f>
        <v>140.99</v>
      </c>
      <c r="H956" s="1">
        <f ca="1">IFERROR(__xludf.DUMMYFUNCTION("""COMPUTED_VALUE"""),254.85)</f>
        <v>254.85</v>
      </c>
      <c r="I956" s="1">
        <f ca="1">IFERROR(__xludf.DUMMYFUNCTION("""COMPUTED_VALUE"""),160.37)</f>
        <v>160.37</v>
      </c>
      <c r="J956" s="1">
        <f ca="1">IFERROR(__xludf.DUMMYFUNCTION("""COMPUTED_VALUE"""),574.34)</f>
        <v>574.34</v>
      </c>
      <c r="K956" s="1">
        <f ca="1">IFERROR(__xludf.DUMMYFUNCTION("""COMPUTED_VALUE"""),88.44)</f>
        <v>88.44</v>
      </c>
      <c r="L956" s="1">
        <f ca="1">IFERROR(__xludf.DUMMYFUNCTION("""COMPUTED_VALUE"""),560.09)</f>
        <v>560.09</v>
      </c>
      <c r="M956" s="1">
        <f ca="1">IFERROR(__xludf.DUMMYFUNCTION("""COMPUTED_VALUE"""),355.72)</f>
        <v>355.72</v>
      </c>
    </row>
    <row r="957" spans="1:13" x14ac:dyDescent="0.25">
      <c r="A957" s="2">
        <f ca="1">IFERROR(__xludf.DUMMYFUNCTION("""COMPUTED_VALUE"""),45218.6666666666)</f>
        <v>45218.666666666599</v>
      </c>
      <c r="B957" s="1">
        <f ca="1">IFERROR(__xludf.DUMMYFUNCTION("""COMPUTED_VALUE"""),175.46)</f>
        <v>175.46</v>
      </c>
      <c r="C957" s="1">
        <f ca="1">IFERROR(__xludf.DUMMYFUNCTION("""COMPUTED_VALUE"""),330.11)</f>
        <v>330.11</v>
      </c>
      <c r="D957" s="1">
        <f ca="1">IFERROR(__xludf.DUMMYFUNCTION("""COMPUTED_VALUE"""),128.13)</f>
        <v>128.13</v>
      </c>
      <c r="E957" s="1">
        <f ca="1">IFERROR(__xludf.DUMMYFUNCTION("""COMPUTED_VALUE"""),42.2)</f>
        <v>42.2</v>
      </c>
      <c r="F957" s="1">
        <f ca="1">IFERROR(__xludf.DUMMYFUNCTION("""COMPUTED_VALUE"""),316.97)</f>
        <v>316.97000000000003</v>
      </c>
      <c r="G957" s="1">
        <f ca="1">IFERROR(__xludf.DUMMYFUNCTION("""COMPUTED_VALUE"""),139.28)</f>
        <v>139.28</v>
      </c>
      <c r="H957" s="1">
        <f ca="1">IFERROR(__xludf.DUMMYFUNCTION("""COMPUTED_VALUE"""),242.68)</f>
        <v>242.68</v>
      </c>
      <c r="I957" s="1">
        <f ca="1">IFERROR(__xludf.DUMMYFUNCTION("""COMPUTED_VALUE"""),162.03)</f>
        <v>162.03</v>
      </c>
      <c r="J957" s="1">
        <f ca="1">IFERROR(__xludf.DUMMYFUNCTION("""COMPUTED_VALUE"""),574.64)</f>
        <v>574.64</v>
      </c>
      <c r="K957" s="1">
        <f ca="1">IFERROR(__xludf.DUMMYFUNCTION("""COMPUTED_VALUE"""),88.7)</f>
        <v>88.7</v>
      </c>
      <c r="L957" s="1">
        <f ca="1">IFERROR(__xludf.DUMMYFUNCTION("""COMPUTED_VALUE"""),557.87)</f>
        <v>557.87</v>
      </c>
      <c r="M957" s="1">
        <f ca="1">IFERROR(__xludf.DUMMYFUNCTION("""COMPUTED_VALUE"""),346.19)</f>
        <v>346.19</v>
      </c>
    </row>
    <row r="958" spans="1:13" x14ac:dyDescent="0.25">
      <c r="A958" s="2">
        <f ca="1">IFERROR(__xludf.DUMMYFUNCTION("""COMPUTED_VALUE"""),45219.6666666666)</f>
        <v>45219.666666666599</v>
      </c>
      <c r="B958" s="1">
        <f ca="1">IFERROR(__xludf.DUMMYFUNCTION("""COMPUTED_VALUE"""),172.88)</f>
        <v>172.88</v>
      </c>
      <c r="C958" s="1">
        <f ca="1">IFERROR(__xludf.DUMMYFUNCTION("""COMPUTED_VALUE"""),331.32)</f>
        <v>331.32</v>
      </c>
      <c r="D958" s="1">
        <f ca="1">IFERROR(__xludf.DUMMYFUNCTION("""COMPUTED_VALUE"""),128.4)</f>
        <v>128.4</v>
      </c>
      <c r="E958" s="1">
        <f ca="1">IFERROR(__xludf.DUMMYFUNCTION("""COMPUTED_VALUE"""),42.1)</f>
        <v>42.1</v>
      </c>
      <c r="F958" s="1">
        <f ca="1">IFERROR(__xludf.DUMMYFUNCTION("""COMPUTED_VALUE"""),312.81)</f>
        <v>312.81</v>
      </c>
      <c r="G958" s="1">
        <f ca="1">IFERROR(__xludf.DUMMYFUNCTION("""COMPUTED_VALUE"""),138.98)</f>
        <v>138.97999999999999</v>
      </c>
      <c r="H958" s="1">
        <f ca="1">IFERROR(__xludf.DUMMYFUNCTION("""COMPUTED_VALUE"""),220.11)</f>
        <v>220.11</v>
      </c>
      <c r="I958" s="1">
        <f ca="1">IFERROR(__xludf.DUMMYFUNCTION("""COMPUTED_VALUE"""),160.56)</f>
        <v>160.56</v>
      </c>
      <c r="J958" s="1">
        <f ca="1">IFERROR(__xludf.DUMMYFUNCTION("""COMPUTED_VALUE"""),565.63)</f>
        <v>565.63</v>
      </c>
      <c r="K958" s="1">
        <f ca="1">IFERROR(__xludf.DUMMYFUNCTION("""COMPUTED_VALUE"""),86.78)</f>
        <v>86.78</v>
      </c>
      <c r="L958" s="1">
        <f ca="1">IFERROR(__xludf.DUMMYFUNCTION("""COMPUTED_VALUE"""),555.74)</f>
        <v>555.74</v>
      </c>
      <c r="M958" s="1">
        <f ca="1">IFERROR(__xludf.DUMMYFUNCTION("""COMPUTED_VALUE"""),401.77)</f>
        <v>401.77</v>
      </c>
    </row>
    <row r="959" spans="1:13" x14ac:dyDescent="0.25">
      <c r="A959" s="2">
        <f ca="1">IFERROR(__xludf.DUMMYFUNCTION("""COMPUTED_VALUE"""),45222.6666666666)</f>
        <v>45222.666666666599</v>
      </c>
      <c r="B959" s="1">
        <f ca="1">IFERROR(__xludf.DUMMYFUNCTION("""COMPUTED_VALUE"""),173)</f>
        <v>173</v>
      </c>
      <c r="C959" s="1">
        <f ca="1">IFERROR(__xludf.DUMMYFUNCTION("""COMPUTED_VALUE"""),326.67)</f>
        <v>326.67</v>
      </c>
      <c r="D959" s="1">
        <f ca="1">IFERROR(__xludf.DUMMYFUNCTION("""COMPUTED_VALUE"""),125.17)</f>
        <v>125.17</v>
      </c>
      <c r="E959" s="1">
        <f ca="1">IFERROR(__xludf.DUMMYFUNCTION("""COMPUTED_VALUE"""),41.39)</f>
        <v>41.39</v>
      </c>
      <c r="F959" s="1">
        <f ca="1">IFERROR(__xludf.DUMMYFUNCTION("""COMPUTED_VALUE"""),308.65)</f>
        <v>308.64999999999998</v>
      </c>
      <c r="G959" s="1">
        <f ca="1">IFERROR(__xludf.DUMMYFUNCTION("""COMPUTED_VALUE"""),136.74)</f>
        <v>136.74</v>
      </c>
      <c r="H959" s="1">
        <f ca="1">IFERROR(__xludf.DUMMYFUNCTION("""COMPUTED_VALUE"""),211.99)</f>
        <v>211.99</v>
      </c>
      <c r="I959" s="1">
        <f ca="1">IFERROR(__xludf.DUMMYFUNCTION("""COMPUTED_VALUE"""),160)</f>
        <v>160</v>
      </c>
      <c r="J959" s="1">
        <f ca="1">IFERROR(__xludf.DUMMYFUNCTION("""COMPUTED_VALUE"""),552.93)</f>
        <v>552.92999999999995</v>
      </c>
      <c r="K959" s="1">
        <f ca="1">IFERROR(__xludf.DUMMYFUNCTION("""COMPUTED_VALUE"""),85.36)</f>
        <v>85.36</v>
      </c>
      <c r="L959" s="1">
        <f ca="1">IFERROR(__xludf.DUMMYFUNCTION("""COMPUTED_VALUE"""),540.96)</f>
        <v>540.96</v>
      </c>
      <c r="M959" s="1">
        <f ca="1">IFERROR(__xludf.DUMMYFUNCTION("""COMPUTED_VALUE"""),400.96)</f>
        <v>400.96</v>
      </c>
    </row>
    <row r="960" spans="1:13" x14ac:dyDescent="0.25">
      <c r="A960" s="2">
        <f ca="1">IFERROR(__xludf.DUMMYFUNCTION("""COMPUTED_VALUE"""),45223.6666666666)</f>
        <v>45223.666666666599</v>
      </c>
      <c r="B960" s="1">
        <f ca="1">IFERROR(__xludf.DUMMYFUNCTION("""COMPUTED_VALUE"""),173.44)</f>
        <v>173.44</v>
      </c>
      <c r="C960" s="1">
        <f ca="1">IFERROR(__xludf.DUMMYFUNCTION("""COMPUTED_VALUE"""),329.32)</f>
        <v>329.32</v>
      </c>
      <c r="D960" s="1">
        <f ca="1">IFERROR(__xludf.DUMMYFUNCTION("""COMPUTED_VALUE"""),126.56)</f>
        <v>126.56</v>
      </c>
      <c r="E960" s="1">
        <f ca="1">IFERROR(__xludf.DUMMYFUNCTION("""COMPUTED_VALUE"""),42.98)</f>
        <v>42.98</v>
      </c>
      <c r="F960" s="1">
        <f ca="1">IFERROR(__xludf.DUMMYFUNCTION("""COMPUTED_VALUE"""),314.01)</f>
        <v>314.01</v>
      </c>
      <c r="G960" s="1">
        <f ca="1">IFERROR(__xludf.DUMMYFUNCTION("""COMPUTED_VALUE"""),137.9)</f>
        <v>137.9</v>
      </c>
      <c r="H960" s="1">
        <f ca="1">IFERROR(__xludf.DUMMYFUNCTION("""COMPUTED_VALUE"""),212.08)</f>
        <v>212.08</v>
      </c>
      <c r="I960" s="1">
        <f ca="1">IFERROR(__xludf.DUMMYFUNCTION("""COMPUTED_VALUE"""),160.08)</f>
        <v>160.08000000000001</v>
      </c>
      <c r="J960" s="1">
        <f ca="1">IFERROR(__xludf.DUMMYFUNCTION("""COMPUTED_VALUE"""),552.29)</f>
        <v>552.29</v>
      </c>
      <c r="K960" s="1">
        <f ca="1">IFERROR(__xludf.DUMMYFUNCTION("""COMPUTED_VALUE"""),86.22)</f>
        <v>86.22</v>
      </c>
      <c r="L960" s="1">
        <f ca="1">IFERROR(__xludf.DUMMYFUNCTION("""COMPUTED_VALUE"""),540.41)</f>
        <v>540.41</v>
      </c>
      <c r="M960" s="1">
        <f ca="1">IFERROR(__xludf.DUMMYFUNCTION("""COMPUTED_VALUE"""),406.84)</f>
        <v>406.84</v>
      </c>
    </row>
    <row r="961" spans="1:13" x14ac:dyDescent="0.25">
      <c r="A961" s="2">
        <f ca="1">IFERROR(__xludf.DUMMYFUNCTION("""COMPUTED_VALUE"""),45224.6666666666)</f>
        <v>45224.666666666599</v>
      </c>
      <c r="B961" s="1">
        <f ca="1">IFERROR(__xludf.DUMMYFUNCTION("""COMPUTED_VALUE"""),171.1)</f>
        <v>171.1</v>
      </c>
      <c r="C961" s="1">
        <f ca="1">IFERROR(__xludf.DUMMYFUNCTION("""COMPUTED_VALUE"""),330.53)</f>
        <v>330.53</v>
      </c>
      <c r="D961" s="1">
        <f ca="1">IFERROR(__xludf.DUMMYFUNCTION("""COMPUTED_VALUE"""),128.56)</f>
        <v>128.56</v>
      </c>
      <c r="E961" s="1">
        <f ca="1">IFERROR(__xludf.DUMMYFUNCTION("""COMPUTED_VALUE"""),43.66)</f>
        <v>43.66</v>
      </c>
      <c r="F961" s="1">
        <f ca="1">IFERROR(__xludf.DUMMYFUNCTION("""COMPUTED_VALUE"""),312.55)</f>
        <v>312.55</v>
      </c>
      <c r="G961" s="1">
        <f ca="1">IFERROR(__xludf.DUMMYFUNCTION("""COMPUTED_VALUE"""),140.12)</f>
        <v>140.12</v>
      </c>
      <c r="H961" s="1">
        <f ca="1">IFERROR(__xludf.DUMMYFUNCTION("""COMPUTED_VALUE"""),216.52)</f>
        <v>216.52</v>
      </c>
      <c r="I961" s="1">
        <f ca="1">IFERROR(__xludf.DUMMYFUNCTION("""COMPUTED_VALUE"""),162.19)</f>
        <v>162.19</v>
      </c>
      <c r="J961" s="1">
        <f ca="1">IFERROR(__xludf.DUMMYFUNCTION("""COMPUTED_VALUE"""),551.84)</f>
        <v>551.84</v>
      </c>
      <c r="K961" s="1">
        <f ca="1">IFERROR(__xludf.DUMMYFUNCTION("""COMPUTED_VALUE"""),88.11)</f>
        <v>88.11</v>
      </c>
      <c r="L961" s="1">
        <f ca="1">IFERROR(__xludf.DUMMYFUNCTION("""COMPUTED_VALUE"""),539.56)</f>
        <v>539.55999999999995</v>
      </c>
      <c r="M961" s="1">
        <f ca="1">IFERROR(__xludf.DUMMYFUNCTION("""COMPUTED_VALUE"""),413.73)</f>
        <v>413.73</v>
      </c>
    </row>
    <row r="962" spans="1:13" x14ac:dyDescent="0.25">
      <c r="A962" s="2">
        <f ca="1">IFERROR(__xludf.DUMMYFUNCTION("""COMPUTED_VALUE"""),45225.6666666666)</f>
        <v>45225.666666666599</v>
      </c>
      <c r="B962" s="1">
        <f ca="1">IFERROR(__xludf.DUMMYFUNCTION("""COMPUTED_VALUE"""),166.89)</f>
        <v>166.89</v>
      </c>
      <c r="C962" s="1">
        <f ca="1">IFERROR(__xludf.DUMMYFUNCTION("""COMPUTED_VALUE"""),340.67)</f>
        <v>340.67</v>
      </c>
      <c r="D962" s="1">
        <f ca="1">IFERROR(__xludf.DUMMYFUNCTION("""COMPUTED_VALUE"""),121.39)</f>
        <v>121.39</v>
      </c>
      <c r="E962" s="1">
        <f ca="1">IFERROR(__xludf.DUMMYFUNCTION("""COMPUTED_VALUE"""),41.78)</f>
        <v>41.78</v>
      </c>
      <c r="F962" s="1">
        <f ca="1">IFERROR(__xludf.DUMMYFUNCTION("""COMPUTED_VALUE"""),299.53)</f>
        <v>299.52999999999997</v>
      </c>
      <c r="G962" s="1">
        <f ca="1">IFERROR(__xludf.DUMMYFUNCTION("""COMPUTED_VALUE"""),126.67)</f>
        <v>126.67</v>
      </c>
      <c r="H962" s="1">
        <f ca="1">IFERROR(__xludf.DUMMYFUNCTION("""COMPUTED_VALUE"""),212.42)</f>
        <v>212.42</v>
      </c>
      <c r="I962" s="1">
        <f ca="1">IFERROR(__xludf.DUMMYFUNCTION("""COMPUTED_VALUE"""),162.35)</f>
        <v>162.35</v>
      </c>
      <c r="J962" s="1">
        <f ca="1">IFERROR(__xludf.DUMMYFUNCTION("""COMPUTED_VALUE"""),549.99)</f>
        <v>549.99</v>
      </c>
      <c r="K962" s="1">
        <f ca="1">IFERROR(__xludf.DUMMYFUNCTION("""COMPUTED_VALUE"""),84.96)</f>
        <v>84.96</v>
      </c>
      <c r="L962" s="1">
        <f ca="1">IFERROR(__xludf.DUMMYFUNCTION("""COMPUTED_VALUE"""),521.14)</f>
        <v>521.14</v>
      </c>
      <c r="M962" s="1">
        <f ca="1">IFERROR(__xludf.DUMMYFUNCTION("""COMPUTED_VALUE"""),411.25)</f>
        <v>411.25</v>
      </c>
    </row>
    <row r="963" spans="1:13" x14ac:dyDescent="0.25">
      <c r="A963" s="2">
        <f ca="1">IFERROR(__xludf.DUMMYFUNCTION("""COMPUTED_VALUE"""),45226.6666666666)</f>
        <v>45226.666666666599</v>
      </c>
      <c r="B963" s="1">
        <f ca="1">IFERROR(__xludf.DUMMYFUNCTION("""COMPUTED_VALUE"""),168.22)</f>
        <v>168.22</v>
      </c>
      <c r="C963" s="1">
        <f ca="1">IFERROR(__xludf.DUMMYFUNCTION("""COMPUTED_VALUE"""),327.89)</f>
        <v>327.89</v>
      </c>
      <c r="D963" s="1">
        <f ca="1">IFERROR(__xludf.DUMMYFUNCTION("""COMPUTED_VALUE"""),119.57)</f>
        <v>119.57</v>
      </c>
      <c r="E963" s="1">
        <f ca="1">IFERROR(__xludf.DUMMYFUNCTION("""COMPUTED_VALUE"""),40.33)</f>
        <v>40.33</v>
      </c>
      <c r="F963" s="1">
        <f ca="1">IFERROR(__xludf.DUMMYFUNCTION("""COMPUTED_VALUE"""),288.35)</f>
        <v>288.35000000000002</v>
      </c>
      <c r="G963" s="1">
        <f ca="1">IFERROR(__xludf.DUMMYFUNCTION("""COMPUTED_VALUE"""),123.44)</f>
        <v>123.44</v>
      </c>
      <c r="H963" s="1">
        <f ca="1">IFERROR(__xludf.DUMMYFUNCTION("""COMPUTED_VALUE"""),205.76)</f>
        <v>205.76</v>
      </c>
      <c r="I963" s="1">
        <f ca="1">IFERROR(__xludf.DUMMYFUNCTION("""COMPUTED_VALUE"""),161.41)</f>
        <v>161.41</v>
      </c>
      <c r="J963" s="1">
        <f ca="1">IFERROR(__xludf.DUMMYFUNCTION("""COMPUTED_VALUE"""),547.6)</f>
        <v>547.6</v>
      </c>
      <c r="K963" s="1">
        <f ca="1">IFERROR(__xludf.DUMMYFUNCTION("""COMPUTED_VALUE"""),82.68)</f>
        <v>82.68</v>
      </c>
      <c r="L963" s="1">
        <f ca="1">IFERROR(__xludf.DUMMYFUNCTION("""COMPUTED_VALUE"""),514.28)</f>
        <v>514.28</v>
      </c>
      <c r="M963" s="1">
        <f ca="1">IFERROR(__xludf.DUMMYFUNCTION("""COMPUTED_VALUE"""),403.54)</f>
        <v>403.54</v>
      </c>
    </row>
    <row r="964" spans="1:13" x14ac:dyDescent="0.25">
      <c r="A964" s="2">
        <f ca="1">IFERROR(__xludf.DUMMYFUNCTION("""COMPUTED_VALUE"""),45229.6666666666)</f>
        <v>45229.666666666599</v>
      </c>
      <c r="B964" s="1">
        <f ca="1">IFERROR(__xludf.DUMMYFUNCTION("""COMPUTED_VALUE"""),170.29)</f>
        <v>170.29</v>
      </c>
      <c r="C964" s="1">
        <f ca="1">IFERROR(__xludf.DUMMYFUNCTION("""COMPUTED_VALUE"""),329.81)</f>
        <v>329.81</v>
      </c>
      <c r="D964" s="1">
        <f ca="1">IFERROR(__xludf.DUMMYFUNCTION("""COMPUTED_VALUE"""),127.74)</f>
        <v>127.74</v>
      </c>
      <c r="E964" s="1">
        <f ca="1">IFERROR(__xludf.DUMMYFUNCTION("""COMPUTED_VALUE"""),40.5)</f>
        <v>40.5</v>
      </c>
      <c r="F964" s="1">
        <f ca="1">IFERROR(__xludf.DUMMYFUNCTION("""COMPUTED_VALUE"""),296.73)</f>
        <v>296.73</v>
      </c>
      <c r="G964" s="1">
        <f ca="1">IFERROR(__xludf.DUMMYFUNCTION("""COMPUTED_VALUE"""),123.4)</f>
        <v>123.4</v>
      </c>
      <c r="H964" s="1">
        <f ca="1">IFERROR(__xludf.DUMMYFUNCTION("""COMPUTED_VALUE"""),207.3)</f>
        <v>207.3</v>
      </c>
      <c r="I964" s="1">
        <f ca="1">IFERROR(__xludf.DUMMYFUNCTION("""COMPUTED_VALUE"""),159.62)</f>
        <v>159.62</v>
      </c>
      <c r="J964" s="1">
        <f ca="1">IFERROR(__xludf.DUMMYFUNCTION("""COMPUTED_VALUE"""),543.03)</f>
        <v>543.03</v>
      </c>
      <c r="K964" s="1">
        <f ca="1">IFERROR(__xludf.DUMMYFUNCTION("""COMPUTED_VALUE"""),83.84)</f>
        <v>83.84</v>
      </c>
      <c r="L964" s="1">
        <f ca="1">IFERROR(__xludf.DUMMYFUNCTION("""COMPUTED_VALUE"""),508.12)</f>
        <v>508.12</v>
      </c>
      <c r="M964" s="1">
        <f ca="1">IFERROR(__xludf.DUMMYFUNCTION("""COMPUTED_VALUE"""),397.87)</f>
        <v>397.87</v>
      </c>
    </row>
    <row r="965" spans="1:13" x14ac:dyDescent="0.25">
      <c r="A965" s="2">
        <f ca="1">IFERROR(__xludf.DUMMYFUNCTION("""COMPUTED_VALUE"""),45230.6666666666)</f>
        <v>45230.666666666599</v>
      </c>
      <c r="B965" s="1">
        <f ca="1">IFERROR(__xludf.DUMMYFUNCTION("""COMPUTED_VALUE"""),170.77)</f>
        <v>170.77</v>
      </c>
      <c r="C965" s="1">
        <f ca="1">IFERROR(__xludf.DUMMYFUNCTION("""COMPUTED_VALUE"""),337.31)</f>
        <v>337.31</v>
      </c>
      <c r="D965" s="1">
        <f ca="1">IFERROR(__xludf.DUMMYFUNCTION("""COMPUTED_VALUE"""),132.71)</f>
        <v>132.71</v>
      </c>
      <c r="E965" s="1">
        <f ca="1">IFERROR(__xludf.DUMMYFUNCTION("""COMPUTED_VALUE"""),41.16)</f>
        <v>41.16</v>
      </c>
      <c r="F965" s="1">
        <f ca="1">IFERROR(__xludf.DUMMYFUNCTION("""COMPUTED_VALUE"""),302.66)</f>
        <v>302.66000000000003</v>
      </c>
      <c r="G965" s="1">
        <f ca="1">IFERROR(__xludf.DUMMYFUNCTION("""COMPUTED_VALUE"""),125.75)</f>
        <v>125.75</v>
      </c>
      <c r="H965" s="1">
        <f ca="1">IFERROR(__xludf.DUMMYFUNCTION("""COMPUTED_VALUE"""),197.36)</f>
        <v>197.36</v>
      </c>
      <c r="I965" s="1">
        <f ca="1">IFERROR(__xludf.DUMMYFUNCTION("""COMPUTED_VALUE"""),162.28)</f>
        <v>162.28</v>
      </c>
      <c r="J965" s="1">
        <f ca="1">IFERROR(__xludf.DUMMYFUNCTION("""COMPUTED_VALUE"""),554.88)</f>
        <v>554.88</v>
      </c>
      <c r="K965" s="1">
        <f ca="1">IFERROR(__xludf.DUMMYFUNCTION("""COMPUTED_VALUE"""),84.13)</f>
        <v>84.13</v>
      </c>
      <c r="L965" s="1">
        <f ca="1">IFERROR(__xludf.DUMMYFUNCTION("""COMPUTED_VALUE"""),526.94)</f>
        <v>526.94000000000005</v>
      </c>
      <c r="M965" s="1">
        <f ca="1">IFERROR(__xludf.DUMMYFUNCTION("""COMPUTED_VALUE"""),410.08)</f>
        <v>410.08</v>
      </c>
    </row>
    <row r="966" spans="1:13" x14ac:dyDescent="0.25">
      <c r="A966" s="2">
        <f ca="1">IFERROR(__xludf.DUMMYFUNCTION("""COMPUTED_VALUE"""),45231.6666666666)</f>
        <v>45231.666666666599</v>
      </c>
      <c r="B966" s="1">
        <f ca="1">IFERROR(__xludf.DUMMYFUNCTION("""COMPUTED_VALUE"""),173.97)</f>
        <v>173.97</v>
      </c>
      <c r="C966" s="1">
        <f ca="1">IFERROR(__xludf.DUMMYFUNCTION("""COMPUTED_VALUE"""),338.11)</f>
        <v>338.11</v>
      </c>
      <c r="D966" s="1">
        <f ca="1">IFERROR(__xludf.DUMMYFUNCTION("""COMPUTED_VALUE"""),133.09)</f>
        <v>133.09</v>
      </c>
      <c r="E966" s="1">
        <f ca="1">IFERROR(__xludf.DUMMYFUNCTION("""COMPUTED_VALUE"""),40.78)</f>
        <v>40.78</v>
      </c>
      <c r="F966" s="1">
        <f ca="1">IFERROR(__xludf.DUMMYFUNCTION("""COMPUTED_VALUE"""),301.27)</f>
        <v>301.27</v>
      </c>
      <c r="G966" s="1">
        <f ca="1">IFERROR(__xludf.DUMMYFUNCTION("""COMPUTED_VALUE"""),125.3)</f>
        <v>125.3</v>
      </c>
      <c r="H966" s="1">
        <f ca="1">IFERROR(__xludf.DUMMYFUNCTION("""COMPUTED_VALUE"""),200.84)</f>
        <v>200.84</v>
      </c>
      <c r="I966" s="1">
        <f ca="1">IFERROR(__xludf.DUMMYFUNCTION("""COMPUTED_VALUE"""),163.28)</f>
        <v>163.28</v>
      </c>
      <c r="J966" s="1">
        <f ca="1">IFERROR(__xludf.DUMMYFUNCTION("""COMPUTED_VALUE"""),552.44)</f>
        <v>552.44000000000005</v>
      </c>
      <c r="K966" s="1">
        <f ca="1">IFERROR(__xludf.DUMMYFUNCTION("""COMPUTED_VALUE"""),84.14)</f>
        <v>84.14</v>
      </c>
      <c r="L966" s="1">
        <f ca="1">IFERROR(__xludf.DUMMYFUNCTION("""COMPUTED_VALUE"""),532.06)</f>
        <v>532.05999999999995</v>
      </c>
      <c r="M966" s="1">
        <f ca="1">IFERROR(__xludf.DUMMYFUNCTION("""COMPUTED_VALUE"""),411.69)</f>
        <v>411.69</v>
      </c>
    </row>
    <row r="967" spans="1:13" x14ac:dyDescent="0.25">
      <c r="A967" s="2">
        <f ca="1">IFERROR(__xludf.DUMMYFUNCTION("""COMPUTED_VALUE"""),45232.6666666666)</f>
        <v>45232.666666666599</v>
      </c>
      <c r="B967" s="1">
        <f ca="1">IFERROR(__xludf.DUMMYFUNCTION("""COMPUTED_VALUE"""),177.57)</f>
        <v>177.57</v>
      </c>
      <c r="C967" s="1">
        <f ca="1">IFERROR(__xludf.DUMMYFUNCTION("""COMPUTED_VALUE"""),346.07)</f>
        <v>346.07</v>
      </c>
      <c r="D967" s="1">
        <f ca="1">IFERROR(__xludf.DUMMYFUNCTION("""COMPUTED_VALUE"""),137)</f>
        <v>137</v>
      </c>
      <c r="E967" s="1">
        <f ca="1">IFERROR(__xludf.DUMMYFUNCTION("""COMPUTED_VALUE"""),42.33)</f>
        <v>42.33</v>
      </c>
      <c r="F967" s="1">
        <f ca="1">IFERROR(__xludf.DUMMYFUNCTION("""COMPUTED_VALUE"""),311.85)</f>
        <v>311.85000000000002</v>
      </c>
      <c r="G967" s="1">
        <f ca="1">IFERROR(__xludf.DUMMYFUNCTION("""COMPUTED_VALUE"""),127.57)</f>
        <v>127.57</v>
      </c>
      <c r="H967" s="1">
        <f ca="1">IFERROR(__xludf.DUMMYFUNCTION("""COMPUTED_VALUE"""),205.66)</f>
        <v>205.66</v>
      </c>
      <c r="I967" s="1">
        <f ca="1">IFERROR(__xludf.DUMMYFUNCTION("""COMPUTED_VALUE"""),164.87)</f>
        <v>164.87</v>
      </c>
      <c r="J967" s="1">
        <f ca="1">IFERROR(__xludf.DUMMYFUNCTION("""COMPUTED_VALUE"""),556.8)</f>
        <v>556.79999999999995</v>
      </c>
      <c r="K967" s="1">
        <f ca="1">IFERROR(__xludf.DUMMYFUNCTION("""COMPUTED_VALUE"""),85.29)</f>
        <v>85.29</v>
      </c>
      <c r="L967" s="1">
        <f ca="1">IFERROR(__xludf.DUMMYFUNCTION("""COMPUTED_VALUE"""),544.5)</f>
        <v>544.5</v>
      </c>
      <c r="M967" s="1">
        <f ca="1">IFERROR(__xludf.DUMMYFUNCTION("""COMPUTED_VALUE"""),420.19)</f>
        <v>420.19</v>
      </c>
    </row>
    <row r="968" spans="1:13" x14ac:dyDescent="0.25">
      <c r="A968" s="2">
        <f ca="1">IFERROR(__xludf.DUMMYFUNCTION("""COMPUTED_VALUE"""),45233.6666666666)</f>
        <v>45233.666666666599</v>
      </c>
      <c r="B968" s="1">
        <f ca="1">IFERROR(__xludf.DUMMYFUNCTION("""COMPUTED_VALUE"""),176.65)</f>
        <v>176.65</v>
      </c>
      <c r="C968" s="1">
        <f ca="1">IFERROR(__xludf.DUMMYFUNCTION("""COMPUTED_VALUE"""),348.32)</f>
        <v>348.32</v>
      </c>
      <c r="D968" s="1">
        <f ca="1">IFERROR(__xludf.DUMMYFUNCTION("""COMPUTED_VALUE"""),138.07)</f>
        <v>138.07</v>
      </c>
      <c r="E968" s="1">
        <f ca="1">IFERROR(__xludf.DUMMYFUNCTION("""COMPUTED_VALUE"""),43.51)</f>
        <v>43.51</v>
      </c>
      <c r="F968" s="1">
        <f ca="1">IFERROR(__xludf.DUMMYFUNCTION("""COMPUTED_VALUE"""),310.87)</f>
        <v>310.87</v>
      </c>
      <c r="G968" s="1">
        <f ca="1">IFERROR(__xludf.DUMMYFUNCTION("""COMPUTED_VALUE"""),128.58)</f>
        <v>128.58000000000001</v>
      </c>
      <c r="H968" s="1">
        <f ca="1">IFERROR(__xludf.DUMMYFUNCTION("""COMPUTED_VALUE"""),218.51)</f>
        <v>218.51</v>
      </c>
      <c r="I968" s="1">
        <f ca="1">IFERROR(__xludf.DUMMYFUNCTION("""COMPUTED_VALUE"""),166.83)</f>
        <v>166.83</v>
      </c>
      <c r="J968" s="1">
        <f ca="1">IFERROR(__xludf.DUMMYFUNCTION("""COMPUTED_VALUE"""),555.97)</f>
        <v>555.97</v>
      </c>
      <c r="K968" s="1">
        <f ca="1">IFERROR(__xludf.DUMMYFUNCTION("""COMPUTED_VALUE"""),87.13)</f>
        <v>87.13</v>
      </c>
      <c r="L968" s="1">
        <f ca="1">IFERROR(__xludf.DUMMYFUNCTION("""COMPUTED_VALUE"""),558.71)</f>
        <v>558.71</v>
      </c>
      <c r="M968" s="1">
        <f ca="1">IFERROR(__xludf.DUMMYFUNCTION("""COMPUTED_VALUE"""),424.71)</f>
        <v>424.71</v>
      </c>
    </row>
    <row r="969" spans="1:13" x14ac:dyDescent="0.25">
      <c r="A969" s="2">
        <f ca="1">IFERROR(__xludf.DUMMYFUNCTION("""COMPUTED_VALUE"""),45236.6666666666)</f>
        <v>45236.666666666599</v>
      </c>
      <c r="B969" s="1">
        <f ca="1">IFERROR(__xludf.DUMMYFUNCTION("""COMPUTED_VALUE"""),179.23)</f>
        <v>179.23</v>
      </c>
      <c r="C969" s="1">
        <f ca="1">IFERROR(__xludf.DUMMYFUNCTION("""COMPUTED_VALUE"""),352.8)</f>
        <v>352.8</v>
      </c>
      <c r="D969" s="1">
        <f ca="1">IFERROR(__xludf.DUMMYFUNCTION("""COMPUTED_VALUE"""),138.6)</f>
        <v>138.6</v>
      </c>
      <c r="E969" s="1">
        <f ca="1">IFERROR(__xludf.DUMMYFUNCTION("""COMPUTED_VALUE"""),45.01)</f>
        <v>45.01</v>
      </c>
      <c r="F969" s="1">
        <f ca="1">IFERROR(__xludf.DUMMYFUNCTION("""COMPUTED_VALUE"""),314.6)</f>
        <v>314.60000000000002</v>
      </c>
      <c r="G969" s="1">
        <f ca="1">IFERROR(__xludf.DUMMYFUNCTION("""COMPUTED_VALUE"""),130.37)</f>
        <v>130.37</v>
      </c>
      <c r="H969" s="1">
        <f ca="1">IFERROR(__xludf.DUMMYFUNCTION("""COMPUTED_VALUE"""),219.96)</f>
        <v>219.96</v>
      </c>
      <c r="I969" s="1">
        <f ca="1">IFERROR(__xludf.DUMMYFUNCTION("""COMPUTED_VALUE"""),166.79)</f>
        <v>166.79</v>
      </c>
      <c r="J969" s="1">
        <f ca="1">IFERROR(__xludf.DUMMYFUNCTION("""COMPUTED_VALUE"""),560.9)</f>
        <v>560.9</v>
      </c>
      <c r="K969" s="1">
        <f ca="1">IFERROR(__xludf.DUMMYFUNCTION("""COMPUTED_VALUE"""),88.27)</f>
        <v>88.27</v>
      </c>
      <c r="L969" s="1">
        <f ca="1">IFERROR(__xludf.DUMMYFUNCTION("""COMPUTED_VALUE"""),563.66)</f>
        <v>563.66</v>
      </c>
      <c r="M969" s="1">
        <f ca="1">IFERROR(__xludf.DUMMYFUNCTION("""COMPUTED_VALUE"""),432.36)</f>
        <v>432.36</v>
      </c>
    </row>
    <row r="970" spans="1:13" x14ac:dyDescent="0.25">
      <c r="A970" s="2">
        <f ca="1">IFERROR(__xludf.DUMMYFUNCTION("""COMPUTED_VALUE"""),45237.6666666666)</f>
        <v>45237.666666666599</v>
      </c>
      <c r="B970" s="1">
        <f ca="1">IFERROR(__xludf.DUMMYFUNCTION("""COMPUTED_VALUE"""),181.82)</f>
        <v>181.82</v>
      </c>
      <c r="C970" s="1">
        <f ca="1">IFERROR(__xludf.DUMMYFUNCTION("""COMPUTED_VALUE"""),356.53)</f>
        <v>356.53</v>
      </c>
      <c r="D970" s="1">
        <f ca="1">IFERROR(__xludf.DUMMYFUNCTION("""COMPUTED_VALUE"""),139.74)</f>
        <v>139.74</v>
      </c>
      <c r="E970" s="1">
        <f ca="1">IFERROR(__xludf.DUMMYFUNCTION("""COMPUTED_VALUE"""),45.75)</f>
        <v>45.75</v>
      </c>
      <c r="F970" s="1">
        <f ca="1">IFERROR(__xludf.DUMMYFUNCTION("""COMPUTED_VALUE"""),315.8)</f>
        <v>315.8</v>
      </c>
      <c r="G970" s="1">
        <f ca="1">IFERROR(__xludf.DUMMYFUNCTION("""COMPUTED_VALUE"""),131.45)</f>
        <v>131.44999999999999</v>
      </c>
      <c r="H970" s="1">
        <f ca="1">IFERROR(__xludf.DUMMYFUNCTION("""COMPUTED_VALUE"""),219.27)</f>
        <v>219.27</v>
      </c>
      <c r="I970" s="1">
        <f ca="1">IFERROR(__xludf.DUMMYFUNCTION("""COMPUTED_VALUE"""),166.7)</f>
        <v>166.7</v>
      </c>
      <c r="J970" s="1">
        <f ca="1">IFERROR(__xludf.DUMMYFUNCTION("""COMPUTED_VALUE"""),569.82)</f>
        <v>569.82000000000005</v>
      </c>
      <c r="K970" s="1">
        <f ca="1">IFERROR(__xludf.DUMMYFUNCTION("""COMPUTED_VALUE"""),88.08)</f>
        <v>88.08</v>
      </c>
      <c r="L970" s="1">
        <f ca="1">IFERROR(__xludf.DUMMYFUNCTION("""COMPUTED_VALUE"""),565.45)</f>
        <v>565.45000000000005</v>
      </c>
      <c r="M970" s="1">
        <f ca="1">IFERROR(__xludf.DUMMYFUNCTION("""COMPUTED_VALUE"""),434.74)</f>
        <v>434.74</v>
      </c>
    </row>
    <row r="971" spans="1:13" x14ac:dyDescent="0.25">
      <c r="A971" s="2">
        <f ca="1">IFERROR(__xludf.DUMMYFUNCTION("""COMPUTED_VALUE"""),45238.6666666666)</f>
        <v>45238.666666666599</v>
      </c>
      <c r="B971" s="1">
        <f ca="1">IFERROR(__xludf.DUMMYFUNCTION("""COMPUTED_VALUE"""),182.89)</f>
        <v>182.89</v>
      </c>
      <c r="C971" s="1">
        <f ca="1">IFERROR(__xludf.DUMMYFUNCTION("""COMPUTED_VALUE"""),360.53)</f>
        <v>360.53</v>
      </c>
      <c r="D971" s="1">
        <f ca="1">IFERROR(__xludf.DUMMYFUNCTION("""COMPUTED_VALUE"""),142.71)</f>
        <v>142.71</v>
      </c>
      <c r="E971" s="1">
        <f ca="1">IFERROR(__xludf.DUMMYFUNCTION("""COMPUTED_VALUE"""),45.96)</f>
        <v>45.96</v>
      </c>
      <c r="F971" s="1">
        <f ca="1">IFERROR(__xludf.DUMMYFUNCTION("""COMPUTED_VALUE"""),318.82)</f>
        <v>318.82</v>
      </c>
      <c r="G971" s="1">
        <f ca="1">IFERROR(__xludf.DUMMYFUNCTION("""COMPUTED_VALUE"""),132.4)</f>
        <v>132.4</v>
      </c>
      <c r="H971" s="1">
        <f ca="1">IFERROR(__xludf.DUMMYFUNCTION("""COMPUTED_VALUE"""),222.18)</f>
        <v>222.18</v>
      </c>
      <c r="I971" s="1">
        <f ca="1">IFERROR(__xludf.DUMMYFUNCTION("""COMPUTED_VALUE"""),167.18)</f>
        <v>167.18</v>
      </c>
      <c r="J971" s="1">
        <f ca="1">IFERROR(__xludf.DUMMYFUNCTION("""COMPUTED_VALUE"""),571.27)</f>
        <v>571.27</v>
      </c>
      <c r="K971" s="1">
        <f ca="1">IFERROR(__xludf.DUMMYFUNCTION("""COMPUTED_VALUE"""),89.78)</f>
        <v>89.78</v>
      </c>
      <c r="L971" s="1">
        <f ca="1">IFERROR(__xludf.DUMMYFUNCTION("""COMPUTED_VALUE"""),585.2)</f>
        <v>585.20000000000005</v>
      </c>
      <c r="M971" s="1">
        <f ca="1">IFERROR(__xludf.DUMMYFUNCTION("""COMPUTED_VALUE"""),434.61)</f>
        <v>434.61</v>
      </c>
    </row>
    <row r="972" spans="1:13" x14ac:dyDescent="0.25">
      <c r="A972" s="2">
        <f ca="1">IFERROR(__xludf.DUMMYFUNCTION("""COMPUTED_VALUE"""),45239.6666666666)</f>
        <v>45239.666666666599</v>
      </c>
      <c r="B972" s="1">
        <f ca="1">IFERROR(__xludf.DUMMYFUNCTION("""COMPUTED_VALUE"""),182.41)</f>
        <v>182.41</v>
      </c>
      <c r="C972" s="1">
        <f ca="1">IFERROR(__xludf.DUMMYFUNCTION("""COMPUTED_VALUE"""),363.2)</f>
        <v>363.2</v>
      </c>
      <c r="D972" s="1">
        <f ca="1">IFERROR(__xludf.DUMMYFUNCTION("""COMPUTED_VALUE"""),142.08)</f>
        <v>142.08000000000001</v>
      </c>
      <c r="E972" s="1">
        <f ca="1">IFERROR(__xludf.DUMMYFUNCTION("""COMPUTED_VALUE"""),46.57)</f>
        <v>46.57</v>
      </c>
      <c r="F972" s="1">
        <f ca="1">IFERROR(__xludf.DUMMYFUNCTION("""COMPUTED_VALUE"""),319.78)</f>
        <v>319.77999999999997</v>
      </c>
      <c r="G972" s="1">
        <f ca="1">IFERROR(__xludf.DUMMYFUNCTION("""COMPUTED_VALUE"""),133.26)</f>
        <v>133.26</v>
      </c>
      <c r="H972" s="1">
        <f ca="1">IFERROR(__xludf.DUMMYFUNCTION("""COMPUTED_VALUE"""),222.11)</f>
        <v>222.11</v>
      </c>
      <c r="I972" s="1">
        <f ca="1">IFERROR(__xludf.DUMMYFUNCTION("""COMPUTED_VALUE"""),167.39)</f>
        <v>167.39</v>
      </c>
      <c r="J972" s="1">
        <f ca="1">IFERROR(__xludf.DUMMYFUNCTION("""COMPUTED_VALUE"""),567.38)</f>
        <v>567.38</v>
      </c>
      <c r="K972" s="1">
        <f ca="1">IFERROR(__xludf.DUMMYFUNCTION("""COMPUTED_VALUE"""),91.11)</f>
        <v>91.11</v>
      </c>
      <c r="L972" s="1">
        <f ca="1">IFERROR(__xludf.DUMMYFUNCTION("""COMPUTED_VALUE"""),585.31)</f>
        <v>585.30999999999995</v>
      </c>
      <c r="M972" s="1">
        <f ca="1">IFERROR(__xludf.DUMMYFUNCTION("""COMPUTED_VALUE"""),436.65)</f>
        <v>436.65</v>
      </c>
    </row>
    <row r="973" spans="1:13" x14ac:dyDescent="0.25">
      <c r="A973" s="2">
        <f ca="1">IFERROR(__xludf.DUMMYFUNCTION("""COMPUTED_VALUE"""),45240.6666666666)</f>
        <v>45240.666666666599</v>
      </c>
      <c r="B973" s="1">
        <f ca="1">IFERROR(__xludf.DUMMYFUNCTION("""COMPUTED_VALUE"""),186.4)</f>
        <v>186.4</v>
      </c>
      <c r="C973" s="1">
        <f ca="1">IFERROR(__xludf.DUMMYFUNCTION("""COMPUTED_VALUE"""),360.69)</f>
        <v>360.69</v>
      </c>
      <c r="D973" s="1">
        <f ca="1">IFERROR(__xludf.DUMMYFUNCTION("""COMPUTED_VALUE"""),140.6)</f>
        <v>140.6</v>
      </c>
      <c r="E973" s="1">
        <f ca="1">IFERROR(__xludf.DUMMYFUNCTION("""COMPUTED_VALUE"""),46.95)</f>
        <v>46.95</v>
      </c>
      <c r="F973" s="1">
        <f ca="1">IFERROR(__xludf.DUMMYFUNCTION("""COMPUTED_VALUE"""),320.55)</f>
        <v>320.55</v>
      </c>
      <c r="G973" s="1">
        <f ca="1">IFERROR(__xludf.DUMMYFUNCTION("""COMPUTED_VALUE"""),131.69)</f>
        <v>131.69</v>
      </c>
      <c r="H973" s="1">
        <f ca="1">IFERROR(__xludf.DUMMYFUNCTION("""COMPUTED_VALUE"""),209.98)</f>
        <v>209.98</v>
      </c>
      <c r="I973" s="1">
        <f ca="1">IFERROR(__xludf.DUMMYFUNCTION("""COMPUTED_VALUE"""),166.16)</f>
        <v>166.16</v>
      </c>
      <c r="J973" s="1">
        <f ca="1">IFERROR(__xludf.DUMMYFUNCTION("""COMPUTED_VALUE"""),563.27)</f>
        <v>563.27</v>
      </c>
      <c r="K973" s="1">
        <f ca="1">IFERROR(__xludf.DUMMYFUNCTION("""COMPUTED_VALUE"""),91.14)</f>
        <v>91.14</v>
      </c>
      <c r="L973" s="1">
        <f ca="1">IFERROR(__xludf.DUMMYFUNCTION("""COMPUTED_VALUE"""),577.74)</f>
        <v>577.74</v>
      </c>
      <c r="M973" s="1">
        <f ca="1">IFERROR(__xludf.DUMMYFUNCTION("""COMPUTED_VALUE"""),435.15)</f>
        <v>435.15</v>
      </c>
    </row>
    <row r="974" spans="1:13" x14ac:dyDescent="0.25">
      <c r="A974" s="2">
        <f ca="1">IFERROR(__xludf.DUMMYFUNCTION("""COMPUTED_VALUE"""),45243.6666666666)</f>
        <v>45243.666666666599</v>
      </c>
      <c r="B974" s="1">
        <f ca="1">IFERROR(__xludf.DUMMYFUNCTION("""COMPUTED_VALUE"""),184.8)</f>
        <v>184.8</v>
      </c>
      <c r="C974" s="1">
        <f ca="1">IFERROR(__xludf.DUMMYFUNCTION("""COMPUTED_VALUE"""),369.67)</f>
        <v>369.67</v>
      </c>
      <c r="D974" s="1">
        <f ca="1">IFERROR(__xludf.DUMMYFUNCTION("""COMPUTED_VALUE"""),143.56)</f>
        <v>143.56</v>
      </c>
      <c r="E974" s="1">
        <f ca="1">IFERROR(__xludf.DUMMYFUNCTION("""COMPUTED_VALUE"""),48.34)</f>
        <v>48.34</v>
      </c>
      <c r="F974" s="1">
        <f ca="1">IFERROR(__xludf.DUMMYFUNCTION("""COMPUTED_VALUE"""),328.77)</f>
        <v>328.77</v>
      </c>
      <c r="G974" s="1">
        <f ca="1">IFERROR(__xludf.DUMMYFUNCTION("""COMPUTED_VALUE"""),134.06)</f>
        <v>134.06</v>
      </c>
      <c r="H974" s="1">
        <f ca="1">IFERROR(__xludf.DUMMYFUNCTION("""COMPUTED_VALUE"""),214.65)</f>
        <v>214.65</v>
      </c>
      <c r="I974" s="1">
        <f ca="1">IFERROR(__xludf.DUMMYFUNCTION("""COMPUTED_VALUE"""),166.92)</f>
        <v>166.92</v>
      </c>
      <c r="J974" s="1">
        <f ca="1">IFERROR(__xludf.DUMMYFUNCTION("""COMPUTED_VALUE"""),577.12)</f>
        <v>577.12</v>
      </c>
      <c r="K974" s="1">
        <f ca="1">IFERROR(__xludf.DUMMYFUNCTION("""COMPUTED_VALUE"""),95.75)</f>
        <v>95.75</v>
      </c>
      <c r="L974" s="1">
        <f ca="1">IFERROR(__xludf.DUMMYFUNCTION("""COMPUTED_VALUE"""),597.22)</f>
        <v>597.22</v>
      </c>
      <c r="M974" s="1">
        <f ca="1">IFERROR(__xludf.DUMMYFUNCTION("""COMPUTED_VALUE"""),447.24)</f>
        <v>447.24</v>
      </c>
    </row>
    <row r="975" spans="1:13" x14ac:dyDescent="0.25">
      <c r="A975" s="2">
        <f ca="1">IFERROR(__xludf.DUMMYFUNCTION("""COMPUTED_VALUE"""),45244.6666666666)</f>
        <v>45244.666666666599</v>
      </c>
      <c r="B975" s="1">
        <f ca="1">IFERROR(__xludf.DUMMYFUNCTION("""COMPUTED_VALUE"""),187.44)</f>
        <v>187.44</v>
      </c>
      <c r="C975" s="1">
        <f ca="1">IFERROR(__xludf.DUMMYFUNCTION("""COMPUTED_VALUE"""),366.68)</f>
        <v>366.68</v>
      </c>
      <c r="D975" s="1">
        <f ca="1">IFERROR(__xludf.DUMMYFUNCTION("""COMPUTED_VALUE"""),142.59)</f>
        <v>142.59</v>
      </c>
      <c r="E975" s="1">
        <f ca="1">IFERROR(__xludf.DUMMYFUNCTION("""COMPUTED_VALUE"""),48.62)</f>
        <v>48.62</v>
      </c>
      <c r="F975" s="1">
        <f ca="1">IFERROR(__xludf.DUMMYFUNCTION("""COMPUTED_VALUE"""),329.19)</f>
        <v>329.19</v>
      </c>
      <c r="G975" s="1">
        <f ca="1">IFERROR(__xludf.DUMMYFUNCTION("""COMPUTED_VALUE"""),133.64)</f>
        <v>133.63999999999999</v>
      </c>
      <c r="H975" s="1">
        <f ca="1">IFERROR(__xludf.DUMMYFUNCTION("""COMPUTED_VALUE"""),223.71)</f>
        <v>223.71</v>
      </c>
      <c r="I975" s="1">
        <f ca="1">IFERROR(__xludf.DUMMYFUNCTION("""COMPUTED_VALUE"""),167.77)</f>
        <v>167.77</v>
      </c>
      <c r="J975" s="1">
        <f ca="1">IFERROR(__xludf.DUMMYFUNCTION("""COMPUTED_VALUE"""),578.23)</f>
        <v>578.23</v>
      </c>
      <c r="K975" s="1">
        <f ca="1">IFERROR(__xludf.DUMMYFUNCTION("""COMPUTED_VALUE"""),94.69)</f>
        <v>94.69</v>
      </c>
      <c r="L975" s="1">
        <f ca="1">IFERROR(__xludf.DUMMYFUNCTION("""COMPUTED_VALUE"""),590.34)</f>
        <v>590.34</v>
      </c>
      <c r="M975" s="1">
        <f ca="1">IFERROR(__xludf.DUMMYFUNCTION("""COMPUTED_VALUE"""),444.62)</f>
        <v>444.62</v>
      </c>
    </row>
    <row r="976" spans="1:13" x14ac:dyDescent="0.25">
      <c r="A976" s="2">
        <f ca="1">IFERROR(__xludf.DUMMYFUNCTION("""COMPUTED_VALUE"""),45245.6666666666)</f>
        <v>45245.666666666599</v>
      </c>
      <c r="B976" s="1">
        <f ca="1">IFERROR(__xludf.DUMMYFUNCTION("""COMPUTED_VALUE"""),188.01)</f>
        <v>188.01</v>
      </c>
      <c r="C976" s="1">
        <f ca="1">IFERROR(__xludf.DUMMYFUNCTION("""COMPUTED_VALUE"""),370.27)</f>
        <v>370.27</v>
      </c>
      <c r="D976" s="1">
        <f ca="1">IFERROR(__xludf.DUMMYFUNCTION("""COMPUTED_VALUE"""),145.8)</f>
        <v>145.80000000000001</v>
      </c>
      <c r="E976" s="1">
        <f ca="1">IFERROR(__xludf.DUMMYFUNCTION("""COMPUTED_VALUE"""),49.66)</f>
        <v>49.66</v>
      </c>
      <c r="F976" s="1">
        <f ca="1">IFERROR(__xludf.DUMMYFUNCTION("""COMPUTED_VALUE"""),336.31)</f>
        <v>336.31</v>
      </c>
      <c r="G976" s="1">
        <f ca="1">IFERROR(__xludf.DUMMYFUNCTION("""COMPUTED_VALUE"""),135.43)</f>
        <v>135.43</v>
      </c>
      <c r="H976" s="1">
        <f ca="1">IFERROR(__xludf.DUMMYFUNCTION("""COMPUTED_VALUE"""),237.41)</f>
        <v>237.41</v>
      </c>
      <c r="I976" s="1">
        <f ca="1">IFERROR(__xludf.DUMMYFUNCTION("""COMPUTED_VALUE"""),168.11)</f>
        <v>168.11</v>
      </c>
      <c r="J976" s="1">
        <f ca="1">IFERROR(__xludf.DUMMYFUNCTION("""COMPUTED_VALUE"""),590.8)</f>
        <v>590.79999999999995</v>
      </c>
      <c r="K976" s="1">
        <f ca="1">IFERROR(__xludf.DUMMYFUNCTION("""COMPUTED_VALUE"""),97.3)</f>
        <v>97.3</v>
      </c>
      <c r="L976" s="1">
        <f ca="1">IFERROR(__xludf.DUMMYFUNCTION("""COMPUTED_VALUE"""),604.33)</f>
        <v>604.33000000000004</v>
      </c>
      <c r="M976" s="1">
        <f ca="1">IFERROR(__xludf.DUMMYFUNCTION("""COMPUTED_VALUE"""),448.65)</f>
        <v>448.65</v>
      </c>
    </row>
    <row r="977" spans="1:13" x14ac:dyDescent="0.25">
      <c r="A977" s="2">
        <f ca="1">IFERROR(__xludf.DUMMYFUNCTION("""COMPUTED_VALUE"""),45246.6666666666)</f>
        <v>45246.666666666599</v>
      </c>
      <c r="B977" s="1">
        <f ca="1">IFERROR(__xludf.DUMMYFUNCTION("""COMPUTED_VALUE"""),189.71)</f>
        <v>189.71</v>
      </c>
      <c r="C977" s="1">
        <f ca="1">IFERROR(__xludf.DUMMYFUNCTION("""COMPUTED_VALUE"""),369.67)</f>
        <v>369.67</v>
      </c>
      <c r="D977" s="1">
        <f ca="1">IFERROR(__xludf.DUMMYFUNCTION("""COMPUTED_VALUE"""),143.2)</f>
        <v>143.19999999999999</v>
      </c>
      <c r="E977" s="1">
        <f ca="1">IFERROR(__xludf.DUMMYFUNCTION("""COMPUTED_VALUE"""),48.89)</f>
        <v>48.89</v>
      </c>
      <c r="F977" s="1">
        <f ca="1">IFERROR(__xludf.DUMMYFUNCTION("""COMPUTED_VALUE"""),332.71)</f>
        <v>332.71</v>
      </c>
      <c r="G977" s="1">
        <f ca="1">IFERROR(__xludf.DUMMYFUNCTION("""COMPUTED_VALUE"""),136.38)</f>
        <v>136.38</v>
      </c>
      <c r="H977" s="1">
        <f ca="1">IFERROR(__xludf.DUMMYFUNCTION("""COMPUTED_VALUE"""),242.84)</f>
        <v>242.84</v>
      </c>
      <c r="I977" s="1">
        <f ca="1">IFERROR(__xludf.DUMMYFUNCTION("""COMPUTED_VALUE"""),167.25)</f>
        <v>167.25</v>
      </c>
      <c r="J977" s="1">
        <f ca="1">IFERROR(__xludf.DUMMYFUNCTION("""COMPUTED_VALUE"""),596.78)</f>
        <v>596.78</v>
      </c>
      <c r="K977" s="1">
        <f ca="1">IFERROR(__xludf.DUMMYFUNCTION("""COMPUTED_VALUE"""),97.54)</f>
        <v>97.54</v>
      </c>
      <c r="L977" s="1">
        <f ca="1">IFERROR(__xludf.DUMMYFUNCTION("""COMPUTED_VALUE"""),595.31)</f>
        <v>595.30999999999995</v>
      </c>
      <c r="M977" s="1">
        <f ca="1">IFERROR(__xludf.DUMMYFUNCTION("""COMPUTED_VALUE"""),461.94)</f>
        <v>461.94</v>
      </c>
    </row>
    <row r="978" spans="1:13" x14ac:dyDescent="0.25">
      <c r="A978" s="2">
        <f ca="1">IFERROR(__xludf.DUMMYFUNCTION("""COMPUTED_VALUE"""),45247.6666666666)</f>
        <v>45247.666666666599</v>
      </c>
      <c r="B978" s="1">
        <f ca="1">IFERROR(__xludf.DUMMYFUNCTION("""COMPUTED_VALUE"""),189.69)</f>
        <v>189.69</v>
      </c>
      <c r="C978" s="1">
        <f ca="1">IFERROR(__xludf.DUMMYFUNCTION("""COMPUTED_VALUE"""),376.17)</f>
        <v>376.17</v>
      </c>
      <c r="D978" s="1">
        <f ca="1">IFERROR(__xludf.DUMMYFUNCTION("""COMPUTED_VALUE"""),142.83)</f>
        <v>142.83000000000001</v>
      </c>
      <c r="E978" s="1">
        <f ca="1">IFERROR(__xludf.DUMMYFUNCTION("""COMPUTED_VALUE"""),49.48)</f>
        <v>49.48</v>
      </c>
      <c r="F978" s="1">
        <f ca="1">IFERROR(__xludf.DUMMYFUNCTION("""COMPUTED_VALUE"""),334.19)</f>
        <v>334.19</v>
      </c>
      <c r="G978" s="1">
        <f ca="1">IFERROR(__xludf.DUMMYFUNCTION("""COMPUTED_VALUE"""),138.7)</f>
        <v>138.69999999999999</v>
      </c>
      <c r="H978" s="1">
        <f ca="1">IFERROR(__xludf.DUMMYFUNCTION("""COMPUTED_VALUE"""),233.59)</f>
        <v>233.59</v>
      </c>
      <c r="I978" s="1">
        <f ca="1">IFERROR(__xludf.DUMMYFUNCTION("""COMPUTED_VALUE"""),167.71)</f>
        <v>167.71</v>
      </c>
      <c r="J978" s="1">
        <f ca="1">IFERROR(__xludf.DUMMYFUNCTION("""COMPUTED_VALUE"""),578.58)</f>
        <v>578.58000000000004</v>
      </c>
      <c r="K978" s="1">
        <f ca="1">IFERROR(__xludf.DUMMYFUNCTION("""COMPUTED_VALUE"""),95.96)</f>
        <v>95.96</v>
      </c>
      <c r="L978" s="1">
        <f ca="1">IFERROR(__xludf.DUMMYFUNCTION("""COMPUTED_VALUE"""),602.06)</f>
        <v>602.05999999999995</v>
      </c>
      <c r="M978" s="1">
        <f ca="1">IFERROR(__xludf.DUMMYFUNCTION("""COMPUTED_VALUE"""),466.95)</f>
        <v>466.95</v>
      </c>
    </row>
    <row r="979" spans="1:13" x14ac:dyDescent="0.25">
      <c r="A979" s="2">
        <f ca="1">IFERROR(__xludf.DUMMYFUNCTION("""COMPUTED_VALUE"""),45250.6666666666)</f>
        <v>45250.666666666599</v>
      </c>
      <c r="B979" s="1">
        <f ca="1">IFERROR(__xludf.DUMMYFUNCTION("""COMPUTED_VALUE"""),191.45)</f>
        <v>191.45</v>
      </c>
      <c r="C979" s="1">
        <f ca="1">IFERROR(__xludf.DUMMYFUNCTION("""COMPUTED_VALUE"""),369.85)</f>
        <v>369.85</v>
      </c>
      <c r="D979" s="1">
        <f ca="1">IFERROR(__xludf.DUMMYFUNCTION("""COMPUTED_VALUE"""),145.18)</f>
        <v>145.18</v>
      </c>
      <c r="E979" s="1">
        <f ca="1">IFERROR(__xludf.DUMMYFUNCTION("""COMPUTED_VALUE"""),49.3)</f>
        <v>49.3</v>
      </c>
      <c r="F979" s="1">
        <f ca="1">IFERROR(__xludf.DUMMYFUNCTION("""COMPUTED_VALUE"""),335.04)</f>
        <v>335.04</v>
      </c>
      <c r="G979" s="1">
        <f ca="1">IFERROR(__xludf.DUMMYFUNCTION("""COMPUTED_VALUE"""),136.94)</f>
        <v>136.94</v>
      </c>
      <c r="H979" s="1">
        <f ca="1">IFERROR(__xludf.DUMMYFUNCTION("""COMPUTED_VALUE"""),234.3)</f>
        <v>234.3</v>
      </c>
      <c r="I979" s="1">
        <f ca="1">IFERROR(__xludf.DUMMYFUNCTION("""COMPUTED_VALUE"""),166.76)</f>
        <v>166.76</v>
      </c>
      <c r="J979" s="1">
        <f ca="1">IFERROR(__xludf.DUMMYFUNCTION("""COMPUTED_VALUE"""),577.15)</f>
        <v>577.15</v>
      </c>
      <c r="K979" s="1">
        <f ca="1">IFERROR(__xludf.DUMMYFUNCTION("""COMPUTED_VALUE"""),97.77)</f>
        <v>97.77</v>
      </c>
      <c r="L979" s="1">
        <f ca="1">IFERROR(__xludf.DUMMYFUNCTION("""COMPUTED_VALUE"""),602.66)</f>
        <v>602.66</v>
      </c>
      <c r="M979" s="1">
        <f ca="1">IFERROR(__xludf.DUMMYFUNCTION("""COMPUTED_VALUE"""),465.91)</f>
        <v>465.91</v>
      </c>
    </row>
    <row r="980" spans="1:13" x14ac:dyDescent="0.25">
      <c r="A980" s="2">
        <f ca="1">IFERROR(__xludf.DUMMYFUNCTION("""COMPUTED_VALUE"""),45251.6666666666)</f>
        <v>45251.666666666599</v>
      </c>
      <c r="B980" s="1">
        <f ca="1">IFERROR(__xludf.DUMMYFUNCTION("""COMPUTED_VALUE"""),190.64)</f>
        <v>190.64</v>
      </c>
      <c r="C980" s="1">
        <f ca="1">IFERROR(__xludf.DUMMYFUNCTION("""COMPUTED_VALUE"""),377.44)</f>
        <v>377.44</v>
      </c>
      <c r="D980" s="1">
        <f ca="1">IFERROR(__xludf.DUMMYFUNCTION("""COMPUTED_VALUE"""),146.13)</f>
        <v>146.13</v>
      </c>
      <c r="E980" s="1">
        <f ca="1">IFERROR(__xludf.DUMMYFUNCTION("""COMPUTED_VALUE"""),50.41)</f>
        <v>50.41</v>
      </c>
      <c r="F980" s="1">
        <f ca="1">IFERROR(__xludf.DUMMYFUNCTION("""COMPUTED_VALUE"""),339.97)</f>
        <v>339.97</v>
      </c>
      <c r="G980" s="1">
        <f ca="1">IFERROR(__xludf.DUMMYFUNCTION("""COMPUTED_VALUE"""),137.92)</f>
        <v>137.91999999999999</v>
      </c>
      <c r="H980" s="1">
        <f ca="1">IFERROR(__xludf.DUMMYFUNCTION("""COMPUTED_VALUE"""),235.6)</f>
        <v>235.6</v>
      </c>
      <c r="I980" s="1">
        <f ca="1">IFERROR(__xludf.DUMMYFUNCTION("""COMPUTED_VALUE"""),166.52)</f>
        <v>166.52</v>
      </c>
      <c r="J980" s="1">
        <f ca="1">IFERROR(__xludf.DUMMYFUNCTION("""COMPUTED_VALUE"""),580.8)</f>
        <v>580.79999999999995</v>
      </c>
      <c r="K980" s="1">
        <f ca="1">IFERROR(__xludf.DUMMYFUNCTION("""COMPUTED_VALUE"""),99.57)</f>
        <v>99.57</v>
      </c>
      <c r="L980" s="1">
        <f ca="1">IFERROR(__xludf.DUMMYFUNCTION("""COMPUTED_VALUE"""),612.7)</f>
        <v>612.70000000000005</v>
      </c>
      <c r="M980" s="1">
        <f ca="1">IFERROR(__xludf.DUMMYFUNCTION("""COMPUTED_VALUE"""),474.47)</f>
        <v>474.47</v>
      </c>
    </row>
    <row r="981" spans="1:13" x14ac:dyDescent="0.25">
      <c r="A981" s="2">
        <f ca="1">IFERROR(__xludf.DUMMYFUNCTION("""COMPUTED_VALUE"""),45252.6666666666)</f>
        <v>45252.666666666599</v>
      </c>
      <c r="B981" s="1">
        <f ca="1">IFERROR(__xludf.DUMMYFUNCTION("""COMPUTED_VALUE"""),191.31)</f>
        <v>191.31</v>
      </c>
      <c r="C981" s="1">
        <f ca="1">IFERROR(__xludf.DUMMYFUNCTION("""COMPUTED_VALUE"""),373.07)</f>
        <v>373.07</v>
      </c>
      <c r="D981" s="1">
        <f ca="1">IFERROR(__xludf.DUMMYFUNCTION("""COMPUTED_VALUE"""),143.9)</f>
        <v>143.9</v>
      </c>
      <c r="E981" s="1">
        <f ca="1">IFERROR(__xludf.DUMMYFUNCTION("""COMPUTED_VALUE"""),49.94)</f>
        <v>49.94</v>
      </c>
      <c r="F981" s="1">
        <f ca="1">IFERROR(__xludf.DUMMYFUNCTION("""COMPUTED_VALUE"""),336.98)</f>
        <v>336.98</v>
      </c>
      <c r="G981" s="1">
        <f ca="1">IFERROR(__xludf.DUMMYFUNCTION("""COMPUTED_VALUE"""),138.62)</f>
        <v>138.62</v>
      </c>
      <c r="H981" s="1">
        <f ca="1">IFERROR(__xludf.DUMMYFUNCTION("""COMPUTED_VALUE"""),241.2)</f>
        <v>241.2</v>
      </c>
      <c r="I981" s="1">
        <f ca="1">IFERROR(__xludf.DUMMYFUNCTION("""COMPUTED_VALUE"""),167.8)</f>
        <v>167.8</v>
      </c>
      <c r="J981" s="1">
        <f ca="1">IFERROR(__xludf.DUMMYFUNCTION("""COMPUTED_VALUE"""),584.3)</f>
        <v>584.29999999999995</v>
      </c>
      <c r="K981" s="1">
        <f ca="1">IFERROR(__xludf.DUMMYFUNCTION("""COMPUTED_VALUE"""),98.12)</f>
        <v>98.12</v>
      </c>
      <c r="L981" s="1">
        <f ca="1">IFERROR(__xludf.DUMMYFUNCTION("""COMPUTED_VALUE"""),610.99)</f>
        <v>610.99</v>
      </c>
      <c r="M981" s="1">
        <f ca="1">IFERROR(__xludf.DUMMYFUNCTION("""COMPUTED_VALUE"""),474.95)</f>
        <v>474.95</v>
      </c>
    </row>
    <row r="982" spans="1:13" x14ac:dyDescent="0.25">
      <c r="A982" s="2">
        <f ca="1">IFERROR(__xludf.DUMMYFUNCTION("""COMPUTED_VALUE"""),45254.5451388888)</f>
        <v>45254.545138888803</v>
      </c>
      <c r="B982" s="1">
        <f ca="1">IFERROR(__xludf.DUMMYFUNCTION("""COMPUTED_VALUE"""),189.97)</f>
        <v>189.97</v>
      </c>
      <c r="C982" s="1">
        <f ca="1">IFERROR(__xludf.DUMMYFUNCTION("""COMPUTED_VALUE"""),377.85)</f>
        <v>377.85</v>
      </c>
      <c r="D982" s="1">
        <f ca="1">IFERROR(__xludf.DUMMYFUNCTION("""COMPUTED_VALUE"""),146.71)</f>
        <v>146.71</v>
      </c>
      <c r="E982" s="1">
        <f ca="1">IFERROR(__xludf.DUMMYFUNCTION("""COMPUTED_VALUE"""),48.72)</f>
        <v>48.72</v>
      </c>
      <c r="F982" s="1">
        <f ca="1">IFERROR(__xludf.DUMMYFUNCTION("""COMPUTED_VALUE"""),341.49)</f>
        <v>341.49</v>
      </c>
      <c r="G982" s="1">
        <f ca="1">IFERROR(__xludf.DUMMYFUNCTION("""COMPUTED_VALUE"""),140.02)</f>
        <v>140.02000000000001</v>
      </c>
      <c r="H982" s="1">
        <f ca="1">IFERROR(__xludf.DUMMYFUNCTION("""COMPUTED_VALUE"""),234.21)</f>
        <v>234.21</v>
      </c>
      <c r="I982" s="1">
        <f ca="1">IFERROR(__xludf.DUMMYFUNCTION("""COMPUTED_VALUE"""),169.22)</f>
        <v>169.22</v>
      </c>
      <c r="J982" s="1">
        <f ca="1">IFERROR(__xludf.DUMMYFUNCTION("""COMPUTED_VALUE"""),589.08)</f>
        <v>589.08000000000004</v>
      </c>
      <c r="K982" s="1">
        <f ca="1">IFERROR(__xludf.DUMMYFUNCTION("""COMPUTED_VALUE"""),97.2)</f>
        <v>97.2</v>
      </c>
      <c r="L982" s="1">
        <f ca="1">IFERROR(__xludf.DUMMYFUNCTION("""COMPUTED_VALUE"""),619.72)</f>
        <v>619.72</v>
      </c>
      <c r="M982" s="1">
        <f ca="1">IFERROR(__xludf.DUMMYFUNCTION("""COMPUTED_VALUE"""),478)</f>
        <v>478</v>
      </c>
    </row>
    <row r="983" spans="1:13" x14ac:dyDescent="0.25">
      <c r="A983" s="2">
        <f ca="1">IFERROR(__xludf.DUMMYFUNCTION("""COMPUTED_VALUE"""),45257.6666666666)</f>
        <v>45257.666666666599</v>
      </c>
      <c r="B983" s="1">
        <f ca="1">IFERROR(__xludf.DUMMYFUNCTION("""COMPUTED_VALUE"""),189.79)</f>
        <v>189.79</v>
      </c>
      <c r="C983" s="1">
        <f ca="1">IFERROR(__xludf.DUMMYFUNCTION("""COMPUTED_VALUE"""),377.43)</f>
        <v>377.43</v>
      </c>
      <c r="D983" s="1">
        <f ca="1">IFERROR(__xludf.DUMMYFUNCTION("""COMPUTED_VALUE"""),146.74)</f>
        <v>146.74</v>
      </c>
      <c r="E983" s="1">
        <f ca="1">IFERROR(__xludf.DUMMYFUNCTION("""COMPUTED_VALUE"""),47.78)</f>
        <v>47.78</v>
      </c>
      <c r="F983" s="1">
        <f ca="1">IFERROR(__xludf.DUMMYFUNCTION("""COMPUTED_VALUE"""),338.23)</f>
        <v>338.23</v>
      </c>
      <c r="G983" s="1">
        <f ca="1">IFERROR(__xludf.DUMMYFUNCTION("""COMPUTED_VALUE"""),138.22)</f>
        <v>138.22</v>
      </c>
      <c r="H983" s="1">
        <f ca="1">IFERROR(__xludf.DUMMYFUNCTION("""COMPUTED_VALUE"""),235.45)</f>
        <v>235.45</v>
      </c>
      <c r="I983" s="1">
        <f ca="1">IFERROR(__xludf.DUMMYFUNCTION("""COMPUTED_VALUE"""),169.37)</f>
        <v>169.37</v>
      </c>
      <c r="J983" s="1">
        <f ca="1">IFERROR(__xludf.DUMMYFUNCTION("""COMPUTED_VALUE"""),591.36)</f>
        <v>591.36</v>
      </c>
      <c r="K983" s="1">
        <f ca="1">IFERROR(__xludf.DUMMYFUNCTION("""COMPUTED_VALUE"""),97.89)</f>
        <v>97.89</v>
      </c>
      <c r="L983" s="1">
        <f ca="1">IFERROR(__xludf.DUMMYFUNCTION("""COMPUTED_VALUE"""),619.43)</f>
        <v>619.42999999999995</v>
      </c>
      <c r="M983" s="1">
        <f ca="1">IFERROR(__xludf.DUMMYFUNCTION("""COMPUTED_VALUE"""),479.56)</f>
        <v>479.56</v>
      </c>
    </row>
    <row r="984" spans="1:13" x14ac:dyDescent="0.25">
      <c r="A984" s="2">
        <f ca="1">IFERROR(__xludf.DUMMYFUNCTION("""COMPUTED_VALUE"""),45258.6666666666)</f>
        <v>45258.666666666599</v>
      </c>
      <c r="B984" s="1">
        <f ca="1">IFERROR(__xludf.DUMMYFUNCTION("""COMPUTED_VALUE"""),190.4)</f>
        <v>190.4</v>
      </c>
      <c r="C984" s="1">
        <f ca="1">IFERROR(__xludf.DUMMYFUNCTION("""COMPUTED_VALUE"""),378.61)</f>
        <v>378.61</v>
      </c>
      <c r="D984" s="1">
        <f ca="1">IFERROR(__xludf.DUMMYFUNCTION("""COMPUTED_VALUE"""),147.73)</f>
        <v>147.72999999999999</v>
      </c>
      <c r="E984" s="1">
        <f ca="1">IFERROR(__xludf.DUMMYFUNCTION("""COMPUTED_VALUE"""),48.24)</f>
        <v>48.24</v>
      </c>
      <c r="F984" s="1">
        <f ca="1">IFERROR(__xludf.DUMMYFUNCTION("""COMPUTED_VALUE"""),334.7)</f>
        <v>334.7</v>
      </c>
      <c r="G984" s="1">
        <f ca="1">IFERROR(__xludf.DUMMYFUNCTION("""COMPUTED_VALUE"""),138.05)</f>
        <v>138.05000000000001</v>
      </c>
      <c r="H984" s="1">
        <f ca="1">IFERROR(__xludf.DUMMYFUNCTION("""COMPUTED_VALUE"""),236.08)</f>
        <v>236.08</v>
      </c>
      <c r="I984" s="1">
        <f ca="1">IFERROR(__xludf.DUMMYFUNCTION("""COMPUTED_VALUE"""),168.32)</f>
        <v>168.32</v>
      </c>
      <c r="J984" s="1">
        <f ca="1">IFERROR(__xludf.DUMMYFUNCTION("""COMPUTED_VALUE"""),594.9)</f>
        <v>594.9</v>
      </c>
      <c r="K984" s="1">
        <f ca="1">IFERROR(__xludf.DUMMYFUNCTION("""COMPUTED_VALUE"""),95.02)</f>
        <v>95.02</v>
      </c>
      <c r="L984" s="1">
        <f ca="1">IFERROR(__xludf.DUMMYFUNCTION("""COMPUTED_VALUE"""),619.27)</f>
        <v>619.27</v>
      </c>
      <c r="M984" s="1">
        <f ca="1">IFERROR(__xludf.DUMMYFUNCTION("""COMPUTED_VALUE"""),479.17)</f>
        <v>479.17</v>
      </c>
    </row>
    <row r="985" spans="1:13" x14ac:dyDescent="0.25">
      <c r="A985" s="2">
        <f ca="1">IFERROR(__xludf.DUMMYFUNCTION("""COMPUTED_VALUE"""),45259.6666666666)</f>
        <v>45259.666666666599</v>
      </c>
      <c r="B985" s="1">
        <f ca="1">IFERROR(__xludf.DUMMYFUNCTION("""COMPUTED_VALUE"""),189.37)</f>
        <v>189.37</v>
      </c>
      <c r="C985" s="1">
        <f ca="1">IFERROR(__xludf.DUMMYFUNCTION("""COMPUTED_VALUE"""),382.7)</f>
        <v>382.7</v>
      </c>
      <c r="D985" s="1">
        <f ca="1">IFERROR(__xludf.DUMMYFUNCTION("""COMPUTED_VALUE"""),147.03)</f>
        <v>147.03</v>
      </c>
      <c r="E985" s="1">
        <f ca="1">IFERROR(__xludf.DUMMYFUNCTION("""COMPUTED_VALUE"""),47.82)</f>
        <v>47.82</v>
      </c>
      <c r="F985" s="1">
        <f ca="1">IFERROR(__xludf.DUMMYFUNCTION("""COMPUTED_VALUE"""),338.99)</f>
        <v>338.99</v>
      </c>
      <c r="G985" s="1">
        <f ca="1">IFERROR(__xludf.DUMMYFUNCTION("""COMPUTED_VALUE"""),138.62)</f>
        <v>138.62</v>
      </c>
      <c r="H985" s="1">
        <f ca="1">IFERROR(__xludf.DUMMYFUNCTION("""COMPUTED_VALUE"""),246.72)</f>
        <v>246.72</v>
      </c>
      <c r="I985" s="1">
        <f ca="1">IFERROR(__xludf.DUMMYFUNCTION("""COMPUTED_VALUE"""),168.86)</f>
        <v>168.86</v>
      </c>
      <c r="J985" s="1">
        <f ca="1">IFERROR(__xludf.DUMMYFUNCTION("""COMPUTED_VALUE"""),594)</f>
        <v>594</v>
      </c>
      <c r="K985" s="1">
        <f ca="1">IFERROR(__xludf.DUMMYFUNCTION("""COMPUTED_VALUE"""),94.64)</f>
        <v>94.64</v>
      </c>
      <c r="L985" s="1">
        <f ca="1">IFERROR(__xludf.DUMMYFUNCTION("""COMPUTED_VALUE"""),623.32)</f>
        <v>623.32000000000005</v>
      </c>
      <c r="M985" s="1">
        <f ca="1">IFERROR(__xludf.DUMMYFUNCTION("""COMPUTED_VALUE"""),479)</f>
        <v>479</v>
      </c>
    </row>
    <row r="986" spans="1:13" x14ac:dyDescent="0.25">
      <c r="A986" s="2">
        <f ca="1">IFERROR(__xludf.DUMMYFUNCTION("""COMPUTED_VALUE"""),45260.6666666666)</f>
        <v>45260.666666666599</v>
      </c>
      <c r="B986" s="1">
        <f ca="1">IFERROR(__xludf.DUMMYFUNCTION("""COMPUTED_VALUE"""),189.95)</f>
        <v>189.95</v>
      </c>
      <c r="C986" s="1">
        <f ca="1">IFERROR(__xludf.DUMMYFUNCTION("""COMPUTED_VALUE"""),378.85)</f>
        <v>378.85</v>
      </c>
      <c r="D986" s="1">
        <f ca="1">IFERROR(__xludf.DUMMYFUNCTION("""COMPUTED_VALUE"""),146.32)</f>
        <v>146.32</v>
      </c>
      <c r="E986" s="1">
        <f ca="1">IFERROR(__xludf.DUMMYFUNCTION("""COMPUTED_VALUE"""),48.14)</f>
        <v>48.14</v>
      </c>
      <c r="F986" s="1">
        <f ca="1">IFERROR(__xludf.DUMMYFUNCTION("""COMPUTED_VALUE"""),332.2)</f>
        <v>332.2</v>
      </c>
      <c r="G986" s="1">
        <f ca="1">IFERROR(__xludf.DUMMYFUNCTION("""COMPUTED_VALUE"""),136.4)</f>
        <v>136.4</v>
      </c>
      <c r="H986" s="1">
        <f ca="1">IFERROR(__xludf.DUMMYFUNCTION("""COMPUTED_VALUE"""),244.14)</f>
        <v>244.14</v>
      </c>
      <c r="I986" s="1">
        <f ca="1">IFERROR(__xludf.DUMMYFUNCTION("""COMPUTED_VALUE"""),167.16)</f>
        <v>167.16</v>
      </c>
      <c r="J986" s="1">
        <f ca="1">IFERROR(__xludf.DUMMYFUNCTION("""COMPUTED_VALUE"""),587.86)</f>
        <v>587.86</v>
      </c>
      <c r="K986" s="1">
        <f ca="1">IFERROR(__xludf.DUMMYFUNCTION("""COMPUTED_VALUE"""),94.08)</f>
        <v>94.08</v>
      </c>
      <c r="L986" s="1">
        <f ca="1">IFERROR(__xludf.DUMMYFUNCTION("""COMPUTED_VALUE"""),617.39)</f>
        <v>617.39</v>
      </c>
      <c r="M986" s="1">
        <f ca="1">IFERROR(__xludf.DUMMYFUNCTION("""COMPUTED_VALUE"""),477.19)</f>
        <v>477.19</v>
      </c>
    </row>
    <row r="987" spans="1:13" x14ac:dyDescent="0.25">
      <c r="A987" s="2">
        <f ca="1">IFERROR(__xludf.DUMMYFUNCTION("""COMPUTED_VALUE"""),45261.6666666666)</f>
        <v>45261.666666666599</v>
      </c>
      <c r="B987" s="1">
        <f ca="1">IFERROR(__xludf.DUMMYFUNCTION("""COMPUTED_VALUE"""),191.24)</f>
        <v>191.24</v>
      </c>
      <c r="C987" s="1">
        <f ca="1">IFERROR(__xludf.DUMMYFUNCTION("""COMPUTED_VALUE"""),378.91)</f>
        <v>378.91</v>
      </c>
      <c r="D987" s="1">
        <f ca="1">IFERROR(__xludf.DUMMYFUNCTION("""COMPUTED_VALUE"""),146.09)</f>
        <v>146.09</v>
      </c>
      <c r="E987" s="1">
        <f ca="1">IFERROR(__xludf.DUMMYFUNCTION("""COMPUTED_VALUE"""),46.77)</f>
        <v>46.77</v>
      </c>
      <c r="F987" s="1">
        <f ca="1">IFERROR(__xludf.DUMMYFUNCTION("""COMPUTED_VALUE"""),327.15)</f>
        <v>327.14999999999998</v>
      </c>
      <c r="G987" s="1">
        <f ca="1">IFERROR(__xludf.DUMMYFUNCTION("""COMPUTED_VALUE"""),133.92)</f>
        <v>133.91999999999999</v>
      </c>
      <c r="H987" s="1">
        <f ca="1">IFERROR(__xludf.DUMMYFUNCTION("""COMPUTED_VALUE"""),240.08)</f>
        <v>240.08</v>
      </c>
      <c r="I987" s="1">
        <f ca="1">IFERROR(__xludf.DUMMYFUNCTION("""COMPUTED_VALUE"""),168.29)</f>
        <v>168.29</v>
      </c>
      <c r="J987" s="1">
        <f ca="1">IFERROR(__xludf.DUMMYFUNCTION("""COMPUTED_VALUE"""),592.74)</f>
        <v>592.74</v>
      </c>
      <c r="K987" s="1">
        <f ca="1">IFERROR(__xludf.DUMMYFUNCTION("""COMPUTED_VALUE"""),92.57)</f>
        <v>92.57</v>
      </c>
      <c r="L987" s="1">
        <f ca="1">IFERROR(__xludf.DUMMYFUNCTION("""COMPUTED_VALUE"""),611.01)</f>
        <v>611.01</v>
      </c>
      <c r="M987" s="1">
        <f ca="1">IFERROR(__xludf.DUMMYFUNCTION("""COMPUTED_VALUE"""),473.97)</f>
        <v>473.97</v>
      </c>
    </row>
    <row r="988" spans="1:13" x14ac:dyDescent="0.25">
      <c r="A988" s="2">
        <f ca="1">IFERROR(__xludf.DUMMYFUNCTION("""COMPUTED_VALUE"""),45264.6666666666)</f>
        <v>45264.666666666599</v>
      </c>
      <c r="B988" s="1">
        <f ca="1">IFERROR(__xludf.DUMMYFUNCTION("""COMPUTED_VALUE"""),189.43)</f>
        <v>189.43</v>
      </c>
      <c r="C988" s="1">
        <f ca="1">IFERROR(__xludf.DUMMYFUNCTION("""COMPUTED_VALUE"""),374.51)</f>
        <v>374.51</v>
      </c>
      <c r="D988" s="1">
        <f ca="1">IFERROR(__xludf.DUMMYFUNCTION("""COMPUTED_VALUE"""),147.03)</f>
        <v>147.03</v>
      </c>
      <c r="E988" s="1">
        <f ca="1">IFERROR(__xludf.DUMMYFUNCTION("""COMPUTED_VALUE"""),46.77)</f>
        <v>46.77</v>
      </c>
      <c r="F988" s="1">
        <f ca="1">IFERROR(__xludf.DUMMYFUNCTION("""COMPUTED_VALUE"""),324.82)</f>
        <v>324.82</v>
      </c>
      <c r="G988" s="1">
        <f ca="1">IFERROR(__xludf.DUMMYFUNCTION("""COMPUTED_VALUE"""),133.32)</f>
        <v>133.32</v>
      </c>
      <c r="H988" s="1">
        <f ca="1">IFERROR(__xludf.DUMMYFUNCTION("""COMPUTED_VALUE"""),238.83)</f>
        <v>238.83</v>
      </c>
      <c r="I988" s="1">
        <f ca="1">IFERROR(__xludf.DUMMYFUNCTION("""COMPUTED_VALUE"""),168.69)</f>
        <v>168.69</v>
      </c>
      <c r="J988" s="1">
        <f ca="1">IFERROR(__xludf.DUMMYFUNCTION("""COMPUTED_VALUE"""),596.25)</f>
        <v>596.25</v>
      </c>
      <c r="K988" s="1">
        <f ca="1">IFERROR(__xludf.DUMMYFUNCTION("""COMPUTED_VALUE"""),93)</f>
        <v>93</v>
      </c>
      <c r="L988" s="1">
        <f ca="1">IFERROR(__xludf.DUMMYFUNCTION("""COMPUTED_VALUE"""),612.47)</f>
        <v>612.47</v>
      </c>
      <c r="M988" s="1">
        <f ca="1">IFERROR(__xludf.DUMMYFUNCTION("""COMPUTED_VALUE"""),465.74)</f>
        <v>465.74</v>
      </c>
    </row>
    <row r="989" spans="1:13" x14ac:dyDescent="0.25">
      <c r="A989" s="2">
        <f ca="1">IFERROR(__xludf.DUMMYFUNCTION("""COMPUTED_VALUE"""),45265.6666666666)</f>
        <v>45265.666666666599</v>
      </c>
      <c r="B989" s="1">
        <f ca="1">IFERROR(__xludf.DUMMYFUNCTION("""COMPUTED_VALUE"""),193.42)</f>
        <v>193.42</v>
      </c>
      <c r="C989" s="1">
        <f ca="1">IFERROR(__xludf.DUMMYFUNCTION("""COMPUTED_VALUE"""),369.14)</f>
        <v>369.14</v>
      </c>
      <c r="D989" s="1">
        <f ca="1">IFERROR(__xludf.DUMMYFUNCTION("""COMPUTED_VALUE"""),144.84)</f>
        <v>144.84</v>
      </c>
      <c r="E989" s="1">
        <f ca="1">IFERROR(__xludf.DUMMYFUNCTION("""COMPUTED_VALUE"""),45.51)</f>
        <v>45.51</v>
      </c>
      <c r="F989" s="1">
        <f ca="1">IFERROR(__xludf.DUMMYFUNCTION("""COMPUTED_VALUE"""),320.02)</f>
        <v>320.02</v>
      </c>
      <c r="G989" s="1">
        <f ca="1">IFERROR(__xludf.DUMMYFUNCTION("""COMPUTED_VALUE"""),130.63)</f>
        <v>130.63</v>
      </c>
      <c r="H989" s="1">
        <f ca="1">IFERROR(__xludf.DUMMYFUNCTION("""COMPUTED_VALUE"""),235.58)</f>
        <v>235.58</v>
      </c>
      <c r="I989" s="1">
        <f ca="1">IFERROR(__xludf.DUMMYFUNCTION("""COMPUTED_VALUE"""),169.14)</f>
        <v>169.14</v>
      </c>
      <c r="J989" s="1">
        <f ca="1">IFERROR(__xludf.DUMMYFUNCTION("""COMPUTED_VALUE"""),599.08)</f>
        <v>599.08000000000004</v>
      </c>
      <c r="K989" s="1">
        <f ca="1">IFERROR(__xludf.DUMMYFUNCTION("""COMPUTED_VALUE"""),92.4)</f>
        <v>92.4</v>
      </c>
      <c r="L989" s="1">
        <f ca="1">IFERROR(__xludf.DUMMYFUNCTION("""COMPUTED_VALUE"""),604.56)</f>
        <v>604.55999999999995</v>
      </c>
      <c r="M989" s="1">
        <f ca="1">IFERROR(__xludf.DUMMYFUNCTION("""COMPUTED_VALUE"""),453.9)</f>
        <v>453.9</v>
      </c>
    </row>
    <row r="990" spans="1:13" x14ac:dyDescent="0.25">
      <c r="A990" s="2">
        <f ca="1">IFERROR(__xludf.DUMMYFUNCTION("""COMPUTED_VALUE"""),45266.6666666666)</f>
        <v>45266.666666666599</v>
      </c>
      <c r="B990" s="1">
        <f ca="1">IFERROR(__xludf.DUMMYFUNCTION("""COMPUTED_VALUE"""),192.32)</f>
        <v>192.32</v>
      </c>
      <c r="C990" s="1">
        <f ca="1">IFERROR(__xludf.DUMMYFUNCTION("""COMPUTED_VALUE"""),372.52)</f>
        <v>372.52</v>
      </c>
      <c r="D990" s="1">
        <f ca="1">IFERROR(__xludf.DUMMYFUNCTION("""COMPUTED_VALUE"""),146.88)</f>
        <v>146.88</v>
      </c>
      <c r="E990" s="1">
        <f ca="1">IFERROR(__xludf.DUMMYFUNCTION("""COMPUTED_VALUE"""),46.57)</f>
        <v>46.57</v>
      </c>
      <c r="F990" s="1">
        <f ca="1">IFERROR(__xludf.DUMMYFUNCTION("""COMPUTED_VALUE"""),318.29)</f>
        <v>318.29000000000002</v>
      </c>
      <c r="G990" s="1">
        <f ca="1">IFERROR(__xludf.DUMMYFUNCTION("""COMPUTED_VALUE"""),132.39)</f>
        <v>132.38999999999999</v>
      </c>
      <c r="H990" s="1">
        <f ca="1">IFERROR(__xludf.DUMMYFUNCTION("""COMPUTED_VALUE"""),238.72)</f>
        <v>238.72</v>
      </c>
      <c r="I990" s="1">
        <f ca="1">IFERROR(__xludf.DUMMYFUNCTION("""COMPUTED_VALUE"""),167.94)</f>
        <v>167.94</v>
      </c>
      <c r="J990" s="1">
        <f ca="1">IFERROR(__xludf.DUMMYFUNCTION("""COMPUTED_VALUE"""),605.35)</f>
        <v>605.35</v>
      </c>
      <c r="K990" s="1">
        <f ca="1">IFERROR(__xludf.DUMMYFUNCTION("""COMPUTED_VALUE"""),91.31)</f>
        <v>91.31</v>
      </c>
      <c r="L990" s="1">
        <f ca="1">IFERROR(__xludf.DUMMYFUNCTION("""COMPUTED_VALUE"""),602.22)</f>
        <v>602.22</v>
      </c>
      <c r="M990" s="1">
        <f ca="1">IFERROR(__xludf.DUMMYFUNCTION("""COMPUTED_VALUE"""),455.15)</f>
        <v>455.15</v>
      </c>
    </row>
    <row r="991" spans="1:13" x14ac:dyDescent="0.25">
      <c r="A991" s="2">
        <f ca="1">IFERROR(__xludf.DUMMYFUNCTION("""COMPUTED_VALUE"""),45267.6666666666)</f>
        <v>45267.666666666599</v>
      </c>
      <c r="B991" s="1">
        <f ca="1">IFERROR(__xludf.DUMMYFUNCTION("""COMPUTED_VALUE"""),194.27)</f>
        <v>194.27</v>
      </c>
      <c r="C991" s="1">
        <f ca="1">IFERROR(__xludf.DUMMYFUNCTION("""COMPUTED_VALUE"""),368.8)</f>
        <v>368.8</v>
      </c>
      <c r="D991" s="1">
        <f ca="1">IFERROR(__xludf.DUMMYFUNCTION("""COMPUTED_VALUE"""),144.52)</f>
        <v>144.52000000000001</v>
      </c>
      <c r="E991" s="1">
        <f ca="1">IFERROR(__xludf.DUMMYFUNCTION("""COMPUTED_VALUE"""),45.5)</f>
        <v>45.5</v>
      </c>
      <c r="F991" s="1">
        <f ca="1">IFERROR(__xludf.DUMMYFUNCTION("""COMPUTED_VALUE"""),317.45)</f>
        <v>317.45</v>
      </c>
      <c r="G991" s="1">
        <f ca="1">IFERROR(__xludf.DUMMYFUNCTION("""COMPUTED_VALUE"""),131.43)</f>
        <v>131.43</v>
      </c>
      <c r="H991" s="1">
        <f ca="1">IFERROR(__xludf.DUMMYFUNCTION("""COMPUTED_VALUE"""),239.37)</f>
        <v>239.37</v>
      </c>
      <c r="I991" s="1">
        <f ca="1">IFERROR(__xludf.DUMMYFUNCTION("""COMPUTED_VALUE"""),167.51)</f>
        <v>167.51</v>
      </c>
      <c r="J991" s="1">
        <f ca="1">IFERROR(__xludf.DUMMYFUNCTION("""COMPUTED_VALUE"""),607.43)</f>
        <v>607.42999999999995</v>
      </c>
      <c r="K991" s="1">
        <f ca="1">IFERROR(__xludf.DUMMYFUNCTION("""COMPUTED_VALUE"""),90.36)</f>
        <v>90.36</v>
      </c>
      <c r="L991" s="1">
        <f ca="1">IFERROR(__xludf.DUMMYFUNCTION("""COMPUTED_VALUE"""),595.7)</f>
        <v>595.70000000000005</v>
      </c>
      <c r="M991" s="1">
        <f ca="1">IFERROR(__xludf.DUMMYFUNCTION("""COMPUTED_VALUE"""),446.73)</f>
        <v>446.73</v>
      </c>
    </row>
    <row r="992" spans="1:13" x14ac:dyDescent="0.25">
      <c r="A992" s="2">
        <f ca="1">IFERROR(__xludf.DUMMYFUNCTION("""COMPUTED_VALUE"""),45268.6666666666)</f>
        <v>45268.666666666599</v>
      </c>
      <c r="B992" s="1">
        <f ca="1">IFERROR(__xludf.DUMMYFUNCTION("""COMPUTED_VALUE"""),195.71)</f>
        <v>195.71</v>
      </c>
      <c r="C992" s="1">
        <f ca="1">IFERROR(__xludf.DUMMYFUNCTION("""COMPUTED_VALUE"""),370.95)</f>
        <v>370.95</v>
      </c>
      <c r="D992" s="1">
        <f ca="1">IFERROR(__xludf.DUMMYFUNCTION("""COMPUTED_VALUE"""),146.88)</f>
        <v>146.88</v>
      </c>
      <c r="E992" s="1">
        <f ca="1">IFERROR(__xludf.DUMMYFUNCTION("""COMPUTED_VALUE"""),46.6)</f>
        <v>46.6</v>
      </c>
      <c r="F992" s="1">
        <f ca="1">IFERROR(__xludf.DUMMYFUNCTION("""COMPUTED_VALUE"""),326.59)</f>
        <v>326.58999999999997</v>
      </c>
      <c r="G992" s="1">
        <f ca="1">IFERROR(__xludf.DUMMYFUNCTION("""COMPUTED_VALUE"""),138.45)</f>
        <v>138.44999999999999</v>
      </c>
      <c r="H992" s="1">
        <f ca="1">IFERROR(__xludf.DUMMYFUNCTION("""COMPUTED_VALUE"""),242.64)</f>
        <v>242.64</v>
      </c>
      <c r="I992" s="1">
        <f ca="1">IFERROR(__xludf.DUMMYFUNCTION("""COMPUTED_VALUE"""),167.46)</f>
        <v>167.46</v>
      </c>
      <c r="J992" s="1">
        <f ca="1">IFERROR(__xludf.DUMMYFUNCTION("""COMPUTED_VALUE"""),610.95)</f>
        <v>610.95000000000005</v>
      </c>
      <c r="K992" s="1">
        <f ca="1">IFERROR(__xludf.DUMMYFUNCTION("""COMPUTED_VALUE"""),92.23)</f>
        <v>92.23</v>
      </c>
      <c r="L992" s="1">
        <f ca="1">IFERROR(__xludf.DUMMYFUNCTION("""COMPUTED_VALUE"""),608.78)</f>
        <v>608.78</v>
      </c>
      <c r="M992" s="1">
        <f ca="1">IFERROR(__xludf.DUMMYFUNCTION("""COMPUTED_VALUE"""),452)</f>
        <v>452</v>
      </c>
    </row>
    <row r="993" spans="1:13" x14ac:dyDescent="0.25">
      <c r="A993" s="2">
        <f ca="1">IFERROR(__xludf.DUMMYFUNCTION("""COMPUTED_VALUE"""),45271.6666666666)</f>
        <v>45271.666666666599</v>
      </c>
      <c r="B993" s="1">
        <f ca="1">IFERROR(__xludf.DUMMYFUNCTION("""COMPUTED_VALUE"""),193.18)</f>
        <v>193.18</v>
      </c>
      <c r="C993" s="1">
        <f ca="1">IFERROR(__xludf.DUMMYFUNCTION("""COMPUTED_VALUE"""),374.23)</f>
        <v>374.23</v>
      </c>
      <c r="D993" s="1">
        <f ca="1">IFERROR(__xludf.DUMMYFUNCTION("""COMPUTED_VALUE"""),147.42)</f>
        <v>147.41999999999999</v>
      </c>
      <c r="E993" s="1">
        <f ca="1">IFERROR(__xludf.DUMMYFUNCTION("""COMPUTED_VALUE"""),47.51)</f>
        <v>47.51</v>
      </c>
      <c r="F993" s="1">
        <f ca="1">IFERROR(__xludf.DUMMYFUNCTION("""COMPUTED_VALUE"""),332.75)</f>
        <v>332.75</v>
      </c>
      <c r="G993" s="1">
        <f ca="1">IFERROR(__xludf.DUMMYFUNCTION("""COMPUTED_VALUE"""),136.64)</f>
        <v>136.63999999999999</v>
      </c>
      <c r="H993" s="1">
        <f ca="1">IFERROR(__xludf.DUMMYFUNCTION("""COMPUTED_VALUE"""),243.84)</f>
        <v>243.84</v>
      </c>
      <c r="I993" s="1">
        <f ca="1">IFERROR(__xludf.DUMMYFUNCTION("""COMPUTED_VALUE"""),165.68)</f>
        <v>165.68</v>
      </c>
      <c r="J993" s="1">
        <f ca="1">IFERROR(__xludf.DUMMYFUNCTION("""COMPUTED_VALUE"""),610.78)</f>
        <v>610.78</v>
      </c>
      <c r="K993" s="1">
        <f ca="1">IFERROR(__xludf.DUMMYFUNCTION("""COMPUTED_VALUE"""),94.43)</f>
        <v>94.43</v>
      </c>
      <c r="L993" s="1">
        <f ca="1">IFERROR(__xludf.DUMMYFUNCTION("""COMPUTED_VALUE"""),610.01)</f>
        <v>610.01</v>
      </c>
      <c r="M993" s="1">
        <f ca="1">IFERROR(__xludf.DUMMYFUNCTION("""COMPUTED_VALUE"""),453.76)</f>
        <v>453.76</v>
      </c>
    </row>
    <row r="994" spans="1:13" x14ac:dyDescent="0.25">
      <c r="A994" s="2">
        <f ca="1">IFERROR(__xludf.DUMMYFUNCTION("""COMPUTED_VALUE"""),45272.6666666666)</f>
        <v>45272.666666666599</v>
      </c>
      <c r="B994" s="1">
        <f ca="1">IFERROR(__xludf.DUMMYFUNCTION("""COMPUTED_VALUE"""),194.71)</f>
        <v>194.71</v>
      </c>
      <c r="C994" s="1">
        <f ca="1">IFERROR(__xludf.DUMMYFUNCTION("""COMPUTED_VALUE"""),371.3)</f>
        <v>371.3</v>
      </c>
      <c r="D994" s="1">
        <f ca="1">IFERROR(__xludf.DUMMYFUNCTION("""COMPUTED_VALUE"""),145.89)</f>
        <v>145.88999999999999</v>
      </c>
      <c r="E994" s="1">
        <f ca="1">IFERROR(__xludf.DUMMYFUNCTION("""COMPUTED_VALUE"""),46.63)</f>
        <v>46.63</v>
      </c>
      <c r="F994" s="1">
        <f ca="1">IFERROR(__xludf.DUMMYFUNCTION("""COMPUTED_VALUE"""),325.28)</f>
        <v>325.27999999999997</v>
      </c>
      <c r="G994" s="1">
        <f ca="1">IFERROR(__xludf.DUMMYFUNCTION("""COMPUTED_VALUE"""),134.7)</f>
        <v>134.69999999999999</v>
      </c>
      <c r="H994" s="1">
        <f ca="1">IFERROR(__xludf.DUMMYFUNCTION("""COMPUTED_VALUE"""),239.74)</f>
        <v>239.74</v>
      </c>
      <c r="I994" s="1">
        <f ca="1">IFERROR(__xludf.DUMMYFUNCTION("""COMPUTED_VALUE"""),167.82)</f>
        <v>167.82</v>
      </c>
      <c r="J994" s="1">
        <f ca="1">IFERROR(__xludf.DUMMYFUNCTION("""COMPUTED_VALUE"""),623.86)</f>
        <v>623.86</v>
      </c>
      <c r="K994" s="1">
        <f ca="1">IFERROR(__xludf.DUMMYFUNCTION("""COMPUTED_VALUE"""),102.92)</f>
        <v>102.92</v>
      </c>
      <c r="L994" s="1">
        <f ca="1">IFERROR(__xludf.DUMMYFUNCTION("""COMPUTED_VALUE"""),625.2)</f>
        <v>625.20000000000005</v>
      </c>
      <c r="M994" s="1">
        <f ca="1">IFERROR(__xludf.DUMMYFUNCTION("""COMPUTED_VALUE"""),459.89)</f>
        <v>459.89</v>
      </c>
    </row>
    <row r="995" spans="1:13" x14ac:dyDescent="0.25">
      <c r="A995" s="2">
        <f ca="1">IFERROR(__xludf.DUMMYFUNCTION("""COMPUTED_VALUE"""),45273.6666666666)</f>
        <v>45273.666666666599</v>
      </c>
      <c r="B995" s="1">
        <f ca="1">IFERROR(__xludf.DUMMYFUNCTION("""COMPUTED_VALUE"""),197.96)</f>
        <v>197.96</v>
      </c>
      <c r="C995" s="1">
        <f ca="1">IFERROR(__xludf.DUMMYFUNCTION("""COMPUTED_VALUE"""),374.38)</f>
        <v>374.38</v>
      </c>
      <c r="D995" s="1">
        <f ca="1">IFERROR(__xludf.DUMMYFUNCTION("""COMPUTED_VALUE"""),147.48)</f>
        <v>147.47999999999999</v>
      </c>
      <c r="E995" s="1">
        <f ca="1">IFERROR(__xludf.DUMMYFUNCTION("""COMPUTED_VALUE"""),47.66)</f>
        <v>47.66</v>
      </c>
      <c r="F995" s="1">
        <f ca="1">IFERROR(__xludf.DUMMYFUNCTION("""COMPUTED_VALUE"""),334.22)</f>
        <v>334.22</v>
      </c>
      <c r="G995" s="1">
        <f ca="1">IFERROR(__xludf.DUMMYFUNCTION("""COMPUTED_VALUE"""),133.64)</f>
        <v>133.63999999999999</v>
      </c>
      <c r="H995" s="1">
        <f ca="1">IFERROR(__xludf.DUMMYFUNCTION("""COMPUTED_VALUE"""),237.01)</f>
        <v>237.01</v>
      </c>
      <c r="I995" s="1">
        <f ca="1">IFERROR(__xludf.DUMMYFUNCTION("""COMPUTED_VALUE"""),168.47)</f>
        <v>168.47</v>
      </c>
      <c r="J995" s="1">
        <f ca="1">IFERROR(__xludf.DUMMYFUNCTION("""COMPUTED_VALUE"""),629.5)</f>
        <v>629.5</v>
      </c>
      <c r="K995" s="1">
        <f ca="1">IFERROR(__xludf.DUMMYFUNCTION("""COMPUTED_VALUE"""),107.23)</f>
        <v>107.23</v>
      </c>
      <c r="L995" s="1">
        <f ca="1">IFERROR(__xludf.DUMMYFUNCTION("""COMPUTED_VALUE"""),633.66)</f>
        <v>633.66</v>
      </c>
      <c r="M995" s="1">
        <f ca="1">IFERROR(__xludf.DUMMYFUNCTION("""COMPUTED_VALUE"""),463)</f>
        <v>463</v>
      </c>
    </row>
    <row r="996" spans="1:13" x14ac:dyDescent="0.25">
      <c r="A996" s="2">
        <f ca="1">IFERROR(__xludf.DUMMYFUNCTION("""COMPUTED_VALUE"""),45274.6666666666)</f>
        <v>45274.666666666599</v>
      </c>
      <c r="B996" s="1">
        <f ca="1">IFERROR(__xludf.DUMMYFUNCTION("""COMPUTED_VALUE"""),198.11)</f>
        <v>198.11</v>
      </c>
      <c r="C996" s="1">
        <f ca="1">IFERROR(__xludf.DUMMYFUNCTION("""COMPUTED_VALUE"""),374.37)</f>
        <v>374.37</v>
      </c>
      <c r="D996" s="1">
        <f ca="1">IFERROR(__xludf.DUMMYFUNCTION("""COMPUTED_VALUE"""),148.84)</f>
        <v>148.84</v>
      </c>
      <c r="E996" s="1">
        <f ca="1">IFERROR(__xludf.DUMMYFUNCTION("""COMPUTED_VALUE"""),48.09)</f>
        <v>48.09</v>
      </c>
      <c r="F996" s="1">
        <f ca="1">IFERROR(__xludf.DUMMYFUNCTION("""COMPUTED_VALUE"""),334.74)</f>
        <v>334.74</v>
      </c>
      <c r="G996" s="1">
        <f ca="1">IFERROR(__xludf.DUMMYFUNCTION("""COMPUTED_VALUE"""),133.97)</f>
        <v>133.97</v>
      </c>
      <c r="H996" s="1">
        <f ca="1">IFERROR(__xludf.DUMMYFUNCTION("""COMPUTED_VALUE"""),239.29)</f>
        <v>239.29</v>
      </c>
      <c r="I996" s="1">
        <f ca="1">IFERROR(__xludf.DUMMYFUNCTION("""COMPUTED_VALUE"""),172.01)</f>
        <v>172.01</v>
      </c>
      <c r="J996" s="1">
        <f ca="1">IFERROR(__xludf.DUMMYFUNCTION("""COMPUTED_VALUE"""),642)</f>
        <v>642</v>
      </c>
      <c r="K996" s="1">
        <f ca="1">IFERROR(__xludf.DUMMYFUNCTION("""COMPUTED_VALUE"""),108.97)</f>
        <v>108.97</v>
      </c>
      <c r="L996" s="1">
        <f ca="1">IFERROR(__xludf.DUMMYFUNCTION("""COMPUTED_VALUE"""),624.26)</f>
        <v>624.26</v>
      </c>
      <c r="M996" s="1">
        <f ca="1">IFERROR(__xludf.DUMMYFUNCTION("""COMPUTED_VALUE"""),479.98)</f>
        <v>479.98</v>
      </c>
    </row>
    <row r="997" spans="1:13" x14ac:dyDescent="0.25">
      <c r="A997" s="2">
        <f ca="1">IFERROR(__xludf.DUMMYFUNCTION("""COMPUTED_VALUE"""),45275.6666666666)</f>
        <v>45275.666666666599</v>
      </c>
      <c r="B997" s="1">
        <f ca="1">IFERROR(__xludf.DUMMYFUNCTION("""COMPUTED_VALUE"""),197.57)</f>
        <v>197.57</v>
      </c>
      <c r="C997" s="1">
        <f ca="1">IFERROR(__xludf.DUMMYFUNCTION("""COMPUTED_VALUE"""),365.93)</f>
        <v>365.93</v>
      </c>
      <c r="D997" s="1">
        <f ca="1">IFERROR(__xludf.DUMMYFUNCTION("""COMPUTED_VALUE"""),147.42)</f>
        <v>147.41999999999999</v>
      </c>
      <c r="E997" s="1">
        <f ca="1">IFERROR(__xludf.DUMMYFUNCTION("""COMPUTED_VALUE"""),48.35)</f>
        <v>48.35</v>
      </c>
      <c r="F997" s="1">
        <f ca="1">IFERROR(__xludf.DUMMYFUNCTION("""COMPUTED_VALUE"""),333.17)</f>
        <v>333.17</v>
      </c>
      <c r="G997" s="1">
        <f ca="1">IFERROR(__xludf.DUMMYFUNCTION("""COMPUTED_VALUE"""),133.2)</f>
        <v>133.19999999999999</v>
      </c>
      <c r="H997" s="1">
        <f ca="1">IFERROR(__xludf.DUMMYFUNCTION("""COMPUTED_VALUE"""),251.05)</f>
        <v>251.05</v>
      </c>
      <c r="I997" s="1">
        <f ca="1">IFERROR(__xludf.DUMMYFUNCTION("""COMPUTED_VALUE"""),168.25)</f>
        <v>168.25</v>
      </c>
      <c r="J997" s="1">
        <f ca="1">IFERROR(__xludf.DUMMYFUNCTION("""COMPUTED_VALUE"""),630.78)</f>
        <v>630.78</v>
      </c>
      <c r="K997" s="1">
        <f ca="1">IFERROR(__xludf.DUMMYFUNCTION("""COMPUTED_VALUE"""),110.65)</f>
        <v>110.65</v>
      </c>
      <c r="L997" s="1">
        <f ca="1">IFERROR(__xludf.DUMMYFUNCTION("""COMPUTED_VALUE"""),584.64)</f>
        <v>584.64</v>
      </c>
      <c r="M997" s="1">
        <f ca="1">IFERROR(__xludf.DUMMYFUNCTION("""COMPUTED_VALUE"""),469.83)</f>
        <v>469.83</v>
      </c>
    </row>
    <row r="998" spans="1:13" x14ac:dyDescent="0.25">
      <c r="A998" s="2">
        <f ca="1">IFERROR(__xludf.DUMMYFUNCTION("""COMPUTED_VALUE"""),45278.6666666666)</f>
        <v>45278.666666666599</v>
      </c>
      <c r="B998" s="1">
        <f ca="1">IFERROR(__xludf.DUMMYFUNCTION("""COMPUTED_VALUE"""),195.89)</f>
        <v>195.89</v>
      </c>
      <c r="C998" s="1">
        <f ca="1">IFERROR(__xludf.DUMMYFUNCTION("""COMPUTED_VALUE"""),370.73)</f>
        <v>370.73</v>
      </c>
      <c r="D998" s="1">
        <f ca="1">IFERROR(__xludf.DUMMYFUNCTION("""COMPUTED_VALUE"""),149.97)</f>
        <v>149.97</v>
      </c>
      <c r="E998" s="1">
        <f ca="1">IFERROR(__xludf.DUMMYFUNCTION("""COMPUTED_VALUE"""),48.89)</f>
        <v>48.89</v>
      </c>
      <c r="F998" s="1">
        <f ca="1">IFERROR(__xludf.DUMMYFUNCTION("""COMPUTED_VALUE"""),334.92)</f>
        <v>334.92</v>
      </c>
      <c r="G998" s="1">
        <f ca="1">IFERROR(__xludf.DUMMYFUNCTION("""COMPUTED_VALUE"""),133.84)</f>
        <v>133.84</v>
      </c>
      <c r="H998" s="1">
        <f ca="1">IFERROR(__xludf.DUMMYFUNCTION("""COMPUTED_VALUE"""),253.5)</f>
        <v>253.5</v>
      </c>
      <c r="I998" s="1">
        <f ca="1">IFERROR(__xludf.DUMMYFUNCTION("""COMPUTED_VALUE"""),167)</f>
        <v>167</v>
      </c>
      <c r="J998" s="1">
        <f ca="1">IFERROR(__xludf.DUMMYFUNCTION("""COMPUTED_VALUE"""),658.82)</f>
        <v>658.82</v>
      </c>
      <c r="K998" s="1">
        <f ca="1">IFERROR(__xludf.DUMMYFUNCTION("""COMPUTED_VALUE"""),112.97)</f>
        <v>112.97</v>
      </c>
      <c r="L998" s="1">
        <f ca="1">IFERROR(__xludf.DUMMYFUNCTION("""COMPUTED_VALUE"""),584.68)</f>
        <v>584.67999999999995</v>
      </c>
      <c r="M998" s="1">
        <f ca="1">IFERROR(__xludf.DUMMYFUNCTION("""COMPUTED_VALUE"""),472.06)</f>
        <v>472.06</v>
      </c>
    </row>
    <row r="999" spans="1:13" x14ac:dyDescent="0.25">
      <c r="A999" s="2">
        <f ca="1">IFERROR(__xludf.DUMMYFUNCTION("""COMPUTED_VALUE"""),45279.6666666666)</f>
        <v>45279.666666666599</v>
      </c>
      <c r="B999" s="1">
        <f ca="1">IFERROR(__xludf.DUMMYFUNCTION("""COMPUTED_VALUE"""),196.94)</f>
        <v>196.94</v>
      </c>
      <c r="C999" s="1">
        <f ca="1">IFERROR(__xludf.DUMMYFUNCTION("""COMPUTED_VALUE"""),372.65)</f>
        <v>372.65</v>
      </c>
      <c r="D999" s="1">
        <f ca="1">IFERROR(__xludf.DUMMYFUNCTION("""COMPUTED_VALUE"""),154.07)</f>
        <v>154.07</v>
      </c>
      <c r="E999" s="1">
        <f ca="1">IFERROR(__xludf.DUMMYFUNCTION("""COMPUTED_VALUE"""),50.08)</f>
        <v>50.08</v>
      </c>
      <c r="F999" s="1">
        <f ca="1">IFERROR(__xludf.DUMMYFUNCTION("""COMPUTED_VALUE"""),344.62)</f>
        <v>344.62</v>
      </c>
      <c r="G999" s="1">
        <f ca="1">IFERROR(__xludf.DUMMYFUNCTION("""COMPUTED_VALUE"""),137.19)</f>
        <v>137.19</v>
      </c>
      <c r="H999" s="1">
        <f ca="1">IFERROR(__xludf.DUMMYFUNCTION("""COMPUTED_VALUE"""),252.08)</f>
        <v>252.08</v>
      </c>
      <c r="I999" s="1">
        <f ca="1">IFERROR(__xludf.DUMMYFUNCTION("""COMPUTED_VALUE"""),168.91)</f>
        <v>168.91</v>
      </c>
      <c r="J999" s="1">
        <f ca="1">IFERROR(__xludf.DUMMYFUNCTION("""COMPUTED_VALUE"""),681.24)</f>
        <v>681.24</v>
      </c>
      <c r="K999" s="1">
        <f ca="1">IFERROR(__xludf.DUMMYFUNCTION("""COMPUTED_VALUE"""),114.7)</f>
        <v>114.7</v>
      </c>
      <c r="L999" s="1">
        <f ca="1">IFERROR(__xludf.DUMMYFUNCTION("""COMPUTED_VALUE"""),599.13)</f>
        <v>599.13</v>
      </c>
      <c r="M999" s="1">
        <f ca="1">IFERROR(__xludf.DUMMYFUNCTION("""COMPUTED_VALUE"""),486.12)</f>
        <v>486.12</v>
      </c>
    </row>
    <row r="1000" spans="1:13" x14ac:dyDescent="0.25">
      <c r="A1000" s="2">
        <f ca="1">IFERROR(__xludf.DUMMYFUNCTION("""COMPUTED_VALUE"""),45280.6666666666)</f>
        <v>45280.666666666599</v>
      </c>
      <c r="B1000" s="1">
        <f ca="1">IFERROR(__xludf.DUMMYFUNCTION("""COMPUTED_VALUE"""),194.83)</f>
        <v>194.83</v>
      </c>
      <c r="C1000" s="1">
        <f ca="1">IFERROR(__xludf.DUMMYFUNCTION("""COMPUTED_VALUE"""),373.26)</f>
        <v>373.26</v>
      </c>
      <c r="D1000" s="1">
        <f ca="1">IFERROR(__xludf.DUMMYFUNCTION("""COMPUTED_VALUE"""),153.79)</f>
        <v>153.79</v>
      </c>
      <c r="E1000" s="1">
        <f ca="1">IFERROR(__xludf.DUMMYFUNCTION("""COMPUTED_VALUE"""),49.6)</f>
        <v>49.6</v>
      </c>
      <c r="F1000" s="1">
        <f ca="1">IFERROR(__xludf.DUMMYFUNCTION("""COMPUTED_VALUE"""),350.36)</f>
        <v>350.36</v>
      </c>
      <c r="G1000" s="1">
        <f ca="1">IFERROR(__xludf.DUMMYFUNCTION("""COMPUTED_VALUE"""),138.1)</f>
        <v>138.1</v>
      </c>
      <c r="H1000" s="1">
        <f ca="1">IFERROR(__xludf.DUMMYFUNCTION("""COMPUTED_VALUE"""),257.22)</f>
        <v>257.22000000000003</v>
      </c>
      <c r="I1000" s="1">
        <f ca="1">IFERROR(__xludf.DUMMYFUNCTION("""COMPUTED_VALUE"""),167.95)</f>
        <v>167.95</v>
      </c>
      <c r="J1000" s="1">
        <f ca="1">IFERROR(__xludf.DUMMYFUNCTION("""COMPUTED_VALUE"""),677.74)</f>
        <v>677.74</v>
      </c>
      <c r="K1000" s="1">
        <f ca="1">IFERROR(__xludf.DUMMYFUNCTION("""COMPUTED_VALUE"""),113.96)</f>
        <v>113.96</v>
      </c>
      <c r="L1000" s="1">
        <f ca="1">IFERROR(__xludf.DUMMYFUNCTION("""COMPUTED_VALUE"""),604.64)</f>
        <v>604.64</v>
      </c>
      <c r="M1000" s="1">
        <f ca="1">IFERROR(__xludf.DUMMYFUNCTION("""COMPUTED_VALUE"""),495.02)</f>
        <v>495.02</v>
      </c>
    </row>
    <row r="1001" spans="1:13" x14ac:dyDescent="0.25">
      <c r="A1001" s="2">
        <f ca="1">IFERROR(__xludf.DUMMYFUNCTION("""COMPUTED_VALUE"""),45281.6666666666)</f>
        <v>45281.666666666599</v>
      </c>
      <c r="B1001" s="1">
        <f ca="1">IFERROR(__xludf.DUMMYFUNCTION("""COMPUTED_VALUE"""),194.68)</f>
        <v>194.68</v>
      </c>
      <c r="C1001" s="1">
        <f ca="1">IFERROR(__xludf.DUMMYFUNCTION("""COMPUTED_VALUE"""),370.62)</f>
        <v>370.62</v>
      </c>
      <c r="D1001" s="1">
        <f ca="1">IFERROR(__xludf.DUMMYFUNCTION("""COMPUTED_VALUE"""),152.12)</f>
        <v>152.12</v>
      </c>
      <c r="E1001" s="1">
        <f ca="1">IFERROR(__xludf.DUMMYFUNCTION("""COMPUTED_VALUE"""),48.11)</f>
        <v>48.11</v>
      </c>
      <c r="F1001" s="1">
        <f ca="1">IFERROR(__xludf.DUMMYFUNCTION("""COMPUTED_VALUE"""),349.28)</f>
        <v>349.28</v>
      </c>
      <c r="G1001" s="1">
        <f ca="1">IFERROR(__xludf.DUMMYFUNCTION("""COMPUTED_VALUE"""),139.66)</f>
        <v>139.66</v>
      </c>
      <c r="H1001" s="1">
        <f ca="1">IFERROR(__xludf.DUMMYFUNCTION("""COMPUTED_VALUE"""),247.14)</f>
        <v>247.14</v>
      </c>
      <c r="I1001" s="1">
        <f ca="1">IFERROR(__xludf.DUMMYFUNCTION("""COMPUTED_VALUE"""),165.69)</f>
        <v>165.69</v>
      </c>
      <c r="J1001" s="1">
        <f ca="1">IFERROR(__xludf.DUMMYFUNCTION("""COMPUTED_VALUE"""),661)</f>
        <v>661</v>
      </c>
      <c r="K1001" s="1">
        <f ca="1">IFERROR(__xludf.DUMMYFUNCTION("""COMPUTED_VALUE"""),111.04)</f>
        <v>111.04</v>
      </c>
      <c r="L1001" s="1">
        <f ca="1">IFERROR(__xludf.DUMMYFUNCTION("""COMPUTED_VALUE"""),596.06)</f>
        <v>596.05999999999995</v>
      </c>
      <c r="M1001" s="1">
        <f ca="1">IFERROR(__xludf.DUMMYFUNCTION("""COMPUTED_VALUE"""),489.27)</f>
        <v>489.27</v>
      </c>
    </row>
    <row r="1002" spans="1:13" x14ac:dyDescent="0.25">
      <c r="A1002" s="2">
        <f ca="1">IFERROR(__xludf.DUMMYFUNCTION("""COMPUTED_VALUE"""),45282.6666666666)</f>
        <v>45282.666666666599</v>
      </c>
      <c r="B1002" s="1">
        <f ca="1">IFERROR(__xludf.DUMMYFUNCTION("""COMPUTED_VALUE"""),193.6)</f>
        <v>193.6</v>
      </c>
      <c r="C1002" s="1">
        <f ca="1">IFERROR(__xludf.DUMMYFUNCTION("""COMPUTED_VALUE"""),373.54)</f>
        <v>373.54</v>
      </c>
      <c r="D1002" s="1">
        <f ca="1">IFERROR(__xludf.DUMMYFUNCTION("""COMPUTED_VALUE"""),153.84)</f>
        <v>153.84</v>
      </c>
      <c r="E1002" s="1">
        <f ca="1">IFERROR(__xludf.DUMMYFUNCTION("""COMPUTED_VALUE"""),48.99)</f>
        <v>48.99</v>
      </c>
      <c r="F1002" s="1">
        <f ca="1">IFERROR(__xludf.DUMMYFUNCTION("""COMPUTED_VALUE"""),354.09)</f>
        <v>354.09</v>
      </c>
      <c r="G1002" s="1">
        <f ca="1">IFERROR(__xludf.DUMMYFUNCTION("""COMPUTED_VALUE"""),141.8)</f>
        <v>141.80000000000001</v>
      </c>
      <c r="H1002" s="1">
        <f ca="1">IFERROR(__xludf.DUMMYFUNCTION("""COMPUTED_VALUE"""),254.5)</f>
        <v>254.5</v>
      </c>
      <c r="I1002" s="1">
        <f ca="1">IFERROR(__xludf.DUMMYFUNCTION("""COMPUTED_VALUE"""),166.97)</f>
        <v>166.97</v>
      </c>
      <c r="J1002" s="1">
        <f ca="1">IFERROR(__xludf.DUMMYFUNCTION("""COMPUTED_VALUE"""),665.16)</f>
        <v>665.16</v>
      </c>
      <c r="K1002" s="1">
        <f ca="1">IFERROR(__xludf.DUMMYFUNCTION("""COMPUTED_VALUE"""),112.73)</f>
        <v>112.73</v>
      </c>
      <c r="L1002" s="1">
        <f ca="1">IFERROR(__xludf.DUMMYFUNCTION("""COMPUTED_VALUE"""),600.14)</f>
        <v>600.14</v>
      </c>
      <c r="M1002" s="1">
        <f ca="1">IFERROR(__xludf.DUMMYFUNCTION("""COMPUTED_VALUE"""),491.61)</f>
        <v>491.61</v>
      </c>
    </row>
    <row r="1003" spans="1:13" x14ac:dyDescent="0.25">
      <c r="A1003" s="2">
        <f ca="1">IFERROR(__xludf.DUMMYFUNCTION("""COMPUTED_VALUE"""),45286.6666666666)</f>
        <v>45286.666666666599</v>
      </c>
      <c r="B1003" s="1">
        <f ca="1">IFERROR(__xludf.DUMMYFUNCTION("""COMPUTED_VALUE"""),193.05)</f>
        <v>193.05</v>
      </c>
      <c r="C1003" s="1">
        <f ca="1">IFERROR(__xludf.DUMMYFUNCTION("""COMPUTED_VALUE"""),374.58)</f>
        <v>374.58</v>
      </c>
      <c r="D1003" s="1">
        <f ca="1">IFERROR(__xludf.DUMMYFUNCTION("""COMPUTED_VALUE"""),153.42)</f>
        <v>153.41999999999999</v>
      </c>
      <c r="E1003" s="1">
        <f ca="1">IFERROR(__xludf.DUMMYFUNCTION("""COMPUTED_VALUE"""),48.83)</f>
        <v>48.83</v>
      </c>
      <c r="F1003" s="1">
        <f ca="1">IFERROR(__xludf.DUMMYFUNCTION("""COMPUTED_VALUE"""),353.39)</f>
        <v>353.39</v>
      </c>
      <c r="G1003" s="1">
        <f ca="1">IFERROR(__xludf.DUMMYFUNCTION("""COMPUTED_VALUE"""),142.72)</f>
        <v>142.72</v>
      </c>
      <c r="H1003" s="1">
        <f ca="1">IFERROR(__xludf.DUMMYFUNCTION("""COMPUTED_VALUE"""),252.54)</f>
        <v>252.54</v>
      </c>
      <c r="I1003" s="1">
        <f ca="1">IFERROR(__xludf.DUMMYFUNCTION("""COMPUTED_VALUE"""),167.68)</f>
        <v>167.68</v>
      </c>
      <c r="J1003" s="1">
        <f ca="1">IFERROR(__xludf.DUMMYFUNCTION("""COMPUTED_VALUE"""),671.6)</f>
        <v>671.6</v>
      </c>
      <c r="K1003" s="1">
        <f ca="1">IFERROR(__xludf.DUMMYFUNCTION("""COMPUTED_VALUE"""),112.2)</f>
        <v>112.2</v>
      </c>
      <c r="L1003" s="1">
        <f ca="1">IFERROR(__xludf.DUMMYFUNCTION("""COMPUTED_VALUE"""),598.75)</f>
        <v>598.75</v>
      </c>
      <c r="M1003" s="1">
        <f ca="1">IFERROR(__xludf.DUMMYFUNCTION("""COMPUTED_VALUE"""),486.76)</f>
        <v>486.76</v>
      </c>
    </row>
    <row r="1004" spans="1:13" x14ac:dyDescent="0.25">
      <c r="A1004" s="2">
        <f ca="1">IFERROR(__xludf.DUMMYFUNCTION("""COMPUTED_VALUE"""),45287.6666666666)</f>
        <v>45287.666666666599</v>
      </c>
      <c r="B1004" s="1">
        <f ca="1">IFERROR(__xludf.DUMMYFUNCTION("""COMPUTED_VALUE"""),193.15)</f>
        <v>193.15</v>
      </c>
      <c r="C1004" s="1">
        <f ca="1">IFERROR(__xludf.DUMMYFUNCTION("""COMPUTED_VALUE"""),374.66)</f>
        <v>374.66</v>
      </c>
      <c r="D1004" s="1">
        <f ca="1">IFERROR(__xludf.DUMMYFUNCTION("""COMPUTED_VALUE"""),153.41)</f>
        <v>153.41</v>
      </c>
      <c r="E1004" s="1">
        <f ca="1">IFERROR(__xludf.DUMMYFUNCTION("""COMPUTED_VALUE"""),49.28)</f>
        <v>49.28</v>
      </c>
      <c r="F1004" s="1">
        <f ca="1">IFERROR(__xludf.DUMMYFUNCTION("""COMPUTED_VALUE"""),354.83)</f>
        <v>354.83</v>
      </c>
      <c r="G1004" s="1">
        <f ca="1">IFERROR(__xludf.DUMMYFUNCTION("""COMPUTED_VALUE"""),142.82)</f>
        <v>142.82</v>
      </c>
      <c r="H1004" s="1">
        <f ca="1">IFERROR(__xludf.DUMMYFUNCTION("""COMPUTED_VALUE"""),256.61)</f>
        <v>256.61</v>
      </c>
      <c r="I1004" s="1">
        <f ca="1">IFERROR(__xludf.DUMMYFUNCTION("""COMPUTED_VALUE"""),168.86)</f>
        <v>168.86</v>
      </c>
      <c r="J1004" s="1">
        <f ca="1">IFERROR(__xludf.DUMMYFUNCTION("""COMPUTED_VALUE"""),674.62)</f>
        <v>674.62</v>
      </c>
      <c r="K1004" s="1">
        <f ca="1">IFERROR(__xludf.DUMMYFUNCTION("""COMPUTED_VALUE"""),113.19)</f>
        <v>113.19</v>
      </c>
      <c r="L1004" s="1">
        <f ca="1">IFERROR(__xludf.DUMMYFUNCTION("""COMPUTED_VALUE"""),598.26)</f>
        <v>598.26</v>
      </c>
      <c r="M1004" s="1">
        <f ca="1">IFERROR(__xludf.DUMMYFUNCTION("""COMPUTED_VALUE"""),491.19)</f>
        <v>491.19</v>
      </c>
    </row>
    <row r="1005" spans="1:13" x14ac:dyDescent="0.25">
      <c r="A1005" s="2">
        <f ca="1">IFERROR(__xludf.DUMMYFUNCTION("""COMPUTED_VALUE"""),45288.6666666666)</f>
        <v>45288.666666666599</v>
      </c>
      <c r="B1005" s="1">
        <f ca="1">IFERROR(__xludf.DUMMYFUNCTION("""COMPUTED_VALUE"""),193.58)</f>
        <v>193.58</v>
      </c>
      <c r="C1005" s="1">
        <f ca="1">IFERROR(__xludf.DUMMYFUNCTION("""COMPUTED_VALUE"""),374.07)</f>
        <v>374.07</v>
      </c>
      <c r="D1005" s="1">
        <f ca="1">IFERROR(__xludf.DUMMYFUNCTION("""COMPUTED_VALUE"""),153.34)</f>
        <v>153.34</v>
      </c>
      <c r="E1005" s="1">
        <f ca="1">IFERROR(__xludf.DUMMYFUNCTION("""COMPUTED_VALUE"""),49.42)</f>
        <v>49.42</v>
      </c>
      <c r="F1005" s="1">
        <f ca="1">IFERROR(__xludf.DUMMYFUNCTION("""COMPUTED_VALUE"""),357.83)</f>
        <v>357.83</v>
      </c>
      <c r="G1005" s="1">
        <f ca="1">IFERROR(__xludf.DUMMYFUNCTION("""COMPUTED_VALUE"""),141.44)</f>
        <v>141.44</v>
      </c>
      <c r="H1005" s="1">
        <f ca="1">IFERROR(__xludf.DUMMYFUNCTION("""COMPUTED_VALUE"""),261.44)</f>
        <v>261.44</v>
      </c>
      <c r="I1005" s="1">
        <f ca="1">IFERROR(__xludf.DUMMYFUNCTION("""COMPUTED_VALUE"""),169.4)</f>
        <v>169.4</v>
      </c>
      <c r="J1005" s="1">
        <f ca="1">IFERROR(__xludf.DUMMYFUNCTION("""COMPUTED_VALUE"""),666.8)</f>
        <v>666.8</v>
      </c>
      <c r="K1005" s="1">
        <f ca="1">IFERROR(__xludf.DUMMYFUNCTION("""COMPUTED_VALUE"""),112.62)</f>
        <v>112.62</v>
      </c>
      <c r="L1005" s="1">
        <f ca="1">IFERROR(__xludf.DUMMYFUNCTION("""COMPUTED_VALUE"""),596.08)</f>
        <v>596.08000000000004</v>
      </c>
      <c r="M1005" s="1">
        <f ca="1">IFERROR(__xludf.DUMMYFUNCTION("""COMPUTED_VALUE"""),491.79)</f>
        <v>491.79</v>
      </c>
    </row>
    <row r="1006" spans="1:13" x14ac:dyDescent="0.25">
      <c r="A1006" s="2">
        <f ca="1">IFERROR(__xludf.DUMMYFUNCTION("""COMPUTED_VALUE"""),45289.6666666666)</f>
        <v>45289.666666666599</v>
      </c>
      <c r="B1006" s="1">
        <f ca="1">IFERROR(__xludf.DUMMYFUNCTION("""COMPUTED_VALUE"""),192.53)</f>
        <v>192.53</v>
      </c>
      <c r="C1006" s="1">
        <f ca="1">IFERROR(__xludf.DUMMYFUNCTION("""COMPUTED_VALUE"""),375.28)</f>
        <v>375.28</v>
      </c>
      <c r="D1006" s="1">
        <f ca="1">IFERROR(__xludf.DUMMYFUNCTION("""COMPUTED_VALUE"""),153.38)</f>
        <v>153.38</v>
      </c>
      <c r="E1006" s="1">
        <f ca="1">IFERROR(__xludf.DUMMYFUNCTION("""COMPUTED_VALUE"""),49.52)</f>
        <v>49.52</v>
      </c>
      <c r="F1006" s="1">
        <f ca="1">IFERROR(__xludf.DUMMYFUNCTION("""COMPUTED_VALUE"""),358.32)</f>
        <v>358.32</v>
      </c>
      <c r="G1006" s="1">
        <f ca="1">IFERROR(__xludf.DUMMYFUNCTION("""COMPUTED_VALUE"""),141.28)</f>
        <v>141.28</v>
      </c>
      <c r="H1006" s="1">
        <f ca="1">IFERROR(__xludf.DUMMYFUNCTION("""COMPUTED_VALUE"""),253.18)</f>
        <v>253.18</v>
      </c>
      <c r="I1006" s="1">
        <f ca="1">IFERROR(__xludf.DUMMYFUNCTION("""COMPUTED_VALUE"""),169.39)</f>
        <v>169.39</v>
      </c>
      <c r="J1006" s="1">
        <f ca="1">IFERROR(__xludf.DUMMYFUNCTION("""COMPUTED_VALUE"""),663.1)</f>
        <v>663.1</v>
      </c>
      <c r="K1006" s="1">
        <f ca="1">IFERROR(__xludf.DUMMYFUNCTION("""COMPUTED_VALUE"""),112.24)</f>
        <v>112.24</v>
      </c>
      <c r="L1006" s="1">
        <f ca="1">IFERROR(__xludf.DUMMYFUNCTION("""COMPUTED_VALUE"""),595.52)</f>
        <v>595.52</v>
      </c>
      <c r="M1006" s="1">
        <f ca="1">IFERROR(__xludf.DUMMYFUNCTION("""COMPUTED_VALUE"""),490.51)</f>
        <v>490.51</v>
      </c>
    </row>
    <row r="1007" spans="1:13" x14ac:dyDescent="0.25">
      <c r="A1007" s="2">
        <f ca="1">IFERROR(__xludf.DUMMYFUNCTION("""COMPUTED_VALUE"""),45293.6666666666)</f>
        <v>45293.666666666599</v>
      </c>
      <c r="B1007" s="1">
        <f ca="1">IFERROR(__xludf.DUMMYFUNCTION("""COMPUTED_VALUE"""),185.64)</f>
        <v>185.64</v>
      </c>
      <c r="C1007" s="1">
        <f ca="1">IFERROR(__xludf.DUMMYFUNCTION("""COMPUTED_VALUE"""),376.04)</f>
        <v>376.04</v>
      </c>
      <c r="D1007" s="1">
        <f ca="1">IFERROR(__xludf.DUMMYFUNCTION("""COMPUTED_VALUE"""),151.94)</f>
        <v>151.94</v>
      </c>
      <c r="E1007" s="1">
        <f ca="1">IFERROR(__xludf.DUMMYFUNCTION("""COMPUTED_VALUE"""),49.52)</f>
        <v>49.52</v>
      </c>
      <c r="F1007" s="1">
        <f ca="1">IFERROR(__xludf.DUMMYFUNCTION("""COMPUTED_VALUE"""),353.96)</f>
        <v>353.96</v>
      </c>
      <c r="G1007" s="1">
        <f ca="1">IFERROR(__xludf.DUMMYFUNCTION("""COMPUTED_VALUE"""),140.93)</f>
        <v>140.93</v>
      </c>
      <c r="H1007" s="1">
        <f ca="1">IFERROR(__xludf.DUMMYFUNCTION("""COMPUTED_VALUE"""),248.48)</f>
        <v>248.48</v>
      </c>
      <c r="I1007" s="1">
        <f ca="1">IFERROR(__xludf.DUMMYFUNCTION("""COMPUTED_VALUE"""),169.84)</f>
        <v>169.84</v>
      </c>
      <c r="J1007" s="1">
        <f ca="1">IFERROR(__xludf.DUMMYFUNCTION("""COMPUTED_VALUE"""),660.08)</f>
        <v>660.08</v>
      </c>
      <c r="K1007" s="1">
        <f ca="1">IFERROR(__xludf.DUMMYFUNCTION("""COMPUTED_VALUE"""),111.63)</f>
        <v>111.63</v>
      </c>
      <c r="L1007" s="1">
        <f ca="1">IFERROR(__xludf.DUMMYFUNCTION("""COMPUTED_VALUE"""),596.6)</f>
        <v>596.6</v>
      </c>
      <c r="M1007" s="1">
        <f ca="1">IFERROR(__xludf.DUMMYFUNCTION("""COMPUTED_VALUE"""),486.88)</f>
        <v>486.88</v>
      </c>
    </row>
    <row r="1008" spans="1:13" x14ac:dyDescent="0.25">
      <c r="A1008" s="2">
        <f ca="1">IFERROR(__xludf.DUMMYFUNCTION("""COMPUTED_VALUE"""),45294.6666666666)</f>
        <v>45294.666666666599</v>
      </c>
      <c r="B1008" s="1">
        <f ca="1">IFERROR(__xludf.DUMMYFUNCTION("""COMPUTED_VALUE"""),184.25)</f>
        <v>184.25</v>
      </c>
      <c r="C1008" s="1">
        <f ca="1">IFERROR(__xludf.DUMMYFUNCTION("""COMPUTED_VALUE"""),370.87)</f>
        <v>370.87</v>
      </c>
      <c r="D1008" s="1">
        <f ca="1">IFERROR(__xludf.DUMMYFUNCTION("""COMPUTED_VALUE"""),149.93)</f>
        <v>149.93</v>
      </c>
      <c r="E1008" s="1">
        <f ca="1">IFERROR(__xludf.DUMMYFUNCTION("""COMPUTED_VALUE"""),48.17)</f>
        <v>48.17</v>
      </c>
      <c r="F1008" s="1">
        <f ca="1">IFERROR(__xludf.DUMMYFUNCTION("""COMPUTED_VALUE"""),346.29)</f>
        <v>346.29</v>
      </c>
      <c r="G1008" s="1">
        <f ca="1">IFERROR(__xludf.DUMMYFUNCTION("""COMPUTED_VALUE"""),139.56)</f>
        <v>139.56</v>
      </c>
      <c r="H1008" s="1">
        <f ca="1">IFERROR(__xludf.DUMMYFUNCTION("""COMPUTED_VALUE"""),248.42)</f>
        <v>248.42</v>
      </c>
      <c r="I1008" s="1">
        <f ca="1">IFERROR(__xludf.DUMMYFUNCTION("""COMPUTED_VALUE"""),172.91)</f>
        <v>172.91</v>
      </c>
      <c r="J1008" s="1">
        <f ca="1">IFERROR(__xludf.DUMMYFUNCTION("""COMPUTED_VALUE"""),650.65)</f>
        <v>650.65</v>
      </c>
      <c r="K1008" s="1">
        <f ca="1">IFERROR(__xludf.DUMMYFUNCTION("""COMPUTED_VALUE"""),108.54)</f>
        <v>108.54</v>
      </c>
      <c r="L1008" s="1">
        <f ca="1">IFERROR(__xludf.DUMMYFUNCTION("""COMPUTED_VALUE"""),580.07)</f>
        <v>580.07000000000005</v>
      </c>
      <c r="M1008" s="1">
        <f ca="1">IFERROR(__xludf.DUMMYFUNCTION("""COMPUTED_VALUE"""),468.5)</f>
        <v>468.5</v>
      </c>
    </row>
    <row r="1009" spans="1:13" x14ac:dyDescent="0.25">
      <c r="A1009" s="2">
        <f ca="1">IFERROR(__xludf.DUMMYFUNCTION("""COMPUTED_VALUE"""),45295.6666666666)</f>
        <v>45295.666666666599</v>
      </c>
      <c r="B1009" s="1">
        <f ca="1">IFERROR(__xludf.DUMMYFUNCTION("""COMPUTED_VALUE"""),181.91)</f>
        <v>181.91</v>
      </c>
      <c r="C1009" s="1">
        <f ca="1">IFERROR(__xludf.DUMMYFUNCTION("""COMPUTED_VALUE"""),370.6)</f>
        <v>370.6</v>
      </c>
      <c r="D1009" s="1">
        <f ca="1">IFERROR(__xludf.DUMMYFUNCTION("""COMPUTED_VALUE"""),148.47)</f>
        <v>148.47</v>
      </c>
      <c r="E1009" s="1">
        <f ca="1">IFERROR(__xludf.DUMMYFUNCTION("""COMPUTED_VALUE"""),47.57)</f>
        <v>47.57</v>
      </c>
      <c r="F1009" s="1">
        <f ca="1">IFERROR(__xludf.DUMMYFUNCTION("""COMPUTED_VALUE"""),344.47)</f>
        <v>344.47</v>
      </c>
      <c r="G1009" s="1">
        <f ca="1">IFERROR(__xludf.DUMMYFUNCTION("""COMPUTED_VALUE"""),140.36)</f>
        <v>140.36000000000001</v>
      </c>
      <c r="H1009" s="1">
        <f ca="1">IFERROR(__xludf.DUMMYFUNCTION("""COMPUTED_VALUE"""),238.45)</f>
        <v>238.45</v>
      </c>
      <c r="I1009" s="1">
        <f ca="1">IFERROR(__xludf.DUMMYFUNCTION("""COMPUTED_VALUE"""),172.95)</f>
        <v>172.95</v>
      </c>
      <c r="J1009" s="1">
        <f ca="1">IFERROR(__xludf.DUMMYFUNCTION("""COMPUTED_VALUE"""),644.69)</f>
        <v>644.69000000000005</v>
      </c>
      <c r="K1009" s="1">
        <f ca="1">IFERROR(__xludf.DUMMYFUNCTION("""COMPUTED_VALUE"""),105.86)</f>
        <v>105.86</v>
      </c>
      <c r="L1009" s="1">
        <f ca="1">IFERROR(__xludf.DUMMYFUNCTION("""COMPUTED_VALUE"""),571.79)</f>
        <v>571.79</v>
      </c>
      <c r="M1009" s="1">
        <f ca="1">IFERROR(__xludf.DUMMYFUNCTION("""COMPUTED_VALUE"""),470.26)</f>
        <v>470.26</v>
      </c>
    </row>
    <row r="1010" spans="1:13" x14ac:dyDescent="0.25">
      <c r="A1010" s="2">
        <f ca="1">IFERROR(__xludf.DUMMYFUNCTION("""COMPUTED_VALUE"""),45296.6666666666)</f>
        <v>45296.666666666599</v>
      </c>
      <c r="B1010" s="1">
        <f ca="1">IFERROR(__xludf.DUMMYFUNCTION("""COMPUTED_VALUE"""),181.18)</f>
        <v>181.18</v>
      </c>
      <c r="C1010" s="1">
        <f ca="1">IFERROR(__xludf.DUMMYFUNCTION("""COMPUTED_VALUE"""),367.94)</f>
        <v>367.94</v>
      </c>
      <c r="D1010" s="1">
        <f ca="1">IFERROR(__xludf.DUMMYFUNCTION("""COMPUTED_VALUE"""),144.57)</f>
        <v>144.57</v>
      </c>
      <c r="E1010" s="1">
        <f ca="1">IFERROR(__xludf.DUMMYFUNCTION("""COMPUTED_VALUE"""),48)</f>
        <v>48</v>
      </c>
      <c r="F1010" s="1">
        <f ca="1">IFERROR(__xludf.DUMMYFUNCTION("""COMPUTED_VALUE"""),347.12)</f>
        <v>347.12</v>
      </c>
      <c r="G1010" s="1">
        <f ca="1">IFERROR(__xludf.DUMMYFUNCTION("""COMPUTED_VALUE"""),138.04)</f>
        <v>138.04</v>
      </c>
      <c r="H1010" s="1">
        <f ca="1">IFERROR(__xludf.DUMMYFUNCTION("""COMPUTED_VALUE"""),237.93)</f>
        <v>237.93</v>
      </c>
      <c r="I1010" s="1">
        <f ca="1">IFERROR(__xludf.DUMMYFUNCTION("""COMPUTED_VALUE"""),171.47)</f>
        <v>171.47</v>
      </c>
      <c r="J1010" s="1">
        <f ca="1">IFERROR(__xludf.DUMMYFUNCTION("""COMPUTED_VALUE"""),648.35)</f>
        <v>648.35</v>
      </c>
      <c r="K1010" s="1">
        <f ca="1">IFERROR(__xludf.DUMMYFUNCTION("""COMPUTED_VALUE"""),104.9)</f>
        <v>104.9</v>
      </c>
      <c r="L1010" s="1">
        <f ca="1">IFERROR(__xludf.DUMMYFUNCTION("""COMPUTED_VALUE"""),567.05)</f>
        <v>567.04999999999995</v>
      </c>
      <c r="M1010" s="1">
        <f ca="1">IFERROR(__xludf.DUMMYFUNCTION("""COMPUTED_VALUE"""),474.67)</f>
        <v>474.67</v>
      </c>
    </row>
    <row r="1011" spans="1:13" x14ac:dyDescent="0.25">
      <c r="A1011" s="2">
        <f ca="1">IFERROR(__xludf.DUMMYFUNCTION("""COMPUTED_VALUE"""),45299.6666666666)</f>
        <v>45299.666666666599</v>
      </c>
      <c r="B1011" s="1">
        <f ca="1">IFERROR(__xludf.DUMMYFUNCTION("""COMPUTED_VALUE"""),185.56)</f>
        <v>185.56</v>
      </c>
      <c r="C1011" s="1">
        <f ca="1">IFERROR(__xludf.DUMMYFUNCTION("""COMPUTED_VALUE"""),367.75)</f>
        <v>367.75</v>
      </c>
      <c r="D1011" s="1">
        <f ca="1">IFERROR(__xludf.DUMMYFUNCTION("""COMPUTED_VALUE"""),145.24)</f>
        <v>145.24</v>
      </c>
      <c r="E1011" s="1">
        <f ca="1">IFERROR(__xludf.DUMMYFUNCTION("""COMPUTED_VALUE"""),49.1)</f>
        <v>49.1</v>
      </c>
      <c r="F1011" s="1">
        <f ca="1">IFERROR(__xludf.DUMMYFUNCTION("""COMPUTED_VALUE"""),351.95)</f>
        <v>351.95</v>
      </c>
      <c r="G1011" s="1">
        <f ca="1">IFERROR(__xludf.DUMMYFUNCTION("""COMPUTED_VALUE"""),137.39)</f>
        <v>137.38999999999999</v>
      </c>
      <c r="H1011" s="1">
        <f ca="1">IFERROR(__xludf.DUMMYFUNCTION("""COMPUTED_VALUE"""),237.49)</f>
        <v>237.49</v>
      </c>
      <c r="I1011" s="1">
        <f ca="1">IFERROR(__xludf.DUMMYFUNCTION("""COMPUTED_VALUE"""),168.94)</f>
        <v>168.94</v>
      </c>
      <c r="J1011" s="1">
        <f ca="1">IFERROR(__xludf.DUMMYFUNCTION("""COMPUTED_VALUE"""),656.01)</f>
        <v>656.01</v>
      </c>
      <c r="K1011" s="1">
        <f ca="1">IFERROR(__xludf.DUMMYFUNCTION("""COMPUTED_VALUE"""),104.93)</f>
        <v>104.93</v>
      </c>
      <c r="L1011" s="1">
        <f ca="1">IFERROR(__xludf.DUMMYFUNCTION("""COMPUTED_VALUE"""),564.6)</f>
        <v>564.6</v>
      </c>
      <c r="M1011" s="1">
        <f ca="1">IFERROR(__xludf.DUMMYFUNCTION("""COMPUTED_VALUE"""),474.06)</f>
        <v>474.06</v>
      </c>
    </row>
    <row r="1012" spans="1:13" x14ac:dyDescent="0.25">
      <c r="A1012" s="2">
        <f ca="1">IFERROR(__xludf.DUMMYFUNCTION("""COMPUTED_VALUE"""),45300.6666666666)</f>
        <v>45300.666666666599</v>
      </c>
      <c r="B1012" s="1">
        <f ca="1">IFERROR(__xludf.DUMMYFUNCTION("""COMPUTED_VALUE"""),185.14)</f>
        <v>185.14</v>
      </c>
      <c r="C1012" s="1">
        <f ca="1">IFERROR(__xludf.DUMMYFUNCTION("""COMPUTED_VALUE"""),374.69)</f>
        <v>374.69</v>
      </c>
      <c r="D1012" s="1">
        <f ca="1">IFERROR(__xludf.DUMMYFUNCTION("""COMPUTED_VALUE"""),149.1)</f>
        <v>149.1</v>
      </c>
      <c r="E1012" s="1">
        <f ca="1">IFERROR(__xludf.DUMMYFUNCTION("""COMPUTED_VALUE"""),52.25)</f>
        <v>52.25</v>
      </c>
      <c r="F1012" s="1">
        <f ca="1">IFERROR(__xludf.DUMMYFUNCTION("""COMPUTED_VALUE"""),358.66)</f>
        <v>358.66</v>
      </c>
      <c r="G1012" s="1">
        <f ca="1">IFERROR(__xludf.DUMMYFUNCTION("""COMPUTED_VALUE"""),140.53)</f>
        <v>140.53</v>
      </c>
      <c r="H1012" s="1">
        <f ca="1">IFERROR(__xludf.DUMMYFUNCTION("""COMPUTED_VALUE"""),240.45)</f>
        <v>240.45</v>
      </c>
      <c r="I1012" s="1">
        <f ca="1">IFERROR(__xludf.DUMMYFUNCTION("""COMPUTED_VALUE"""),169.11)</f>
        <v>169.11</v>
      </c>
      <c r="J1012" s="1">
        <f ca="1">IFERROR(__xludf.DUMMYFUNCTION("""COMPUTED_VALUE"""),661.69)</f>
        <v>661.69</v>
      </c>
      <c r="K1012" s="1">
        <f ca="1">IFERROR(__xludf.DUMMYFUNCTION("""COMPUTED_VALUE"""),107.49)</f>
        <v>107.49</v>
      </c>
      <c r="L1012" s="1">
        <f ca="1">IFERROR(__xludf.DUMMYFUNCTION("""COMPUTED_VALUE"""),580.55)</f>
        <v>580.54999999999995</v>
      </c>
      <c r="M1012" s="1">
        <f ca="1">IFERROR(__xludf.DUMMYFUNCTION("""COMPUTED_VALUE"""),485.03)</f>
        <v>485.03</v>
      </c>
    </row>
    <row r="1013" spans="1:13" x14ac:dyDescent="0.25">
      <c r="A1013" s="2">
        <f ca="1">IFERROR(__xludf.DUMMYFUNCTION("""COMPUTED_VALUE"""),45301.6666666666)</f>
        <v>45301.666666666599</v>
      </c>
      <c r="B1013" s="1">
        <f ca="1">IFERROR(__xludf.DUMMYFUNCTION("""COMPUTED_VALUE"""),186.19)</f>
        <v>186.19</v>
      </c>
      <c r="C1013" s="1">
        <f ca="1">IFERROR(__xludf.DUMMYFUNCTION("""COMPUTED_VALUE"""),375.79)</f>
        <v>375.79</v>
      </c>
      <c r="D1013" s="1">
        <f ca="1">IFERROR(__xludf.DUMMYFUNCTION("""COMPUTED_VALUE"""),151.37)</f>
        <v>151.37</v>
      </c>
      <c r="E1013" s="1">
        <f ca="1">IFERROR(__xludf.DUMMYFUNCTION("""COMPUTED_VALUE"""),53.14)</f>
        <v>53.14</v>
      </c>
      <c r="F1013" s="1">
        <f ca="1">IFERROR(__xludf.DUMMYFUNCTION("""COMPUTED_VALUE"""),357.43)</f>
        <v>357.43</v>
      </c>
      <c r="G1013" s="1">
        <f ca="1">IFERROR(__xludf.DUMMYFUNCTION("""COMPUTED_VALUE"""),142.56)</f>
        <v>142.56</v>
      </c>
      <c r="H1013" s="1">
        <f ca="1">IFERROR(__xludf.DUMMYFUNCTION("""COMPUTED_VALUE"""),234.96)</f>
        <v>234.96</v>
      </c>
      <c r="I1013" s="1">
        <f ca="1">IFERROR(__xludf.DUMMYFUNCTION("""COMPUTED_VALUE"""),167.17)</f>
        <v>167.17</v>
      </c>
      <c r="J1013" s="1">
        <f ca="1">IFERROR(__xludf.DUMMYFUNCTION("""COMPUTED_VALUE"""),667.18)</f>
        <v>667.18</v>
      </c>
      <c r="K1013" s="1">
        <f ca="1">IFERROR(__xludf.DUMMYFUNCTION("""COMPUTED_VALUE"""),108.25)</f>
        <v>108.25</v>
      </c>
      <c r="L1013" s="1">
        <f ca="1">IFERROR(__xludf.DUMMYFUNCTION("""COMPUTED_VALUE"""),586.2)</f>
        <v>586.20000000000005</v>
      </c>
      <c r="M1013" s="1">
        <f ca="1">IFERROR(__xludf.DUMMYFUNCTION("""COMPUTED_VALUE"""),482.09)</f>
        <v>482.09</v>
      </c>
    </row>
    <row r="1014" spans="1:13" x14ac:dyDescent="0.25">
      <c r="A1014" s="2">
        <f ca="1">IFERROR(__xludf.DUMMYFUNCTION("""COMPUTED_VALUE"""),45302.6666666666)</f>
        <v>45302.666666666599</v>
      </c>
      <c r="B1014" s="1">
        <f ca="1">IFERROR(__xludf.DUMMYFUNCTION("""COMPUTED_VALUE"""),185.59)</f>
        <v>185.59</v>
      </c>
      <c r="C1014" s="1">
        <f ca="1">IFERROR(__xludf.DUMMYFUNCTION("""COMPUTED_VALUE"""),382.77)</f>
        <v>382.77</v>
      </c>
      <c r="D1014" s="1">
        <f ca="1">IFERROR(__xludf.DUMMYFUNCTION("""COMPUTED_VALUE"""),153.73)</f>
        <v>153.72999999999999</v>
      </c>
      <c r="E1014" s="1">
        <f ca="1">IFERROR(__xludf.DUMMYFUNCTION("""COMPUTED_VALUE"""),54.35)</f>
        <v>54.35</v>
      </c>
      <c r="F1014" s="1">
        <f ca="1">IFERROR(__xludf.DUMMYFUNCTION("""COMPUTED_VALUE"""),370.47)</f>
        <v>370.47</v>
      </c>
      <c r="G1014" s="1">
        <f ca="1">IFERROR(__xludf.DUMMYFUNCTION("""COMPUTED_VALUE"""),143.8)</f>
        <v>143.80000000000001</v>
      </c>
      <c r="H1014" s="1">
        <f ca="1">IFERROR(__xludf.DUMMYFUNCTION("""COMPUTED_VALUE"""),233.94)</f>
        <v>233.94</v>
      </c>
      <c r="I1014" s="1">
        <f ca="1">IFERROR(__xludf.DUMMYFUNCTION("""COMPUTED_VALUE"""),166.92)</f>
        <v>166.92</v>
      </c>
      <c r="J1014" s="1">
        <f ca="1">IFERROR(__xludf.DUMMYFUNCTION("""COMPUTED_VALUE"""),672.76)</f>
        <v>672.76</v>
      </c>
      <c r="K1014" s="1">
        <f ca="1">IFERROR(__xludf.DUMMYFUNCTION("""COMPUTED_VALUE"""),108.06)</f>
        <v>108.06</v>
      </c>
      <c r="L1014" s="1">
        <f ca="1">IFERROR(__xludf.DUMMYFUNCTION("""COMPUTED_VALUE"""),591.03)</f>
        <v>591.03</v>
      </c>
      <c r="M1014" s="1">
        <f ca="1">IFERROR(__xludf.DUMMYFUNCTION("""COMPUTED_VALUE"""),478.33)</f>
        <v>478.33</v>
      </c>
    </row>
    <row r="1015" spans="1:13" x14ac:dyDescent="0.25">
      <c r="A1015" s="2">
        <f ca="1">IFERROR(__xludf.DUMMYFUNCTION("""COMPUTED_VALUE"""),45303.6666666666)</f>
        <v>45303.666666666599</v>
      </c>
      <c r="B1015" s="1">
        <f ca="1">IFERROR(__xludf.DUMMYFUNCTION("""COMPUTED_VALUE"""),185.92)</f>
        <v>185.92</v>
      </c>
      <c r="C1015" s="1">
        <f ca="1">IFERROR(__xludf.DUMMYFUNCTION("""COMPUTED_VALUE"""),384.63)</f>
        <v>384.63</v>
      </c>
      <c r="D1015" s="1">
        <f ca="1">IFERROR(__xludf.DUMMYFUNCTION("""COMPUTED_VALUE"""),155.18)</f>
        <v>155.18</v>
      </c>
      <c r="E1015" s="1">
        <f ca="1">IFERROR(__xludf.DUMMYFUNCTION("""COMPUTED_VALUE"""),54.82)</f>
        <v>54.82</v>
      </c>
      <c r="F1015" s="1">
        <f ca="1">IFERROR(__xludf.DUMMYFUNCTION("""COMPUTED_VALUE"""),369.67)</f>
        <v>369.67</v>
      </c>
      <c r="G1015" s="1">
        <f ca="1">IFERROR(__xludf.DUMMYFUNCTION("""COMPUTED_VALUE"""),143.67)</f>
        <v>143.66999999999999</v>
      </c>
      <c r="H1015" s="1">
        <f ca="1">IFERROR(__xludf.DUMMYFUNCTION("""COMPUTED_VALUE"""),227.22)</f>
        <v>227.22</v>
      </c>
      <c r="I1015" s="1">
        <f ca="1">IFERROR(__xludf.DUMMYFUNCTION("""COMPUTED_VALUE"""),166.13)</f>
        <v>166.13</v>
      </c>
      <c r="J1015" s="1">
        <f ca="1">IFERROR(__xludf.DUMMYFUNCTION("""COMPUTED_VALUE"""),673.58)</f>
        <v>673.58</v>
      </c>
      <c r="K1015" s="1">
        <f ca="1">IFERROR(__xludf.DUMMYFUNCTION("""COMPUTED_VALUE"""),110)</f>
        <v>110</v>
      </c>
      <c r="L1015" s="1">
        <f ca="1">IFERROR(__xludf.DUMMYFUNCTION("""COMPUTED_VALUE"""),597.49)</f>
        <v>597.49</v>
      </c>
      <c r="M1015" s="1">
        <f ca="1">IFERROR(__xludf.DUMMYFUNCTION("""COMPUTED_VALUE"""),492.23)</f>
        <v>492.23</v>
      </c>
    </row>
    <row r="1016" spans="1:13" x14ac:dyDescent="0.25">
      <c r="A1016" s="2">
        <f ca="1">IFERROR(__xludf.DUMMYFUNCTION("""COMPUTED_VALUE"""),45307.6666666666)</f>
        <v>45307.666666666599</v>
      </c>
      <c r="B1016" s="1">
        <f ca="1">IFERROR(__xludf.DUMMYFUNCTION("""COMPUTED_VALUE"""),183.63)</f>
        <v>183.63</v>
      </c>
      <c r="C1016" s="1">
        <f ca="1">IFERROR(__xludf.DUMMYFUNCTION("""COMPUTED_VALUE"""),388.47)</f>
        <v>388.47</v>
      </c>
      <c r="D1016" s="1">
        <f ca="1">IFERROR(__xludf.DUMMYFUNCTION("""COMPUTED_VALUE"""),154.62)</f>
        <v>154.62</v>
      </c>
      <c r="E1016" s="1">
        <f ca="1">IFERROR(__xludf.DUMMYFUNCTION("""COMPUTED_VALUE"""),54.71)</f>
        <v>54.71</v>
      </c>
      <c r="F1016" s="1">
        <f ca="1">IFERROR(__xludf.DUMMYFUNCTION("""COMPUTED_VALUE"""),374.49)</f>
        <v>374.49</v>
      </c>
      <c r="G1016" s="1">
        <f ca="1">IFERROR(__xludf.DUMMYFUNCTION("""COMPUTED_VALUE"""),144.24)</f>
        <v>144.24</v>
      </c>
      <c r="H1016" s="1">
        <f ca="1">IFERROR(__xludf.DUMMYFUNCTION("""COMPUTED_VALUE"""),218.89)</f>
        <v>218.89</v>
      </c>
      <c r="I1016" s="1">
        <f ca="1">IFERROR(__xludf.DUMMYFUNCTION("""COMPUTED_VALUE"""),167.27)</f>
        <v>167.27</v>
      </c>
      <c r="J1016" s="1">
        <f ca="1">IFERROR(__xludf.DUMMYFUNCTION("""COMPUTED_VALUE"""),683.24)</f>
        <v>683.24</v>
      </c>
      <c r="K1016" s="1">
        <f ca="1">IFERROR(__xludf.DUMMYFUNCTION("""COMPUTED_VALUE"""),110.77)</f>
        <v>110.77</v>
      </c>
      <c r="L1016" s="1">
        <f ca="1">IFERROR(__xludf.DUMMYFUNCTION("""COMPUTED_VALUE"""),596.54)</f>
        <v>596.54</v>
      </c>
      <c r="M1016" s="1">
        <f ca="1">IFERROR(__xludf.DUMMYFUNCTION("""COMPUTED_VALUE"""),492.16)</f>
        <v>492.16</v>
      </c>
    </row>
    <row r="1017" spans="1:13" x14ac:dyDescent="0.25">
      <c r="A1017" s="2">
        <f ca="1">IFERROR(__xludf.DUMMYFUNCTION("""COMPUTED_VALUE"""),45308.6666666666)</f>
        <v>45308.666666666599</v>
      </c>
      <c r="B1017" s="1">
        <f ca="1">IFERROR(__xludf.DUMMYFUNCTION("""COMPUTED_VALUE"""),182.68)</f>
        <v>182.68</v>
      </c>
      <c r="C1017" s="1">
        <f ca="1">IFERROR(__xludf.DUMMYFUNCTION("""COMPUTED_VALUE"""),390.27)</f>
        <v>390.27</v>
      </c>
      <c r="D1017" s="1">
        <f ca="1">IFERROR(__xludf.DUMMYFUNCTION("""COMPUTED_VALUE"""),153.16)</f>
        <v>153.16</v>
      </c>
      <c r="E1017" s="1">
        <f ca="1">IFERROR(__xludf.DUMMYFUNCTION("""COMPUTED_VALUE"""),56.38)</f>
        <v>56.38</v>
      </c>
      <c r="F1017" s="1">
        <f ca="1">IFERROR(__xludf.DUMMYFUNCTION("""COMPUTED_VALUE"""),367.46)</f>
        <v>367.46</v>
      </c>
      <c r="G1017" s="1">
        <f ca="1">IFERROR(__xludf.DUMMYFUNCTION("""COMPUTED_VALUE"""),144.08)</f>
        <v>144.08000000000001</v>
      </c>
      <c r="H1017" s="1">
        <f ca="1">IFERROR(__xludf.DUMMYFUNCTION("""COMPUTED_VALUE"""),219.91)</f>
        <v>219.91</v>
      </c>
      <c r="I1017" s="1">
        <f ca="1">IFERROR(__xludf.DUMMYFUNCTION("""COMPUTED_VALUE"""),166.17)</f>
        <v>166.17</v>
      </c>
      <c r="J1017" s="1">
        <f ca="1">IFERROR(__xludf.DUMMYFUNCTION("""COMPUTED_VALUE"""),681.49)</f>
        <v>681.49</v>
      </c>
      <c r="K1017" s="1">
        <f ca="1">IFERROR(__xludf.DUMMYFUNCTION("""COMPUTED_VALUE"""),111.5)</f>
        <v>111.5</v>
      </c>
      <c r="L1017" s="1">
        <f ca="1">IFERROR(__xludf.DUMMYFUNCTION("""COMPUTED_VALUE"""),597.68)</f>
        <v>597.67999999999995</v>
      </c>
      <c r="M1017" s="1">
        <f ca="1">IFERROR(__xludf.DUMMYFUNCTION("""COMPUTED_VALUE"""),481.24)</f>
        <v>481.24</v>
      </c>
    </row>
    <row r="1018" spans="1:13" x14ac:dyDescent="0.25">
      <c r="A1018" s="2">
        <f ca="1">IFERROR(__xludf.DUMMYFUNCTION("""COMPUTED_VALUE"""),45309.6666666666)</f>
        <v>45309.666666666599</v>
      </c>
      <c r="B1018" s="1">
        <f ca="1">IFERROR(__xludf.DUMMYFUNCTION("""COMPUTED_VALUE"""),188.63)</f>
        <v>188.63</v>
      </c>
      <c r="C1018" s="1">
        <f ca="1">IFERROR(__xludf.DUMMYFUNCTION("""COMPUTED_VALUE"""),389.47)</f>
        <v>389.47</v>
      </c>
      <c r="D1018" s="1">
        <f ca="1">IFERROR(__xludf.DUMMYFUNCTION("""COMPUTED_VALUE"""),151.71)</f>
        <v>151.71</v>
      </c>
      <c r="E1018" s="1">
        <f ca="1">IFERROR(__xludf.DUMMYFUNCTION("""COMPUTED_VALUE"""),56.05)</f>
        <v>56.05</v>
      </c>
      <c r="F1018" s="1">
        <f ca="1">IFERROR(__xludf.DUMMYFUNCTION("""COMPUTED_VALUE"""),368.37)</f>
        <v>368.37</v>
      </c>
      <c r="G1018" s="1">
        <f ca="1">IFERROR(__xludf.DUMMYFUNCTION("""COMPUTED_VALUE"""),142.89)</f>
        <v>142.88999999999999</v>
      </c>
      <c r="H1018" s="1">
        <f ca="1">IFERROR(__xludf.DUMMYFUNCTION("""COMPUTED_VALUE"""),215.55)</f>
        <v>215.55</v>
      </c>
      <c r="I1018" s="1">
        <f ca="1">IFERROR(__xludf.DUMMYFUNCTION("""COMPUTED_VALUE"""),166.44)</f>
        <v>166.44</v>
      </c>
      <c r="J1018" s="1">
        <f ca="1">IFERROR(__xludf.DUMMYFUNCTION("""COMPUTED_VALUE"""),684.19)</f>
        <v>684.19</v>
      </c>
      <c r="K1018" s="1">
        <f ca="1">IFERROR(__xludf.DUMMYFUNCTION("""COMPUTED_VALUE"""),110.37)</f>
        <v>110.37</v>
      </c>
      <c r="L1018" s="1">
        <f ca="1">IFERROR(__xludf.DUMMYFUNCTION("""COMPUTED_VALUE"""),596.1)</f>
        <v>596.1</v>
      </c>
      <c r="M1018" s="1">
        <f ca="1">IFERROR(__xludf.DUMMYFUNCTION("""COMPUTED_VALUE"""),480.33)</f>
        <v>480.33</v>
      </c>
    </row>
    <row r="1019" spans="1:13" x14ac:dyDescent="0.25">
      <c r="A1019" s="2">
        <f ca="1">IFERROR(__xludf.DUMMYFUNCTION("""COMPUTED_VALUE"""),45310.6666666666)</f>
        <v>45310.666666666599</v>
      </c>
      <c r="B1019" s="1">
        <f ca="1">IFERROR(__xludf.DUMMYFUNCTION("""COMPUTED_VALUE"""),191.56)</f>
        <v>191.56</v>
      </c>
      <c r="C1019" s="1">
        <f ca="1">IFERROR(__xludf.DUMMYFUNCTION("""COMPUTED_VALUE"""),393.87)</f>
        <v>393.87</v>
      </c>
      <c r="D1019" s="1">
        <f ca="1">IFERROR(__xludf.DUMMYFUNCTION("""COMPUTED_VALUE"""),153.5)</f>
        <v>153.5</v>
      </c>
      <c r="E1019" s="1">
        <f ca="1">IFERROR(__xludf.DUMMYFUNCTION("""COMPUTED_VALUE"""),57.11)</f>
        <v>57.11</v>
      </c>
      <c r="F1019" s="1">
        <f ca="1">IFERROR(__xludf.DUMMYFUNCTION("""COMPUTED_VALUE"""),376.13)</f>
        <v>376.13</v>
      </c>
      <c r="G1019" s="1">
        <f ca="1">IFERROR(__xludf.DUMMYFUNCTION("""COMPUTED_VALUE"""),144.99)</f>
        <v>144.99</v>
      </c>
      <c r="H1019" s="1">
        <f ca="1">IFERROR(__xludf.DUMMYFUNCTION("""COMPUTED_VALUE"""),211.88)</f>
        <v>211.88</v>
      </c>
      <c r="I1019" s="1">
        <f ca="1">IFERROR(__xludf.DUMMYFUNCTION("""COMPUTED_VALUE"""),167.17)</f>
        <v>167.17</v>
      </c>
      <c r="J1019" s="1">
        <f ca="1">IFERROR(__xludf.DUMMYFUNCTION("""COMPUTED_VALUE"""),687.31)</f>
        <v>687.31</v>
      </c>
      <c r="K1019" s="1">
        <f ca="1">IFERROR(__xludf.DUMMYFUNCTION("""COMPUTED_VALUE"""),114.39)</f>
        <v>114.39</v>
      </c>
      <c r="L1019" s="1">
        <f ca="1">IFERROR(__xludf.DUMMYFUNCTION("""COMPUTED_VALUE"""),593.7)</f>
        <v>593.70000000000005</v>
      </c>
      <c r="M1019" s="1">
        <f ca="1">IFERROR(__xludf.DUMMYFUNCTION("""COMPUTED_VALUE"""),485.31)</f>
        <v>485.31</v>
      </c>
    </row>
    <row r="1020" spans="1:13" x14ac:dyDescent="0.25">
      <c r="A1020" s="2">
        <f ca="1">IFERROR(__xludf.DUMMYFUNCTION("""COMPUTED_VALUE"""),45313.6666666666)</f>
        <v>45313.666666666599</v>
      </c>
      <c r="B1020" s="1">
        <f ca="1">IFERROR(__xludf.DUMMYFUNCTION("""COMPUTED_VALUE"""),193.89)</f>
        <v>193.89</v>
      </c>
      <c r="C1020" s="1">
        <f ca="1">IFERROR(__xludf.DUMMYFUNCTION("""COMPUTED_VALUE"""),398.67)</f>
        <v>398.67</v>
      </c>
      <c r="D1020" s="1">
        <f ca="1">IFERROR(__xludf.DUMMYFUNCTION("""COMPUTED_VALUE"""),155.34)</f>
        <v>155.34</v>
      </c>
      <c r="E1020" s="1">
        <f ca="1">IFERROR(__xludf.DUMMYFUNCTION("""COMPUTED_VALUE"""),59.49)</f>
        <v>59.49</v>
      </c>
      <c r="F1020" s="1">
        <f ca="1">IFERROR(__xludf.DUMMYFUNCTION("""COMPUTED_VALUE"""),383.45)</f>
        <v>383.45</v>
      </c>
      <c r="G1020" s="1">
        <f ca="1">IFERROR(__xludf.DUMMYFUNCTION("""COMPUTED_VALUE"""),147.97)</f>
        <v>147.97</v>
      </c>
      <c r="H1020" s="1">
        <f ca="1">IFERROR(__xludf.DUMMYFUNCTION("""COMPUTED_VALUE"""),212.19)</f>
        <v>212.19</v>
      </c>
      <c r="I1020" s="1">
        <f ca="1">IFERROR(__xludf.DUMMYFUNCTION("""COMPUTED_VALUE"""),165.78)</f>
        <v>165.78</v>
      </c>
      <c r="J1020" s="1">
        <f ca="1">IFERROR(__xludf.DUMMYFUNCTION("""COMPUTED_VALUE"""),694.97)</f>
        <v>694.97</v>
      </c>
      <c r="K1020" s="1">
        <f ca="1">IFERROR(__xludf.DUMMYFUNCTION("""COMPUTED_VALUE"""),121.12)</f>
        <v>121.12</v>
      </c>
      <c r="L1020" s="1">
        <f ca="1">IFERROR(__xludf.DUMMYFUNCTION("""COMPUTED_VALUE"""),611.55)</f>
        <v>611.54999999999995</v>
      </c>
      <c r="M1020" s="1">
        <f ca="1">IFERROR(__xludf.DUMMYFUNCTION("""COMPUTED_VALUE"""),482.95)</f>
        <v>482.95</v>
      </c>
    </row>
    <row r="1021" spans="1:13" x14ac:dyDescent="0.25">
      <c r="A1021" s="2">
        <f ca="1">IFERROR(__xludf.DUMMYFUNCTION("""COMPUTED_VALUE"""),45314.6666666666)</f>
        <v>45314.666666666599</v>
      </c>
      <c r="B1021" s="1">
        <f ca="1">IFERROR(__xludf.DUMMYFUNCTION("""COMPUTED_VALUE"""),195.18)</f>
        <v>195.18</v>
      </c>
      <c r="C1021" s="1">
        <f ca="1">IFERROR(__xludf.DUMMYFUNCTION("""COMPUTED_VALUE"""),396.51)</f>
        <v>396.51</v>
      </c>
      <c r="D1021" s="1">
        <f ca="1">IFERROR(__xludf.DUMMYFUNCTION("""COMPUTED_VALUE"""),154.78)</f>
        <v>154.78</v>
      </c>
      <c r="E1021" s="1">
        <f ca="1">IFERROR(__xludf.DUMMYFUNCTION("""COMPUTED_VALUE"""),59.65)</f>
        <v>59.65</v>
      </c>
      <c r="F1021" s="1">
        <f ca="1">IFERROR(__xludf.DUMMYFUNCTION("""COMPUTED_VALUE"""),381.78)</f>
        <v>381.78</v>
      </c>
      <c r="G1021" s="1">
        <f ca="1">IFERROR(__xludf.DUMMYFUNCTION("""COMPUTED_VALUE"""),147.71)</f>
        <v>147.71</v>
      </c>
      <c r="H1021" s="1">
        <f ca="1">IFERROR(__xludf.DUMMYFUNCTION("""COMPUTED_VALUE"""),208.8)</f>
        <v>208.8</v>
      </c>
      <c r="I1021" s="1">
        <f ca="1">IFERROR(__xludf.DUMMYFUNCTION("""COMPUTED_VALUE"""),165.11)</f>
        <v>165.11</v>
      </c>
      <c r="J1021" s="1">
        <f ca="1">IFERROR(__xludf.DUMMYFUNCTION("""COMPUTED_VALUE"""),692.51)</f>
        <v>692.51</v>
      </c>
      <c r="K1021" s="1">
        <f ca="1">IFERROR(__xludf.DUMMYFUNCTION("""COMPUTED_VALUE"""),122.05)</f>
        <v>122.05</v>
      </c>
      <c r="L1021" s="1">
        <f ca="1">IFERROR(__xludf.DUMMYFUNCTION("""COMPUTED_VALUE"""),603.59)</f>
        <v>603.59</v>
      </c>
      <c r="M1021" s="1">
        <f ca="1">IFERROR(__xludf.DUMMYFUNCTION("""COMPUTED_VALUE"""),485.71)</f>
        <v>485.71</v>
      </c>
    </row>
    <row r="1022" spans="1:13" x14ac:dyDescent="0.25">
      <c r="A1022" s="2">
        <f ca="1">IFERROR(__xludf.DUMMYFUNCTION("""COMPUTED_VALUE"""),45315.6666666666)</f>
        <v>45315.666666666599</v>
      </c>
      <c r="B1022" s="1">
        <f ca="1">IFERROR(__xludf.DUMMYFUNCTION("""COMPUTED_VALUE"""),194.5)</f>
        <v>194.5</v>
      </c>
      <c r="C1022" s="1">
        <f ca="1">IFERROR(__xludf.DUMMYFUNCTION("""COMPUTED_VALUE"""),398.9)</f>
        <v>398.9</v>
      </c>
      <c r="D1022" s="1">
        <f ca="1">IFERROR(__xludf.DUMMYFUNCTION("""COMPUTED_VALUE"""),156.02)</f>
        <v>156.02000000000001</v>
      </c>
      <c r="E1022" s="1">
        <f ca="1">IFERROR(__xludf.DUMMYFUNCTION("""COMPUTED_VALUE"""),59.87)</f>
        <v>59.87</v>
      </c>
      <c r="F1022" s="1">
        <f ca="1">IFERROR(__xludf.DUMMYFUNCTION("""COMPUTED_VALUE"""),385.2)</f>
        <v>385.2</v>
      </c>
      <c r="G1022" s="1">
        <f ca="1">IFERROR(__xludf.DUMMYFUNCTION("""COMPUTED_VALUE"""),148.68)</f>
        <v>148.68</v>
      </c>
      <c r="H1022" s="1">
        <f ca="1">IFERROR(__xludf.DUMMYFUNCTION("""COMPUTED_VALUE"""),209.14)</f>
        <v>209.14</v>
      </c>
      <c r="I1022" s="1">
        <f ca="1">IFERROR(__xludf.DUMMYFUNCTION("""COMPUTED_VALUE"""),167.64)</f>
        <v>167.64</v>
      </c>
      <c r="J1022" s="1">
        <f ca="1">IFERROR(__xludf.DUMMYFUNCTION("""COMPUTED_VALUE"""),687.59)</f>
        <v>687.59</v>
      </c>
      <c r="K1022" s="1">
        <f ca="1">IFERROR(__xludf.DUMMYFUNCTION("""COMPUTED_VALUE"""),122.63)</f>
        <v>122.63</v>
      </c>
      <c r="L1022" s="1">
        <f ca="1">IFERROR(__xludf.DUMMYFUNCTION("""COMPUTED_VALUE"""),597.18)</f>
        <v>597.17999999999995</v>
      </c>
      <c r="M1022" s="1">
        <f ca="1">IFERROR(__xludf.DUMMYFUNCTION("""COMPUTED_VALUE"""),492.19)</f>
        <v>492.19</v>
      </c>
    </row>
    <row r="1023" spans="1:13" x14ac:dyDescent="0.25">
      <c r="A1023" s="2">
        <f ca="1">IFERROR(__xludf.DUMMYFUNCTION("""COMPUTED_VALUE"""),45316.6666666666)</f>
        <v>45316.666666666599</v>
      </c>
      <c r="B1023" s="1">
        <f ca="1">IFERROR(__xludf.DUMMYFUNCTION("""COMPUTED_VALUE"""),194.17)</f>
        <v>194.17</v>
      </c>
      <c r="C1023" s="1">
        <f ca="1">IFERROR(__xludf.DUMMYFUNCTION("""COMPUTED_VALUE"""),402.56)</f>
        <v>402.56</v>
      </c>
      <c r="D1023" s="1">
        <f ca="1">IFERROR(__xludf.DUMMYFUNCTION("""COMPUTED_VALUE"""),156.87)</f>
        <v>156.87</v>
      </c>
      <c r="E1023" s="1">
        <f ca="1">IFERROR(__xludf.DUMMYFUNCTION("""COMPUTED_VALUE"""),61.36)</f>
        <v>61.36</v>
      </c>
      <c r="F1023" s="1">
        <f ca="1">IFERROR(__xludf.DUMMYFUNCTION("""COMPUTED_VALUE"""),390.7)</f>
        <v>390.7</v>
      </c>
      <c r="G1023" s="1">
        <f ca="1">IFERROR(__xludf.DUMMYFUNCTION("""COMPUTED_VALUE"""),150.35)</f>
        <v>150.35</v>
      </c>
      <c r="H1023" s="1">
        <f ca="1">IFERROR(__xludf.DUMMYFUNCTION("""COMPUTED_VALUE"""),207.83)</f>
        <v>207.83</v>
      </c>
      <c r="I1023" s="1">
        <f ca="1">IFERROR(__xludf.DUMMYFUNCTION("""COMPUTED_VALUE"""),165.6)</f>
        <v>165.6</v>
      </c>
      <c r="J1023" s="1">
        <f ca="1">IFERROR(__xludf.DUMMYFUNCTION("""COMPUTED_VALUE"""),686.51)</f>
        <v>686.51</v>
      </c>
      <c r="K1023" s="1">
        <f ca="1">IFERROR(__xludf.DUMMYFUNCTION("""COMPUTED_VALUE"""),125.39)</f>
        <v>125.39</v>
      </c>
      <c r="L1023" s="1">
        <f ca="1">IFERROR(__xludf.DUMMYFUNCTION("""COMPUTED_VALUE"""),606.48)</f>
        <v>606.48</v>
      </c>
      <c r="M1023" s="1">
        <f ca="1">IFERROR(__xludf.DUMMYFUNCTION("""COMPUTED_VALUE"""),544.87)</f>
        <v>544.87</v>
      </c>
    </row>
    <row r="1024" spans="1:13" x14ac:dyDescent="0.25">
      <c r="A1024" s="2">
        <f ca="1">IFERROR(__xludf.DUMMYFUNCTION("""COMPUTED_VALUE"""),45317.6666666666)</f>
        <v>45317.666666666599</v>
      </c>
      <c r="B1024" s="1">
        <f ca="1">IFERROR(__xludf.DUMMYFUNCTION("""COMPUTED_VALUE"""),192.42)</f>
        <v>192.42</v>
      </c>
      <c r="C1024" s="1">
        <f ca="1">IFERROR(__xludf.DUMMYFUNCTION("""COMPUTED_VALUE"""),404.87)</f>
        <v>404.87</v>
      </c>
      <c r="D1024" s="1">
        <f ca="1">IFERROR(__xludf.DUMMYFUNCTION("""COMPUTED_VALUE"""),157.75)</f>
        <v>157.75</v>
      </c>
      <c r="E1024" s="1">
        <f ca="1">IFERROR(__xludf.DUMMYFUNCTION("""COMPUTED_VALUE"""),61.62)</f>
        <v>61.62</v>
      </c>
      <c r="F1024" s="1">
        <f ca="1">IFERROR(__xludf.DUMMYFUNCTION("""COMPUTED_VALUE"""),393.18)</f>
        <v>393.18</v>
      </c>
      <c r="G1024" s="1">
        <f ca="1">IFERROR(__xludf.DUMMYFUNCTION("""COMPUTED_VALUE"""),153.64)</f>
        <v>153.63999999999999</v>
      </c>
      <c r="H1024" s="1">
        <f ca="1">IFERROR(__xludf.DUMMYFUNCTION("""COMPUTED_VALUE"""),182.63)</f>
        <v>182.63</v>
      </c>
      <c r="I1024" s="1">
        <f ca="1">IFERROR(__xludf.DUMMYFUNCTION("""COMPUTED_VALUE"""),166.56)</f>
        <v>166.56</v>
      </c>
      <c r="J1024" s="1">
        <f ca="1">IFERROR(__xludf.DUMMYFUNCTION("""COMPUTED_VALUE"""),679.9)</f>
        <v>679.9</v>
      </c>
      <c r="K1024" s="1">
        <f ca="1">IFERROR(__xludf.DUMMYFUNCTION("""COMPUTED_VALUE"""),123)</f>
        <v>123</v>
      </c>
      <c r="L1024" s="1">
        <f ca="1">IFERROR(__xludf.DUMMYFUNCTION("""COMPUTED_VALUE"""),622.58)</f>
        <v>622.58000000000004</v>
      </c>
      <c r="M1024" s="1">
        <f ca="1">IFERROR(__xludf.DUMMYFUNCTION("""COMPUTED_VALUE"""),562)</f>
        <v>562</v>
      </c>
    </row>
    <row r="1025" spans="1:13" x14ac:dyDescent="0.25">
      <c r="A1025" s="2">
        <f ca="1">IFERROR(__xludf.DUMMYFUNCTION("""COMPUTED_VALUE"""),45320.6666666666)</f>
        <v>45320.666666666599</v>
      </c>
      <c r="B1025" s="1">
        <f ca="1">IFERROR(__xludf.DUMMYFUNCTION("""COMPUTED_VALUE"""),191.73)</f>
        <v>191.73</v>
      </c>
      <c r="C1025" s="1">
        <f ca="1">IFERROR(__xludf.DUMMYFUNCTION("""COMPUTED_VALUE"""),403.93)</f>
        <v>403.93</v>
      </c>
      <c r="D1025" s="1">
        <f ca="1">IFERROR(__xludf.DUMMYFUNCTION("""COMPUTED_VALUE"""),159.12)</f>
        <v>159.12</v>
      </c>
      <c r="E1025" s="1">
        <f ca="1">IFERROR(__xludf.DUMMYFUNCTION("""COMPUTED_VALUE"""),61.03)</f>
        <v>61.03</v>
      </c>
      <c r="F1025" s="1">
        <f ca="1">IFERROR(__xludf.DUMMYFUNCTION("""COMPUTED_VALUE"""),394.14)</f>
        <v>394.14</v>
      </c>
      <c r="G1025" s="1">
        <f ca="1">IFERROR(__xludf.DUMMYFUNCTION("""COMPUTED_VALUE"""),153.79)</f>
        <v>153.79</v>
      </c>
      <c r="H1025" s="1">
        <f ca="1">IFERROR(__xludf.DUMMYFUNCTION("""COMPUTED_VALUE"""),183.25)</f>
        <v>183.25</v>
      </c>
      <c r="I1025" s="1">
        <f ca="1">IFERROR(__xludf.DUMMYFUNCTION("""COMPUTED_VALUE"""),167.86)</f>
        <v>167.86</v>
      </c>
      <c r="J1025" s="1">
        <f ca="1">IFERROR(__xludf.DUMMYFUNCTION("""COMPUTED_VALUE"""),686.88)</f>
        <v>686.88</v>
      </c>
      <c r="K1025" s="1">
        <f ca="1">IFERROR(__xludf.DUMMYFUNCTION("""COMPUTED_VALUE"""),120.49)</f>
        <v>120.49</v>
      </c>
      <c r="L1025" s="1">
        <f ca="1">IFERROR(__xludf.DUMMYFUNCTION("""COMPUTED_VALUE"""),613.93)</f>
        <v>613.92999999999995</v>
      </c>
      <c r="M1025" s="1">
        <f ca="1">IFERROR(__xludf.DUMMYFUNCTION("""COMPUTED_VALUE"""),570.42)</f>
        <v>570.41999999999996</v>
      </c>
    </row>
    <row r="1026" spans="1:13" x14ac:dyDescent="0.25">
      <c r="A1026" s="2">
        <f ca="1">IFERROR(__xludf.DUMMYFUNCTION("""COMPUTED_VALUE"""),45321.6666666666)</f>
        <v>45321.666666666599</v>
      </c>
      <c r="B1026" s="1">
        <f ca="1">IFERROR(__xludf.DUMMYFUNCTION("""COMPUTED_VALUE"""),188.04)</f>
        <v>188.04</v>
      </c>
      <c r="C1026" s="1">
        <f ca="1">IFERROR(__xludf.DUMMYFUNCTION("""COMPUTED_VALUE"""),409.72)</f>
        <v>409.72</v>
      </c>
      <c r="D1026" s="1">
        <f ca="1">IFERROR(__xludf.DUMMYFUNCTION("""COMPUTED_VALUE"""),161.26)</f>
        <v>161.26</v>
      </c>
      <c r="E1026" s="1">
        <f ca="1">IFERROR(__xludf.DUMMYFUNCTION("""COMPUTED_VALUE"""),62.47)</f>
        <v>62.47</v>
      </c>
      <c r="F1026" s="1">
        <f ca="1">IFERROR(__xludf.DUMMYFUNCTION("""COMPUTED_VALUE"""),401.02)</f>
        <v>401.02</v>
      </c>
      <c r="G1026" s="1">
        <f ca="1">IFERROR(__xludf.DUMMYFUNCTION("""COMPUTED_VALUE"""),154.84)</f>
        <v>154.84</v>
      </c>
      <c r="H1026" s="1">
        <f ca="1">IFERROR(__xludf.DUMMYFUNCTION("""COMPUTED_VALUE"""),190.93)</f>
        <v>190.93</v>
      </c>
      <c r="I1026" s="1">
        <f ca="1">IFERROR(__xludf.DUMMYFUNCTION("""COMPUTED_VALUE"""),168.15)</f>
        <v>168.15</v>
      </c>
      <c r="J1026" s="1">
        <f ca="1">IFERROR(__xludf.DUMMYFUNCTION("""COMPUTED_VALUE"""),694.01)</f>
        <v>694.01</v>
      </c>
      <c r="K1026" s="1">
        <f ca="1">IFERROR(__xludf.DUMMYFUNCTION("""COMPUTED_VALUE"""),121.78)</f>
        <v>121.78</v>
      </c>
      <c r="L1026" s="1">
        <f ca="1">IFERROR(__xludf.DUMMYFUNCTION("""COMPUTED_VALUE"""),630.23)</f>
        <v>630.23</v>
      </c>
      <c r="M1026" s="1">
        <f ca="1">IFERROR(__xludf.DUMMYFUNCTION("""COMPUTED_VALUE"""),575.79)</f>
        <v>575.79</v>
      </c>
    </row>
    <row r="1027" spans="1:13" x14ac:dyDescent="0.25">
      <c r="A1027" s="2">
        <f ca="1">IFERROR(__xludf.DUMMYFUNCTION("""COMPUTED_VALUE"""),45322.6666666666)</f>
        <v>45322.666666666599</v>
      </c>
      <c r="B1027" s="1">
        <f ca="1">IFERROR(__xludf.DUMMYFUNCTION("""COMPUTED_VALUE"""),184.4)</f>
        <v>184.4</v>
      </c>
      <c r="C1027" s="1">
        <f ca="1">IFERROR(__xludf.DUMMYFUNCTION("""COMPUTED_VALUE"""),408.59)</f>
        <v>408.59</v>
      </c>
      <c r="D1027" s="1">
        <f ca="1">IFERROR(__xludf.DUMMYFUNCTION("""COMPUTED_VALUE"""),159)</f>
        <v>159</v>
      </c>
      <c r="E1027" s="1">
        <f ca="1">IFERROR(__xludf.DUMMYFUNCTION("""COMPUTED_VALUE"""),62.77)</f>
        <v>62.77</v>
      </c>
      <c r="F1027" s="1">
        <f ca="1">IFERROR(__xludf.DUMMYFUNCTION("""COMPUTED_VALUE"""),400.06)</f>
        <v>400.06</v>
      </c>
      <c r="G1027" s="1">
        <f ca="1">IFERROR(__xludf.DUMMYFUNCTION("""COMPUTED_VALUE"""),153.05)</f>
        <v>153.05000000000001</v>
      </c>
      <c r="H1027" s="1">
        <f ca="1">IFERROR(__xludf.DUMMYFUNCTION("""COMPUTED_VALUE"""),191.59)</f>
        <v>191.59</v>
      </c>
      <c r="I1027" s="1">
        <f ca="1">IFERROR(__xludf.DUMMYFUNCTION("""COMPUTED_VALUE"""),169.62)</f>
        <v>169.62</v>
      </c>
      <c r="J1027" s="1">
        <f ca="1">IFERROR(__xludf.DUMMYFUNCTION("""COMPUTED_VALUE"""),700.74)</f>
        <v>700.74</v>
      </c>
      <c r="K1027" s="1">
        <f ca="1">IFERROR(__xludf.DUMMYFUNCTION("""COMPUTED_VALUE"""),120.82)</f>
        <v>120.82</v>
      </c>
      <c r="L1027" s="1">
        <f ca="1">IFERROR(__xludf.DUMMYFUNCTION("""COMPUTED_VALUE"""),627.96)</f>
        <v>627.96</v>
      </c>
      <c r="M1027" s="1">
        <f ca="1">IFERROR(__xludf.DUMMYFUNCTION("""COMPUTED_VALUE"""),562.85)</f>
        <v>562.85</v>
      </c>
    </row>
    <row r="1028" spans="1:13" x14ac:dyDescent="0.25">
      <c r="A1028" s="2">
        <f ca="1">IFERROR(__xludf.DUMMYFUNCTION("""COMPUTED_VALUE"""),45323.6666666666)</f>
        <v>45323.666666666599</v>
      </c>
      <c r="B1028" s="1">
        <f ca="1">IFERROR(__xludf.DUMMYFUNCTION("""COMPUTED_VALUE"""),186.86)</f>
        <v>186.86</v>
      </c>
      <c r="C1028" s="1">
        <f ca="1">IFERROR(__xludf.DUMMYFUNCTION("""COMPUTED_VALUE"""),397.58)</f>
        <v>397.58</v>
      </c>
      <c r="D1028" s="1">
        <f ca="1">IFERROR(__xludf.DUMMYFUNCTION("""COMPUTED_VALUE"""),155.2)</f>
        <v>155.19999999999999</v>
      </c>
      <c r="E1028" s="1">
        <f ca="1">IFERROR(__xludf.DUMMYFUNCTION("""COMPUTED_VALUE"""),61.53)</f>
        <v>61.53</v>
      </c>
      <c r="F1028" s="1">
        <f ca="1">IFERROR(__xludf.DUMMYFUNCTION("""COMPUTED_VALUE"""),390.14)</f>
        <v>390.14</v>
      </c>
      <c r="G1028" s="1">
        <f ca="1">IFERROR(__xludf.DUMMYFUNCTION("""COMPUTED_VALUE"""),141.8)</f>
        <v>141.80000000000001</v>
      </c>
      <c r="H1028" s="1">
        <f ca="1">IFERROR(__xludf.DUMMYFUNCTION("""COMPUTED_VALUE"""),187.29)</f>
        <v>187.29</v>
      </c>
      <c r="I1028" s="1">
        <f ca="1">IFERROR(__xludf.DUMMYFUNCTION("""COMPUTED_VALUE"""),168.53)</f>
        <v>168.53</v>
      </c>
      <c r="J1028" s="1">
        <f ca="1">IFERROR(__xludf.DUMMYFUNCTION("""COMPUTED_VALUE"""),694.88)</f>
        <v>694.88</v>
      </c>
      <c r="K1028" s="1">
        <f ca="1">IFERROR(__xludf.DUMMYFUNCTION("""COMPUTED_VALUE"""),118)</f>
        <v>118</v>
      </c>
      <c r="L1028" s="1">
        <f ca="1">IFERROR(__xludf.DUMMYFUNCTION("""COMPUTED_VALUE"""),617.78)</f>
        <v>617.78</v>
      </c>
      <c r="M1028" s="1">
        <f ca="1">IFERROR(__xludf.DUMMYFUNCTION("""COMPUTED_VALUE"""),564.11)</f>
        <v>564.11</v>
      </c>
    </row>
    <row r="1029" spans="1:13" x14ac:dyDescent="0.25">
      <c r="A1029" s="2">
        <f ca="1">IFERROR(__xludf.DUMMYFUNCTION("""COMPUTED_VALUE"""),45324.6666666666)</f>
        <v>45324.666666666599</v>
      </c>
      <c r="B1029" s="1">
        <f ca="1">IFERROR(__xludf.DUMMYFUNCTION("""COMPUTED_VALUE"""),185.85)</f>
        <v>185.85</v>
      </c>
      <c r="C1029" s="1">
        <f ca="1">IFERROR(__xludf.DUMMYFUNCTION("""COMPUTED_VALUE"""),403.78)</f>
        <v>403.78</v>
      </c>
      <c r="D1029" s="1">
        <f ca="1">IFERROR(__xludf.DUMMYFUNCTION("""COMPUTED_VALUE"""),159.28)</f>
        <v>159.28</v>
      </c>
      <c r="E1029" s="1">
        <f ca="1">IFERROR(__xludf.DUMMYFUNCTION("""COMPUTED_VALUE"""),63.03)</f>
        <v>63.03</v>
      </c>
      <c r="F1029" s="1">
        <f ca="1">IFERROR(__xludf.DUMMYFUNCTION("""COMPUTED_VALUE"""),394.78)</f>
        <v>394.78</v>
      </c>
      <c r="G1029" s="1">
        <f ca="1">IFERROR(__xludf.DUMMYFUNCTION("""COMPUTED_VALUE"""),142.71)</f>
        <v>142.71</v>
      </c>
      <c r="H1029" s="1">
        <f ca="1">IFERROR(__xludf.DUMMYFUNCTION("""COMPUTED_VALUE"""),188.86)</f>
        <v>188.86</v>
      </c>
      <c r="I1029" s="1">
        <f ca="1">IFERROR(__xludf.DUMMYFUNCTION("""COMPUTED_VALUE"""),171.7)</f>
        <v>171.7</v>
      </c>
      <c r="J1029" s="1">
        <f ca="1">IFERROR(__xludf.DUMMYFUNCTION("""COMPUTED_VALUE"""),704.48)</f>
        <v>704.48</v>
      </c>
      <c r="K1029" s="1">
        <f ca="1">IFERROR(__xludf.DUMMYFUNCTION("""COMPUTED_VALUE"""),120)</f>
        <v>120</v>
      </c>
      <c r="L1029" s="1">
        <f ca="1">IFERROR(__xludf.DUMMYFUNCTION("""COMPUTED_VALUE"""),627.91)</f>
        <v>627.91</v>
      </c>
      <c r="M1029" s="1">
        <f ca="1">IFERROR(__xludf.DUMMYFUNCTION("""COMPUTED_VALUE"""),567.51)</f>
        <v>567.51</v>
      </c>
    </row>
    <row r="1030" spans="1:13" x14ac:dyDescent="0.25">
      <c r="A1030" s="2">
        <f ca="1">IFERROR(__xludf.DUMMYFUNCTION("""COMPUTED_VALUE"""),45327.6666666666)</f>
        <v>45327.666666666599</v>
      </c>
      <c r="B1030" s="1">
        <f ca="1">IFERROR(__xludf.DUMMYFUNCTION("""COMPUTED_VALUE"""),187.68)</f>
        <v>187.68</v>
      </c>
      <c r="C1030" s="1">
        <f ca="1">IFERROR(__xludf.DUMMYFUNCTION("""COMPUTED_VALUE"""),411.22)</f>
        <v>411.22</v>
      </c>
      <c r="D1030" s="1">
        <f ca="1">IFERROR(__xludf.DUMMYFUNCTION("""COMPUTED_VALUE"""),171.81)</f>
        <v>171.81</v>
      </c>
      <c r="E1030" s="1">
        <f ca="1">IFERROR(__xludf.DUMMYFUNCTION("""COMPUTED_VALUE"""),66.16)</f>
        <v>66.16</v>
      </c>
      <c r="F1030" s="1">
        <f ca="1">IFERROR(__xludf.DUMMYFUNCTION("""COMPUTED_VALUE"""),474.99)</f>
        <v>474.99</v>
      </c>
      <c r="G1030" s="1">
        <f ca="1">IFERROR(__xludf.DUMMYFUNCTION("""COMPUTED_VALUE"""),143.54)</f>
        <v>143.54</v>
      </c>
      <c r="H1030" s="1">
        <f ca="1">IFERROR(__xludf.DUMMYFUNCTION("""COMPUTED_VALUE"""),187.91)</f>
        <v>187.91</v>
      </c>
      <c r="I1030" s="1">
        <f ca="1">IFERROR(__xludf.DUMMYFUNCTION("""COMPUTED_VALUE"""),170.97)</f>
        <v>170.97</v>
      </c>
      <c r="J1030" s="1">
        <f ca="1">IFERROR(__xludf.DUMMYFUNCTION("""COMPUTED_VALUE"""),709.48)</f>
        <v>709.48</v>
      </c>
      <c r="K1030" s="1">
        <f ca="1">IFERROR(__xludf.DUMMYFUNCTION("""COMPUTED_VALUE"""),122.43)</f>
        <v>122.43</v>
      </c>
      <c r="L1030" s="1">
        <f ca="1">IFERROR(__xludf.DUMMYFUNCTION("""COMPUTED_VALUE"""),634.76)</f>
        <v>634.76</v>
      </c>
      <c r="M1030" s="1">
        <f ca="1">IFERROR(__xludf.DUMMYFUNCTION("""COMPUTED_VALUE"""),564.64)</f>
        <v>564.64</v>
      </c>
    </row>
    <row r="1031" spans="1:13" x14ac:dyDescent="0.25">
      <c r="A1031" s="2">
        <f ca="1">IFERROR(__xludf.DUMMYFUNCTION("""COMPUTED_VALUE"""),45328.6666666666)</f>
        <v>45328.666666666599</v>
      </c>
      <c r="B1031" s="1">
        <f ca="1">IFERROR(__xludf.DUMMYFUNCTION("""COMPUTED_VALUE"""),189.3)</f>
        <v>189.3</v>
      </c>
      <c r="C1031" s="1">
        <f ca="1">IFERROR(__xludf.DUMMYFUNCTION("""COMPUTED_VALUE"""),405.65)</f>
        <v>405.65</v>
      </c>
      <c r="D1031" s="1">
        <f ca="1">IFERROR(__xludf.DUMMYFUNCTION("""COMPUTED_VALUE"""),170.31)</f>
        <v>170.31</v>
      </c>
      <c r="E1031" s="1">
        <f ca="1">IFERROR(__xludf.DUMMYFUNCTION("""COMPUTED_VALUE"""),69.33)</f>
        <v>69.33</v>
      </c>
      <c r="F1031" s="1">
        <f ca="1">IFERROR(__xludf.DUMMYFUNCTION("""COMPUTED_VALUE"""),459.41)</f>
        <v>459.41</v>
      </c>
      <c r="G1031" s="1">
        <f ca="1">IFERROR(__xludf.DUMMYFUNCTION("""COMPUTED_VALUE"""),144.93)</f>
        <v>144.93</v>
      </c>
      <c r="H1031" s="1">
        <f ca="1">IFERROR(__xludf.DUMMYFUNCTION("""COMPUTED_VALUE"""),181.06)</f>
        <v>181.06</v>
      </c>
      <c r="I1031" s="1">
        <f ca="1">IFERROR(__xludf.DUMMYFUNCTION("""COMPUTED_VALUE"""),170.92)</f>
        <v>170.92</v>
      </c>
      <c r="J1031" s="1">
        <f ca="1">IFERROR(__xludf.DUMMYFUNCTION("""COMPUTED_VALUE"""),711.16)</f>
        <v>711.16</v>
      </c>
      <c r="K1031" s="1">
        <f ca="1">IFERROR(__xludf.DUMMYFUNCTION("""COMPUTED_VALUE"""),124.31)</f>
        <v>124.31</v>
      </c>
      <c r="L1031" s="1">
        <f ca="1">IFERROR(__xludf.DUMMYFUNCTION("""COMPUTED_VALUE"""),630.5)</f>
        <v>630.5</v>
      </c>
      <c r="M1031" s="1">
        <f ca="1">IFERROR(__xludf.DUMMYFUNCTION("""COMPUTED_VALUE"""),562.06)</f>
        <v>562.05999999999995</v>
      </c>
    </row>
    <row r="1032" spans="1:13" x14ac:dyDescent="0.25">
      <c r="A1032" s="2">
        <f ca="1">IFERROR(__xludf.DUMMYFUNCTION("""COMPUTED_VALUE"""),45329.6666666666)</f>
        <v>45329.666666666599</v>
      </c>
      <c r="B1032" s="1">
        <f ca="1">IFERROR(__xludf.DUMMYFUNCTION("""COMPUTED_VALUE"""),189.41)</f>
        <v>189.41</v>
      </c>
      <c r="C1032" s="1">
        <f ca="1">IFERROR(__xludf.DUMMYFUNCTION("""COMPUTED_VALUE"""),405.49)</f>
        <v>405.49</v>
      </c>
      <c r="D1032" s="1">
        <f ca="1">IFERROR(__xludf.DUMMYFUNCTION("""COMPUTED_VALUE"""),169.15)</f>
        <v>169.15</v>
      </c>
      <c r="E1032" s="1">
        <f ca="1">IFERROR(__xludf.DUMMYFUNCTION("""COMPUTED_VALUE"""),68.22)</f>
        <v>68.22</v>
      </c>
      <c r="F1032" s="1">
        <f ca="1">IFERROR(__xludf.DUMMYFUNCTION("""COMPUTED_VALUE"""),454.72)</f>
        <v>454.72</v>
      </c>
      <c r="G1032" s="1">
        <f ca="1">IFERROR(__xludf.DUMMYFUNCTION("""COMPUTED_VALUE"""),145.41)</f>
        <v>145.41</v>
      </c>
      <c r="H1032" s="1">
        <f ca="1">IFERROR(__xludf.DUMMYFUNCTION("""COMPUTED_VALUE"""),185.1)</f>
        <v>185.1</v>
      </c>
      <c r="I1032" s="1">
        <f ca="1">IFERROR(__xludf.DUMMYFUNCTION("""COMPUTED_VALUE"""),171.42)</f>
        <v>171.42</v>
      </c>
      <c r="J1032" s="1">
        <f ca="1">IFERROR(__xludf.DUMMYFUNCTION("""COMPUTED_VALUE"""),710.79)</f>
        <v>710.79</v>
      </c>
      <c r="K1032" s="1">
        <f ca="1">IFERROR(__xludf.DUMMYFUNCTION("""COMPUTED_VALUE"""),122.27)</f>
        <v>122.27</v>
      </c>
      <c r="L1032" s="1">
        <f ca="1">IFERROR(__xludf.DUMMYFUNCTION("""COMPUTED_VALUE"""),607.14)</f>
        <v>607.14</v>
      </c>
      <c r="M1032" s="1">
        <f ca="1">IFERROR(__xludf.DUMMYFUNCTION("""COMPUTED_VALUE"""),555.88)</f>
        <v>555.88</v>
      </c>
    </row>
    <row r="1033" spans="1:13" x14ac:dyDescent="0.25">
      <c r="A1033" s="2">
        <f ca="1">IFERROR(__xludf.DUMMYFUNCTION("""COMPUTED_VALUE"""),45330.6666666666)</f>
        <v>45330.666666666599</v>
      </c>
      <c r="B1033" s="1">
        <f ca="1">IFERROR(__xludf.DUMMYFUNCTION("""COMPUTED_VALUE"""),188.32)</f>
        <v>188.32</v>
      </c>
      <c r="C1033" s="1">
        <f ca="1">IFERROR(__xludf.DUMMYFUNCTION("""COMPUTED_VALUE"""),414.05)</f>
        <v>414.05</v>
      </c>
      <c r="D1033" s="1">
        <f ca="1">IFERROR(__xludf.DUMMYFUNCTION("""COMPUTED_VALUE"""),170.53)</f>
        <v>170.53</v>
      </c>
      <c r="E1033" s="1">
        <f ca="1">IFERROR(__xludf.DUMMYFUNCTION("""COMPUTED_VALUE"""),70.1)</f>
        <v>70.099999999999994</v>
      </c>
      <c r="F1033" s="1">
        <f ca="1">IFERROR(__xludf.DUMMYFUNCTION("""COMPUTED_VALUE"""),469.59)</f>
        <v>469.59</v>
      </c>
      <c r="G1033" s="1">
        <f ca="1">IFERROR(__xludf.DUMMYFUNCTION("""COMPUTED_VALUE"""),146.68)</f>
        <v>146.68</v>
      </c>
      <c r="H1033" s="1">
        <f ca="1">IFERROR(__xludf.DUMMYFUNCTION("""COMPUTED_VALUE"""),187.58)</f>
        <v>187.58</v>
      </c>
      <c r="I1033" s="1">
        <f ca="1">IFERROR(__xludf.DUMMYFUNCTION("""COMPUTED_VALUE"""),171.47)</f>
        <v>171.47</v>
      </c>
      <c r="J1033" s="1">
        <f ca="1">IFERROR(__xludf.DUMMYFUNCTION("""COMPUTED_VALUE"""),719.78)</f>
        <v>719.78</v>
      </c>
      <c r="K1033" s="1">
        <f ca="1">IFERROR(__xludf.DUMMYFUNCTION("""COMPUTED_VALUE"""),125.71)</f>
        <v>125.71</v>
      </c>
      <c r="L1033" s="1">
        <f ca="1">IFERROR(__xludf.DUMMYFUNCTION("""COMPUTED_VALUE"""),615.85)</f>
        <v>615.85</v>
      </c>
      <c r="M1033" s="1">
        <f ca="1">IFERROR(__xludf.DUMMYFUNCTION("""COMPUTED_VALUE"""),559.3)</f>
        <v>559.29999999999995</v>
      </c>
    </row>
    <row r="1034" spans="1:13" x14ac:dyDescent="0.25">
      <c r="A1034" s="2">
        <f ca="1">IFERROR(__xludf.DUMMYFUNCTION("""COMPUTED_VALUE"""),45331.6666666666)</f>
        <v>45331.666666666599</v>
      </c>
      <c r="B1034" s="1">
        <f ca="1">IFERROR(__xludf.DUMMYFUNCTION("""COMPUTED_VALUE"""),188.85)</f>
        <v>188.85</v>
      </c>
      <c r="C1034" s="1">
        <f ca="1">IFERROR(__xludf.DUMMYFUNCTION("""COMPUTED_VALUE"""),414.11)</f>
        <v>414.11</v>
      </c>
      <c r="D1034" s="1">
        <f ca="1">IFERROR(__xludf.DUMMYFUNCTION("""COMPUTED_VALUE"""),169.84)</f>
        <v>169.84</v>
      </c>
      <c r="E1034" s="1">
        <f ca="1">IFERROR(__xludf.DUMMYFUNCTION("""COMPUTED_VALUE"""),69.64)</f>
        <v>69.64</v>
      </c>
      <c r="F1034" s="1">
        <f ca="1">IFERROR(__xludf.DUMMYFUNCTION("""COMPUTED_VALUE"""),470)</f>
        <v>470</v>
      </c>
      <c r="G1034" s="1">
        <f ca="1">IFERROR(__xludf.DUMMYFUNCTION("""COMPUTED_VALUE"""),147.22)</f>
        <v>147.22</v>
      </c>
      <c r="H1034" s="1">
        <f ca="1">IFERROR(__xludf.DUMMYFUNCTION("""COMPUTED_VALUE"""),189.56)</f>
        <v>189.56</v>
      </c>
      <c r="I1034" s="1">
        <f ca="1">IFERROR(__xludf.DUMMYFUNCTION("""COMPUTED_VALUE"""),173.85)</f>
        <v>173.85</v>
      </c>
      <c r="J1034" s="1">
        <f ca="1">IFERROR(__xludf.DUMMYFUNCTION("""COMPUTED_VALUE"""),724.16)</f>
        <v>724.16</v>
      </c>
      <c r="K1034" s="1">
        <f ca="1">IFERROR(__xludf.DUMMYFUNCTION("""COMPUTED_VALUE"""),127.48)</f>
        <v>127.48</v>
      </c>
      <c r="L1034" s="1">
        <f ca="1">IFERROR(__xludf.DUMMYFUNCTION("""COMPUTED_VALUE"""),615.86)</f>
        <v>615.86</v>
      </c>
      <c r="M1034" s="1">
        <f ca="1">IFERROR(__xludf.DUMMYFUNCTION("""COMPUTED_VALUE"""),558.53)</f>
        <v>558.53</v>
      </c>
    </row>
    <row r="1035" spans="1:13" x14ac:dyDescent="0.25">
      <c r="A1035" s="2">
        <f ca="1">IFERROR(__xludf.DUMMYFUNCTION("""COMPUTED_VALUE"""),45334.6666666666)</f>
        <v>45334.666666666599</v>
      </c>
      <c r="B1035" s="1">
        <f ca="1">IFERROR(__xludf.DUMMYFUNCTION("""COMPUTED_VALUE"""),187.15)</f>
        <v>187.15</v>
      </c>
      <c r="C1035" s="1">
        <f ca="1">IFERROR(__xludf.DUMMYFUNCTION("""COMPUTED_VALUE"""),420.55)</f>
        <v>420.55</v>
      </c>
      <c r="D1035" s="1">
        <f ca="1">IFERROR(__xludf.DUMMYFUNCTION("""COMPUTED_VALUE"""),174.45)</f>
        <v>174.45</v>
      </c>
      <c r="E1035" s="1">
        <f ca="1">IFERROR(__xludf.DUMMYFUNCTION("""COMPUTED_VALUE"""),72.13)</f>
        <v>72.13</v>
      </c>
      <c r="F1035" s="1">
        <f ca="1">IFERROR(__xludf.DUMMYFUNCTION("""COMPUTED_VALUE"""),468.11)</f>
        <v>468.11</v>
      </c>
      <c r="G1035" s="1">
        <f ca="1">IFERROR(__xludf.DUMMYFUNCTION("""COMPUTED_VALUE"""),150.22)</f>
        <v>150.22</v>
      </c>
      <c r="H1035" s="1">
        <f ca="1">IFERROR(__xludf.DUMMYFUNCTION("""COMPUTED_VALUE"""),193.57)</f>
        <v>193.57</v>
      </c>
      <c r="I1035" s="1">
        <f ca="1">IFERROR(__xludf.DUMMYFUNCTION("""COMPUTED_VALUE"""),167.67)</f>
        <v>167.67</v>
      </c>
      <c r="J1035" s="1">
        <f ca="1">IFERROR(__xludf.DUMMYFUNCTION("""COMPUTED_VALUE"""),723.4)</f>
        <v>723.4</v>
      </c>
      <c r="K1035" s="1">
        <f ca="1">IFERROR(__xludf.DUMMYFUNCTION("""COMPUTED_VALUE"""),128.34)</f>
        <v>128.34</v>
      </c>
      <c r="L1035" s="1">
        <f ca="1">IFERROR(__xludf.DUMMYFUNCTION("""COMPUTED_VALUE"""),627.21)</f>
        <v>627.21</v>
      </c>
      <c r="M1035" s="1">
        <f ca="1">IFERROR(__xludf.DUMMYFUNCTION("""COMPUTED_VALUE"""),561.32)</f>
        <v>561.32000000000005</v>
      </c>
    </row>
    <row r="1036" spans="1:13" x14ac:dyDescent="0.25">
      <c r="A1036" s="2">
        <f ca="1">IFERROR(__xludf.DUMMYFUNCTION("""COMPUTED_VALUE"""),45335.6666666666)</f>
        <v>45335.666666666599</v>
      </c>
      <c r="B1036" s="1">
        <f ca="1">IFERROR(__xludf.DUMMYFUNCTION("""COMPUTED_VALUE"""),185.04)</f>
        <v>185.04</v>
      </c>
      <c r="C1036" s="1">
        <f ca="1">IFERROR(__xludf.DUMMYFUNCTION("""COMPUTED_VALUE"""),415.26)</f>
        <v>415.26</v>
      </c>
      <c r="D1036" s="1">
        <f ca="1">IFERROR(__xludf.DUMMYFUNCTION("""COMPUTED_VALUE"""),172.34)</f>
        <v>172.34</v>
      </c>
      <c r="E1036" s="1">
        <f ca="1">IFERROR(__xludf.DUMMYFUNCTION("""COMPUTED_VALUE"""),72.25)</f>
        <v>72.25</v>
      </c>
      <c r="F1036" s="1">
        <f ca="1">IFERROR(__xludf.DUMMYFUNCTION("""COMPUTED_VALUE"""),468.9)</f>
        <v>468.9</v>
      </c>
      <c r="G1036" s="1">
        <f ca="1">IFERROR(__xludf.DUMMYFUNCTION("""COMPUTED_VALUE"""),148.73)</f>
        <v>148.72999999999999</v>
      </c>
      <c r="H1036" s="1">
        <f ca="1">IFERROR(__xludf.DUMMYFUNCTION("""COMPUTED_VALUE"""),188.13)</f>
        <v>188.13</v>
      </c>
      <c r="I1036" s="1">
        <f ca="1">IFERROR(__xludf.DUMMYFUNCTION("""COMPUTED_VALUE"""),170.61)</f>
        <v>170.61</v>
      </c>
      <c r="J1036" s="1">
        <f ca="1">IFERROR(__xludf.DUMMYFUNCTION("""COMPUTED_VALUE"""),722.41)</f>
        <v>722.41</v>
      </c>
      <c r="K1036" s="1">
        <f ca="1">IFERROR(__xludf.DUMMYFUNCTION("""COMPUTED_VALUE"""),126.5)</f>
        <v>126.5</v>
      </c>
      <c r="L1036" s="1">
        <f ca="1">IFERROR(__xludf.DUMMYFUNCTION("""COMPUTED_VALUE"""),611.84)</f>
        <v>611.84</v>
      </c>
      <c r="M1036" s="1">
        <f ca="1">IFERROR(__xludf.DUMMYFUNCTION("""COMPUTED_VALUE"""),557.85)</f>
        <v>557.85</v>
      </c>
    </row>
    <row r="1037" spans="1:13" x14ac:dyDescent="0.25">
      <c r="A1037" s="2">
        <f ca="1">IFERROR(__xludf.DUMMYFUNCTION("""COMPUTED_VALUE"""),45336.6666666666)</f>
        <v>45336.666666666599</v>
      </c>
      <c r="B1037" s="1">
        <f ca="1">IFERROR(__xludf.DUMMYFUNCTION("""COMPUTED_VALUE"""),184.15)</f>
        <v>184.15</v>
      </c>
      <c r="C1037" s="1">
        <f ca="1">IFERROR(__xludf.DUMMYFUNCTION("""COMPUTED_VALUE"""),406.32)</f>
        <v>406.32</v>
      </c>
      <c r="D1037" s="1">
        <f ca="1">IFERROR(__xludf.DUMMYFUNCTION("""COMPUTED_VALUE"""),168.64)</f>
        <v>168.64</v>
      </c>
      <c r="E1037" s="1">
        <f ca="1">IFERROR(__xludf.DUMMYFUNCTION("""COMPUTED_VALUE"""),72.13)</f>
        <v>72.13</v>
      </c>
      <c r="F1037" s="1">
        <f ca="1">IFERROR(__xludf.DUMMYFUNCTION("""COMPUTED_VALUE"""),460.12)</f>
        <v>460.12</v>
      </c>
      <c r="G1037" s="1">
        <f ca="1">IFERROR(__xludf.DUMMYFUNCTION("""COMPUTED_VALUE"""),146.37)</f>
        <v>146.37</v>
      </c>
      <c r="H1037" s="1">
        <f ca="1">IFERROR(__xludf.DUMMYFUNCTION("""COMPUTED_VALUE"""),184.02)</f>
        <v>184.02</v>
      </c>
      <c r="I1037" s="1">
        <f ca="1">IFERROR(__xludf.DUMMYFUNCTION("""COMPUTED_VALUE"""),168.88)</f>
        <v>168.88</v>
      </c>
      <c r="J1037" s="1">
        <f ca="1">IFERROR(__xludf.DUMMYFUNCTION("""COMPUTED_VALUE"""),714.25)</f>
        <v>714.25</v>
      </c>
      <c r="K1037" s="1">
        <f ca="1">IFERROR(__xludf.DUMMYFUNCTION("""COMPUTED_VALUE"""),125.17)</f>
        <v>125.17</v>
      </c>
      <c r="L1037" s="1">
        <f ca="1">IFERROR(__xludf.DUMMYFUNCTION("""COMPUTED_VALUE"""),601.89)</f>
        <v>601.89</v>
      </c>
      <c r="M1037" s="1">
        <f ca="1">IFERROR(__xludf.DUMMYFUNCTION("""COMPUTED_VALUE"""),554.52)</f>
        <v>554.52</v>
      </c>
    </row>
    <row r="1038" spans="1:13" x14ac:dyDescent="0.25">
      <c r="A1038" s="2">
        <f ca="1">IFERROR(__xludf.DUMMYFUNCTION("""COMPUTED_VALUE"""),45337.6666666666)</f>
        <v>45337.666666666599</v>
      </c>
      <c r="B1038" s="1">
        <f ca="1">IFERROR(__xludf.DUMMYFUNCTION("""COMPUTED_VALUE"""),183.86)</f>
        <v>183.86</v>
      </c>
      <c r="C1038" s="1">
        <f ca="1">IFERROR(__xludf.DUMMYFUNCTION("""COMPUTED_VALUE"""),409.49)</f>
        <v>409.49</v>
      </c>
      <c r="D1038" s="1">
        <f ca="1">IFERROR(__xludf.DUMMYFUNCTION("""COMPUTED_VALUE"""),170.98)</f>
        <v>170.98</v>
      </c>
      <c r="E1038" s="1">
        <f ca="1">IFERROR(__xludf.DUMMYFUNCTION("""COMPUTED_VALUE"""),73.9)</f>
        <v>73.900000000000006</v>
      </c>
      <c r="F1038" s="1">
        <f ca="1">IFERROR(__xludf.DUMMYFUNCTION("""COMPUTED_VALUE"""),473.28)</f>
        <v>473.28</v>
      </c>
      <c r="G1038" s="1">
        <f ca="1">IFERROR(__xludf.DUMMYFUNCTION("""COMPUTED_VALUE"""),147.14)</f>
        <v>147.13999999999999</v>
      </c>
      <c r="H1038" s="1">
        <f ca="1">IFERROR(__xludf.DUMMYFUNCTION("""COMPUTED_VALUE"""),188.71)</f>
        <v>188.71</v>
      </c>
      <c r="I1038" s="1">
        <f ca="1">IFERROR(__xludf.DUMMYFUNCTION("""COMPUTED_VALUE"""),167.52)</f>
        <v>167.52</v>
      </c>
      <c r="J1038" s="1">
        <f ca="1">IFERROR(__xludf.DUMMYFUNCTION("""COMPUTED_VALUE"""),722.18)</f>
        <v>722.18</v>
      </c>
      <c r="K1038" s="1">
        <f ca="1">IFERROR(__xludf.DUMMYFUNCTION("""COMPUTED_VALUE"""),126.22)</f>
        <v>126.22</v>
      </c>
      <c r="L1038" s="1">
        <f ca="1">IFERROR(__xludf.DUMMYFUNCTION("""COMPUTED_VALUE"""),604.66)</f>
        <v>604.66</v>
      </c>
      <c r="M1038" s="1">
        <f ca="1">IFERROR(__xludf.DUMMYFUNCTION("""COMPUTED_VALUE"""),579.33)</f>
        <v>579.33000000000004</v>
      </c>
    </row>
    <row r="1039" spans="1:13" x14ac:dyDescent="0.25">
      <c r="A1039" s="2">
        <f ca="1">IFERROR(__xludf.DUMMYFUNCTION("""COMPUTED_VALUE"""),45338.6666666666)</f>
        <v>45338.666666666599</v>
      </c>
      <c r="B1039" s="1">
        <f ca="1">IFERROR(__xludf.DUMMYFUNCTION("""COMPUTED_VALUE"""),182.31)</f>
        <v>182.31</v>
      </c>
      <c r="C1039" s="1">
        <f ca="1">IFERROR(__xludf.DUMMYFUNCTION("""COMPUTED_VALUE"""),406.56)</f>
        <v>406.56</v>
      </c>
      <c r="D1039" s="1">
        <f ca="1">IFERROR(__xludf.DUMMYFUNCTION("""COMPUTED_VALUE"""),169.8)</f>
        <v>169.8</v>
      </c>
      <c r="E1039" s="1">
        <f ca="1">IFERROR(__xludf.DUMMYFUNCTION("""COMPUTED_VALUE"""),72.66)</f>
        <v>72.66</v>
      </c>
      <c r="F1039" s="1">
        <f ca="1">IFERROR(__xludf.DUMMYFUNCTION("""COMPUTED_VALUE"""),484.03)</f>
        <v>484.03</v>
      </c>
      <c r="G1039" s="1">
        <f ca="1">IFERROR(__xludf.DUMMYFUNCTION("""COMPUTED_VALUE"""),143.94)</f>
        <v>143.94</v>
      </c>
      <c r="H1039" s="1">
        <f ca="1">IFERROR(__xludf.DUMMYFUNCTION("""COMPUTED_VALUE"""),200.45)</f>
        <v>200.45</v>
      </c>
      <c r="I1039" s="1">
        <f ca="1">IFERROR(__xludf.DUMMYFUNCTION("""COMPUTED_VALUE"""),167.86)</f>
        <v>167.86</v>
      </c>
      <c r="J1039" s="1">
        <f ca="1">IFERROR(__xludf.DUMMYFUNCTION("""COMPUTED_VALUE"""),724.51)</f>
        <v>724.51</v>
      </c>
      <c r="K1039" s="1">
        <f ca="1">IFERROR(__xludf.DUMMYFUNCTION("""COMPUTED_VALUE"""),126.51)</f>
        <v>126.51</v>
      </c>
      <c r="L1039" s="1">
        <f ca="1">IFERROR(__xludf.DUMMYFUNCTION("""COMPUTED_VALUE"""),590.44)</f>
        <v>590.44000000000005</v>
      </c>
      <c r="M1039" s="1">
        <f ca="1">IFERROR(__xludf.DUMMYFUNCTION("""COMPUTED_VALUE"""),593.46)</f>
        <v>593.46</v>
      </c>
    </row>
    <row r="1040" spans="1:13" x14ac:dyDescent="0.25">
      <c r="A1040" s="2">
        <f ca="1">IFERROR(__xludf.DUMMYFUNCTION("""COMPUTED_VALUE"""),45342.6666666666)</f>
        <v>45342.666666666599</v>
      </c>
      <c r="B1040" s="1">
        <f ca="1">IFERROR(__xludf.DUMMYFUNCTION("""COMPUTED_VALUE"""),181.56)</f>
        <v>181.56</v>
      </c>
      <c r="C1040" s="1">
        <f ca="1">IFERROR(__xludf.DUMMYFUNCTION("""COMPUTED_VALUE"""),404.06)</f>
        <v>404.06</v>
      </c>
      <c r="D1040" s="1">
        <f ca="1">IFERROR(__xludf.DUMMYFUNCTION("""COMPUTED_VALUE"""),169.51)</f>
        <v>169.51</v>
      </c>
      <c r="E1040" s="1">
        <f ca="1">IFERROR(__xludf.DUMMYFUNCTION("""COMPUTED_VALUE"""),72.61)</f>
        <v>72.61</v>
      </c>
      <c r="F1040" s="1">
        <f ca="1">IFERROR(__xludf.DUMMYFUNCTION("""COMPUTED_VALUE"""),473.32)</f>
        <v>473.32</v>
      </c>
      <c r="G1040" s="1">
        <f ca="1">IFERROR(__xludf.DUMMYFUNCTION("""COMPUTED_VALUE"""),141.76)</f>
        <v>141.76</v>
      </c>
      <c r="H1040" s="1">
        <f ca="1">IFERROR(__xludf.DUMMYFUNCTION("""COMPUTED_VALUE"""),199.95)</f>
        <v>199.95</v>
      </c>
      <c r="I1040" s="1">
        <f ca="1">IFERROR(__xludf.DUMMYFUNCTION("""COMPUTED_VALUE"""),166.32)</f>
        <v>166.32</v>
      </c>
      <c r="J1040" s="1">
        <f ca="1">IFERROR(__xludf.DUMMYFUNCTION("""COMPUTED_VALUE"""),723.99)</f>
        <v>723.99</v>
      </c>
      <c r="K1040" s="1">
        <f ca="1">IFERROR(__xludf.DUMMYFUNCTION("""COMPUTED_VALUE"""),124.55)</f>
        <v>124.55</v>
      </c>
      <c r="L1040" s="1">
        <f ca="1">IFERROR(__xludf.DUMMYFUNCTION("""COMPUTED_VALUE"""),546.66)</f>
        <v>546.66</v>
      </c>
      <c r="M1040" s="1">
        <f ca="1">IFERROR(__xludf.DUMMYFUNCTION("""COMPUTED_VALUE"""),583.95)</f>
        <v>583.95000000000005</v>
      </c>
    </row>
    <row r="1041" spans="1:13" x14ac:dyDescent="0.25">
      <c r="A1041" s="2">
        <f ca="1">IFERROR(__xludf.DUMMYFUNCTION("""COMPUTED_VALUE"""),45343.6666666666)</f>
        <v>45343.666666666599</v>
      </c>
      <c r="B1041" s="1">
        <f ca="1">IFERROR(__xludf.DUMMYFUNCTION("""COMPUTED_VALUE"""),182.32)</f>
        <v>182.32</v>
      </c>
      <c r="C1041" s="1">
        <f ca="1">IFERROR(__xludf.DUMMYFUNCTION("""COMPUTED_VALUE"""),402.79)</f>
        <v>402.79</v>
      </c>
      <c r="D1041" s="1">
        <f ca="1">IFERROR(__xludf.DUMMYFUNCTION("""COMPUTED_VALUE"""),167.08)</f>
        <v>167.08</v>
      </c>
      <c r="E1041" s="1">
        <f ca="1">IFERROR(__xludf.DUMMYFUNCTION("""COMPUTED_VALUE"""),69.45)</f>
        <v>69.45</v>
      </c>
      <c r="F1041" s="1">
        <f ca="1">IFERROR(__xludf.DUMMYFUNCTION("""COMPUTED_VALUE"""),471.75)</f>
        <v>471.75</v>
      </c>
      <c r="G1041" s="1">
        <f ca="1">IFERROR(__xludf.DUMMYFUNCTION("""COMPUTED_VALUE"""),142.2)</f>
        <v>142.19999999999999</v>
      </c>
      <c r="H1041" s="1">
        <f ca="1">IFERROR(__xludf.DUMMYFUNCTION("""COMPUTED_VALUE"""),193.76)</f>
        <v>193.76</v>
      </c>
      <c r="I1041" s="1">
        <f ca="1">IFERROR(__xludf.DUMMYFUNCTION("""COMPUTED_VALUE"""),168.65)</f>
        <v>168.65</v>
      </c>
      <c r="J1041" s="1">
        <f ca="1">IFERROR(__xludf.DUMMYFUNCTION("""COMPUTED_VALUE"""),725.69)</f>
        <v>725.69</v>
      </c>
      <c r="K1041" s="1">
        <f ca="1">IFERROR(__xludf.DUMMYFUNCTION("""COMPUTED_VALUE"""),122.66)</f>
        <v>122.66</v>
      </c>
      <c r="L1041" s="1">
        <f ca="1">IFERROR(__xludf.DUMMYFUNCTION("""COMPUTED_VALUE"""),541.91)</f>
        <v>541.91</v>
      </c>
      <c r="M1041" s="1">
        <f ca="1">IFERROR(__xludf.DUMMYFUNCTION("""COMPUTED_VALUE"""),575.13)</f>
        <v>575.13</v>
      </c>
    </row>
    <row r="1042" spans="1:13" x14ac:dyDescent="0.25">
      <c r="A1042" s="2">
        <f ca="1">IFERROR(__xludf.DUMMYFUNCTION("""COMPUTED_VALUE"""),45344.6666666666)</f>
        <v>45344.666666666599</v>
      </c>
      <c r="B1042" s="1">
        <f ca="1">IFERROR(__xludf.DUMMYFUNCTION("""COMPUTED_VALUE"""),184.37)</f>
        <v>184.37</v>
      </c>
      <c r="C1042" s="1">
        <f ca="1">IFERROR(__xludf.DUMMYFUNCTION("""COMPUTED_VALUE"""),402.18)</f>
        <v>402.18</v>
      </c>
      <c r="D1042" s="1">
        <f ca="1">IFERROR(__xludf.DUMMYFUNCTION("""COMPUTED_VALUE"""),168.59)</f>
        <v>168.59</v>
      </c>
      <c r="E1042" s="1">
        <f ca="1">IFERROR(__xludf.DUMMYFUNCTION("""COMPUTED_VALUE"""),67.47)</f>
        <v>67.47</v>
      </c>
      <c r="F1042" s="1">
        <f ca="1">IFERROR(__xludf.DUMMYFUNCTION("""COMPUTED_VALUE"""),468.03)</f>
        <v>468.03</v>
      </c>
      <c r="G1042" s="1">
        <f ca="1">IFERROR(__xludf.DUMMYFUNCTION("""COMPUTED_VALUE"""),143.84)</f>
        <v>143.84</v>
      </c>
      <c r="H1042" s="1">
        <f ca="1">IFERROR(__xludf.DUMMYFUNCTION("""COMPUTED_VALUE"""),194.77)</f>
        <v>194.77</v>
      </c>
      <c r="I1042" s="1">
        <f ca="1">IFERROR(__xludf.DUMMYFUNCTION("""COMPUTED_VALUE"""),168.83)</f>
        <v>168.83</v>
      </c>
      <c r="J1042" s="1">
        <f ca="1">IFERROR(__xludf.DUMMYFUNCTION("""COMPUTED_VALUE"""),723.02)</f>
        <v>723.02</v>
      </c>
      <c r="K1042" s="1">
        <f ca="1">IFERROR(__xludf.DUMMYFUNCTION("""COMPUTED_VALUE"""),122.75)</f>
        <v>122.75</v>
      </c>
      <c r="L1042" s="1">
        <f ca="1">IFERROR(__xludf.DUMMYFUNCTION("""COMPUTED_VALUE"""),538.52)</f>
        <v>538.52</v>
      </c>
      <c r="M1042" s="1">
        <f ca="1">IFERROR(__xludf.DUMMYFUNCTION("""COMPUTED_VALUE"""),573.35)</f>
        <v>573.35</v>
      </c>
    </row>
    <row r="1043" spans="1:13" x14ac:dyDescent="0.25">
      <c r="A1043" s="2">
        <f ca="1">IFERROR(__xludf.DUMMYFUNCTION("""COMPUTED_VALUE"""),45345.6666666666)</f>
        <v>45345.666666666599</v>
      </c>
      <c r="B1043" s="1">
        <f ca="1">IFERROR(__xludf.DUMMYFUNCTION("""COMPUTED_VALUE"""),182.52)</f>
        <v>182.52</v>
      </c>
      <c r="C1043" s="1">
        <f ca="1">IFERROR(__xludf.DUMMYFUNCTION("""COMPUTED_VALUE"""),411.65)</f>
        <v>411.65</v>
      </c>
      <c r="D1043" s="1">
        <f ca="1">IFERROR(__xludf.DUMMYFUNCTION("""COMPUTED_VALUE"""),174.58)</f>
        <v>174.58</v>
      </c>
      <c r="E1043" s="1">
        <f ca="1">IFERROR(__xludf.DUMMYFUNCTION("""COMPUTED_VALUE"""),78.54)</f>
        <v>78.540000000000006</v>
      </c>
      <c r="F1043" s="1">
        <f ca="1">IFERROR(__xludf.DUMMYFUNCTION("""COMPUTED_VALUE"""),486.13)</f>
        <v>486.13</v>
      </c>
      <c r="G1043" s="1">
        <f ca="1">IFERROR(__xludf.DUMMYFUNCTION("""COMPUTED_VALUE"""),145.32)</f>
        <v>145.32</v>
      </c>
      <c r="H1043" s="1">
        <f ca="1">IFERROR(__xludf.DUMMYFUNCTION("""COMPUTED_VALUE"""),197.41)</f>
        <v>197.41</v>
      </c>
      <c r="I1043" s="1">
        <f ca="1">IFERROR(__xludf.DUMMYFUNCTION("""COMPUTED_VALUE"""),168.25)</f>
        <v>168.25</v>
      </c>
      <c r="J1043" s="1">
        <f ca="1">IFERROR(__xludf.DUMMYFUNCTION("""COMPUTED_VALUE"""),734.4)</f>
        <v>734.4</v>
      </c>
      <c r="K1043" s="1">
        <f ca="1">IFERROR(__xludf.DUMMYFUNCTION("""COMPUTED_VALUE"""),130.49)</f>
        <v>130.49</v>
      </c>
      <c r="L1043" s="1">
        <f ca="1">IFERROR(__xludf.DUMMYFUNCTION("""COMPUTED_VALUE"""),537.57)</f>
        <v>537.57000000000005</v>
      </c>
      <c r="M1043" s="1">
        <f ca="1">IFERROR(__xludf.DUMMYFUNCTION("""COMPUTED_VALUE"""),588.47)</f>
        <v>588.47</v>
      </c>
    </row>
    <row r="1044" spans="1:13" x14ac:dyDescent="0.25">
      <c r="A1044" s="2">
        <f ca="1">IFERROR(__xludf.DUMMYFUNCTION("""COMPUTED_VALUE"""),45348.6666666666)</f>
        <v>45348.666666666599</v>
      </c>
      <c r="B1044" s="1">
        <f ca="1">IFERROR(__xludf.DUMMYFUNCTION("""COMPUTED_VALUE"""),181.16)</f>
        <v>181.16</v>
      </c>
      <c r="C1044" s="1">
        <f ca="1">IFERROR(__xludf.DUMMYFUNCTION("""COMPUTED_VALUE"""),410.34)</f>
        <v>410.34</v>
      </c>
      <c r="D1044" s="1">
        <f ca="1">IFERROR(__xludf.DUMMYFUNCTION("""COMPUTED_VALUE"""),174.99)</f>
        <v>174.99</v>
      </c>
      <c r="E1044" s="1">
        <f ca="1">IFERROR(__xludf.DUMMYFUNCTION("""COMPUTED_VALUE"""),78.82)</f>
        <v>78.819999999999993</v>
      </c>
      <c r="F1044" s="1">
        <f ca="1">IFERROR(__xludf.DUMMYFUNCTION("""COMPUTED_VALUE"""),484.03)</f>
        <v>484.03</v>
      </c>
      <c r="G1044" s="1">
        <f ca="1">IFERROR(__xludf.DUMMYFUNCTION("""COMPUTED_VALUE"""),145.29)</f>
        <v>145.29</v>
      </c>
      <c r="H1044" s="1">
        <f ca="1">IFERROR(__xludf.DUMMYFUNCTION("""COMPUTED_VALUE"""),191.97)</f>
        <v>191.97</v>
      </c>
      <c r="I1044" s="1">
        <f ca="1">IFERROR(__xludf.DUMMYFUNCTION("""COMPUTED_VALUE"""),169.6)</f>
        <v>169.6</v>
      </c>
      <c r="J1044" s="1">
        <f ca="1">IFERROR(__xludf.DUMMYFUNCTION("""COMPUTED_VALUE"""),737.93)</f>
        <v>737.93</v>
      </c>
      <c r="K1044" s="1">
        <f ca="1">IFERROR(__xludf.DUMMYFUNCTION("""COMPUTED_VALUE"""),129.64)</f>
        <v>129.63999999999999</v>
      </c>
      <c r="L1044" s="1">
        <f ca="1">IFERROR(__xludf.DUMMYFUNCTION("""COMPUTED_VALUE"""),553.44)</f>
        <v>553.44000000000005</v>
      </c>
      <c r="M1044" s="1">
        <f ca="1">IFERROR(__xludf.DUMMYFUNCTION("""COMPUTED_VALUE"""),583.56)</f>
        <v>583.55999999999995</v>
      </c>
    </row>
    <row r="1045" spans="1:13" x14ac:dyDescent="0.25">
      <c r="A1045" s="2">
        <f ca="1">IFERROR(__xludf.DUMMYFUNCTION("""COMPUTED_VALUE"""),45349.6666666666)</f>
        <v>45349.666666666599</v>
      </c>
      <c r="B1045" s="1">
        <f ca="1">IFERROR(__xludf.DUMMYFUNCTION("""COMPUTED_VALUE"""),182.63)</f>
        <v>182.63</v>
      </c>
      <c r="C1045" s="1">
        <f ca="1">IFERROR(__xludf.DUMMYFUNCTION("""COMPUTED_VALUE"""),407.54)</f>
        <v>407.54</v>
      </c>
      <c r="D1045" s="1">
        <f ca="1">IFERROR(__xludf.DUMMYFUNCTION("""COMPUTED_VALUE"""),174.73)</f>
        <v>174.73</v>
      </c>
      <c r="E1045" s="1">
        <f ca="1">IFERROR(__xludf.DUMMYFUNCTION("""COMPUTED_VALUE"""),79.09)</f>
        <v>79.09</v>
      </c>
      <c r="F1045" s="1">
        <f ca="1">IFERROR(__xludf.DUMMYFUNCTION("""COMPUTED_VALUE"""),481.74)</f>
        <v>481.74</v>
      </c>
      <c r="G1045" s="1">
        <f ca="1">IFERROR(__xludf.DUMMYFUNCTION("""COMPUTED_VALUE"""),138.75)</f>
        <v>138.75</v>
      </c>
      <c r="H1045" s="1">
        <f ca="1">IFERROR(__xludf.DUMMYFUNCTION("""COMPUTED_VALUE"""),199.4)</f>
        <v>199.4</v>
      </c>
      <c r="I1045" s="1">
        <f ca="1">IFERROR(__xludf.DUMMYFUNCTION("""COMPUTED_VALUE"""),168.26)</f>
        <v>168.26</v>
      </c>
      <c r="J1045" s="1">
        <f ca="1">IFERROR(__xludf.DUMMYFUNCTION("""COMPUTED_VALUE"""),745.35)</f>
        <v>745.35</v>
      </c>
      <c r="K1045" s="1">
        <f ca="1">IFERROR(__xludf.DUMMYFUNCTION("""COMPUTED_VALUE"""),130.91)</f>
        <v>130.91</v>
      </c>
      <c r="L1045" s="1">
        <f ca="1">IFERROR(__xludf.DUMMYFUNCTION("""COMPUTED_VALUE"""),560.48)</f>
        <v>560.48</v>
      </c>
      <c r="M1045" s="1">
        <f ca="1">IFERROR(__xludf.DUMMYFUNCTION("""COMPUTED_VALUE"""),587.65)</f>
        <v>587.65</v>
      </c>
    </row>
    <row r="1046" spans="1:13" x14ac:dyDescent="0.25">
      <c r="A1046" s="2">
        <f ca="1">IFERROR(__xludf.DUMMYFUNCTION("""COMPUTED_VALUE"""),45350.6666666666)</f>
        <v>45350.666666666599</v>
      </c>
      <c r="B1046" s="1">
        <f ca="1">IFERROR(__xludf.DUMMYFUNCTION("""COMPUTED_VALUE"""),181.42)</f>
        <v>181.42</v>
      </c>
      <c r="C1046" s="1">
        <f ca="1">IFERROR(__xludf.DUMMYFUNCTION("""COMPUTED_VALUE"""),407.48)</f>
        <v>407.48</v>
      </c>
      <c r="D1046" s="1">
        <f ca="1">IFERROR(__xludf.DUMMYFUNCTION("""COMPUTED_VALUE"""),173.54)</f>
        <v>173.54</v>
      </c>
      <c r="E1046" s="1">
        <f ca="1">IFERROR(__xludf.DUMMYFUNCTION("""COMPUTED_VALUE"""),78.7)</f>
        <v>78.7</v>
      </c>
      <c r="F1046" s="1">
        <f ca="1">IFERROR(__xludf.DUMMYFUNCTION("""COMPUTED_VALUE"""),487.05)</f>
        <v>487.05</v>
      </c>
      <c r="G1046" s="1">
        <f ca="1">IFERROR(__xludf.DUMMYFUNCTION("""COMPUTED_VALUE"""),140.1)</f>
        <v>140.1</v>
      </c>
      <c r="H1046" s="1">
        <f ca="1">IFERROR(__xludf.DUMMYFUNCTION("""COMPUTED_VALUE"""),199.73)</f>
        <v>199.73</v>
      </c>
      <c r="I1046" s="1">
        <f ca="1">IFERROR(__xludf.DUMMYFUNCTION("""COMPUTED_VALUE"""),168.16)</f>
        <v>168.16</v>
      </c>
      <c r="J1046" s="1">
        <f ca="1">IFERROR(__xludf.DUMMYFUNCTION("""COMPUTED_VALUE"""),744.71)</f>
        <v>744.71</v>
      </c>
      <c r="K1046" s="1">
        <f ca="1">IFERROR(__xludf.DUMMYFUNCTION("""COMPUTED_VALUE"""),129.62)</f>
        <v>129.62</v>
      </c>
      <c r="L1046" s="1">
        <f ca="1">IFERROR(__xludf.DUMMYFUNCTION("""COMPUTED_VALUE"""),552.49)</f>
        <v>552.49</v>
      </c>
      <c r="M1046" s="1">
        <f ca="1">IFERROR(__xludf.DUMMYFUNCTION("""COMPUTED_VALUE"""),601.67)</f>
        <v>601.66999999999996</v>
      </c>
    </row>
    <row r="1047" spans="1:13" x14ac:dyDescent="0.25">
      <c r="A1047" s="2">
        <f ca="1">IFERROR(__xludf.DUMMYFUNCTION("""COMPUTED_VALUE"""),45351.6666666666)</f>
        <v>45351.666666666599</v>
      </c>
      <c r="B1047" s="1">
        <f ca="1">IFERROR(__xludf.DUMMYFUNCTION("""COMPUTED_VALUE"""),180.75)</f>
        <v>180.75</v>
      </c>
      <c r="C1047" s="1">
        <f ca="1">IFERROR(__xludf.DUMMYFUNCTION("""COMPUTED_VALUE"""),407.72)</f>
        <v>407.72</v>
      </c>
      <c r="D1047" s="1">
        <f ca="1">IFERROR(__xludf.DUMMYFUNCTION("""COMPUTED_VALUE"""),173.16)</f>
        <v>173.16</v>
      </c>
      <c r="E1047" s="1">
        <f ca="1">IFERROR(__xludf.DUMMYFUNCTION("""COMPUTED_VALUE"""),77.66)</f>
        <v>77.66</v>
      </c>
      <c r="F1047" s="1">
        <f ca="1">IFERROR(__xludf.DUMMYFUNCTION("""COMPUTED_VALUE"""),484.02)</f>
        <v>484.02</v>
      </c>
      <c r="G1047" s="1">
        <f ca="1">IFERROR(__xludf.DUMMYFUNCTION("""COMPUTED_VALUE"""),137.43)</f>
        <v>137.43</v>
      </c>
      <c r="H1047" s="1">
        <f ca="1">IFERROR(__xludf.DUMMYFUNCTION("""COMPUTED_VALUE"""),202.04)</f>
        <v>202.04</v>
      </c>
      <c r="I1047" s="1">
        <f ca="1">IFERROR(__xludf.DUMMYFUNCTION("""COMPUTED_VALUE"""),167.03)</f>
        <v>167.03</v>
      </c>
      <c r="J1047" s="1">
        <f ca="1">IFERROR(__xludf.DUMMYFUNCTION("""COMPUTED_VALUE"""),747.96)</f>
        <v>747.96</v>
      </c>
      <c r="K1047" s="1">
        <f ca="1">IFERROR(__xludf.DUMMYFUNCTION("""COMPUTED_VALUE"""),128.94)</f>
        <v>128.94</v>
      </c>
      <c r="L1047" s="1">
        <f ca="1">IFERROR(__xludf.DUMMYFUNCTION("""COMPUTED_VALUE"""),551.82)</f>
        <v>551.82000000000005</v>
      </c>
      <c r="M1047" s="1">
        <f ca="1">IFERROR(__xludf.DUMMYFUNCTION("""COMPUTED_VALUE"""),596.48)</f>
        <v>596.48</v>
      </c>
    </row>
    <row r="1048" spans="1:13" x14ac:dyDescent="0.25">
      <c r="A1048" s="2">
        <f ca="1">IFERROR(__xludf.DUMMYFUNCTION("""COMPUTED_VALUE"""),45352.6666666666)</f>
        <v>45352.666666666599</v>
      </c>
      <c r="B1048" s="1">
        <f ca="1">IFERROR(__xludf.DUMMYFUNCTION("""COMPUTED_VALUE"""),179.66)</f>
        <v>179.66</v>
      </c>
      <c r="C1048" s="1">
        <f ca="1">IFERROR(__xludf.DUMMYFUNCTION("""COMPUTED_VALUE"""),413.64)</f>
        <v>413.64</v>
      </c>
      <c r="D1048" s="1">
        <f ca="1">IFERROR(__xludf.DUMMYFUNCTION("""COMPUTED_VALUE"""),176.76)</f>
        <v>176.76</v>
      </c>
      <c r="E1048" s="1">
        <f ca="1">IFERROR(__xludf.DUMMYFUNCTION("""COMPUTED_VALUE"""),79.11)</f>
        <v>79.11</v>
      </c>
      <c r="F1048" s="1">
        <f ca="1">IFERROR(__xludf.DUMMYFUNCTION("""COMPUTED_VALUE"""),490.13)</f>
        <v>490.13</v>
      </c>
      <c r="G1048" s="1">
        <f ca="1">IFERROR(__xludf.DUMMYFUNCTION("""COMPUTED_VALUE"""),139.78)</f>
        <v>139.78</v>
      </c>
      <c r="H1048" s="1">
        <f ca="1">IFERROR(__xludf.DUMMYFUNCTION("""COMPUTED_VALUE"""),201.88)</f>
        <v>201.88</v>
      </c>
      <c r="I1048" s="1">
        <f ca="1">IFERROR(__xludf.DUMMYFUNCTION("""COMPUTED_VALUE"""),165.34)</f>
        <v>165.34</v>
      </c>
      <c r="J1048" s="1">
        <f ca="1">IFERROR(__xludf.DUMMYFUNCTION("""COMPUTED_VALUE"""),743.89)</f>
        <v>743.89</v>
      </c>
      <c r="K1048" s="1">
        <f ca="1">IFERROR(__xludf.DUMMYFUNCTION("""COMPUTED_VALUE"""),130.05)</f>
        <v>130.05000000000001</v>
      </c>
      <c r="L1048" s="1">
        <f ca="1">IFERROR(__xludf.DUMMYFUNCTION("""COMPUTED_VALUE"""),560.28)</f>
        <v>560.28</v>
      </c>
      <c r="M1048" s="1">
        <f ca="1">IFERROR(__xludf.DUMMYFUNCTION("""COMPUTED_VALUE"""),602.92)</f>
        <v>602.91999999999996</v>
      </c>
    </row>
    <row r="1049" spans="1:13" x14ac:dyDescent="0.25">
      <c r="A1049" s="2">
        <f ca="1">IFERROR(__xludf.DUMMYFUNCTION("""COMPUTED_VALUE"""),45355.6666666666)</f>
        <v>45355.666666666599</v>
      </c>
      <c r="B1049" s="1">
        <f ca="1">IFERROR(__xludf.DUMMYFUNCTION("""COMPUTED_VALUE"""),175.1)</f>
        <v>175.1</v>
      </c>
      <c r="C1049" s="1">
        <f ca="1">IFERROR(__xludf.DUMMYFUNCTION("""COMPUTED_VALUE"""),415.5)</f>
        <v>415.5</v>
      </c>
      <c r="D1049" s="1">
        <f ca="1">IFERROR(__xludf.DUMMYFUNCTION("""COMPUTED_VALUE"""),178.22)</f>
        <v>178.22</v>
      </c>
      <c r="E1049" s="1">
        <f ca="1">IFERROR(__xludf.DUMMYFUNCTION("""COMPUTED_VALUE"""),82.28)</f>
        <v>82.28</v>
      </c>
      <c r="F1049" s="1">
        <f ca="1">IFERROR(__xludf.DUMMYFUNCTION("""COMPUTED_VALUE"""),502.3)</f>
        <v>502.3</v>
      </c>
      <c r="G1049" s="1">
        <f ca="1">IFERROR(__xludf.DUMMYFUNCTION("""COMPUTED_VALUE"""),138.08)</f>
        <v>138.08000000000001</v>
      </c>
      <c r="H1049" s="1">
        <f ca="1">IFERROR(__xludf.DUMMYFUNCTION("""COMPUTED_VALUE"""),202.64)</f>
        <v>202.64</v>
      </c>
      <c r="I1049" s="1">
        <f ca="1">IFERROR(__xludf.DUMMYFUNCTION("""COMPUTED_VALUE"""),164.59)</f>
        <v>164.59</v>
      </c>
      <c r="J1049" s="1">
        <f ca="1">IFERROR(__xludf.DUMMYFUNCTION("""COMPUTED_VALUE"""),749.44)</f>
        <v>749.44</v>
      </c>
      <c r="K1049" s="1">
        <f ca="1">IFERROR(__xludf.DUMMYFUNCTION("""COMPUTED_VALUE"""),139.92)</f>
        <v>139.91999999999999</v>
      </c>
      <c r="L1049" s="1">
        <f ca="1">IFERROR(__xludf.DUMMYFUNCTION("""COMPUTED_VALUE"""),570.93)</f>
        <v>570.92999999999995</v>
      </c>
      <c r="M1049" s="1">
        <f ca="1">IFERROR(__xludf.DUMMYFUNCTION("""COMPUTED_VALUE"""),619.34)</f>
        <v>619.34</v>
      </c>
    </row>
    <row r="1050" spans="1:13" x14ac:dyDescent="0.25">
      <c r="A1050" s="2">
        <f ca="1">IFERROR(__xludf.DUMMYFUNCTION("""COMPUTED_VALUE"""),45356.6666666666)</f>
        <v>45356.666666666599</v>
      </c>
      <c r="B1050" s="1">
        <f ca="1">IFERROR(__xludf.DUMMYFUNCTION("""COMPUTED_VALUE"""),170.12)</f>
        <v>170.12</v>
      </c>
      <c r="C1050" s="1">
        <f ca="1">IFERROR(__xludf.DUMMYFUNCTION("""COMPUTED_VALUE"""),414.92)</f>
        <v>414.92</v>
      </c>
      <c r="D1050" s="1">
        <f ca="1">IFERROR(__xludf.DUMMYFUNCTION("""COMPUTED_VALUE"""),177.58)</f>
        <v>177.58</v>
      </c>
      <c r="E1050" s="1">
        <f ca="1">IFERROR(__xludf.DUMMYFUNCTION("""COMPUTED_VALUE"""),85.24)</f>
        <v>85.24</v>
      </c>
      <c r="F1050" s="1">
        <f ca="1">IFERROR(__xludf.DUMMYFUNCTION("""COMPUTED_VALUE"""),498.19)</f>
        <v>498.19</v>
      </c>
      <c r="G1050" s="1">
        <f ca="1">IFERROR(__xludf.DUMMYFUNCTION("""COMPUTED_VALUE"""),134.2)</f>
        <v>134.19999999999999</v>
      </c>
      <c r="H1050" s="1">
        <f ca="1">IFERROR(__xludf.DUMMYFUNCTION("""COMPUTED_VALUE"""),188.14)</f>
        <v>188.14</v>
      </c>
      <c r="I1050" s="1">
        <f ca="1">IFERROR(__xludf.DUMMYFUNCTION("""COMPUTED_VALUE"""),165.37)</f>
        <v>165.37</v>
      </c>
      <c r="J1050" s="1">
        <f ca="1">IFERROR(__xludf.DUMMYFUNCTION("""COMPUTED_VALUE"""),759.18)</f>
        <v>759.18</v>
      </c>
      <c r="K1050" s="1">
        <f ca="1">IFERROR(__xludf.DUMMYFUNCTION("""COMPUTED_VALUE"""),140.23)</f>
        <v>140.22999999999999</v>
      </c>
      <c r="L1050" s="1">
        <f ca="1">IFERROR(__xludf.DUMMYFUNCTION("""COMPUTED_VALUE"""),567.94)</f>
        <v>567.94000000000005</v>
      </c>
      <c r="M1050" s="1">
        <f ca="1">IFERROR(__xludf.DUMMYFUNCTION("""COMPUTED_VALUE"""),615.83)</f>
        <v>615.83000000000004</v>
      </c>
    </row>
    <row r="1051" spans="1:13" x14ac:dyDescent="0.25">
      <c r="A1051" s="2">
        <f ca="1">IFERROR(__xludf.DUMMYFUNCTION("""COMPUTED_VALUE"""),45357.6666666666)</f>
        <v>45357.666666666599</v>
      </c>
      <c r="B1051" s="1">
        <f ca="1">IFERROR(__xludf.DUMMYFUNCTION("""COMPUTED_VALUE"""),169.12)</f>
        <v>169.12</v>
      </c>
      <c r="C1051" s="1">
        <f ca="1">IFERROR(__xludf.DUMMYFUNCTION("""COMPUTED_VALUE"""),402.65)</f>
        <v>402.65</v>
      </c>
      <c r="D1051" s="1">
        <f ca="1">IFERROR(__xludf.DUMMYFUNCTION("""COMPUTED_VALUE"""),174.12)</f>
        <v>174.12</v>
      </c>
      <c r="E1051" s="1">
        <f ca="1">IFERROR(__xludf.DUMMYFUNCTION("""COMPUTED_VALUE"""),85.96)</f>
        <v>85.96</v>
      </c>
      <c r="F1051" s="1">
        <f ca="1">IFERROR(__xludf.DUMMYFUNCTION("""COMPUTED_VALUE"""),490.22)</f>
        <v>490.22</v>
      </c>
      <c r="G1051" s="1">
        <f ca="1">IFERROR(__xludf.DUMMYFUNCTION("""COMPUTED_VALUE"""),133.78)</f>
        <v>133.78</v>
      </c>
      <c r="H1051" s="1">
        <f ca="1">IFERROR(__xludf.DUMMYFUNCTION("""COMPUTED_VALUE"""),180.74)</f>
        <v>180.74</v>
      </c>
      <c r="I1051" s="1">
        <f ca="1">IFERROR(__xludf.DUMMYFUNCTION("""COMPUTED_VALUE"""),162.04)</f>
        <v>162.04</v>
      </c>
      <c r="J1051" s="1">
        <f ca="1">IFERROR(__xludf.DUMMYFUNCTION("""COMPUTED_VALUE"""),759.95)</f>
        <v>759.95</v>
      </c>
      <c r="K1051" s="1">
        <f ca="1">IFERROR(__xludf.DUMMYFUNCTION("""COMPUTED_VALUE"""),134.28)</f>
        <v>134.28</v>
      </c>
      <c r="L1051" s="1">
        <f ca="1">IFERROR(__xludf.DUMMYFUNCTION("""COMPUTED_VALUE"""),544.84)</f>
        <v>544.84</v>
      </c>
      <c r="M1051" s="1">
        <f ca="1">IFERROR(__xludf.DUMMYFUNCTION("""COMPUTED_VALUE"""),598.5)</f>
        <v>598.5</v>
      </c>
    </row>
    <row r="1052" spans="1:13" x14ac:dyDescent="0.25">
      <c r="A1052" s="2">
        <f ca="1">IFERROR(__xludf.DUMMYFUNCTION("""COMPUTED_VALUE"""),45358.6666666666)</f>
        <v>45358.666666666599</v>
      </c>
      <c r="B1052" s="1">
        <f ca="1">IFERROR(__xludf.DUMMYFUNCTION("""COMPUTED_VALUE"""),169)</f>
        <v>169</v>
      </c>
      <c r="C1052" s="1">
        <f ca="1">IFERROR(__xludf.DUMMYFUNCTION("""COMPUTED_VALUE"""),402.09)</f>
        <v>402.09</v>
      </c>
      <c r="D1052" s="1">
        <f ca="1">IFERROR(__xludf.DUMMYFUNCTION("""COMPUTED_VALUE"""),173.51)</f>
        <v>173.51</v>
      </c>
      <c r="E1052" s="1">
        <f ca="1">IFERROR(__xludf.DUMMYFUNCTION("""COMPUTED_VALUE"""),88.7)</f>
        <v>88.7</v>
      </c>
      <c r="F1052" s="1">
        <f ca="1">IFERROR(__xludf.DUMMYFUNCTION("""COMPUTED_VALUE"""),496.09)</f>
        <v>496.09</v>
      </c>
      <c r="G1052" s="1">
        <f ca="1">IFERROR(__xludf.DUMMYFUNCTION("""COMPUTED_VALUE"""),132.56)</f>
        <v>132.56</v>
      </c>
      <c r="H1052" s="1">
        <f ca="1">IFERROR(__xludf.DUMMYFUNCTION("""COMPUTED_VALUE"""),176.54)</f>
        <v>176.54</v>
      </c>
      <c r="I1052" s="1">
        <f ca="1">IFERROR(__xludf.DUMMYFUNCTION("""COMPUTED_VALUE"""),163)</f>
        <v>163</v>
      </c>
      <c r="J1052" s="1">
        <f ca="1">IFERROR(__xludf.DUMMYFUNCTION("""COMPUTED_VALUE"""),773.24)</f>
        <v>773.24</v>
      </c>
      <c r="K1052" s="1">
        <f ca="1">IFERROR(__xludf.DUMMYFUNCTION("""COMPUTED_VALUE"""),135)</f>
        <v>135</v>
      </c>
      <c r="L1052" s="1">
        <f ca="1">IFERROR(__xludf.DUMMYFUNCTION("""COMPUTED_VALUE"""),543.09)</f>
        <v>543.09</v>
      </c>
      <c r="M1052" s="1">
        <f ca="1">IFERROR(__xludf.DUMMYFUNCTION("""COMPUTED_VALUE"""),597.69)</f>
        <v>597.69000000000005</v>
      </c>
    </row>
    <row r="1053" spans="1:13" x14ac:dyDescent="0.25">
      <c r="A1053" s="2">
        <f ca="1">IFERROR(__xludf.DUMMYFUNCTION("""COMPUTED_VALUE"""),45359.6666666666)</f>
        <v>45359.666666666599</v>
      </c>
      <c r="B1053" s="1">
        <f ca="1">IFERROR(__xludf.DUMMYFUNCTION("""COMPUTED_VALUE"""),170.73)</f>
        <v>170.73</v>
      </c>
      <c r="C1053" s="1">
        <f ca="1">IFERROR(__xludf.DUMMYFUNCTION("""COMPUTED_VALUE"""),409.14)</f>
        <v>409.14</v>
      </c>
      <c r="D1053" s="1">
        <f ca="1">IFERROR(__xludf.DUMMYFUNCTION("""COMPUTED_VALUE"""),176.82)</f>
        <v>176.82</v>
      </c>
      <c r="E1053" s="1">
        <f ca="1">IFERROR(__xludf.DUMMYFUNCTION("""COMPUTED_VALUE"""),92.67)</f>
        <v>92.67</v>
      </c>
      <c r="F1053" s="1">
        <f ca="1">IFERROR(__xludf.DUMMYFUNCTION("""COMPUTED_VALUE"""),512.19)</f>
        <v>512.19000000000005</v>
      </c>
      <c r="G1053" s="1">
        <f ca="1">IFERROR(__xludf.DUMMYFUNCTION("""COMPUTED_VALUE"""),135.24)</f>
        <v>135.24</v>
      </c>
      <c r="H1053" s="1">
        <f ca="1">IFERROR(__xludf.DUMMYFUNCTION("""COMPUTED_VALUE"""),178.65)</f>
        <v>178.65</v>
      </c>
      <c r="I1053" s="1">
        <f ca="1">IFERROR(__xludf.DUMMYFUNCTION("""COMPUTED_VALUE"""),163.11)</f>
        <v>163.11000000000001</v>
      </c>
      <c r="J1053" s="1">
        <f ca="1">IFERROR(__xludf.DUMMYFUNCTION("""COMPUTED_VALUE"""),785.59)</f>
        <v>785.59</v>
      </c>
      <c r="K1053" s="1">
        <f ca="1">IFERROR(__xludf.DUMMYFUNCTION("""COMPUTED_VALUE"""),140.7)</f>
        <v>140.69999999999999</v>
      </c>
      <c r="L1053" s="1">
        <f ca="1">IFERROR(__xludf.DUMMYFUNCTION("""COMPUTED_VALUE"""),556.04)</f>
        <v>556.04</v>
      </c>
      <c r="M1053" s="1">
        <f ca="1">IFERROR(__xludf.DUMMYFUNCTION("""COMPUTED_VALUE"""),608.51)</f>
        <v>608.51</v>
      </c>
    </row>
    <row r="1054" spans="1:13" x14ac:dyDescent="0.25">
      <c r="A1054" s="2">
        <f ca="1">IFERROR(__xludf.DUMMYFUNCTION("""COMPUTED_VALUE"""),45362.6666666666)</f>
        <v>45362.666666666599</v>
      </c>
      <c r="B1054" s="1">
        <f ca="1">IFERROR(__xludf.DUMMYFUNCTION("""COMPUTED_VALUE"""),172.75)</f>
        <v>172.75</v>
      </c>
      <c r="C1054" s="1">
        <f ca="1">IFERROR(__xludf.DUMMYFUNCTION("""COMPUTED_VALUE"""),406.22)</f>
        <v>406.22</v>
      </c>
      <c r="D1054" s="1">
        <f ca="1">IFERROR(__xludf.DUMMYFUNCTION("""COMPUTED_VALUE"""),175.35)</f>
        <v>175.35</v>
      </c>
      <c r="E1054" s="1">
        <f ca="1">IFERROR(__xludf.DUMMYFUNCTION("""COMPUTED_VALUE"""),87.53)</f>
        <v>87.53</v>
      </c>
      <c r="F1054" s="1">
        <f ca="1">IFERROR(__xludf.DUMMYFUNCTION("""COMPUTED_VALUE"""),505.95)</f>
        <v>505.95</v>
      </c>
      <c r="G1054" s="1">
        <f ca="1">IFERROR(__xludf.DUMMYFUNCTION("""COMPUTED_VALUE"""),136.29)</f>
        <v>136.29</v>
      </c>
      <c r="H1054" s="1">
        <f ca="1">IFERROR(__xludf.DUMMYFUNCTION("""COMPUTED_VALUE"""),175.34)</f>
        <v>175.34</v>
      </c>
      <c r="I1054" s="1">
        <f ca="1">IFERROR(__xludf.DUMMYFUNCTION("""COMPUTED_VALUE"""),163.05)</f>
        <v>163.05000000000001</v>
      </c>
      <c r="J1054" s="1">
        <f ca="1">IFERROR(__xludf.DUMMYFUNCTION("""COMPUTED_VALUE"""),725.56)</f>
        <v>725.56</v>
      </c>
      <c r="K1054" s="1">
        <f ca="1">IFERROR(__xludf.DUMMYFUNCTION("""COMPUTED_VALUE"""),130.87)</f>
        <v>130.87</v>
      </c>
      <c r="L1054" s="1">
        <f ca="1">IFERROR(__xludf.DUMMYFUNCTION("""COMPUTED_VALUE"""),551.69)</f>
        <v>551.69000000000005</v>
      </c>
      <c r="M1054" s="1">
        <f ca="1">IFERROR(__xludf.DUMMYFUNCTION("""COMPUTED_VALUE"""),604.82)</f>
        <v>604.82000000000005</v>
      </c>
    </row>
    <row r="1055" spans="1:13" x14ac:dyDescent="0.25">
      <c r="A1055" s="2">
        <f ca="1">IFERROR(__xludf.DUMMYFUNCTION("""COMPUTED_VALUE"""),45363.6666666666)</f>
        <v>45363.666666666599</v>
      </c>
      <c r="B1055" s="1">
        <f ca="1">IFERROR(__xludf.DUMMYFUNCTION("""COMPUTED_VALUE"""),173.23)</f>
        <v>173.23</v>
      </c>
      <c r="C1055" s="1">
        <f ca="1">IFERROR(__xludf.DUMMYFUNCTION("""COMPUTED_VALUE"""),404.52)</f>
        <v>404.52</v>
      </c>
      <c r="D1055" s="1">
        <f ca="1">IFERROR(__xludf.DUMMYFUNCTION("""COMPUTED_VALUE"""),171.96)</f>
        <v>171.96</v>
      </c>
      <c r="E1055" s="1">
        <f ca="1">IFERROR(__xludf.DUMMYFUNCTION("""COMPUTED_VALUE"""),85.77)</f>
        <v>85.77</v>
      </c>
      <c r="F1055" s="1">
        <f ca="1">IFERROR(__xludf.DUMMYFUNCTION("""COMPUTED_VALUE"""),483.59)</f>
        <v>483.59</v>
      </c>
      <c r="G1055" s="1">
        <f ca="1">IFERROR(__xludf.DUMMYFUNCTION("""COMPUTED_VALUE"""),138.94)</f>
        <v>138.94</v>
      </c>
      <c r="H1055" s="1">
        <f ca="1">IFERROR(__xludf.DUMMYFUNCTION("""COMPUTED_VALUE"""),177.77)</f>
        <v>177.77</v>
      </c>
      <c r="I1055" s="1">
        <f ca="1">IFERROR(__xludf.DUMMYFUNCTION("""COMPUTED_VALUE"""),164.73)</f>
        <v>164.73</v>
      </c>
      <c r="J1055" s="1">
        <f ca="1">IFERROR(__xludf.DUMMYFUNCTION("""COMPUTED_VALUE"""),714.08)</f>
        <v>714.08</v>
      </c>
      <c r="K1055" s="1">
        <f ca="1">IFERROR(__xludf.DUMMYFUNCTION("""COMPUTED_VALUE"""),129.31)</f>
        <v>129.31</v>
      </c>
      <c r="L1055" s="1">
        <f ca="1">IFERROR(__xludf.DUMMYFUNCTION("""COMPUTED_VALUE"""),560.42)</f>
        <v>560.41999999999996</v>
      </c>
      <c r="M1055" s="1">
        <f ca="1">IFERROR(__xludf.DUMMYFUNCTION("""COMPUTED_VALUE"""),600.93)</f>
        <v>600.92999999999995</v>
      </c>
    </row>
    <row r="1056" spans="1:13" x14ac:dyDescent="0.25">
      <c r="A1056" s="2">
        <f ca="1">IFERROR(__xludf.DUMMYFUNCTION("""COMPUTED_VALUE"""),45364.6666666666)</f>
        <v>45364.666666666599</v>
      </c>
      <c r="B1056" s="1">
        <f ca="1">IFERROR(__xludf.DUMMYFUNCTION("""COMPUTED_VALUE"""),171.13)</f>
        <v>171.13</v>
      </c>
      <c r="C1056" s="1">
        <f ca="1">IFERROR(__xludf.DUMMYFUNCTION("""COMPUTED_VALUE"""),415.28)</f>
        <v>415.28</v>
      </c>
      <c r="D1056" s="1">
        <f ca="1">IFERROR(__xludf.DUMMYFUNCTION("""COMPUTED_VALUE"""),175.39)</f>
        <v>175.39</v>
      </c>
      <c r="E1056" s="1">
        <f ca="1">IFERROR(__xludf.DUMMYFUNCTION("""COMPUTED_VALUE"""),91.91)</f>
        <v>91.91</v>
      </c>
      <c r="F1056" s="1">
        <f ca="1">IFERROR(__xludf.DUMMYFUNCTION("""COMPUTED_VALUE"""),499.75)</f>
        <v>499.75</v>
      </c>
      <c r="G1056" s="1">
        <f ca="1">IFERROR(__xludf.DUMMYFUNCTION("""COMPUTED_VALUE"""),139.62)</f>
        <v>139.62</v>
      </c>
      <c r="H1056" s="1">
        <f ca="1">IFERROR(__xludf.DUMMYFUNCTION("""COMPUTED_VALUE"""),177.54)</f>
        <v>177.54</v>
      </c>
      <c r="I1056" s="1">
        <f ca="1">IFERROR(__xludf.DUMMYFUNCTION("""COMPUTED_VALUE"""),164.54)</f>
        <v>164.54</v>
      </c>
      <c r="J1056" s="1">
        <f ca="1">IFERROR(__xludf.DUMMYFUNCTION("""COMPUTED_VALUE"""),736.88)</f>
        <v>736.88</v>
      </c>
      <c r="K1056" s="1">
        <f ca="1">IFERROR(__xludf.DUMMYFUNCTION("""COMPUTED_VALUE"""),129.19)</f>
        <v>129.19</v>
      </c>
      <c r="L1056" s="1">
        <f ca="1">IFERROR(__xludf.DUMMYFUNCTION("""COMPUTED_VALUE"""),579.14)</f>
        <v>579.14</v>
      </c>
      <c r="M1056" s="1">
        <f ca="1">IFERROR(__xludf.DUMMYFUNCTION("""COMPUTED_VALUE"""),611.08)</f>
        <v>611.08000000000004</v>
      </c>
    </row>
    <row r="1057" spans="1:13" x14ac:dyDescent="0.25">
      <c r="A1057" s="2">
        <f ca="1">IFERROR(__xludf.DUMMYFUNCTION("""COMPUTED_VALUE"""),45365.6666666666)</f>
        <v>45365.666666666599</v>
      </c>
      <c r="B1057" s="1">
        <f ca="1">IFERROR(__xludf.DUMMYFUNCTION("""COMPUTED_VALUE"""),173)</f>
        <v>173</v>
      </c>
      <c r="C1057" s="1">
        <f ca="1">IFERROR(__xludf.DUMMYFUNCTION("""COMPUTED_VALUE"""),415.1)</f>
        <v>415.1</v>
      </c>
      <c r="D1057" s="1">
        <f ca="1">IFERROR(__xludf.DUMMYFUNCTION("""COMPUTED_VALUE"""),176.56)</f>
        <v>176.56</v>
      </c>
      <c r="E1057" s="1">
        <f ca="1">IFERROR(__xludf.DUMMYFUNCTION("""COMPUTED_VALUE"""),90.89)</f>
        <v>90.89</v>
      </c>
      <c r="F1057" s="1">
        <f ca="1">IFERROR(__xludf.DUMMYFUNCTION("""COMPUTED_VALUE"""),495.57)</f>
        <v>495.57</v>
      </c>
      <c r="G1057" s="1">
        <f ca="1">IFERROR(__xludf.DUMMYFUNCTION("""COMPUTED_VALUE"""),140.77)</f>
        <v>140.77000000000001</v>
      </c>
      <c r="H1057" s="1">
        <f ca="1">IFERROR(__xludf.DUMMYFUNCTION("""COMPUTED_VALUE"""),169.48)</f>
        <v>169.48</v>
      </c>
      <c r="I1057" s="1">
        <f ca="1">IFERROR(__xludf.DUMMYFUNCTION("""COMPUTED_VALUE"""),165.3)</f>
        <v>165.3</v>
      </c>
      <c r="J1057" s="1">
        <f ca="1">IFERROR(__xludf.DUMMYFUNCTION("""COMPUTED_VALUE"""),734.2)</f>
        <v>734.2</v>
      </c>
      <c r="K1057" s="1">
        <f ca="1">IFERROR(__xludf.DUMMYFUNCTION("""COMPUTED_VALUE"""),125.79)</f>
        <v>125.79</v>
      </c>
      <c r="L1057" s="1">
        <f ca="1">IFERROR(__xludf.DUMMYFUNCTION("""COMPUTED_VALUE"""),573.55)</f>
        <v>573.54999999999995</v>
      </c>
      <c r="M1057" s="1">
        <f ca="1">IFERROR(__xludf.DUMMYFUNCTION("""COMPUTED_VALUE"""),609.45)</f>
        <v>609.45000000000005</v>
      </c>
    </row>
    <row r="1058" spans="1:13" x14ac:dyDescent="0.25">
      <c r="A1058" s="2">
        <f ca="1">IFERROR(__xludf.DUMMYFUNCTION("""COMPUTED_VALUE"""),45366.6666666666)</f>
        <v>45366.666666666599</v>
      </c>
      <c r="B1058" s="1">
        <f ca="1">IFERROR(__xludf.DUMMYFUNCTION("""COMPUTED_VALUE"""),172.62)</f>
        <v>172.62</v>
      </c>
      <c r="C1058" s="1">
        <f ca="1">IFERROR(__xludf.DUMMYFUNCTION("""COMPUTED_VALUE"""),425.22)</f>
        <v>425.22</v>
      </c>
      <c r="D1058" s="1">
        <f ca="1">IFERROR(__xludf.DUMMYFUNCTION("""COMPUTED_VALUE"""),178.75)</f>
        <v>178.75</v>
      </c>
      <c r="E1058" s="1">
        <f ca="1">IFERROR(__xludf.DUMMYFUNCTION("""COMPUTED_VALUE"""),87.94)</f>
        <v>87.94</v>
      </c>
      <c r="F1058" s="1">
        <f ca="1">IFERROR(__xludf.DUMMYFUNCTION("""COMPUTED_VALUE"""),491.83)</f>
        <v>491.83</v>
      </c>
      <c r="G1058" s="1">
        <f ca="1">IFERROR(__xludf.DUMMYFUNCTION("""COMPUTED_VALUE"""),144.34)</f>
        <v>144.34</v>
      </c>
      <c r="H1058" s="1">
        <f ca="1">IFERROR(__xludf.DUMMYFUNCTION("""COMPUTED_VALUE"""),162.5)</f>
        <v>162.5</v>
      </c>
      <c r="I1058" s="1">
        <f ca="1">IFERROR(__xludf.DUMMYFUNCTION("""COMPUTED_VALUE"""),164.78)</f>
        <v>164.78</v>
      </c>
      <c r="J1058" s="1">
        <f ca="1">IFERROR(__xludf.DUMMYFUNCTION("""COMPUTED_VALUE"""),731.95)</f>
        <v>731.95</v>
      </c>
      <c r="K1058" s="1">
        <f ca="1">IFERROR(__xludf.DUMMYFUNCTION("""COMPUTED_VALUE"""),126.23)</f>
        <v>126.23</v>
      </c>
      <c r="L1058" s="1">
        <f ca="1">IFERROR(__xludf.DUMMYFUNCTION("""COMPUTED_VALUE"""),570.45)</f>
        <v>570.45000000000005</v>
      </c>
      <c r="M1058" s="1">
        <f ca="1">IFERROR(__xludf.DUMMYFUNCTION("""COMPUTED_VALUE"""),613.01)</f>
        <v>613.01</v>
      </c>
    </row>
    <row r="1059" spans="1:13" x14ac:dyDescent="0.25">
      <c r="A1059" s="2">
        <f ca="1">IFERROR(__xludf.DUMMYFUNCTION("""COMPUTED_VALUE"""),45369.6666666666)</f>
        <v>45369.666666666599</v>
      </c>
      <c r="B1059" s="1">
        <f ca="1">IFERROR(__xludf.DUMMYFUNCTION("""COMPUTED_VALUE"""),173.72)</f>
        <v>173.72</v>
      </c>
      <c r="C1059" s="1">
        <f ca="1">IFERROR(__xludf.DUMMYFUNCTION("""COMPUTED_VALUE"""),416.42)</f>
        <v>416.42</v>
      </c>
      <c r="D1059" s="1">
        <f ca="1">IFERROR(__xludf.DUMMYFUNCTION("""COMPUTED_VALUE"""),174.42)</f>
        <v>174.42</v>
      </c>
      <c r="E1059" s="1">
        <f ca="1">IFERROR(__xludf.DUMMYFUNCTION("""COMPUTED_VALUE"""),87.84)</f>
        <v>87.84</v>
      </c>
      <c r="F1059" s="1">
        <f ca="1">IFERROR(__xludf.DUMMYFUNCTION("""COMPUTED_VALUE"""),484.1)</f>
        <v>484.1</v>
      </c>
      <c r="G1059" s="1">
        <f ca="1">IFERROR(__xludf.DUMMYFUNCTION("""COMPUTED_VALUE"""),142.17)</f>
        <v>142.16999999999999</v>
      </c>
      <c r="H1059" s="1">
        <f ca="1">IFERROR(__xludf.DUMMYFUNCTION("""COMPUTED_VALUE"""),163.57)</f>
        <v>163.57</v>
      </c>
      <c r="I1059" s="1">
        <f ca="1">IFERROR(__xludf.DUMMYFUNCTION("""COMPUTED_VALUE"""),164.66)</f>
        <v>164.66</v>
      </c>
      <c r="J1059" s="1">
        <f ca="1">IFERROR(__xludf.DUMMYFUNCTION("""COMPUTED_VALUE"""),725.63)</f>
        <v>725.63</v>
      </c>
      <c r="K1059" s="1">
        <f ca="1">IFERROR(__xludf.DUMMYFUNCTION("""COMPUTED_VALUE"""),123.55)</f>
        <v>123.55</v>
      </c>
      <c r="L1059" s="1">
        <f ca="1">IFERROR(__xludf.DUMMYFUNCTION("""COMPUTED_VALUE"""),492.46)</f>
        <v>492.46</v>
      </c>
      <c r="M1059" s="1">
        <f ca="1">IFERROR(__xludf.DUMMYFUNCTION("""COMPUTED_VALUE"""),605.88)</f>
        <v>605.88</v>
      </c>
    </row>
    <row r="1060" spans="1:13" x14ac:dyDescent="0.25">
      <c r="A1060" s="2">
        <f ca="1">IFERROR(__xludf.DUMMYFUNCTION("""COMPUTED_VALUE"""),45370.6666666666)</f>
        <v>45370.666666666599</v>
      </c>
      <c r="B1060" s="1">
        <f ca="1">IFERROR(__xludf.DUMMYFUNCTION("""COMPUTED_VALUE"""),176.08)</f>
        <v>176.08</v>
      </c>
      <c r="C1060" s="1">
        <f ca="1">IFERROR(__xludf.DUMMYFUNCTION("""COMPUTED_VALUE"""),417.32)</f>
        <v>417.32</v>
      </c>
      <c r="D1060" s="1">
        <f ca="1">IFERROR(__xludf.DUMMYFUNCTION("""COMPUTED_VALUE"""),174.48)</f>
        <v>174.48</v>
      </c>
      <c r="E1060" s="1">
        <f ca="1">IFERROR(__xludf.DUMMYFUNCTION("""COMPUTED_VALUE"""),88.46)</f>
        <v>88.46</v>
      </c>
      <c r="F1060" s="1">
        <f ca="1">IFERROR(__xludf.DUMMYFUNCTION("""COMPUTED_VALUE"""),496.98)</f>
        <v>496.98</v>
      </c>
      <c r="G1060" s="1">
        <f ca="1">IFERROR(__xludf.DUMMYFUNCTION("""COMPUTED_VALUE"""),148.48)</f>
        <v>148.47999999999999</v>
      </c>
      <c r="H1060" s="1">
        <f ca="1">IFERROR(__xludf.DUMMYFUNCTION("""COMPUTED_VALUE"""),173.8)</f>
        <v>173.8</v>
      </c>
      <c r="I1060" s="1">
        <f ca="1">IFERROR(__xludf.DUMMYFUNCTION("""COMPUTED_VALUE"""),171.26)</f>
        <v>171.26</v>
      </c>
      <c r="J1060" s="1">
        <f ca="1">IFERROR(__xludf.DUMMYFUNCTION("""COMPUTED_VALUE"""),731.54)</f>
        <v>731.54</v>
      </c>
      <c r="K1060" s="1">
        <f ca="1">IFERROR(__xludf.DUMMYFUNCTION("""COMPUTED_VALUE"""),123.72)</f>
        <v>123.72</v>
      </c>
      <c r="L1060" s="1">
        <f ca="1">IFERROR(__xludf.DUMMYFUNCTION("""COMPUTED_VALUE"""),513.86)</f>
        <v>513.86</v>
      </c>
      <c r="M1060" s="1">
        <f ca="1">IFERROR(__xludf.DUMMYFUNCTION("""COMPUTED_VALUE"""),618.39)</f>
        <v>618.39</v>
      </c>
    </row>
    <row r="1061" spans="1:13" x14ac:dyDescent="0.25">
      <c r="A1061" s="2">
        <f ca="1">IFERROR(__xludf.DUMMYFUNCTION("""COMPUTED_VALUE"""),45371.6666666666)</f>
        <v>45371.666666666599</v>
      </c>
      <c r="B1061" s="1">
        <f ca="1">IFERROR(__xludf.DUMMYFUNCTION("""COMPUTED_VALUE"""),178.67)</f>
        <v>178.67</v>
      </c>
      <c r="C1061" s="1">
        <f ca="1">IFERROR(__xludf.DUMMYFUNCTION("""COMPUTED_VALUE"""),421.41)</f>
        <v>421.41</v>
      </c>
      <c r="D1061" s="1">
        <f ca="1">IFERROR(__xludf.DUMMYFUNCTION("""COMPUTED_VALUE"""),175.9)</f>
        <v>175.9</v>
      </c>
      <c r="E1061" s="1">
        <f ca="1">IFERROR(__xludf.DUMMYFUNCTION("""COMPUTED_VALUE"""),89.4)</f>
        <v>89.4</v>
      </c>
      <c r="F1061" s="1">
        <f ca="1">IFERROR(__xludf.DUMMYFUNCTION("""COMPUTED_VALUE"""),496.24)</f>
        <v>496.24</v>
      </c>
      <c r="G1061" s="1">
        <f ca="1">IFERROR(__xludf.DUMMYFUNCTION("""COMPUTED_VALUE"""),147.92)</f>
        <v>147.91999999999999</v>
      </c>
      <c r="H1061" s="1">
        <f ca="1">IFERROR(__xludf.DUMMYFUNCTION("""COMPUTED_VALUE"""),171.32)</f>
        <v>171.32</v>
      </c>
      <c r="I1061" s="1">
        <f ca="1">IFERROR(__xludf.DUMMYFUNCTION("""COMPUTED_VALUE"""),171.8)</f>
        <v>171.8</v>
      </c>
      <c r="J1061" s="1">
        <f ca="1">IFERROR(__xludf.DUMMYFUNCTION("""COMPUTED_VALUE"""),732.17)</f>
        <v>732.17</v>
      </c>
      <c r="K1061" s="1">
        <f ca="1">IFERROR(__xludf.DUMMYFUNCTION("""COMPUTED_VALUE"""),123.8)</f>
        <v>123.8</v>
      </c>
      <c r="L1061" s="1">
        <f ca="1">IFERROR(__xludf.DUMMYFUNCTION("""COMPUTED_VALUE"""),521.19)</f>
        <v>521.19000000000005</v>
      </c>
      <c r="M1061" s="1">
        <f ca="1">IFERROR(__xludf.DUMMYFUNCTION("""COMPUTED_VALUE"""),620.74)</f>
        <v>620.74</v>
      </c>
    </row>
    <row r="1062" spans="1:13" x14ac:dyDescent="0.25">
      <c r="A1062" s="2">
        <f ca="1">IFERROR(__xludf.DUMMYFUNCTION("""COMPUTED_VALUE"""),45372.6666666666)</f>
        <v>45372.666666666599</v>
      </c>
      <c r="B1062" s="1">
        <f ca="1">IFERROR(__xludf.DUMMYFUNCTION("""COMPUTED_VALUE"""),171.37)</f>
        <v>171.37</v>
      </c>
      <c r="C1062" s="1">
        <f ca="1">IFERROR(__xludf.DUMMYFUNCTION("""COMPUTED_VALUE"""),425.23)</f>
        <v>425.23</v>
      </c>
      <c r="D1062" s="1">
        <f ca="1">IFERROR(__xludf.DUMMYFUNCTION("""COMPUTED_VALUE"""),178.15)</f>
        <v>178.15</v>
      </c>
      <c r="E1062" s="1">
        <f ca="1">IFERROR(__xludf.DUMMYFUNCTION("""COMPUTED_VALUE"""),90.37)</f>
        <v>90.37</v>
      </c>
      <c r="F1062" s="1">
        <f ca="1">IFERROR(__xludf.DUMMYFUNCTION("""COMPUTED_VALUE"""),505.52)</f>
        <v>505.52</v>
      </c>
      <c r="G1062" s="1">
        <f ca="1">IFERROR(__xludf.DUMMYFUNCTION("""COMPUTED_VALUE"""),149.68)</f>
        <v>149.68</v>
      </c>
      <c r="H1062" s="1">
        <f ca="1">IFERROR(__xludf.DUMMYFUNCTION("""COMPUTED_VALUE"""),175.66)</f>
        <v>175.66</v>
      </c>
      <c r="I1062" s="1">
        <f ca="1">IFERROR(__xludf.DUMMYFUNCTION("""COMPUTED_VALUE"""),171.86)</f>
        <v>171.86</v>
      </c>
      <c r="J1062" s="1">
        <f ca="1">IFERROR(__xludf.DUMMYFUNCTION("""COMPUTED_VALUE"""),740.72)</f>
        <v>740.72</v>
      </c>
      <c r="K1062" s="1">
        <f ca="1">IFERROR(__xludf.DUMMYFUNCTION("""COMPUTED_VALUE"""),127.6)</f>
        <v>127.6</v>
      </c>
      <c r="L1062" s="1">
        <f ca="1">IFERROR(__xludf.DUMMYFUNCTION("""COMPUTED_VALUE"""),519.14)</f>
        <v>519.14</v>
      </c>
      <c r="M1062" s="1">
        <f ca="1">IFERROR(__xludf.DUMMYFUNCTION("""COMPUTED_VALUE"""),627.69)</f>
        <v>627.69000000000005</v>
      </c>
    </row>
    <row r="1063" spans="1:13" x14ac:dyDescent="0.25">
      <c r="A1063" s="2">
        <f ca="1">IFERROR(__xludf.DUMMYFUNCTION("""COMPUTED_VALUE"""),45373.6666666666)</f>
        <v>45373.666666666599</v>
      </c>
      <c r="B1063" s="1">
        <f ca="1">IFERROR(__xludf.DUMMYFUNCTION("""COMPUTED_VALUE"""),172.28)</f>
        <v>172.28</v>
      </c>
      <c r="C1063" s="1">
        <f ca="1">IFERROR(__xludf.DUMMYFUNCTION("""COMPUTED_VALUE"""),429.37)</f>
        <v>429.37</v>
      </c>
      <c r="D1063" s="1">
        <f ca="1">IFERROR(__xludf.DUMMYFUNCTION("""COMPUTED_VALUE"""),178.15)</f>
        <v>178.15</v>
      </c>
      <c r="E1063" s="1">
        <f ca="1">IFERROR(__xludf.DUMMYFUNCTION("""COMPUTED_VALUE"""),91.44)</f>
        <v>91.44</v>
      </c>
      <c r="F1063" s="1">
        <f ca="1">IFERROR(__xludf.DUMMYFUNCTION("""COMPUTED_VALUE"""),507.76)</f>
        <v>507.76</v>
      </c>
      <c r="G1063" s="1">
        <f ca="1">IFERROR(__xludf.DUMMYFUNCTION("""COMPUTED_VALUE"""),148.74)</f>
        <v>148.74</v>
      </c>
      <c r="H1063" s="1">
        <f ca="1">IFERROR(__xludf.DUMMYFUNCTION("""COMPUTED_VALUE"""),172.82)</f>
        <v>172.82</v>
      </c>
      <c r="I1063" s="1">
        <f ca="1">IFERROR(__xludf.DUMMYFUNCTION("""COMPUTED_VALUE"""),172.45)</f>
        <v>172.45</v>
      </c>
      <c r="J1063" s="1">
        <f ca="1">IFERROR(__xludf.DUMMYFUNCTION("""COMPUTED_VALUE"""),742.56)</f>
        <v>742.56</v>
      </c>
      <c r="K1063" s="1">
        <f ca="1">IFERROR(__xludf.DUMMYFUNCTION("""COMPUTED_VALUE"""),134.8)</f>
        <v>134.80000000000001</v>
      </c>
      <c r="L1063" s="1">
        <f ca="1">IFERROR(__xludf.DUMMYFUNCTION("""COMPUTED_VALUE"""),511.25)</f>
        <v>511.25</v>
      </c>
      <c r="M1063" s="1">
        <f ca="1">IFERROR(__xludf.DUMMYFUNCTION("""COMPUTED_VALUE"""),622.71)</f>
        <v>622.71</v>
      </c>
    </row>
    <row r="1064" spans="1:13" x14ac:dyDescent="0.25">
      <c r="A1064" s="2">
        <f ca="1">IFERROR(__xludf.DUMMYFUNCTION("""COMPUTED_VALUE"""),45376.6666666666)</f>
        <v>45376.666666666599</v>
      </c>
      <c r="B1064" s="1">
        <f ca="1">IFERROR(__xludf.DUMMYFUNCTION("""COMPUTED_VALUE"""),170.85)</f>
        <v>170.85</v>
      </c>
      <c r="C1064" s="1">
        <f ca="1">IFERROR(__xludf.DUMMYFUNCTION("""COMPUTED_VALUE"""),428.74)</f>
        <v>428.74</v>
      </c>
      <c r="D1064" s="1">
        <f ca="1">IFERROR(__xludf.DUMMYFUNCTION("""COMPUTED_VALUE"""),178.87)</f>
        <v>178.87</v>
      </c>
      <c r="E1064" s="1">
        <f ca="1">IFERROR(__xludf.DUMMYFUNCTION("""COMPUTED_VALUE"""),94.29)</f>
        <v>94.29</v>
      </c>
      <c r="F1064" s="1">
        <f ca="1">IFERROR(__xludf.DUMMYFUNCTION("""COMPUTED_VALUE"""),509.58)</f>
        <v>509.58</v>
      </c>
      <c r="G1064" s="1">
        <f ca="1">IFERROR(__xludf.DUMMYFUNCTION("""COMPUTED_VALUE"""),151.77)</f>
        <v>151.77000000000001</v>
      </c>
      <c r="H1064" s="1">
        <f ca="1">IFERROR(__xludf.DUMMYFUNCTION("""COMPUTED_VALUE"""),170.83)</f>
        <v>170.83</v>
      </c>
      <c r="I1064" s="1">
        <f ca="1">IFERROR(__xludf.DUMMYFUNCTION("""COMPUTED_VALUE"""),172.02)</f>
        <v>172.02</v>
      </c>
      <c r="J1064" s="1">
        <f ca="1">IFERROR(__xludf.DUMMYFUNCTION("""COMPUTED_VALUE"""),734.8)</f>
        <v>734.8</v>
      </c>
      <c r="K1064" s="1">
        <f ca="1">IFERROR(__xludf.DUMMYFUNCTION("""COMPUTED_VALUE"""),135.35)</f>
        <v>135.35</v>
      </c>
      <c r="L1064" s="1">
        <f ca="1">IFERROR(__xludf.DUMMYFUNCTION("""COMPUTED_VALUE"""),499.52)</f>
        <v>499.52</v>
      </c>
      <c r="M1064" s="1">
        <f ca="1">IFERROR(__xludf.DUMMYFUNCTION("""COMPUTED_VALUE"""),628.01)</f>
        <v>628.01</v>
      </c>
    </row>
    <row r="1065" spans="1:13" x14ac:dyDescent="0.25">
      <c r="A1065" s="2">
        <f ca="1">IFERROR(__xludf.DUMMYFUNCTION("""COMPUTED_VALUE"""),45377.6666666666)</f>
        <v>45377.666666666599</v>
      </c>
      <c r="B1065" s="1">
        <f ca="1">IFERROR(__xludf.DUMMYFUNCTION("""COMPUTED_VALUE"""),169.71)</f>
        <v>169.71</v>
      </c>
      <c r="C1065" s="1">
        <f ca="1">IFERROR(__xludf.DUMMYFUNCTION("""COMPUTED_VALUE"""),422.86)</f>
        <v>422.86</v>
      </c>
      <c r="D1065" s="1">
        <f ca="1">IFERROR(__xludf.DUMMYFUNCTION("""COMPUTED_VALUE"""),179.71)</f>
        <v>179.71</v>
      </c>
      <c r="E1065" s="1">
        <f ca="1">IFERROR(__xludf.DUMMYFUNCTION("""COMPUTED_VALUE"""),95)</f>
        <v>95</v>
      </c>
      <c r="F1065" s="1">
        <f ca="1">IFERROR(__xludf.DUMMYFUNCTION("""COMPUTED_VALUE"""),503.02)</f>
        <v>503.02</v>
      </c>
      <c r="G1065" s="1">
        <f ca="1">IFERROR(__xludf.DUMMYFUNCTION("""COMPUTED_VALUE"""),151.15)</f>
        <v>151.15</v>
      </c>
      <c r="H1065" s="1">
        <f ca="1">IFERROR(__xludf.DUMMYFUNCTION("""COMPUTED_VALUE"""),172.63)</f>
        <v>172.63</v>
      </c>
      <c r="I1065" s="1">
        <f ca="1">IFERROR(__xludf.DUMMYFUNCTION("""COMPUTED_VALUE"""),172.6)</f>
        <v>172.6</v>
      </c>
      <c r="J1065" s="1">
        <f ca="1">IFERROR(__xludf.DUMMYFUNCTION("""COMPUTED_VALUE"""),730.96)</f>
        <v>730.96</v>
      </c>
      <c r="K1065" s="1">
        <f ca="1">IFERROR(__xludf.DUMMYFUNCTION("""COMPUTED_VALUE"""),135.16)</f>
        <v>135.16</v>
      </c>
      <c r="L1065" s="1">
        <f ca="1">IFERROR(__xludf.DUMMYFUNCTION("""COMPUTED_VALUE"""),507.23)</f>
        <v>507.23</v>
      </c>
      <c r="M1065" s="1">
        <f ca="1">IFERROR(__xludf.DUMMYFUNCTION("""COMPUTED_VALUE"""),627.46)</f>
        <v>627.46</v>
      </c>
    </row>
    <row r="1066" spans="1:13" x14ac:dyDescent="0.25">
      <c r="A1066" s="2">
        <f ca="1">IFERROR(__xludf.DUMMYFUNCTION("""COMPUTED_VALUE"""),45378.6666666666)</f>
        <v>45378.666666666599</v>
      </c>
      <c r="B1066" s="1">
        <f ca="1">IFERROR(__xludf.DUMMYFUNCTION("""COMPUTED_VALUE"""),173.31)</f>
        <v>173.31</v>
      </c>
      <c r="C1066" s="1">
        <f ca="1">IFERROR(__xludf.DUMMYFUNCTION("""COMPUTED_VALUE"""),421.65)</f>
        <v>421.65</v>
      </c>
      <c r="D1066" s="1">
        <f ca="1">IFERROR(__xludf.DUMMYFUNCTION("""COMPUTED_VALUE"""),178.3)</f>
        <v>178.3</v>
      </c>
      <c r="E1066" s="1">
        <f ca="1">IFERROR(__xludf.DUMMYFUNCTION("""COMPUTED_VALUE"""),92.56)</f>
        <v>92.56</v>
      </c>
      <c r="F1066" s="1">
        <f ca="1">IFERROR(__xludf.DUMMYFUNCTION("""COMPUTED_VALUE"""),495.89)</f>
        <v>495.89</v>
      </c>
      <c r="G1066" s="1">
        <f ca="1">IFERROR(__xludf.DUMMYFUNCTION("""COMPUTED_VALUE"""),151.7)</f>
        <v>151.69999999999999</v>
      </c>
      <c r="H1066" s="1">
        <f ca="1">IFERROR(__xludf.DUMMYFUNCTION("""COMPUTED_VALUE"""),177.67)</f>
        <v>177.67</v>
      </c>
      <c r="I1066" s="1">
        <f ca="1">IFERROR(__xludf.DUMMYFUNCTION("""COMPUTED_VALUE"""),172.73)</f>
        <v>172.73</v>
      </c>
      <c r="J1066" s="1">
        <f ca="1">IFERROR(__xludf.DUMMYFUNCTION("""COMPUTED_VALUE"""),730.98)</f>
        <v>730.98</v>
      </c>
      <c r="K1066" s="1">
        <f ca="1">IFERROR(__xludf.DUMMYFUNCTION("""COMPUTED_VALUE"""),133.15)</f>
        <v>133.15</v>
      </c>
      <c r="L1066" s="1">
        <f ca="1">IFERROR(__xludf.DUMMYFUNCTION("""COMPUTED_VALUE"""),507.6)</f>
        <v>507.6</v>
      </c>
      <c r="M1066" s="1">
        <f ca="1">IFERROR(__xludf.DUMMYFUNCTION("""COMPUTED_VALUE"""),629.24)</f>
        <v>629.24</v>
      </c>
    </row>
    <row r="1067" spans="1:13" x14ac:dyDescent="0.25">
      <c r="A1067" s="2">
        <f ca="1">IFERROR(__xludf.DUMMYFUNCTION("""COMPUTED_VALUE"""),45379.6666666666)</f>
        <v>45379.666666666599</v>
      </c>
      <c r="B1067" s="1">
        <f ca="1">IFERROR(__xludf.DUMMYFUNCTION("""COMPUTED_VALUE"""),171.48)</f>
        <v>171.48</v>
      </c>
      <c r="C1067" s="1">
        <f ca="1">IFERROR(__xludf.DUMMYFUNCTION("""COMPUTED_VALUE"""),421.43)</f>
        <v>421.43</v>
      </c>
      <c r="D1067" s="1">
        <f ca="1">IFERROR(__xludf.DUMMYFUNCTION("""COMPUTED_VALUE"""),179.83)</f>
        <v>179.83</v>
      </c>
      <c r="E1067" s="1">
        <f ca="1">IFERROR(__xludf.DUMMYFUNCTION("""COMPUTED_VALUE"""),90.25)</f>
        <v>90.25</v>
      </c>
      <c r="F1067" s="1">
        <f ca="1">IFERROR(__xludf.DUMMYFUNCTION("""COMPUTED_VALUE"""),493.86)</f>
        <v>493.86</v>
      </c>
      <c r="G1067" s="1">
        <f ca="1">IFERROR(__xludf.DUMMYFUNCTION("""COMPUTED_VALUE"""),151.94)</f>
        <v>151.94</v>
      </c>
      <c r="H1067" s="1">
        <f ca="1">IFERROR(__xludf.DUMMYFUNCTION("""COMPUTED_VALUE"""),179.83)</f>
        <v>179.83</v>
      </c>
      <c r="I1067" s="1">
        <f ca="1">IFERROR(__xludf.DUMMYFUNCTION("""COMPUTED_VALUE"""),173.57)</f>
        <v>173.57</v>
      </c>
      <c r="J1067" s="1">
        <f ca="1">IFERROR(__xludf.DUMMYFUNCTION("""COMPUTED_VALUE"""),732.08)</f>
        <v>732.08</v>
      </c>
      <c r="K1067" s="1">
        <f ca="1">IFERROR(__xludf.DUMMYFUNCTION("""COMPUTED_VALUE"""),131.87)</f>
        <v>131.87</v>
      </c>
      <c r="L1067" s="1">
        <f ca="1">IFERROR(__xludf.DUMMYFUNCTION("""COMPUTED_VALUE"""),504.4)</f>
        <v>504.4</v>
      </c>
      <c r="M1067" s="1">
        <f ca="1">IFERROR(__xludf.DUMMYFUNCTION("""COMPUTED_VALUE"""),613.53)</f>
        <v>613.53</v>
      </c>
    </row>
    <row r="1068" spans="1:13" x14ac:dyDescent="0.25">
      <c r="A1068" s="2">
        <f ca="1">IFERROR(__xludf.DUMMYFUNCTION("""COMPUTED_VALUE"""),45383.6666666666)</f>
        <v>45383.666666666599</v>
      </c>
      <c r="B1068" s="1">
        <f ca="1">IFERROR(__xludf.DUMMYFUNCTION("""COMPUTED_VALUE"""),170.03)</f>
        <v>170.03</v>
      </c>
      <c r="C1068" s="1">
        <f ca="1">IFERROR(__xludf.DUMMYFUNCTION("""COMPUTED_VALUE"""),420.72)</f>
        <v>420.72</v>
      </c>
      <c r="D1068" s="1">
        <f ca="1">IFERROR(__xludf.DUMMYFUNCTION("""COMPUTED_VALUE"""),180.38)</f>
        <v>180.38</v>
      </c>
      <c r="E1068" s="1">
        <f ca="1">IFERROR(__xludf.DUMMYFUNCTION("""COMPUTED_VALUE"""),90.36)</f>
        <v>90.36</v>
      </c>
      <c r="F1068" s="1">
        <f ca="1">IFERROR(__xludf.DUMMYFUNCTION("""COMPUTED_VALUE"""),485.58)</f>
        <v>485.58</v>
      </c>
      <c r="G1068" s="1">
        <f ca="1">IFERROR(__xludf.DUMMYFUNCTION("""COMPUTED_VALUE"""),152.26)</f>
        <v>152.26</v>
      </c>
      <c r="H1068" s="1">
        <f ca="1">IFERROR(__xludf.DUMMYFUNCTION("""COMPUTED_VALUE"""),175.79)</f>
        <v>175.79</v>
      </c>
      <c r="I1068" s="1">
        <f ca="1">IFERROR(__xludf.DUMMYFUNCTION("""COMPUTED_VALUE"""),175.01)</f>
        <v>175.01</v>
      </c>
      <c r="J1068" s="1">
        <f ca="1">IFERROR(__xludf.DUMMYFUNCTION("""COMPUTED_VALUE"""),732.63)</f>
        <v>732.63</v>
      </c>
      <c r="K1068" s="1">
        <f ca="1">IFERROR(__xludf.DUMMYFUNCTION("""COMPUTED_VALUE"""),132.54)</f>
        <v>132.54</v>
      </c>
      <c r="L1068" s="1">
        <f ca="1">IFERROR(__xludf.DUMMYFUNCTION("""COMPUTED_VALUE"""),504.6)</f>
        <v>504.6</v>
      </c>
      <c r="M1068" s="1">
        <f ca="1">IFERROR(__xludf.DUMMYFUNCTION("""COMPUTED_VALUE"""),607.33)</f>
        <v>607.33000000000004</v>
      </c>
    </row>
    <row r="1069" spans="1:13" x14ac:dyDescent="0.25">
      <c r="A1069" s="2">
        <f ca="1">IFERROR(__xludf.DUMMYFUNCTION("""COMPUTED_VALUE"""),45384.6666666666)</f>
        <v>45384.666666666599</v>
      </c>
      <c r="B1069" s="1">
        <f ca="1">IFERROR(__xludf.DUMMYFUNCTION("""COMPUTED_VALUE"""),168.84)</f>
        <v>168.84</v>
      </c>
      <c r="C1069" s="1">
        <f ca="1">IFERROR(__xludf.DUMMYFUNCTION("""COMPUTED_VALUE"""),424.57)</f>
        <v>424.57</v>
      </c>
      <c r="D1069" s="1">
        <f ca="1">IFERROR(__xludf.DUMMYFUNCTION("""COMPUTED_VALUE"""),180.97)</f>
        <v>180.97</v>
      </c>
      <c r="E1069" s="1">
        <f ca="1">IFERROR(__xludf.DUMMYFUNCTION("""COMPUTED_VALUE"""),90.36)</f>
        <v>90.36</v>
      </c>
      <c r="F1069" s="1">
        <f ca="1">IFERROR(__xludf.DUMMYFUNCTION("""COMPUTED_VALUE"""),491.35)</f>
        <v>491.35</v>
      </c>
      <c r="G1069" s="1">
        <f ca="1">IFERROR(__xludf.DUMMYFUNCTION("""COMPUTED_VALUE"""),156.5)</f>
        <v>156.5</v>
      </c>
      <c r="H1069" s="1">
        <f ca="1">IFERROR(__xludf.DUMMYFUNCTION("""COMPUTED_VALUE"""),175.22)</f>
        <v>175.22</v>
      </c>
      <c r="I1069" s="1">
        <f ca="1">IFERROR(__xludf.DUMMYFUNCTION("""COMPUTED_VALUE"""),172.98)</f>
        <v>172.98</v>
      </c>
      <c r="J1069" s="1">
        <f ca="1">IFERROR(__xludf.DUMMYFUNCTION("""COMPUTED_VALUE"""),721.24)</f>
        <v>721.24</v>
      </c>
      <c r="K1069" s="1">
        <f ca="1">IFERROR(__xludf.DUMMYFUNCTION("""COMPUTED_VALUE"""),135.03)</f>
        <v>135.03</v>
      </c>
      <c r="L1069" s="1">
        <f ca="1">IFERROR(__xludf.DUMMYFUNCTION("""COMPUTED_VALUE"""),502.09)</f>
        <v>502.09</v>
      </c>
      <c r="M1069" s="1">
        <f ca="1">IFERROR(__xludf.DUMMYFUNCTION("""COMPUTED_VALUE"""),614.31)</f>
        <v>614.30999999999995</v>
      </c>
    </row>
    <row r="1070" spans="1:13" x14ac:dyDescent="0.25">
      <c r="A1070" s="2">
        <f ca="1">IFERROR(__xludf.DUMMYFUNCTION("""COMPUTED_VALUE"""),45385.6666666666)</f>
        <v>45385.666666666599</v>
      </c>
      <c r="B1070" s="1">
        <f ca="1">IFERROR(__xludf.DUMMYFUNCTION("""COMPUTED_VALUE"""),169.65)</f>
        <v>169.65</v>
      </c>
      <c r="C1070" s="1">
        <f ca="1">IFERROR(__xludf.DUMMYFUNCTION("""COMPUTED_VALUE"""),421.44)</f>
        <v>421.44</v>
      </c>
      <c r="D1070" s="1">
        <f ca="1">IFERROR(__xludf.DUMMYFUNCTION("""COMPUTED_VALUE"""),180.69)</f>
        <v>180.69</v>
      </c>
      <c r="E1070" s="1">
        <f ca="1">IFERROR(__xludf.DUMMYFUNCTION("""COMPUTED_VALUE"""),89.45)</f>
        <v>89.45</v>
      </c>
      <c r="F1070" s="1">
        <f ca="1">IFERROR(__xludf.DUMMYFUNCTION("""COMPUTED_VALUE"""),497.37)</f>
        <v>497.37</v>
      </c>
      <c r="G1070" s="1">
        <f ca="1">IFERROR(__xludf.DUMMYFUNCTION("""COMPUTED_VALUE"""),155.87)</f>
        <v>155.87</v>
      </c>
      <c r="H1070" s="1">
        <f ca="1">IFERROR(__xludf.DUMMYFUNCTION("""COMPUTED_VALUE"""),166.63)</f>
        <v>166.63</v>
      </c>
      <c r="I1070" s="1">
        <f ca="1">IFERROR(__xludf.DUMMYFUNCTION("""COMPUTED_VALUE"""),171.44)</f>
        <v>171.44</v>
      </c>
      <c r="J1070" s="1">
        <f ca="1">IFERROR(__xludf.DUMMYFUNCTION("""COMPUTED_VALUE"""),711.3)</f>
        <v>711.3</v>
      </c>
      <c r="K1070" s="1">
        <f ca="1">IFERROR(__xludf.DUMMYFUNCTION("""COMPUTED_VALUE"""),133.88)</f>
        <v>133.88</v>
      </c>
      <c r="L1070" s="1">
        <f ca="1">IFERROR(__xludf.DUMMYFUNCTION("""COMPUTED_VALUE"""),499.21)</f>
        <v>499.21</v>
      </c>
      <c r="M1070" s="1">
        <f ca="1">IFERROR(__xludf.DUMMYFUNCTION("""COMPUTED_VALUE"""),614.21)</f>
        <v>614.21</v>
      </c>
    </row>
    <row r="1071" spans="1:13" x14ac:dyDescent="0.25">
      <c r="A1071" s="2">
        <f ca="1">IFERROR(__xludf.DUMMYFUNCTION("""COMPUTED_VALUE"""),45386.6666666666)</f>
        <v>45386.666666666599</v>
      </c>
      <c r="B1071" s="1">
        <f ca="1">IFERROR(__xludf.DUMMYFUNCTION("""COMPUTED_VALUE"""),168.82)</f>
        <v>168.82</v>
      </c>
      <c r="C1071" s="1">
        <f ca="1">IFERROR(__xludf.DUMMYFUNCTION("""COMPUTED_VALUE"""),420.45)</f>
        <v>420.45</v>
      </c>
      <c r="D1071" s="1">
        <f ca="1">IFERROR(__xludf.DUMMYFUNCTION("""COMPUTED_VALUE"""),182.41)</f>
        <v>182.41</v>
      </c>
      <c r="E1071" s="1">
        <f ca="1">IFERROR(__xludf.DUMMYFUNCTION("""COMPUTED_VALUE"""),88.96)</f>
        <v>88.96</v>
      </c>
      <c r="F1071" s="1">
        <f ca="1">IFERROR(__xludf.DUMMYFUNCTION("""COMPUTED_VALUE"""),506.74)</f>
        <v>506.74</v>
      </c>
      <c r="G1071" s="1">
        <f ca="1">IFERROR(__xludf.DUMMYFUNCTION("""COMPUTED_VALUE"""),156.37)</f>
        <v>156.37</v>
      </c>
      <c r="H1071" s="1">
        <f ca="1">IFERROR(__xludf.DUMMYFUNCTION("""COMPUTED_VALUE"""),168.38)</f>
        <v>168.38</v>
      </c>
      <c r="I1071" s="1">
        <f ca="1">IFERROR(__xludf.DUMMYFUNCTION("""COMPUTED_VALUE"""),169.68)</f>
        <v>169.68</v>
      </c>
      <c r="J1071" s="1">
        <f ca="1">IFERROR(__xludf.DUMMYFUNCTION("""COMPUTED_VALUE"""),705.69)</f>
        <v>705.69</v>
      </c>
      <c r="K1071" s="1">
        <f ca="1">IFERROR(__xludf.DUMMYFUNCTION("""COMPUTED_VALUE"""),136.32)</f>
        <v>136.32</v>
      </c>
      <c r="L1071" s="1">
        <f ca="1">IFERROR(__xludf.DUMMYFUNCTION("""COMPUTED_VALUE"""),497.01)</f>
        <v>497.01</v>
      </c>
      <c r="M1071" s="1">
        <f ca="1">IFERROR(__xludf.DUMMYFUNCTION("""COMPUTED_VALUE"""),630.08)</f>
        <v>630.08000000000004</v>
      </c>
    </row>
    <row r="1072" spans="1:13" x14ac:dyDescent="0.25">
      <c r="A1072" s="2">
        <f ca="1">IFERROR(__xludf.DUMMYFUNCTION("""COMPUTED_VALUE"""),45387.6666666666)</f>
        <v>45387.666666666599</v>
      </c>
      <c r="B1072" s="1">
        <f ca="1">IFERROR(__xludf.DUMMYFUNCTION("""COMPUTED_VALUE"""),169.58)</f>
        <v>169.58</v>
      </c>
      <c r="C1072" s="1">
        <f ca="1">IFERROR(__xludf.DUMMYFUNCTION("""COMPUTED_VALUE"""),417.88)</f>
        <v>417.88</v>
      </c>
      <c r="D1072" s="1">
        <f ca="1">IFERROR(__xludf.DUMMYFUNCTION("""COMPUTED_VALUE"""),180)</f>
        <v>180</v>
      </c>
      <c r="E1072" s="1">
        <f ca="1">IFERROR(__xludf.DUMMYFUNCTION("""COMPUTED_VALUE"""),85.91)</f>
        <v>85.91</v>
      </c>
      <c r="F1072" s="1">
        <f ca="1">IFERROR(__xludf.DUMMYFUNCTION("""COMPUTED_VALUE"""),510.92)</f>
        <v>510.92</v>
      </c>
      <c r="G1072" s="1">
        <f ca="1">IFERROR(__xludf.DUMMYFUNCTION("""COMPUTED_VALUE"""),151.94)</f>
        <v>151.94</v>
      </c>
      <c r="H1072" s="1">
        <f ca="1">IFERROR(__xludf.DUMMYFUNCTION("""COMPUTED_VALUE"""),171.11)</f>
        <v>171.11</v>
      </c>
      <c r="I1072" s="1">
        <f ca="1">IFERROR(__xludf.DUMMYFUNCTION("""COMPUTED_VALUE"""),169.65)</f>
        <v>169.65</v>
      </c>
      <c r="J1072" s="1">
        <f ca="1">IFERROR(__xludf.DUMMYFUNCTION("""COMPUTED_VALUE"""),704.88)</f>
        <v>704.88</v>
      </c>
      <c r="K1072" s="1">
        <f ca="1">IFERROR(__xludf.DUMMYFUNCTION("""COMPUTED_VALUE"""),131.75)</f>
        <v>131.75</v>
      </c>
      <c r="L1072" s="1">
        <f ca="1">IFERROR(__xludf.DUMMYFUNCTION("""COMPUTED_VALUE"""),487.11)</f>
        <v>487.11</v>
      </c>
      <c r="M1072" s="1">
        <f ca="1">IFERROR(__xludf.DUMMYFUNCTION("""COMPUTED_VALUE"""),617.14)</f>
        <v>617.14</v>
      </c>
    </row>
    <row r="1073" spans="1:13" x14ac:dyDescent="0.25">
      <c r="A1073" s="2">
        <f ca="1">IFERROR(__xludf.DUMMYFUNCTION("""COMPUTED_VALUE"""),45390.6666666666)</f>
        <v>45390.666666666599</v>
      </c>
      <c r="B1073" s="1">
        <f ca="1">IFERROR(__xludf.DUMMYFUNCTION("""COMPUTED_VALUE"""),168.45)</f>
        <v>168.45</v>
      </c>
      <c r="C1073" s="1">
        <f ca="1">IFERROR(__xludf.DUMMYFUNCTION("""COMPUTED_VALUE"""),425.52)</f>
        <v>425.52</v>
      </c>
      <c r="D1073" s="1">
        <f ca="1">IFERROR(__xludf.DUMMYFUNCTION("""COMPUTED_VALUE"""),185.07)</f>
        <v>185.07</v>
      </c>
      <c r="E1073" s="1">
        <f ca="1">IFERROR(__xludf.DUMMYFUNCTION("""COMPUTED_VALUE"""),88.01)</f>
        <v>88.01</v>
      </c>
      <c r="F1073" s="1">
        <f ca="1">IFERROR(__xludf.DUMMYFUNCTION("""COMPUTED_VALUE"""),527.34)</f>
        <v>527.34</v>
      </c>
      <c r="G1073" s="1">
        <f ca="1">IFERROR(__xludf.DUMMYFUNCTION("""COMPUTED_VALUE"""),153.94)</f>
        <v>153.94</v>
      </c>
      <c r="H1073" s="1">
        <f ca="1">IFERROR(__xludf.DUMMYFUNCTION("""COMPUTED_VALUE"""),164.9)</f>
        <v>164.9</v>
      </c>
      <c r="I1073" s="1">
        <f ca="1">IFERROR(__xludf.DUMMYFUNCTION("""COMPUTED_VALUE"""),169.14)</f>
        <v>169.14</v>
      </c>
      <c r="J1073" s="1">
        <f ca="1">IFERROR(__xludf.DUMMYFUNCTION("""COMPUTED_VALUE"""),713.72)</f>
        <v>713.72</v>
      </c>
      <c r="K1073" s="1">
        <f ca="1">IFERROR(__xludf.DUMMYFUNCTION("""COMPUTED_VALUE"""),133.94)</f>
        <v>133.94</v>
      </c>
      <c r="L1073" s="1">
        <f ca="1">IFERROR(__xludf.DUMMYFUNCTION("""COMPUTED_VALUE"""),485.12)</f>
        <v>485.12</v>
      </c>
      <c r="M1073" s="1">
        <f ca="1">IFERROR(__xludf.DUMMYFUNCTION("""COMPUTED_VALUE"""),636.18)</f>
        <v>636.17999999999995</v>
      </c>
    </row>
    <row r="1074" spans="1:13" x14ac:dyDescent="0.25">
      <c r="A1074" s="2">
        <f ca="1">IFERROR(__xludf.DUMMYFUNCTION("""COMPUTED_VALUE"""),45391.6666666666)</f>
        <v>45391.666666666599</v>
      </c>
      <c r="B1074" s="1">
        <f ca="1">IFERROR(__xludf.DUMMYFUNCTION("""COMPUTED_VALUE"""),169.67)</f>
        <v>169.67</v>
      </c>
      <c r="C1074" s="1">
        <f ca="1">IFERROR(__xludf.DUMMYFUNCTION("""COMPUTED_VALUE"""),424.59)</f>
        <v>424.59</v>
      </c>
      <c r="D1074" s="1">
        <f ca="1">IFERROR(__xludf.DUMMYFUNCTION("""COMPUTED_VALUE"""),185.19)</f>
        <v>185.19</v>
      </c>
      <c r="E1074" s="1">
        <f ca="1">IFERROR(__xludf.DUMMYFUNCTION("""COMPUTED_VALUE"""),87.13)</f>
        <v>87.13</v>
      </c>
      <c r="F1074" s="1">
        <f ca="1">IFERROR(__xludf.DUMMYFUNCTION("""COMPUTED_VALUE"""),519.25)</f>
        <v>519.25</v>
      </c>
      <c r="G1074" s="1">
        <f ca="1">IFERROR(__xludf.DUMMYFUNCTION("""COMPUTED_VALUE"""),156.14)</f>
        <v>156.13999999999999</v>
      </c>
      <c r="H1074" s="1">
        <f ca="1">IFERROR(__xludf.DUMMYFUNCTION("""COMPUTED_VALUE"""),172.98)</f>
        <v>172.98</v>
      </c>
      <c r="I1074" s="1">
        <f ca="1">IFERROR(__xludf.DUMMYFUNCTION("""COMPUTED_VALUE"""),169.58)</f>
        <v>169.58</v>
      </c>
      <c r="J1074" s="1">
        <f ca="1">IFERROR(__xludf.DUMMYFUNCTION("""COMPUTED_VALUE"""),711.81)</f>
        <v>711.81</v>
      </c>
      <c r="K1074" s="1">
        <f ca="1">IFERROR(__xludf.DUMMYFUNCTION("""COMPUTED_VALUE"""),133.61)</f>
        <v>133.61000000000001</v>
      </c>
      <c r="L1074" s="1">
        <f ca="1">IFERROR(__xludf.DUMMYFUNCTION("""COMPUTED_VALUE"""),484.28)</f>
        <v>484.28</v>
      </c>
      <c r="M1074" s="1">
        <f ca="1">IFERROR(__xludf.DUMMYFUNCTION("""COMPUTED_VALUE"""),628.41)</f>
        <v>628.41</v>
      </c>
    </row>
    <row r="1075" spans="1:13" x14ac:dyDescent="0.25">
      <c r="A1075" s="2">
        <f ca="1">IFERROR(__xludf.DUMMYFUNCTION("""COMPUTED_VALUE"""),45392.6666666666)</f>
        <v>45392.666666666599</v>
      </c>
      <c r="B1075" s="1">
        <f ca="1">IFERROR(__xludf.DUMMYFUNCTION("""COMPUTED_VALUE"""),167.78)</f>
        <v>167.78</v>
      </c>
      <c r="C1075" s="1">
        <f ca="1">IFERROR(__xludf.DUMMYFUNCTION("""COMPUTED_VALUE"""),426.28)</f>
        <v>426.28</v>
      </c>
      <c r="D1075" s="1">
        <f ca="1">IFERROR(__xludf.DUMMYFUNCTION("""COMPUTED_VALUE"""),185.67)</f>
        <v>185.67</v>
      </c>
      <c r="E1075" s="1">
        <f ca="1">IFERROR(__xludf.DUMMYFUNCTION("""COMPUTED_VALUE"""),85.35)</f>
        <v>85.35</v>
      </c>
      <c r="F1075" s="1">
        <f ca="1">IFERROR(__xludf.DUMMYFUNCTION("""COMPUTED_VALUE"""),516.9)</f>
        <v>516.9</v>
      </c>
      <c r="G1075" s="1">
        <f ca="1">IFERROR(__xludf.DUMMYFUNCTION("""COMPUTED_VALUE"""),158.14)</f>
        <v>158.13999999999999</v>
      </c>
      <c r="H1075" s="1">
        <f ca="1">IFERROR(__xludf.DUMMYFUNCTION("""COMPUTED_VALUE"""),176.88)</f>
        <v>176.88</v>
      </c>
      <c r="I1075" s="1">
        <f ca="1">IFERROR(__xludf.DUMMYFUNCTION("""COMPUTED_VALUE"""),170.61)</f>
        <v>170.61</v>
      </c>
      <c r="J1075" s="1">
        <f ca="1">IFERROR(__xludf.DUMMYFUNCTION("""COMPUTED_VALUE"""),718.59)</f>
        <v>718.59</v>
      </c>
      <c r="K1075" s="1">
        <f ca="1">IFERROR(__xludf.DUMMYFUNCTION("""COMPUTED_VALUE"""),133.41)</f>
        <v>133.41</v>
      </c>
      <c r="L1075" s="1">
        <f ca="1">IFERROR(__xludf.DUMMYFUNCTION("""COMPUTED_VALUE"""),492.55)</f>
        <v>492.55</v>
      </c>
      <c r="M1075" s="1">
        <f ca="1">IFERROR(__xludf.DUMMYFUNCTION("""COMPUTED_VALUE"""),618.2)</f>
        <v>618.20000000000005</v>
      </c>
    </row>
    <row r="1076" spans="1:13" x14ac:dyDescent="0.25">
      <c r="A1076" s="2">
        <f ca="1">IFERROR(__xludf.DUMMYFUNCTION("""COMPUTED_VALUE"""),45393.6666666666)</f>
        <v>45393.666666666599</v>
      </c>
      <c r="B1076" s="1">
        <f ca="1">IFERROR(__xludf.DUMMYFUNCTION("""COMPUTED_VALUE"""),175.04)</f>
        <v>175.04</v>
      </c>
      <c r="C1076" s="1">
        <f ca="1">IFERROR(__xludf.DUMMYFUNCTION("""COMPUTED_VALUE"""),423.26)</f>
        <v>423.26</v>
      </c>
      <c r="D1076" s="1">
        <f ca="1">IFERROR(__xludf.DUMMYFUNCTION("""COMPUTED_VALUE"""),185.95)</f>
        <v>185.95</v>
      </c>
      <c r="E1076" s="1">
        <f ca="1">IFERROR(__xludf.DUMMYFUNCTION("""COMPUTED_VALUE"""),87.04)</f>
        <v>87.04</v>
      </c>
      <c r="F1076" s="1">
        <f ca="1">IFERROR(__xludf.DUMMYFUNCTION("""COMPUTED_VALUE"""),519.83)</f>
        <v>519.83000000000004</v>
      </c>
      <c r="G1076" s="1">
        <f ca="1">IFERROR(__xludf.DUMMYFUNCTION("""COMPUTED_VALUE"""),157.66)</f>
        <v>157.66</v>
      </c>
      <c r="H1076" s="1">
        <f ca="1">IFERROR(__xludf.DUMMYFUNCTION("""COMPUTED_VALUE"""),171.76)</f>
        <v>171.76</v>
      </c>
      <c r="I1076" s="1">
        <f ca="1">IFERROR(__xludf.DUMMYFUNCTION("""COMPUTED_VALUE"""),168.95)</f>
        <v>168.95</v>
      </c>
      <c r="J1076" s="1">
        <f ca="1">IFERROR(__xludf.DUMMYFUNCTION("""COMPUTED_VALUE"""),722.58)</f>
        <v>722.58</v>
      </c>
      <c r="K1076" s="1">
        <f ca="1">IFERROR(__xludf.DUMMYFUNCTION("""COMPUTED_VALUE"""),132.24)</f>
        <v>132.24</v>
      </c>
      <c r="L1076" s="1">
        <f ca="1">IFERROR(__xludf.DUMMYFUNCTION("""COMPUTED_VALUE"""),487.22)</f>
        <v>487.22</v>
      </c>
      <c r="M1076" s="1">
        <f ca="1">IFERROR(__xludf.DUMMYFUNCTION("""COMPUTED_VALUE"""),618.58)</f>
        <v>618.58000000000004</v>
      </c>
    </row>
    <row r="1077" spans="1:13" x14ac:dyDescent="0.25">
      <c r="A1077" s="2">
        <f ca="1">IFERROR(__xludf.DUMMYFUNCTION("""COMPUTED_VALUE"""),45394.6666666666)</f>
        <v>45394.666666666599</v>
      </c>
      <c r="B1077" s="1">
        <f ca="1">IFERROR(__xludf.DUMMYFUNCTION("""COMPUTED_VALUE"""),176.55)</f>
        <v>176.55</v>
      </c>
      <c r="C1077" s="1">
        <f ca="1">IFERROR(__xludf.DUMMYFUNCTION("""COMPUTED_VALUE"""),427.93)</f>
        <v>427.93</v>
      </c>
      <c r="D1077" s="1">
        <f ca="1">IFERROR(__xludf.DUMMYFUNCTION("""COMPUTED_VALUE"""),189.05)</f>
        <v>189.05</v>
      </c>
      <c r="E1077" s="1">
        <f ca="1">IFERROR(__xludf.DUMMYFUNCTION("""COMPUTED_VALUE"""),90.62)</f>
        <v>90.62</v>
      </c>
      <c r="F1077" s="1">
        <f ca="1">IFERROR(__xludf.DUMMYFUNCTION("""COMPUTED_VALUE"""),523.16)</f>
        <v>523.16</v>
      </c>
      <c r="G1077" s="1">
        <f ca="1">IFERROR(__xludf.DUMMYFUNCTION("""COMPUTED_VALUE"""),160.79)</f>
        <v>160.79</v>
      </c>
      <c r="H1077" s="1">
        <f ca="1">IFERROR(__xludf.DUMMYFUNCTION("""COMPUTED_VALUE"""),174.6)</f>
        <v>174.6</v>
      </c>
      <c r="I1077" s="1">
        <f ca="1">IFERROR(__xludf.DUMMYFUNCTION("""COMPUTED_VALUE"""),168.36)</f>
        <v>168.36</v>
      </c>
      <c r="J1077" s="1">
        <f ca="1">IFERROR(__xludf.DUMMYFUNCTION("""COMPUTED_VALUE"""),732.35)</f>
        <v>732.35</v>
      </c>
      <c r="K1077" s="1">
        <f ca="1">IFERROR(__xludf.DUMMYFUNCTION("""COMPUTED_VALUE"""),138.25)</f>
        <v>138.25</v>
      </c>
      <c r="L1077" s="1">
        <f ca="1">IFERROR(__xludf.DUMMYFUNCTION("""COMPUTED_VALUE"""),484.28)</f>
        <v>484.28</v>
      </c>
      <c r="M1077" s="1">
        <f ca="1">IFERROR(__xludf.DUMMYFUNCTION("""COMPUTED_VALUE"""),628.78)</f>
        <v>628.78</v>
      </c>
    </row>
    <row r="1078" spans="1:13" x14ac:dyDescent="0.25">
      <c r="A1078" s="2">
        <f ca="1">IFERROR(__xludf.DUMMYFUNCTION("""COMPUTED_VALUE"""),45397.6666666666)</f>
        <v>45397.666666666599</v>
      </c>
      <c r="B1078" s="1">
        <f ca="1">IFERROR(__xludf.DUMMYFUNCTION("""COMPUTED_VALUE"""),172.69)</f>
        <v>172.69</v>
      </c>
      <c r="C1078" s="1">
        <f ca="1">IFERROR(__xludf.DUMMYFUNCTION("""COMPUTED_VALUE"""),421.9)</f>
        <v>421.9</v>
      </c>
      <c r="D1078" s="1">
        <f ca="1">IFERROR(__xludf.DUMMYFUNCTION("""COMPUTED_VALUE"""),186.13)</f>
        <v>186.13</v>
      </c>
      <c r="E1078" s="1">
        <f ca="1">IFERROR(__xludf.DUMMYFUNCTION("""COMPUTED_VALUE"""),88.19)</f>
        <v>88.19</v>
      </c>
      <c r="F1078" s="1">
        <f ca="1">IFERROR(__xludf.DUMMYFUNCTION("""COMPUTED_VALUE"""),511.9)</f>
        <v>511.9</v>
      </c>
      <c r="G1078" s="1">
        <f ca="1">IFERROR(__xludf.DUMMYFUNCTION("""COMPUTED_VALUE"""),159.19)</f>
        <v>159.19</v>
      </c>
      <c r="H1078" s="1">
        <f ca="1">IFERROR(__xludf.DUMMYFUNCTION("""COMPUTED_VALUE"""),171.05)</f>
        <v>171.05</v>
      </c>
      <c r="I1078" s="1">
        <f ca="1">IFERROR(__xludf.DUMMYFUNCTION("""COMPUTED_VALUE"""),168.1)</f>
        <v>168.1</v>
      </c>
      <c r="J1078" s="1">
        <f ca="1">IFERROR(__xludf.DUMMYFUNCTION("""COMPUTED_VALUE"""),731.31)</f>
        <v>731.31</v>
      </c>
      <c r="K1078" s="1">
        <f ca="1">IFERROR(__xludf.DUMMYFUNCTION("""COMPUTED_VALUE"""),134.41)</f>
        <v>134.41</v>
      </c>
      <c r="L1078" s="1">
        <f ca="1">IFERROR(__xludf.DUMMYFUNCTION("""COMPUTED_VALUE"""),474.09)</f>
        <v>474.09</v>
      </c>
      <c r="M1078" s="1">
        <f ca="1">IFERROR(__xludf.DUMMYFUNCTION("""COMPUTED_VALUE"""),622.83)</f>
        <v>622.83000000000004</v>
      </c>
    </row>
    <row r="1079" spans="1:13" x14ac:dyDescent="0.25">
      <c r="A1079" s="2">
        <f ca="1">IFERROR(__xludf.DUMMYFUNCTION("""COMPUTED_VALUE"""),45398.6666666666)</f>
        <v>45398.666666666599</v>
      </c>
      <c r="B1079" s="1">
        <f ca="1">IFERROR(__xludf.DUMMYFUNCTION("""COMPUTED_VALUE"""),169.38)</f>
        <v>169.38</v>
      </c>
      <c r="C1079" s="1">
        <f ca="1">IFERROR(__xludf.DUMMYFUNCTION("""COMPUTED_VALUE"""),413.64)</f>
        <v>413.64</v>
      </c>
      <c r="D1079" s="1">
        <f ca="1">IFERROR(__xludf.DUMMYFUNCTION("""COMPUTED_VALUE"""),183.62)</f>
        <v>183.62</v>
      </c>
      <c r="E1079" s="1">
        <f ca="1">IFERROR(__xludf.DUMMYFUNCTION("""COMPUTED_VALUE"""),86)</f>
        <v>86</v>
      </c>
      <c r="F1079" s="1">
        <f ca="1">IFERROR(__xludf.DUMMYFUNCTION("""COMPUTED_VALUE"""),500.23)</f>
        <v>500.23</v>
      </c>
      <c r="G1079" s="1">
        <f ca="1">IFERROR(__xludf.DUMMYFUNCTION("""COMPUTED_VALUE"""),156.33)</f>
        <v>156.33000000000001</v>
      </c>
      <c r="H1079" s="1">
        <f ca="1">IFERROR(__xludf.DUMMYFUNCTION("""COMPUTED_VALUE"""),161.48)</f>
        <v>161.47999999999999</v>
      </c>
      <c r="I1079" s="1">
        <f ca="1">IFERROR(__xludf.DUMMYFUNCTION("""COMPUTED_VALUE"""),166.95)</f>
        <v>166.95</v>
      </c>
      <c r="J1079" s="1">
        <f ca="1">IFERROR(__xludf.DUMMYFUNCTION("""COMPUTED_VALUE"""),718.28)</f>
        <v>718.28</v>
      </c>
      <c r="K1079" s="1">
        <f ca="1">IFERROR(__xludf.DUMMYFUNCTION("""COMPUTED_VALUE"""),131.07)</f>
        <v>131.07</v>
      </c>
      <c r="L1079" s="1">
        <f ca="1">IFERROR(__xludf.DUMMYFUNCTION("""COMPUTED_VALUE"""),470.1)</f>
        <v>470.1</v>
      </c>
      <c r="M1079" s="1">
        <f ca="1">IFERROR(__xludf.DUMMYFUNCTION("""COMPUTED_VALUE"""),607.15)</f>
        <v>607.15</v>
      </c>
    </row>
    <row r="1080" spans="1:13" x14ac:dyDescent="0.25">
      <c r="A1080" s="2">
        <f ca="1">IFERROR(__xludf.DUMMYFUNCTION("""COMPUTED_VALUE"""),45399.6666666666)</f>
        <v>45399.666666666599</v>
      </c>
      <c r="B1080" s="1">
        <f ca="1">IFERROR(__xludf.DUMMYFUNCTION("""COMPUTED_VALUE"""),168)</f>
        <v>168</v>
      </c>
      <c r="C1080" s="1">
        <f ca="1">IFERROR(__xludf.DUMMYFUNCTION("""COMPUTED_VALUE"""),414.58)</f>
        <v>414.58</v>
      </c>
      <c r="D1080" s="1">
        <f ca="1">IFERROR(__xludf.DUMMYFUNCTION("""COMPUTED_VALUE"""),183.32)</f>
        <v>183.32</v>
      </c>
      <c r="E1080" s="1">
        <f ca="1">IFERROR(__xludf.DUMMYFUNCTION("""COMPUTED_VALUE"""),87.42)</f>
        <v>87.42</v>
      </c>
      <c r="F1080" s="1">
        <f ca="1">IFERROR(__xludf.DUMMYFUNCTION("""COMPUTED_VALUE"""),499.76)</f>
        <v>499.76</v>
      </c>
      <c r="G1080" s="1">
        <f ca="1">IFERROR(__xludf.DUMMYFUNCTION("""COMPUTED_VALUE"""),156)</f>
        <v>156</v>
      </c>
      <c r="H1080" s="1">
        <f ca="1">IFERROR(__xludf.DUMMYFUNCTION("""COMPUTED_VALUE"""),157.11)</f>
        <v>157.11000000000001</v>
      </c>
      <c r="I1080" s="1">
        <f ca="1">IFERROR(__xludf.DUMMYFUNCTION("""COMPUTED_VALUE"""),167.5)</f>
        <v>167.5</v>
      </c>
      <c r="J1080" s="1">
        <f ca="1">IFERROR(__xludf.DUMMYFUNCTION("""COMPUTED_VALUE"""),715.97)</f>
        <v>715.97</v>
      </c>
      <c r="K1080" s="1">
        <f ca="1">IFERROR(__xludf.DUMMYFUNCTION("""COMPUTED_VALUE"""),132.91)</f>
        <v>132.91</v>
      </c>
      <c r="L1080" s="1">
        <f ca="1">IFERROR(__xludf.DUMMYFUNCTION("""COMPUTED_VALUE"""),476.22)</f>
        <v>476.22</v>
      </c>
      <c r="M1080" s="1">
        <f ca="1">IFERROR(__xludf.DUMMYFUNCTION("""COMPUTED_VALUE"""),617.52)</f>
        <v>617.52</v>
      </c>
    </row>
    <row r="1081" spans="1:13" x14ac:dyDescent="0.25">
      <c r="A1081" s="2">
        <f ca="1">IFERROR(__xludf.DUMMYFUNCTION("""COMPUTED_VALUE"""),45400.6666666666)</f>
        <v>45400.666666666599</v>
      </c>
      <c r="B1081" s="1">
        <f ca="1">IFERROR(__xludf.DUMMYFUNCTION("""COMPUTED_VALUE"""),167.04)</f>
        <v>167.04</v>
      </c>
      <c r="C1081" s="1">
        <f ca="1">IFERROR(__xludf.DUMMYFUNCTION("""COMPUTED_VALUE"""),411.84)</f>
        <v>411.84</v>
      </c>
      <c r="D1081" s="1">
        <f ca="1">IFERROR(__xludf.DUMMYFUNCTION("""COMPUTED_VALUE"""),181.28)</f>
        <v>181.28</v>
      </c>
      <c r="E1081" s="1">
        <f ca="1">IFERROR(__xludf.DUMMYFUNCTION("""COMPUTED_VALUE"""),84.04)</f>
        <v>84.04</v>
      </c>
      <c r="F1081" s="1">
        <f ca="1">IFERROR(__xludf.DUMMYFUNCTION("""COMPUTED_VALUE"""),494.17)</f>
        <v>494.17</v>
      </c>
      <c r="G1081" s="1">
        <f ca="1">IFERROR(__xludf.DUMMYFUNCTION("""COMPUTED_VALUE"""),156.88)</f>
        <v>156.88</v>
      </c>
      <c r="H1081" s="1">
        <f ca="1">IFERROR(__xludf.DUMMYFUNCTION("""COMPUTED_VALUE"""),155.45)</f>
        <v>155.44999999999999</v>
      </c>
      <c r="I1081" s="1">
        <f ca="1">IFERROR(__xludf.DUMMYFUNCTION("""COMPUTED_VALUE"""),169.48)</f>
        <v>169.48</v>
      </c>
      <c r="J1081" s="1">
        <f ca="1">IFERROR(__xludf.DUMMYFUNCTION("""COMPUTED_VALUE"""),715.19)</f>
        <v>715.19</v>
      </c>
      <c r="K1081" s="1">
        <f ca="1">IFERROR(__xludf.DUMMYFUNCTION("""COMPUTED_VALUE"""),128.26)</f>
        <v>128.26</v>
      </c>
      <c r="L1081" s="1">
        <f ca="1">IFERROR(__xludf.DUMMYFUNCTION("""COMPUTED_VALUE"""),474.45)</f>
        <v>474.45</v>
      </c>
      <c r="M1081" s="1">
        <f ca="1">IFERROR(__xludf.DUMMYFUNCTION("""COMPUTED_VALUE"""),613.69)</f>
        <v>613.69000000000005</v>
      </c>
    </row>
    <row r="1082" spans="1:13" x14ac:dyDescent="0.25">
      <c r="A1082" s="2">
        <f ca="1">IFERROR(__xludf.DUMMYFUNCTION("""COMPUTED_VALUE"""),45401.6666666666)</f>
        <v>45401.666666666599</v>
      </c>
      <c r="B1082" s="1">
        <f ca="1">IFERROR(__xludf.DUMMYFUNCTION("""COMPUTED_VALUE"""),165)</f>
        <v>165</v>
      </c>
      <c r="C1082" s="1">
        <f ca="1">IFERROR(__xludf.DUMMYFUNCTION("""COMPUTED_VALUE"""),404.27)</f>
        <v>404.27</v>
      </c>
      <c r="D1082" s="1">
        <f ca="1">IFERROR(__xludf.DUMMYFUNCTION("""COMPUTED_VALUE"""),179.22)</f>
        <v>179.22</v>
      </c>
      <c r="E1082" s="1">
        <f ca="1">IFERROR(__xludf.DUMMYFUNCTION("""COMPUTED_VALUE"""),84.67)</f>
        <v>84.67</v>
      </c>
      <c r="F1082" s="1">
        <f ca="1">IFERROR(__xludf.DUMMYFUNCTION("""COMPUTED_VALUE"""),501.8)</f>
        <v>501.8</v>
      </c>
      <c r="G1082" s="1">
        <f ca="1">IFERROR(__xludf.DUMMYFUNCTION("""COMPUTED_VALUE"""),157.46)</f>
        <v>157.46</v>
      </c>
      <c r="H1082" s="1">
        <f ca="1">IFERROR(__xludf.DUMMYFUNCTION("""COMPUTED_VALUE"""),149.93)</f>
        <v>149.93</v>
      </c>
      <c r="I1082" s="1">
        <f ca="1">IFERROR(__xludf.DUMMYFUNCTION("""COMPUTED_VALUE"""),172.27)</f>
        <v>172.27</v>
      </c>
      <c r="J1082" s="1">
        <f ca="1">IFERROR(__xludf.DUMMYFUNCTION("""COMPUTED_VALUE"""),711.25)</f>
        <v>711.25</v>
      </c>
      <c r="K1082" s="1">
        <f ca="1">IFERROR(__xludf.DUMMYFUNCTION("""COMPUTED_VALUE"""),125.9)</f>
        <v>125.9</v>
      </c>
      <c r="L1082" s="1">
        <f ca="1">IFERROR(__xludf.DUMMYFUNCTION("""COMPUTED_VALUE"""),473.18)</f>
        <v>473.18</v>
      </c>
      <c r="M1082" s="1">
        <f ca="1">IFERROR(__xludf.DUMMYFUNCTION("""COMPUTED_VALUE"""),610.56)</f>
        <v>610.55999999999995</v>
      </c>
    </row>
    <row r="1083" spans="1:13" x14ac:dyDescent="0.25">
      <c r="A1083" s="2">
        <f ca="1">IFERROR(__xludf.DUMMYFUNCTION("""COMPUTED_VALUE"""),45404.6666666666)</f>
        <v>45404.666666666599</v>
      </c>
      <c r="B1083" s="1">
        <f ca="1">IFERROR(__xludf.DUMMYFUNCTION("""COMPUTED_VALUE"""),165.84)</f>
        <v>165.84</v>
      </c>
      <c r="C1083" s="1">
        <f ca="1">IFERROR(__xludf.DUMMYFUNCTION("""COMPUTED_VALUE"""),399.12)</f>
        <v>399.12</v>
      </c>
      <c r="D1083" s="1">
        <f ca="1">IFERROR(__xludf.DUMMYFUNCTION("""COMPUTED_VALUE"""),174.63)</f>
        <v>174.63</v>
      </c>
      <c r="E1083" s="1">
        <f ca="1">IFERROR(__xludf.DUMMYFUNCTION("""COMPUTED_VALUE"""),76.2)</f>
        <v>76.2</v>
      </c>
      <c r="F1083" s="1">
        <f ca="1">IFERROR(__xludf.DUMMYFUNCTION("""COMPUTED_VALUE"""),481.07)</f>
        <v>481.07</v>
      </c>
      <c r="G1083" s="1">
        <f ca="1">IFERROR(__xludf.DUMMYFUNCTION("""COMPUTED_VALUE"""),155.72)</f>
        <v>155.72</v>
      </c>
      <c r="H1083" s="1">
        <f ca="1">IFERROR(__xludf.DUMMYFUNCTION("""COMPUTED_VALUE"""),147.05)</f>
        <v>147.05000000000001</v>
      </c>
      <c r="I1083" s="1">
        <f ca="1">IFERROR(__xludf.DUMMYFUNCTION("""COMPUTED_VALUE"""),174.13)</f>
        <v>174.13</v>
      </c>
      <c r="J1083" s="1">
        <f ca="1">IFERROR(__xludf.DUMMYFUNCTION("""COMPUTED_VALUE"""),709.51)</f>
        <v>709.51</v>
      </c>
      <c r="K1083" s="1">
        <f ca="1">IFERROR(__xludf.DUMMYFUNCTION("""COMPUTED_VALUE"""),120.47)</f>
        <v>120.47</v>
      </c>
      <c r="L1083" s="1">
        <f ca="1">IFERROR(__xludf.DUMMYFUNCTION("""COMPUTED_VALUE"""),465.02)</f>
        <v>465.02</v>
      </c>
      <c r="M1083" s="1">
        <f ca="1">IFERROR(__xludf.DUMMYFUNCTION("""COMPUTED_VALUE"""),555.04)</f>
        <v>555.04</v>
      </c>
    </row>
    <row r="1084" spans="1:13" x14ac:dyDescent="0.25">
      <c r="A1084" s="2">
        <f ca="1">IFERROR(__xludf.DUMMYFUNCTION("""COMPUTED_VALUE"""),45405.6666666666)</f>
        <v>45405.666666666599</v>
      </c>
      <c r="B1084" s="1">
        <f ca="1">IFERROR(__xludf.DUMMYFUNCTION("""COMPUTED_VALUE"""),166.9)</f>
        <v>166.9</v>
      </c>
      <c r="C1084" s="1">
        <f ca="1">IFERROR(__xludf.DUMMYFUNCTION("""COMPUTED_VALUE"""),400.96)</f>
        <v>400.96</v>
      </c>
      <c r="D1084" s="1">
        <f ca="1">IFERROR(__xludf.DUMMYFUNCTION("""COMPUTED_VALUE"""),177.23)</f>
        <v>177.23</v>
      </c>
      <c r="E1084" s="1">
        <f ca="1">IFERROR(__xludf.DUMMYFUNCTION("""COMPUTED_VALUE"""),79.52)</f>
        <v>79.52</v>
      </c>
      <c r="F1084" s="1">
        <f ca="1">IFERROR(__xludf.DUMMYFUNCTION("""COMPUTED_VALUE"""),481.73)</f>
        <v>481.73</v>
      </c>
      <c r="G1084" s="1">
        <f ca="1">IFERROR(__xludf.DUMMYFUNCTION("""COMPUTED_VALUE"""),157.95)</f>
        <v>157.94999999999999</v>
      </c>
      <c r="H1084" s="1">
        <f ca="1">IFERROR(__xludf.DUMMYFUNCTION("""COMPUTED_VALUE"""),142.05)</f>
        <v>142.05000000000001</v>
      </c>
      <c r="I1084" s="1">
        <f ca="1">IFERROR(__xludf.DUMMYFUNCTION("""COMPUTED_VALUE"""),176.46)</f>
        <v>176.46</v>
      </c>
      <c r="J1084" s="1">
        <f ca="1">IFERROR(__xludf.DUMMYFUNCTION("""COMPUTED_VALUE"""),715.46)</f>
        <v>715.46</v>
      </c>
      <c r="K1084" s="1">
        <f ca="1">IFERROR(__xludf.DUMMYFUNCTION("""COMPUTED_VALUE"""),122.45)</f>
        <v>122.45</v>
      </c>
      <c r="L1084" s="1">
        <f ca="1">IFERROR(__xludf.DUMMYFUNCTION("""COMPUTED_VALUE"""),466.89)</f>
        <v>466.89</v>
      </c>
      <c r="M1084" s="1">
        <f ca="1">IFERROR(__xludf.DUMMYFUNCTION("""COMPUTED_VALUE"""),554.6)</f>
        <v>554.6</v>
      </c>
    </row>
    <row r="1085" spans="1:13" x14ac:dyDescent="0.25">
      <c r="A1085" s="2">
        <f ca="1">IFERROR(__xludf.DUMMYFUNCTION("""COMPUTED_VALUE"""),45406.6666666666)</f>
        <v>45406.666666666599</v>
      </c>
      <c r="B1085" s="1">
        <f ca="1">IFERROR(__xludf.DUMMYFUNCTION("""COMPUTED_VALUE"""),169.02)</f>
        <v>169.02</v>
      </c>
      <c r="C1085" s="1">
        <f ca="1">IFERROR(__xludf.DUMMYFUNCTION("""COMPUTED_VALUE"""),407.57)</f>
        <v>407.57</v>
      </c>
      <c r="D1085" s="1">
        <f ca="1">IFERROR(__xludf.DUMMYFUNCTION("""COMPUTED_VALUE"""),179.54)</f>
        <v>179.54</v>
      </c>
      <c r="E1085" s="1">
        <f ca="1">IFERROR(__xludf.DUMMYFUNCTION("""COMPUTED_VALUE"""),82.42)</f>
        <v>82.42</v>
      </c>
      <c r="F1085" s="1">
        <f ca="1">IFERROR(__xludf.DUMMYFUNCTION("""COMPUTED_VALUE"""),496.1)</f>
        <v>496.1</v>
      </c>
      <c r="G1085" s="1">
        <f ca="1">IFERROR(__xludf.DUMMYFUNCTION("""COMPUTED_VALUE"""),159.92)</f>
        <v>159.91999999999999</v>
      </c>
      <c r="H1085" s="1">
        <f ca="1">IFERROR(__xludf.DUMMYFUNCTION("""COMPUTED_VALUE"""),144.68)</f>
        <v>144.68</v>
      </c>
      <c r="I1085" s="1">
        <f ca="1">IFERROR(__xludf.DUMMYFUNCTION("""COMPUTED_VALUE"""),171.22)</f>
        <v>171.22</v>
      </c>
      <c r="J1085" s="1">
        <f ca="1">IFERROR(__xludf.DUMMYFUNCTION("""COMPUTED_VALUE"""),722.68)</f>
        <v>722.68</v>
      </c>
      <c r="K1085" s="1">
        <f ca="1">IFERROR(__xludf.DUMMYFUNCTION("""COMPUTED_VALUE"""),124.92)</f>
        <v>124.92</v>
      </c>
      <c r="L1085" s="1">
        <f ca="1">IFERROR(__xludf.DUMMYFUNCTION("""COMPUTED_VALUE"""),472.9)</f>
        <v>472.9</v>
      </c>
      <c r="M1085" s="1">
        <f ca="1">IFERROR(__xludf.DUMMYFUNCTION("""COMPUTED_VALUE"""),577.75)</f>
        <v>577.75</v>
      </c>
    </row>
    <row r="1086" spans="1:13" x14ac:dyDescent="0.25">
      <c r="A1086" s="2">
        <f ca="1">IFERROR(__xludf.DUMMYFUNCTION("""COMPUTED_VALUE"""),45407.6666666666)</f>
        <v>45407.666666666599</v>
      </c>
      <c r="B1086" s="1">
        <f ca="1">IFERROR(__xludf.DUMMYFUNCTION("""COMPUTED_VALUE"""),169.89)</f>
        <v>169.89</v>
      </c>
      <c r="C1086" s="1">
        <f ca="1">IFERROR(__xludf.DUMMYFUNCTION("""COMPUTED_VALUE"""),409.06)</f>
        <v>409.06</v>
      </c>
      <c r="D1086" s="1">
        <f ca="1">IFERROR(__xludf.DUMMYFUNCTION("""COMPUTED_VALUE"""),176.59)</f>
        <v>176.59</v>
      </c>
      <c r="E1086" s="1">
        <f ca="1">IFERROR(__xludf.DUMMYFUNCTION("""COMPUTED_VALUE"""),79.68)</f>
        <v>79.680000000000007</v>
      </c>
      <c r="F1086" s="1">
        <f ca="1">IFERROR(__xludf.DUMMYFUNCTION("""COMPUTED_VALUE"""),493.5)</f>
        <v>493.5</v>
      </c>
      <c r="G1086" s="1">
        <f ca="1">IFERROR(__xludf.DUMMYFUNCTION("""COMPUTED_VALUE"""),161.1)</f>
        <v>161.1</v>
      </c>
      <c r="H1086" s="1">
        <f ca="1">IFERROR(__xludf.DUMMYFUNCTION("""COMPUTED_VALUE"""),162.13)</f>
        <v>162.13</v>
      </c>
      <c r="I1086" s="1">
        <f ca="1">IFERROR(__xludf.DUMMYFUNCTION("""COMPUTED_VALUE"""),177.41)</f>
        <v>177.41</v>
      </c>
      <c r="J1086" s="1">
        <f ca="1">IFERROR(__xludf.DUMMYFUNCTION("""COMPUTED_VALUE"""),723.89)</f>
        <v>723.89</v>
      </c>
      <c r="K1086" s="1">
        <f ca="1">IFERROR(__xludf.DUMMYFUNCTION("""COMPUTED_VALUE"""),125.68)</f>
        <v>125.68</v>
      </c>
      <c r="L1086" s="1">
        <f ca="1">IFERROR(__xludf.DUMMYFUNCTION("""COMPUTED_VALUE"""),477.12)</f>
        <v>477.12</v>
      </c>
      <c r="M1086" s="1">
        <f ca="1">IFERROR(__xludf.DUMMYFUNCTION("""COMPUTED_VALUE"""),555.12)</f>
        <v>555.12</v>
      </c>
    </row>
    <row r="1087" spans="1:13" x14ac:dyDescent="0.25">
      <c r="A1087" s="2">
        <f ca="1">IFERROR(__xludf.DUMMYFUNCTION("""COMPUTED_VALUE"""),45408.6666666666)</f>
        <v>45408.666666666599</v>
      </c>
      <c r="B1087" s="1">
        <f ca="1">IFERROR(__xludf.DUMMYFUNCTION("""COMPUTED_VALUE"""),169.3)</f>
        <v>169.3</v>
      </c>
      <c r="C1087" s="1">
        <f ca="1">IFERROR(__xludf.DUMMYFUNCTION("""COMPUTED_VALUE"""),399.04)</f>
        <v>399.04</v>
      </c>
      <c r="D1087" s="1">
        <f ca="1">IFERROR(__xludf.DUMMYFUNCTION("""COMPUTED_VALUE"""),173.67)</f>
        <v>173.67</v>
      </c>
      <c r="E1087" s="1">
        <f ca="1">IFERROR(__xludf.DUMMYFUNCTION("""COMPUTED_VALUE"""),82.63)</f>
        <v>82.63</v>
      </c>
      <c r="F1087" s="1">
        <f ca="1">IFERROR(__xludf.DUMMYFUNCTION("""COMPUTED_VALUE"""),441.38)</f>
        <v>441.38</v>
      </c>
      <c r="G1087" s="1">
        <f ca="1">IFERROR(__xludf.DUMMYFUNCTION("""COMPUTED_VALUE"""),157.95)</f>
        <v>157.94999999999999</v>
      </c>
      <c r="H1087" s="1">
        <f ca="1">IFERROR(__xludf.DUMMYFUNCTION("""COMPUTED_VALUE"""),170.18)</f>
        <v>170.18</v>
      </c>
      <c r="I1087" s="1">
        <f ca="1">IFERROR(__xludf.DUMMYFUNCTION("""COMPUTED_VALUE"""),176.68)</f>
        <v>176.68</v>
      </c>
      <c r="J1087" s="1">
        <f ca="1">IFERROR(__xludf.DUMMYFUNCTION("""COMPUTED_VALUE"""),721.86)</f>
        <v>721.86</v>
      </c>
      <c r="K1087" s="1">
        <f ca="1">IFERROR(__xludf.DUMMYFUNCTION("""COMPUTED_VALUE"""),129.44)</f>
        <v>129.44</v>
      </c>
      <c r="L1087" s="1">
        <f ca="1">IFERROR(__xludf.DUMMYFUNCTION("""COMPUTED_VALUE"""),473.44)</f>
        <v>473.44</v>
      </c>
      <c r="M1087" s="1">
        <f ca="1">IFERROR(__xludf.DUMMYFUNCTION("""COMPUTED_VALUE"""),564.8)</f>
        <v>564.79999999999995</v>
      </c>
    </row>
    <row r="1088" spans="1:13" x14ac:dyDescent="0.25">
      <c r="A1088" s="2">
        <f ca="1">IFERROR(__xludf.DUMMYFUNCTION("""COMPUTED_VALUE"""),45411.6666666666)</f>
        <v>45411.666666666599</v>
      </c>
      <c r="B1088" s="1">
        <f ca="1">IFERROR(__xludf.DUMMYFUNCTION("""COMPUTED_VALUE"""),173.5)</f>
        <v>173.5</v>
      </c>
      <c r="C1088" s="1">
        <f ca="1">IFERROR(__xludf.DUMMYFUNCTION("""COMPUTED_VALUE"""),406.32)</f>
        <v>406.32</v>
      </c>
      <c r="D1088" s="1">
        <f ca="1">IFERROR(__xludf.DUMMYFUNCTION("""COMPUTED_VALUE"""),179.62)</f>
        <v>179.62</v>
      </c>
      <c r="E1088" s="1">
        <f ca="1">IFERROR(__xludf.DUMMYFUNCTION("""COMPUTED_VALUE"""),87.74)</f>
        <v>87.74</v>
      </c>
      <c r="F1088" s="1">
        <f ca="1">IFERROR(__xludf.DUMMYFUNCTION("""COMPUTED_VALUE"""),443.29)</f>
        <v>443.29</v>
      </c>
      <c r="G1088" s="1">
        <f ca="1">IFERROR(__xludf.DUMMYFUNCTION("""COMPUTED_VALUE"""),173.69)</f>
        <v>173.69</v>
      </c>
      <c r="H1088" s="1">
        <f ca="1">IFERROR(__xludf.DUMMYFUNCTION("""COMPUTED_VALUE"""),168.29)</f>
        <v>168.29</v>
      </c>
      <c r="I1088" s="1">
        <f ca="1">IFERROR(__xludf.DUMMYFUNCTION("""COMPUTED_VALUE"""),175.58)</f>
        <v>175.58</v>
      </c>
      <c r="J1088" s="1">
        <f ca="1">IFERROR(__xludf.DUMMYFUNCTION("""COMPUTED_VALUE"""),729.18)</f>
        <v>729.18</v>
      </c>
      <c r="K1088" s="1">
        <f ca="1">IFERROR(__xludf.DUMMYFUNCTION("""COMPUTED_VALUE"""),134.41)</f>
        <v>134.41</v>
      </c>
      <c r="L1088" s="1">
        <f ca="1">IFERROR(__xludf.DUMMYFUNCTION("""COMPUTED_VALUE"""),477.56)</f>
        <v>477.56</v>
      </c>
      <c r="M1088" s="1">
        <f ca="1">IFERROR(__xludf.DUMMYFUNCTION("""COMPUTED_VALUE"""),561.23)</f>
        <v>561.23</v>
      </c>
    </row>
    <row r="1089" spans="1:13" x14ac:dyDescent="0.25">
      <c r="A1089" s="2">
        <f ca="1">IFERROR(__xludf.DUMMYFUNCTION("""COMPUTED_VALUE"""),45412.6666666666)</f>
        <v>45412.666666666599</v>
      </c>
      <c r="B1089" s="1">
        <f ca="1">IFERROR(__xludf.DUMMYFUNCTION("""COMPUTED_VALUE"""),170.33)</f>
        <v>170.33</v>
      </c>
      <c r="C1089" s="1">
        <f ca="1">IFERROR(__xludf.DUMMYFUNCTION("""COMPUTED_VALUE"""),402.25)</f>
        <v>402.25</v>
      </c>
      <c r="D1089" s="1">
        <f ca="1">IFERROR(__xludf.DUMMYFUNCTION("""COMPUTED_VALUE"""),180.96)</f>
        <v>180.96</v>
      </c>
      <c r="E1089" s="1">
        <f ca="1">IFERROR(__xludf.DUMMYFUNCTION("""COMPUTED_VALUE"""),87.76)</f>
        <v>87.76</v>
      </c>
      <c r="F1089" s="1">
        <f ca="1">IFERROR(__xludf.DUMMYFUNCTION("""COMPUTED_VALUE"""),432.62)</f>
        <v>432.62</v>
      </c>
      <c r="G1089" s="1">
        <f ca="1">IFERROR(__xludf.DUMMYFUNCTION("""COMPUTED_VALUE"""),167.9)</f>
        <v>167.9</v>
      </c>
      <c r="H1089" s="1">
        <f ca="1">IFERROR(__xludf.DUMMYFUNCTION("""COMPUTED_VALUE"""),194.05)</f>
        <v>194.05</v>
      </c>
      <c r="I1089" s="1">
        <f ca="1">IFERROR(__xludf.DUMMYFUNCTION("""COMPUTED_VALUE"""),176.14)</f>
        <v>176.14</v>
      </c>
      <c r="J1089" s="1">
        <f ca="1">IFERROR(__xludf.DUMMYFUNCTION("""COMPUTED_VALUE"""),726.33)</f>
        <v>726.33</v>
      </c>
      <c r="K1089" s="1">
        <f ca="1">IFERROR(__xludf.DUMMYFUNCTION("""COMPUTED_VALUE"""),133.86)</f>
        <v>133.86000000000001</v>
      </c>
      <c r="L1089" s="1">
        <f ca="1">IFERROR(__xludf.DUMMYFUNCTION("""COMPUTED_VALUE"""),473.07)</f>
        <v>473.07</v>
      </c>
      <c r="M1089" s="1">
        <f ca="1">IFERROR(__xludf.DUMMYFUNCTION("""COMPUTED_VALUE"""),559.49)</f>
        <v>559.49</v>
      </c>
    </row>
    <row r="1090" spans="1:13" x14ac:dyDescent="0.25">
      <c r="A1090" s="2">
        <f ca="1">IFERROR(__xludf.DUMMYFUNCTION("""COMPUTED_VALUE"""),45413.6666666666)</f>
        <v>45413.666666666599</v>
      </c>
      <c r="B1090" s="1">
        <f ca="1">IFERROR(__xludf.DUMMYFUNCTION("""COMPUTED_VALUE"""),169.3)</f>
        <v>169.3</v>
      </c>
      <c r="C1090" s="1">
        <f ca="1">IFERROR(__xludf.DUMMYFUNCTION("""COMPUTED_VALUE"""),389.33)</f>
        <v>389.33</v>
      </c>
      <c r="D1090" s="1">
        <f ca="1">IFERROR(__xludf.DUMMYFUNCTION("""COMPUTED_VALUE"""),175)</f>
        <v>175</v>
      </c>
      <c r="E1090" s="1">
        <f ca="1">IFERROR(__xludf.DUMMYFUNCTION("""COMPUTED_VALUE"""),86.4)</f>
        <v>86.4</v>
      </c>
      <c r="F1090" s="1">
        <f ca="1">IFERROR(__xludf.DUMMYFUNCTION("""COMPUTED_VALUE"""),430.17)</f>
        <v>430.17</v>
      </c>
      <c r="G1090" s="1">
        <f ca="1">IFERROR(__xludf.DUMMYFUNCTION("""COMPUTED_VALUE"""),164.64)</f>
        <v>164.64</v>
      </c>
      <c r="H1090" s="1">
        <f ca="1">IFERROR(__xludf.DUMMYFUNCTION("""COMPUTED_VALUE"""),183.28)</f>
        <v>183.28</v>
      </c>
      <c r="I1090" s="1">
        <f ca="1">IFERROR(__xludf.DUMMYFUNCTION("""COMPUTED_VALUE"""),175.91)</f>
        <v>175.91</v>
      </c>
      <c r="J1090" s="1">
        <f ca="1">IFERROR(__xludf.DUMMYFUNCTION("""COMPUTED_VALUE"""),722.9)</f>
        <v>722.9</v>
      </c>
      <c r="K1090" s="1">
        <f ca="1">IFERROR(__xludf.DUMMYFUNCTION("""COMPUTED_VALUE"""),130.03)</f>
        <v>130.03</v>
      </c>
      <c r="L1090" s="1">
        <f ca="1">IFERROR(__xludf.DUMMYFUNCTION("""COMPUTED_VALUE"""),462.83)</f>
        <v>462.83</v>
      </c>
      <c r="M1090" s="1">
        <f ca="1">IFERROR(__xludf.DUMMYFUNCTION("""COMPUTED_VALUE"""),550.64)</f>
        <v>550.64</v>
      </c>
    </row>
    <row r="1091" spans="1:13" x14ac:dyDescent="0.25">
      <c r="A1091" s="2">
        <f ca="1">IFERROR(__xludf.DUMMYFUNCTION("""COMPUTED_VALUE"""),45414.6666666666)</f>
        <v>45414.666666666599</v>
      </c>
      <c r="B1091" s="1">
        <f ca="1">IFERROR(__xludf.DUMMYFUNCTION("""COMPUTED_VALUE"""),173.03)</f>
        <v>173.03</v>
      </c>
      <c r="C1091" s="1">
        <f ca="1">IFERROR(__xludf.DUMMYFUNCTION("""COMPUTED_VALUE"""),394.94)</f>
        <v>394.94</v>
      </c>
      <c r="D1091" s="1">
        <f ca="1">IFERROR(__xludf.DUMMYFUNCTION("""COMPUTED_VALUE"""),179)</f>
        <v>179</v>
      </c>
      <c r="E1091" s="1">
        <f ca="1">IFERROR(__xludf.DUMMYFUNCTION("""COMPUTED_VALUE"""),83.04)</f>
        <v>83.04</v>
      </c>
      <c r="F1091" s="1">
        <f ca="1">IFERROR(__xludf.DUMMYFUNCTION("""COMPUTED_VALUE"""),439.19)</f>
        <v>439.19</v>
      </c>
      <c r="G1091" s="1">
        <f ca="1">IFERROR(__xludf.DUMMYFUNCTION("""COMPUTED_VALUE"""),165.57)</f>
        <v>165.57</v>
      </c>
      <c r="H1091" s="1">
        <f ca="1">IFERROR(__xludf.DUMMYFUNCTION("""COMPUTED_VALUE"""),179.99)</f>
        <v>179.99</v>
      </c>
      <c r="I1091" s="1">
        <f ca="1">IFERROR(__xludf.DUMMYFUNCTION("""COMPUTED_VALUE"""),175.15)</f>
        <v>175.15</v>
      </c>
      <c r="J1091" s="1">
        <f ca="1">IFERROR(__xludf.DUMMYFUNCTION("""COMPUTED_VALUE"""),722.22)</f>
        <v>722.22</v>
      </c>
      <c r="K1091" s="1">
        <f ca="1">IFERROR(__xludf.DUMMYFUNCTION("""COMPUTED_VALUE"""),124.29)</f>
        <v>124.29</v>
      </c>
      <c r="L1091" s="1">
        <f ca="1">IFERROR(__xludf.DUMMYFUNCTION("""COMPUTED_VALUE"""),469.39)</f>
        <v>469.39</v>
      </c>
      <c r="M1091" s="1">
        <f ca="1">IFERROR(__xludf.DUMMYFUNCTION("""COMPUTED_VALUE"""),551.71)</f>
        <v>551.71</v>
      </c>
    </row>
    <row r="1092" spans="1:13" x14ac:dyDescent="0.25">
      <c r="A1092" s="2">
        <f ca="1">IFERROR(__xludf.DUMMYFUNCTION("""COMPUTED_VALUE"""),45415.6666666666)</f>
        <v>45415.666666666599</v>
      </c>
      <c r="B1092" s="1">
        <f ca="1">IFERROR(__xludf.DUMMYFUNCTION("""COMPUTED_VALUE"""),183.38)</f>
        <v>183.38</v>
      </c>
      <c r="C1092" s="1">
        <f ca="1">IFERROR(__xludf.DUMMYFUNCTION("""COMPUTED_VALUE"""),397.84)</f>
        <v>397.84</v>
      </c>
      <c r="D1092" s="1">
        <f ca="1">IFERROR(__xludf.DUMMYFUNCTION("""COMPUTED_VALUE"""),184.72)</f>
        <v>184.72</v>
      </c>
      <c r="E1092" s="1">
        <f ca="1">IFERROR(__xludf.DUMMYFUNCTION("""COMPUTED_VALUE"""),85.82)</f>
        <v>85.82</v>
      </c>
      <c r="F1092" s="1">
        <f ca="1">IFERROR(__xludf.DUMMYFUNCTION("""COMPUTED_VALUE"""),441.68)</f>
        <v>441.68</v>
      </c>
      <c r="G1092" s="1">
        <f ca="1">IFERROR(__xludf.DUMMYFUNCTION("""COMPUTED_VALUE"""),168.46)</f>
        <v>168.46</v>
      </c>
      <c r="H1092" s="1">
        <f ca="1">IFERROR(__xludf.DUMMYFUNCTION("""COMPUTED_VALUE"""),180.01)</f>
        <v>180.01</v>
      </c>
      <c r="I1092" s="1">
        <f ca="1">IFERROR(__xludf.DUMMYFUNCTION("""COMPUTED_VALUE"""),175.45)</f>
        <v>175.45</v>
      </c>
      <c r="J1092" s="1">
        <f ca="1">IFERROR(__xludf.DUMMYFUNCTION("""COMPUTED_VALUE"""),732.44)</f>
        <v>732.44</v>
      </c>
      <c r="K1092" s="1">
        <f ca="1">IFERROR(__xludf.DUMMYFUNCTION("""COMPUTED_VALUE"""),123.86)</f>
        <v>123.86</v>
      </c>
      <c r="L1092" s="1">
        <f ca="1">IFERROR(__xludf.DUMMYFUNCTION("""COMPUTED_VALUE"""),476.57)</f>
        <v>476.57</v>
      </c>
      <c r="M1092" s="1">
        <f ca="1">IFERROR(__xludf.DUMMYFUNCTION("""COMPUTED_VALUE"""),565.15)</f>
        <v>565.15</v>
      </c>
    </row>
    <row r="1093" spans="1:13" x14ac:dyDescent="0.25">
      <c r="A1093" s="2">
        <f ca="1">IFERROR(__xludf.DUMMYFUNCTION("""COMPUTED_VALUE"""),45418.6666666666)</f>
        <v>45418.666666666599</v>
      </c>
      <c r="B1093" s="1">
        <f ca="1">IFERROR(__xludf.DUMMYFUNCTION("""COMPUTED_VALUE"""),181.71)</f>
        <v>181.71</v>
      </c>
      <c r="C1093" s="1">
        <f ca="1">IFERROR(__xludf.DUMMYFUNCTION("""COMPUTED_VALUE"""),406.66)</f>
        <v>406.66</v>
      </c>
      <c r="D1093" s="1">
        <f ca="1">IFERROR(__xludf.DUMMYFUNCTION("""COMPUTED_VALUE"""),186.21)</f>
        <v>186.21</v>
      </c>
      <c r="E1093" s="1">
        <f ca="1">IFERROR(__xludf.DUMMYFUNCTION("""COMPUTED_VALUE"""),88.79)</f>
        <v>88.79</v>
      </c>
      <c r="F1093" s="1">
        <f ca="1">IFERROR(__xludf.DUMMYFUNCTION("""COMPUTED_VALUE"""),451.96)</f>
        <v>451.96</v>
      </c>
      <c r="G1093" s="1">
        <f ca="1">IFERROR(__xludf.DUMMYFUNCTION("""COMPUTED_VALUE"""),168.99)</f>
        <v>168.99</v>
      </c>
      <c r="H1093" s="1">
        <f ca="1">IFERROR(__xludf.DUMMYFUNCTION("""COMPUTED_VALUE"""),181.19)</f>
        <v>181.19</v>
      </c>
      <c r="I1093" s="1">
        <f ca="1">IFERROR(__xludf.DUMMYFUNCTION("""COMPUTED_VALUE"""),176.15)</f>
        <v>176.15</v>
      </c>
      <c r="J1093" s="1">
        <f ca="1">IFERROR(__xludf.DUMMYFUNCTION("""COMPUTED_VALUE"""),743.9)</f>
        <v>743.9</v>
      </c>
      <c r="K1093" s="1">
        <f ca="1">IFERROR(__xludf.DUMMYFUNCTION("""COMPUTED_VALUE"""),127.81)</f>
        <v>127.81</v>
      </c>
      <c r="L1093" s="1">
        <f ca="1">IFERROR(__xludf.DUMMYFUNCTION("""COMPUTED_VALUE"""),486.18)</f>
        <v>486.18</v>
      </c>
      <c r="M1093" s="1">
        <f ca="1">IFERROR(__xludf.DUMMYFUNCTION("""COMPUTED_VALUE"""),579.34)</f>
        <v>579.34</v>
      </c>
    </row>
    <row r="1094" spans="1:13" x14ac:dyDescent="0.25">
      <c r="A1094" s="2">
        <f ca="1">IFERROR(__xludf.DUMMYFUNCTION("""COMPUTED_VALUE"""),45419.6666666666)</f>
        <v>45419.666666666599</v>
      </c>
      <c r="B1094" s="1">
        <f ca="1">IFERROR(__xludf.DUMMYFUNCTION("""COMPUTED_VALUE"""),182.4)</f>
        <v>182.4</v>
      </c>
      <c r="C1094" s="1">
        <f ca="1">IFERROR(__xludf.DUMMYFUNCTION("""COMPUTED_VALUE"""),413.54)</f>
        <v>413.54</v>
      </c>
      <c r="D1094" s="1">
        <f ca="1">IFERROR(__xludf.DUMMYFUNCTION("""COMPUTED_VALUE"""),188.7)</f>
        <v>188.7</v>
      </c>
      <c r="E1094" s="1">
        <f ca="1">IFERROR(__xludf.DUMMYFUNCTION("""COMPUTED_VALUE"""),92.14)</f>
        <v>92.14</v>
      </c>
      <c r="F1094" s="1">
        <f ca="1">IFERROR(__xludf.DUMMYFUNCTION("""COMPUTED_VALUE"""),465.68)</f>
        <v>465.68</v>
      </c>
      <c r="G1094" s="1">
        <f ca="1">IFERROR(__xludf.DUMMYFUNCTION("""COMPUTED_VALUE"""),169.83)</f>
        <v>169.83</v>
      </c>
      <c r="H1094" s="1">
        <f ca="1">IFERROR(__xludf.DUMMYFUNCTION("""COMPUTED_VALUE"""),184.76)</f>
        <v>184.76</v>
      </c>
      <c r="I1094" s="1">
        <f ca="1">IFERROR(__xludf.DUMMYFUNCTION("""COMPUTED_VALUE"""),175.82)</f>
        <v>175.82</v>
      </c>
      <c r="J1094" s="1">
        <f ca="1">IFERROR(__xludf.DUMMYFUNCTION("""COMPUTED_VALUE"""),756.45)</f>
        <v>756.45</v>
      </c>
      <c r="K1094" s="1">
        <f ca="1">IFERROR(__xludf.DUMMYFUNCTION("""COMPUTED_VALUE"""),131.03)</f>
        <v>131.03</v>
      </c>
      <c r="L1094" s="1">
        <f ca="1">IFERROR(__xludf.DUMMYFUNCTION("""COMPUTED_VALUE"""),493.59)</f>
        <v>493.59</v>
      </c>
      <c r="M1094" s="1">
        <f ca="1">IFERROR(__xludf.DUMMYFUNCTION("""COMPUTED_VALUE"""),596.97)</f>
        <v>596.97</v>
      </c>
    </row>
    <row r="1095" spans="1:13" x14ac:dyDescent="0.25">
      <c r="A1095" s="2">
        <f ca="1">IFERROR(__xludf.DUMMYFUNCTION("""COMPUTED_VALUE"""),45420.6666666666)</f>
        <v>45420.666666666599</v>
      </c>
      <c r="B1095" s="1">
        <f ca="1">IFERROR(__xludf.DUMMYFUNCTION("""COMPUTED_VALUE"""),182.74)</f>
        <v>182.74</v>
      </c>
      <c r="C1095" s="1">
        <f ca="1">IFERROR(__xludf.DUMMYFUNCTION("""COMPUTED_VALUE"""),409.34)</f>
        <v>409.34</v>
      </c>
      <c r="D1095" s="1">
        <f ca="1">IFERROR(__xludf.DUMMYFUNCTION("""COMPUTED_VALUE"""),188.76)</f>
        <v>188.76</v>
      </c>
      <c r="E1095" s="1">
        <f ca="1">IFERROR(__xludf.DUMMYFUNCTION("""COMPUTED_VALUE"""),90.55)</f>
        <v>90.55</v>
      </c>
      <c r="F1095" s="1">
        <f ca="1">IFERROR(__xludf.DUMMYFUNCTION("""COMPUTED_VALUE"""),468.24)</f>
        <v>468.24</v>
      </c>
      <c r="G1095" s="1">
        <f ca="1">IFERROR(__xludf.DUMMYFUNCTION("""COMPUTED_VALUE"""),172.98)</f>
        <v>172.98</v>
      </c>
      <c r="H1095" s="1">
        <f ca="1">IFERROR(__xludf.DUMMYFUNCTION("""COMPUTED_VALUE"""),177.81)</f>
        <v>177.81</v>
      </c>
      <c r="I1095" s="1">
        <f ca="1">IFERROR(__xludf.DUMMYFUNCTION("""COMPUTED_VALUE"""),178.02)</f>
        <v>178.02</v>
      </c>
      <c r="J1095" s="1">
        <f ca="1">IFERROR(__xludf.DUMMYFUNCTION("""COMPUTED_VALUE"""),771.31)</f>
        <v>771.31</v>
      </c>
      <c r="K1095" s="1">
        <f ca="1">IFERROR(__xludf.DUMMYFUNCTION("""COMPUTED_VALUE"""),130.31)</f>
        <v>130.31</v>
      </c>
      <c r="L1095" s="1">
        <f ca="1">IFERROR(__xludf.DUMMYFUNCTION("""COMPUTED_VALUE"""),492.27)</f>
        <v>492.27</v>
      </c>
      <c r="M1095" s="1">
        <f ca="1">IFERROR(__xludf.DUMMYFUNCTION("""COMPUTED_VALUE"""),606)</f>
        <v>606</v>
      </c>
    </row>
    <row r="1096" spans="1:13" x14ac:dyDescent="0.25">
      <c r="A1096" s="2">
        <f ca="1">IFERROR(__xludf.DUMMYFUNCTION("""COMPUTED_VALUE"""),45421.6666666666)</f>
        <v>45421.666666666599</v>
      </c>
      <c r="B1096" s="1">
        <f ca="1">IFERROR(__xludf.DUMMYFUNCTION("""COMPUTED_VALUE"""),184.57)</f>
        <v>184.57</v>
      </c>
      <c r="C1096" s="1">
        <f ca="1">IFERROR(__xludf.DUMMYFUNCTION("""COMPUTED_VALUE"""),410.54)</f>
        <v>410.54</v>
      </c>
      <c r="D1096" s="1">
        <f ca="1">IFERROR(__xludf.DUMMYFUNCTION("""COMPUTED_VALUE"""),188)</f>
        <v>188</v>
      </c>
      <c r="E1096" s="1">
        <f ca="1">IFERROR(__xludf.DUMMYFUNCTION("""COMPUTED_VALUE"""),90.41)</f>
        <v>90.41</v>
      </c>
      <c r="F1096" s="1">
        <f ca="1">IFERROR(__xludf.DUMMYFUNCTION("""COMPUTED_VALUE"""),472.6)</f>
        <v>472.6</v>
      </c>
      <c r="G1096" s="1">
        <f ca="1">IFERROR(__xludf.DUMMYFUNCTION("""COMPUTED_VALUE"""),171.16)</f>
        <v>171.16</v>
      </c>
      <c r="H1096" s="1">
        <f ca="1">IFERROR(__xludf.DUMMYFUNCTION("""COMPUTED_VALUE"""),174.72)</f>
        <v>174.72</v>
      </c>
      <c r="I1096" s="1">
        <f ca="1">IFERROR(__xludf.DUMMYFUNCTION("""COMPUTED_VALUE"""),177.41)</f>
        <v>177.41</v>
      </c>
      <c r="J1096" s="1">
        <f ca="1">IFERROR(__xludf.DUMMYFUNCTION("""COMPUTED_VALUE"""),763.41)</f>
        <v>763.41</v>
      </c>
      <c r="K1096" s="1">
        <f ca="1">IFERROR(__xludf.DUMMYFUNCTION("""COMPUTED_VALUE"""),132.54)</f>
        <v>132.54</v>
      </c>
      <c r="L1096" s="1">
        <f ca="1">IFERROR(__xludf.DUMMYFUNCTION("""COMPUTED_VALUE"""),488.1)</f>
        <v>488.1</v>
      </c>
      <c r="M1096" s="1">
        <f ca="1">IFERROR(__xludf.DUMMYFUNCTION("""COMPUTED_VALUE"""),609.47)</f>
        <v>609.47</v>
      </c>
    </row>
    <row r="1097" spans="1:13" x14ac:dyDescent="0.25">
      <c r="A1097" s="2">
        <f ca="1">IFERROR(__xludf.DUMMYFUNCTION("""COMPUTED_VALUE"""),45422.6666666666)</f>
        <v>45422.666666666599</v>
      </c>
      <c r="B1097" s="1">
        <f ca="1">IFERROR(__xludf.DUMMYFUNCTION("""COMPUTED_VALUE"""),183.05)</f>
        <v>183.05</v>
      </c>
      <c r="C1097" s="1">
        <f ca="1">IFERROR(__xludf.DUMMYFUNCTION("""COMPUTED_VALUE"""),412.32)</f>
        <v>412.32</v>
      </c>
      <c r="D1097" s="1">
        <f ca="1">IFERROR(__xludf.DUMMYFUNCTION("""COMPUTED_VALUE"""),189.5)</f>
        <v>189.5</v>
      </c>
      <c r="E1097" s="1">
        <f ca="1">IFERROR(__xludf.DUMMYFUNCTION("""COMPUTED_VALUE"""),88.75)</f>
        <v>88.75</v>
      </c>
      <c r="F1097" s="1">
        <f ca="1">IFERROR(__xludf.DUMMYFUNCTION("""COMPUTED_VALUE"""),475.42)</f>
        <v>475.42</v>
      </c>
      <c r="G1097" s="1">
        <f ca="1">IFERROR(__xludf.DUMMYFUNCTION("""COMPUTED_VALUE"""),171.58)</f>
        <v>171.58</v>
      </c>
      <c r="H1097" s="1">
        <f ca="1">IFERROR(__xludf.DUMMYFUNCTION("""COMPUTED_VALUE"""),171.97)</f>
        <v>171.97</v>
      </c>
      <c r="I1097" s="1">
        <f ca="1">IFERROR(__xludf.DUMMYFUNCTION("""COMPUTED_VALUE"""),178.06)</f>
        <v>178.06</v>
      </c>
      <c r="J1097" s="1">
        <f ca="1">IFERROR(__xludf.DUMMYFUNCTION("""COMPUTED_VALUE"""),779.04)</f>
        <v>779.04</v>
      </c>
      <c r="K1097" s="1">
        <f ca="1">IFERROR(__xludf.DUMMYFUNCTION("""COMPUTED_VALUE"""),130.57)</f>
        <v>130.57</v>
      </c>
      <c r="L1097" s="1">
        <f ca="1">IFERROR(__xludf.DUMMYFUNCTION("""COMPUTED_VALUE"""),482.65)</f>
        <v>482.65</v>
      </c>
      <c r="M1097" s="1">
        <f ca="1">IFERROR(__xludf.DUMMYFUNCTION("""COMPUTED_VALUE"""),612.09)</f>
        <v>612.09</v>
      </c>
    </row>
    <row r="1098" spans="1:13" x14ac:dyDescent="0.25">
      <c r="A1098" s="2">
        <f ca="1">IFERROR(__xludf.DUMMYFUNCTION("""COMPUTED_VALUE"""),45425.6666666666)</f>
        <v>45425.666666666599</v>
      </c>
      <c r="B1098" s="1">
        <f ca="1">IFERROR(__xludf.DUMMYFUNCTION("""COMPUTED_VALUE"""),186.28)</f>
        <v>186.28</v>
      </c>
      <c r="C1098" s="1">
        <f ca="1">IFERROR(__xludf.DUMMYFUNCTION("""COMPUTED_VALUE"""),414.74)</f>
        <v>414.74</v>
      </c>
      <c r="D1098" s="1">
        <f ca="1">IFERROR(__xludf.DUMMYFUNCTION("""COMPUTED_VALUE"""),187.48)</f>
        <v>187.48</v>
      </c>
      <c r="E1098" s="1">
        <f ca="1">IFERROR(__xludf.DUMMYFUNCTION("""COMPUTED_VALUE"""),89.88)</f>
        <v>89.88</v>
      </c>
      <c r="F1098" s="1">
        <f ca="1">IFERROR(__xludf.DUMMYFUNCTION("""COMPUTED_VALUE"""),476.2)</f>
        <v>476.2</v>
      </c>
      <c r="G1098" s="1">
        <f ca="1">IFERROR(__xludf.DUMMYFUNCTION("""COMPUTED_VALUE"""),170.29)</f>
        <v>170.29</v>
      </c>
      <c r="H1098" s="1">
        <f ca="1">IFERROR(__xludf.DUMMYFUNCTION("""COMPUTED_VALUE"""),168.47)</f>
        <v>168.47</v>
      </c>
      <c r="I1098" s="1">
        <f ca="1">IFERROR(__xludf.DUMMYFUNCTION("""COMPUTED_VALUE"""),179.79)</f>
        <v>179.79</v>
      </c>
      <c r="J1098" s="1">
        <f ca="1">IFERROR(__xludf.DUMMYFUNCTION("""COMPUTED_VALUE"""),787.19)</f>
        <v>787.19</v>
      </c>
      <c r="K1098" s="1">
        <f ca="1">IFERROR(__xludf.DUMMYFUNCTION("""COMPUTED_VALUE"""),133.28)</f>
        <v>133.28</v>
      </c>
      <c r="L1098" s="1">
        <f ca="1">IFERROR(__xludf.DUMMYFUNCTION("""COMPUTED_VALUE"""),482.29)</f>
        <v>482.29</v>
      </c>
      <c r="M1098" s="1">
        <f ca="1">IFERROR(__xludf.DUMMYFUNCTION("""COMPUTED_VALUE"""),610.87)</f>
        <v>610.87</v>
      </c>
    </row>
    <row r="1099" spans="1:13" x14ac:dyDescent="0.25">
      <c r="A1099" s="2">
        <f ca="1">IFERROR(__xludf.DUMMYFUNCTION("""COMPUTED_VALUE"""),45426.6666666666)</f>
        <v>45426.666666666599</v>
      </c>
      <c r="B1099" s="1">
        <f ca="1">IFERROR(__xludf.DUMMYFUNCTION("""COMPUTED_VALUE"""),187.43)</f>
        <v>187.43</v>
      </c>
      <c r="C1099" s="1">
        <f ca="1">IFERROR(__xludf.DUMMYFUNCTION("""COMPUTED_VALUE"""),413.72)</f>
        <v>413.72</v>
      </c>
      <c r="D1099" s="1">
        <f ca="1">IFERROR(__xludf.DUMMYFUNCTION("""COMPUTED_VALUE"""),186.57)</f>
        <v>186.57</v>
      </c>
      <c r="E1099" s="1">
        <f ca="1">IFERROR(__xludf.DUMMYFUNCTION("""COMPUTED_VALUE"""),90.4)</f>
        <v>90.4</v>
      </c>
      <c r="F1099" s="1">
        <f ca="1">IFERROR(__xludf.DUMMYFUNCTION("""COMPUTED_VALUE"""),468.01)</f>
        <v>468.01</v>
      </c>
      <c r="G1099" s="1">
        <f ca="1">IFERROR(__xludf.DUMMYFUNCTION("""COMPUTED_VALUE"""),170.9)</f>
        <v>170.9</v>
      </c>
      <c r="H1099" s="1">
        <f ca="1">IFERROR(__xludf.DUMMYFUNCTION("""COMPUTED_VALUE"""),171.89)</f>
        <v>171.89</v>
      </c>
      <c r="I1099" s="1">
        <f ca="1">IFERROR(__xludf.DUMMYFUNCTION("""COMPUTED_VALUE"""),180.9)</f>
        <v>180.9</v>
      </c>
      <c r="J1099" s="1">
        <f ca="1">IFERROR(__xludf.DUMMYFUNCTION("""COMPUTED_VALUE"""),775.15)</f>
        <v>775.15</v>
      </c>
      <c r="K1099" s="1">
        <f ca="1">IFERROR(__xludf.DUMMYFUNCTION("""COMPUTED_VALUE"""),133.75)</f>
        <v>133.75</v>
      </c>
      <c r="L1099" s="1">
        <f ca="1">IFERROR(__xludf.DUMMYFUNCTION("""COMPUTED_VALUE"""),483.11)</f>
        <v>483.11</v>
      </c>
      <c r="M1099" s="1">
        <f ca="1">IFERROR(__xludf.DUMMYFUNCTION("""COMPUTED_VALUE"""),616.59)</f>
        <v>616.59</v>
      </c>
    </row>
    <row r="1100" spans="1:13" x14ac:dyDescent="0.25">
      <c r="A1100" s="2">
        <f ca="1">IFERROR(__xludf.DUMMYFUNCTION("""COMPUTED_VALUE"""),45427.6666666666)</f>
        <v>45427.666666666599</v>
      </c>
      <c r="B1100" s="1">
        <f ca="1">IFERROR(__xludf.DUMMYFUNCTION("""COMPUTED_VALUE"""),189.72)</f>
        <v>189.72</v>
      </c>
      <c r="C1100" s="1">
        <f ca="1">IFERROR(__xludf.DUMMYFUNCTION("""COMPUTED_VALUE"""),416.56)</f>
        <v>416.56</v>
      </c>
      <c r="D1100" s="1">
        <f ca="1">IFERROR(__xludf.DUMMYFUNCTION("""COMPUTED_VALUE"""),187.07)</f>
        <v>187.07</v>
      </c>
      <c r="E1100" s="1">
        <f ca="1">IFERROR(__xludf.DUMMYFUNCTION("""COMPUTED_VALUE"""),91.36)</f>
        <v>91.36</v>
      </c>
      <c r="F1100" s="1">
        <f ca="1">IFERROR(__xludf.DUMMYFUNCTION("""COMPUTED_VALUE"""),471.85)</f>
        <v>471.85</v>
      </c>
      <c r="G1100" s="1">
        <f ca="1">IFERROR(__xludf.DUMMYFUNCTION("""COMPUTED_VALUE"""),171.93)</f>
        <v>171.93</v>
      </c>
      <c r="H1100" s="1">
        <f ca="1">IFERROR(__xludf.DUMMYFUNCTION("""COMPUTED_VALUE"""),177.55)</f>
        <v>177.55</v>
      </c>
      <c r="I1100" s="1">
        <f ca="1">IFERROR(__xludf.DUMMYFUNCTION("""COMPUTED_VALUE"""),179.87)</f>
        <v>179.87</v>
      </c>
      <c r="J1100" s="1">
        <f ca="1">IFERROR(__xludf.DUMMYFUNCTION("""COMPUTED_VALUE"""),777.9)</f>
        <v>777.9</v>
      </c>
      <c r="K1100" s="1">
        <f ca="1">IFERROR(__xludf.DUMMYFUNCTION("""COMPUTED_VALUE"""),138)</f>
        <v>138</v>
      </c>
      <c r="L1100" s="1">
        <f ca="1">IFERROR(__xludf.DUMMYFUNCTION("""COMPUTED_VALUE"""),475.95)</f>
        <v>475.95</v>
      </c>
      <c r="M1100" s="1">
        <f ca="1">IFERROR(__xludf.DUMMYFUNCTION("""COMPUTED_VALUE"""),613.66)</f>
        <v>613.66</v>
      </c>
    </row>
    <row r="1101" spans="1:13" x14ac:dyDescent="0.25">
      <c r="A1101" s="2">
        <f ca="1">IFERROR(__xludf.DUMMYFUNCTION("""COMPUTED_VALUE"""),45428.6666666666)</f>
        <v>45428.666666666599</v>
      </c>
      <c r="B1101" s="1">
        <f ca="1">IFERROR(__xludf.DUMMYFUNCTION("""COMPUTED_VALUE"""),189.84)</f>
        <v>189.84</v>
      </c>
      <c r="C1101" s="1">
        <f ca="1">IFERROR(__xludf.DUMMYFUNCTION("""COMPUTED_VALUE"""),423.08)</f>
        <v>423.08</v>
      </c>
      <c r="D1101" s="1">
        <f ca="1">IFERROR(__xludf.DUMMYFUNCTION("""COMPUTED_VALUE"""),185.99)</f>
        <v>185.99</v>
      </c>
      <c r="E1101" s="1">
        <f ca="1">IFERROR(__xludf.DUMMYFUNCTION("""COMPUTED_VALUE"""),94.63)</f>
        <v>94.63</v>
      </c>
      <c r="F1101" s="1">
        <f ca="1">IFERROR(__xludf.DUMMYFUNCTION("""COMPUTED_VALUE"""),481.54)</f>
        <v>481.54</v>
      </c>
      <c r="G1101" s="1">
        <f ca="1">IFERROR(__xludf.DUMMYFUNCTION("""COMPUTED_VALUE"""),173.88)</f>
        <v>173.88</v>
      </c>
      <c r="H1101" s="1">
        <f ca="1">IFERROR(__xludf.DUMMYFUNCTION("""COMPUTED_VALUE"""),173.99)</f>
        <v>173.99</v>
      </c>
      <c r="I1101" s="1">
        <f ca="1">IFERROR(__xludf.DUMMYFUNCTION("""COMPUTED_VALUE"""),179.46)</f>
        <v>179.46</v>
      </c>
      <c r="J1101" s="1">
        <f ca="1">IFERROR(__xludf.DUMMYFUNCTION("""COMPUTED_VALUE"""),787.04)</f>
        <v>787.04</v>
      </c>
      <c r="K1101" s="1">
        <f ca="1">IFERROR(__xludf.DUMMYFUNCTION("""COMPUTED_VALUE"""),143.62)</f>
        <v>143.62</v>
      </c>
      <c r="L1101" s="1">
        <f ca="1">IFERROR(__xludf.DUMMYFUNCTION("""COMPUTED_VALUE"""),485.35)</f>
        <v>485.35</v>
      </c>
      <c r="M1101" s="1">
        <f ca="1">IFERROR(__xludf.DUMMYFUNCTION("""COMPUTED_VALUE"""),613.52)</f>
        <v>613.52</v>
      </c>
    </row>
    <row r="1102" spans="1:13" x14ac:dyDescent="0.25">
      <c r="A1102" s="2">
        <f ca="1">IFERROR(__xludf.DUMMYFUNCTION("""COMPUTED_VALUE"""),45429.6666666666)</f>
        <v>45429.666666666599</v>
      </c>
      <c r="B1102" s="1">
        <f ca="1">IFERROR(__xludf.DUMMYFUNCTION("""COMPUTED_VALUE"""),189.87)</f>
        <v>189.87</v>
      </c>
      <c r="C1102" s="1">
        <f ca="1">IFERROR(__xludf.DUMMYFUNCTION("""COMPUTED_VALUE"""),420.99)</f>
        <v>420.99</v>
      </c>
      <c r="D1102" s="1">
        <f ca="1">IFERROR(__xludf.DUMMYFUNCTION("""COMPUTED_VALUE"""),183.63)</f>
        <v>183.63</v>
      </c>
      <c r="E1102" s="1">
        <f ca="1">IFERROR(__xludf.DUMMYFUNCTION("""COMPUTED_VALUE"""),94.36)</f>
        <v>94.36</v>
      </c>
      <c r="F1102" s="1">
        <f ca="1">IFERROR(__xludf.DUMMYFUNCTION("""COMPUTED_VALUE"""),473.23)</f>
        <v>473.23</v>
      </c>
      <c r="G1102" s="1">
        <f ca="1">IFERROR(__xludf.DUMMYFUNCTION("""COMPUTED_VALUE"""),175.43)</f>
        <v>175.43</v>
      </c>
      <c r="H1102" s="1">
        <f ca="1">IFERROR(__xludf.DUMMYFUNCTION("""COMPUTED_VALUE"""),174.84)</f>
        <v>174.84</v>
      </c>
      <c r="I1102" s="1">
        <f ca="1">IFERROR(__xludf.DUMMYFUNCTION("""COMPUTED_VALUE"""),183.11)</f>
        <v>183.11</v>
      </c>
      <c r="J1102" s="1">
        <f ca="1">IFERROR(__xludf.DUMMYFUNCTION("""COMPUTED_VALUE"""),793.07)</f>
        <v>793.07</v>
      </c>
      <c r="K1102" s="1">
        <f ca="1">IFERROR(__xludf.DUMMYFUNCTION("""COMPUTED_VALUE"""),141.21)</f>
        <v>141.21</v>
      </c>
      <c r="L1102" s="1">
        <f ca="1">IFERROR(__xludf.DUMMYFUNCTION("""COMPUTED_VALUE"""),482.88)</f>
        <v>482.88</v>
      </c>
      <c r="M1102" s="1">
        <f ca="1">IFERROR(__xludf.DUMMYFUNCTION("""COMPUTED_VALUE"""),610.52)</f>
        <v>610.52</v>
      </c>
    </row>
    <row r="1103" spans="1:13" x14ac:dyDescent="0.25">
      <c r="A1103" s="2">
        <f ca="1">IFERROR(__xludf.DUMMYFUNCTION("""COMPUTED_VALUE"""),45432.6666666666)</f>
        <v>45432.666666666599</v>
      </c>
      <c r="B1103" s="1">
        <f ca="1">IFERROR(__xludf.DUMMYFUNCTION("""COMPUTED_VALUE"""),191.04)</f>
        <v>191.04</v>
      </c>
      <c r="C1103" s="1">
        <f ca="1">IFERROR(__xludf.DUMMYFUNCTION("""COMPUTED_VALUE"""),420.21)</f>
        <v>420.21</v>
      </c>
      <c r="D1103" s="1">
        <f ca="1">IFERROR(__xludf.DUMMYFUNCTION("""COMPUTED_VALUE"""),184.7)</f>
        <v>184.7</v>
      </c>
      <c r="E1103" s="1">
        <f ca="1">IFERROR(__xludf.DUMMYFUNCTION("""COMPUTED_VALUE"""),92.48)</f>
        <v>92.48</v>
      </c>
      <c r="F1103" s="1">
        <f ca="1">IFERROR(__xludf.DUMMYFUNCTION("""COMPUTED_VALUE"""),471.91)</f>
        <v>471.91</v>
      </c>
      <c r="G1103" s="1">
        <f ca="1">IFERROR(__xludf.DUMMYFUNCTION("""COMPUTED_VALUE"""),177.29)</f>
        <v>177.29</v>
      </c>
      <c r="H1103" s="1">
        <f ca="1">IFERROR(__xludf.DUMMYFUNCTION("""COMPUTED_VALUE"""),177.46)</f>
        <v>177.46</v>
      </c>
      <c r="I1103" s="1">
        <f ca="1">IFERROR(__xludf.DUMMYFUNCTION("""COMPUTED_VALUE"""),182.19)</f>
        <v>182.19</v>
      </c>
      <c r="J1103" s="1">
        <f ca="1">IFERROR(__xludf.DUMMYFUNCTION("""COMPUTED_VALUE"""),795.81)</f>
        <v>795.81</v>
      </c>
      <c r="K1103" s="1">
        <f ca="1">IFERROR(__xludf.DUMMYFUNCTION("""COMPUTED_VALUE"""),139.53)</f>
        <v>139.53</v>
      </c>
      <c r="L1103" s="1">
        <f ca="1">IFERROR(__xludf.DUMMYFUNCTION("""COMPUTED_VALUE"""),483.43)</f>
        <v>483.43</v>
      </c>
      <c r="M1103" s="1">
        <f ca="1">IFERROR(__xludf.DUMMYFUNCTION("""COMPUTED_VALUE"""),621.1)</f>
        <v>621.1</v>
      </c>
    </row>
    <row r="1104" spans="1:13" x14ac:dyDescent="0.25">
      <c r="A1104" s="2">
        <f ca="1">IFERROR(__xludf.DUMMYFUNCTION("""COMPUTED_VALUE"""),45433.6666666666)</f>
        <v>45433.666666666599</v>
      </c>
      <c r="B1104" s="1">
        <f ca="1">IFERROR(__xludf.DUMMYFUNCTION("""COMPUTED_VALUE"""),192.35)</f>
        <v>192.35</v>
      </c>
      <c r="C1104" s="1">
        <f ca="1">IFERROR(__xludf.DUMMYFUNCTION("""COMPUTED_VALUE"""),425.34)</f>
        <v>425.34</v>
      </c>
      <c r="D1104" s="1">
        <f ca="1">IFERROR(__xludf.DUMMYFUNCTION("""COMPUTED_VALUE"""),183.54)</f>
        <v>183.54</v>
      </c>
      <c r="E1104" s="1">
        <f ca="1">IFERROR(__xludf.DUMMYFUNCTION("""COMPUTED_VALUE"""),94.78)</f>
        <v>94.78</v>
      </c>
      <c r="F1104" s="1">
        <f ca="1">IFERROR(__xludf.DUMMYFUNCTION("""COMPUTED_VALUE"""),468.84)</f>
        <v>468.84</v>
      </c>
      <c r="G1104" s="1">
        <f ca="1">IFERROR(__xludf.DUMMYFUNCTION("""COMPUTED_VALUE"""),178.46)</f>
        <v>178.46</v>
      </c>
      <c r="H1104" s="1">
        <f ca="1">IFERROR(__xludf.DUMMYFUNCTION("""COMPUTED_VALUE"""),174.95)</f>
        <v>174.95</v>
      </c>
      <c r="I1104" s="1">
        <f ca="1">IFERROR(__xludf.DUMMYFUNCTION("""COMPUTED_VALUE"""),180.31)</f>
        <v>180.31</v>
      </c>
      <c r="J1104" s="1">
        <f ca="1">IFERROR(__xludf.DUMMYFUNCTION("""COMPUTED_VALUE"""),793)</f>
        <v>793</v>
      </c>
      <c r="K1104" s="1">
        <f ca="1">IFERROR(__xludf.DUMMYFUNCTION("""COMPUTED_VALUE"""),141.4)</f>
        <v>141.4</v>
      </c>
      <c r="L1104" s="1">
        <f ca="1">IFERROR(__xludf.DUMMYFUNCTION("""COMPUTED_VALUE"""),484.69)</f>
        <v>484.69</v>
      </c>
      <c r="M1104" s="1">
        <f ca="1">IFERROR(__xludf.DUMMYFUNCTION("""COMPUTED_VALUE"""),640.82)</f>
        <v>640.82000000000005</v>
      </c>
    </row>
    <row r="1105" spans="1:13" x14ac:dyDescent="0.25">
      <c r="A1105" s="2">
        <f ca="1">IFERROR(__xludf.DUMMYFUNCTION("""COMPUTED_VALUE"""),45434.6666666666)</f>
        <v>45434.666666666599</v>
      </c>
      <c r="B1105" s="1">
        <f ca="1">IFERROR(__xludf.DUMMYFUNCTION("""COMPUTED_VALUE"""),190.9)</f>
        <v>190.9</v>
      </c>
      <c r="C1105" s="1">
        <f ca="1">IFERROR(__xludf.DUMMYFUNCTION("""COMPUTED_VALUE"""),429.04)</f>
        <v>429.04</v>
      </c>
      <c r="D1105" s="1">
        <f ca="1">IFERROR(__xludf.DUMMYFUNCTION("""COMPUTED_VALUE"""),183.15)</f>
        <v>183.15</v>
      </c>
      <c r="E1105" s="1">
        <f ca="1">IFERROR(__xludf.DUMMYFUNCTION("""COMPUTED_VALUE"""),95.39)</f>
        <v>95.39</v>
      </c>
      <c r="F1105" s="1">
        <f ca="1">IFERROR(__xludf.DUMMYFUNCTION("""COMPUTED_VALUE"""),464.63)</f>
        <v>464.63</v>
      </c>
      <c r="G1105" s="1">
        <f ca="1">IFERROR(__xludf.DUMMYFUNCTION("""COMPUTED_VALUE"""),179.54)</f>
        <v>179.54</v>
      </c>
      <c r="H1105" s="1">
        <f ca="1">IFERROR(__xludf.DUMMYFUNCTION("""COMPUTED_VALUE"""),186.6)</f>
        <v>186.6</v>
      </c>
      <c r="I1105" s="1">
        <f ca="1">IFERROR(__xludf.DUMMYFUNCTION("""COMPUTED_VALUE"""),181.08)</f>
        <v>181.08</v>
      </c>
      <c r="J1105" s="1">
        <f ca="1">IFERROR(__xludf.DUMMYFUNCTION("""COMPUTED_VALUE"""),800.93)</f>
        <v>800.93</v>
      </c>
      <c r="K1105" s="1">
        <f ca="1">IFERROR(__xludf.DUMMYFUNCTION("""COMPUTED_VALUE"""),139.92)</f>
        <v>139.91999999999999</v>
      </c>
      <c r="L1105" s="1">
        <f ca="1">IFERROR(__xludf.DUMMYFUNCTION("""COMPUTED_VALUE"""),481.85)</f>
        <v>481.85</v>
      </c>
      <c r="M1105" s="1">
        <f ca="1">IFERROR(__xludf.DUMMYFUNCTION("""COMPUTED_VALUE"""),650.61)</f>
        <v>650.61</v>
      </c>
    </row>
    <row r="1106" spans="1:13" x14ac:dyDescent="0.25">
      <c r="A1106" s="2">
        <f ca="1">IFERROR(__xludf.DUMMYFUNCTION("""COMPUTED_VALUE"""),45435.6666666666)</f>
        <v>45435.666666666599</v>
      </c>
      <c r="B1106" s="1">
        <f ca="1">IFERROR(__xludf.DUMMYFUNCTION("""COMPUTED_VALUE"""),186.88)</f>
        <v>186.88</v>
      </c>
      <c r="C1106" s="1">
        <f ca="1">IFERROR(__xludf.DUMMYFUNCTION("""COMPUTED_VALUE"""),430.52)</f>
        <v>430.52</v>
      </c>
      <c r="D1106" s="1">
        <f ca="1">IFERROR(__xludf.DUMMYFUNCTION("""COMPUTED_VALUE"""),183.13)</f>
        <v>183.13</v>
      </c>
      <c r="E1106" s="1">
        <f ca="1">IFERROR(__xludf.DUMMYFUNCTION("""COMPUTED_VALUE"""),94.95)</f>
        <v>94.95</v>
      </c>
      <c r="F1106" s="1">
        <f ca="1">IFERROR(__xludf.DUMMYFUNCTION("""COMPUTED_VALUE"""),467.78)</f>
        <v>467.78</v>
      </c>
      <c r="G1106" s="1">
        <f ca="1">IFERROR(__xludf.DUMMYFUNCTION("""COMPUTED_VALUE"""),178)</f>
        <v>178</v>
      </c>
      <c r="H1106" s="1">
        <f ca="1">IFERROR(__xludf.DUMMYFUNCTION("""COMPUTED_VALUE"""),180.11)</f>
        <v>180.11</v>
      </c>
      <c r="I1106" s="1">
        <f ca="1">IFERROR(__xludf.DUMMYFUNCTION("""COMPUTED_VALUE"""),182.09)</f>
        <v>182.09</v>
      </c>
      <c r="J1106" s="1">
        <f ca="1">IFERROR(__xludf.DUMMYFUNCTION("""COMPUTED_VALUE"""),801.86)</f>
        <v>801.86</v>
      </c>
      <c r="K1106" s="1">
        <f ca="1">IFERROR(__xludf.DUMMYFUNCTION("""COMPUTED_VALUE"""),139.22)</f>
        <v>139.22</v>
      </c>
      <c r="L1106" s="1">
        <f ca="1">IFERROR(__xludf.DUMMYFUNCTION("""COMPUTED_VALUE"""),483.93)</f>
        <v>483.93</v>
      </c>
      <c r="M1106" s="1">
        <f ca="1">IFERROR(__xludf.DUMMYFUNCTION("""COMPUTED_VALUE"""),640.47)</f>
        <v>640.47</v>
      </c>
    </row>
    <row r="1107" spans="1:13" x14ac:dyDescent="0.25">
      <c r="A1107" s="2">
        <f ca="1">IFERROR(__xludf.DUMMYFUNCTION("""COMPUTED_VALUE"""),45436.6666666666)</f>
        <v>45436.666666666599</v>
      </c>
      <c r="B1107" s="1">
        <f ca="1">IFERROR(__xludf.DUMMYFUNCTION("""COMPUTED_VALUE"""),189.98)</f>
        <v>189.98</v>
      </c>
      <c r="C1107" s="1">
        <f ca="1">IFERROR(__xludf.DUMMYFUNCTION("""COMPUTED_VALUE"""),427)</f>
        <v>427</v>
      </c>
      <c r="D1107" s="1">
        <f ca="1">IFERROR(__xludf.DUMMYFUNCTION("""COMPUTED_VALUE"""),181.05)</f>
        <v>181.05</v>
      </c>
      <c r="E1107" s="1">
        <f ca="1">IFERROR(__xludf.DUMMYFUNCTION("""COMPUTED_VALUE"""),103.8)</f>
        <v>103.8</v>
      </c>
      <c r="F1107" s="1">
        <f ca="1">IFERROR(__xludf.DUMMYFUNCTION("""COMPUTED_VALUE"""),465.78)</f>
        <v>465.78</v>
      </c>
      <c r="G1107" s="1">
        <f ca="1">IFERROR(__xludf.DUMMYFUNCTION("""COMPUTED_VALUE"""),175.06)</f>
        <v>175.06</v>
      </c>
      <c r="H1107" s="1">
        <f ca="1">IFERROR(__xludf.DUMMYFUNCTION("""COMPUTED_VALUE"""),173.74)</f>
        <v>173.74</v>
      </c>
      <c r="I1107" s="1">
        <f ca="1">IFERROR(__xludf.DUMMYFUNCTION("""COMPUTED_VALUE"""),179.27)</f>
        <v>179.27</v>
      </c>
      <c r="J1107" s="1">
        <f ca="1">IFERROR(__xludf.DUMMYFUNCTION("""COMPUTED_VALUE"""),796.34)</f>
        <v>796.34</v>
      </c>
      <c r="K1107" s="1">
        <f ca="1">IFERROR(__xludf.DUMMYFUNCTION("""COMPUTED_VALUE"""),139.33)</f>
        <v>139.33000000000001</v>
      </c>
      <c r="L1107" s="1">
        <f ca="1">IFERROR(__xludf.DUMMYFUNCTION("""COMPUTED_VALUE"""),483.31)</f>
        <v>483.31</v>
      </c>
      <c r="M1107" s="1">
        <f ca="1">IFERROR(__xludf.DUMMYFUNCTION("""COMPUTED_VALUE"""),635.67)</f>
        <v>635.66999999999996</v>
      </c>
    </row>
    <row r="1108" spans="1:13" x14ac:dyDescent="0.25">
      <c r="A1108" s="2">
        <f ca="1">IFERROR(__xludf.DUMMYFUNCTION("""COMPUTED_VALUE"""),45440.6666666666)</f>
        <v>45440.666666666599</v>
      </c>
      <c r="B1108" s="1">
        <f ca="1">IFERROR(__xludf.DUMMYFUNCTION("""COMPUTED_VALUE"""),189.99)</f>
        <v>189.99</v>
      </c>
      <c r="C1108" s="1">
        <f ca="1">IFERROR(__xludf.DUMMYFUNCTION("""COMPUTED_VALUE"""),430.16)</f>
        <v>430.16</v>
      </c>
      <c r="D1108" s="1">
        <f ca="1">IFERROR(__xludf.DUMMYFUNCTION("""COMPUTED_VALUE"""),180.75)</f>
        <v>180.75</v>
      </c>
      <c r="E1108" s="1">
        <f ca="1">IFERROR(__xludf.DUMMYFUNCTION("""COMPUTED_VALUE"""),106.47)</f>
        <v>106.47</v>
      </c>
      <c r="F1108" s="1">
        <f ca="1">IFERROR(__xludf.DUMMYFUNCTION("""COMPUTED_VALUE"""),478.22)</f>
        <v>478.22</v>
      </c>
      <c r="G1108" s="1">
        <f ca="1">IFERROR(__xludf.DUMMYFUNCTION("""COMPUTED_VALUE"""),176.33)</f>
        <v>176.33</v>
      </c>
      <c r="H1108" s="1">
        <f ca="1">IFERROR(__xludf.DUMMYFUNCTION("""COMPUTED_VALUE"""),179.24)</f>
        <v>179.24</v>
      </c>
      <c r="I1108" s="1">
        <f ca="1">IFERROR(__xludf.DUMMYFUNCTION("""COMPUTED_VALUE"""),177.99)</f>
        <v>177.99</v>
      </c>
      <c r="J1108" s="1">
        <f ca="1">IFERROR(__xludf.DUMMYFUNCTION("""COMPUTED_VALUE"""),809.73)</f>
        <v>809.73</v>
      </c>
      <c r="K1108" s="1">
        <f ca="1">IFERROR(__xludf.DUMMYFUNCTION("""COMPUTED_VALUE"""),140.78)</f>
        <v>140.78</v>
      </c>
      <c r="L1108" s="1">
        <f ca="1">IFERROR(__xludf.DUMMYFUNCTION("""COMPUTED_VALUE"""),475.43)</f>
        <v>475.43</v>
      </c>
      <c r="M1108" s="1">
        <f ca="1">IFERROR(__xludf.DUMMYFUNCTION("""COMPUTED_VALUE"""),646.75)</f>
        <v>646.75</v>
      </c>
    </row>
    <row r="1109" spans="1:13" x14ac:dyDescent="0.25">
      <c r="A1109" s="2">
        <f ca="1">IFERROR(__xludf.DUMMYFUNCTION("""COMPUTED_VALUE"""),45441.6666666666)</f>
        <v>45441.666666666599</v>
      </c>
      <c r="B1109" s="1">
        <f ca="1">IFERROR(__xludf.DUMMYFUNCTION("""COMPUTED_VALUE"""),190.29)</f>
        <v>190.29</v>
      </c>
      <c r="C1109" s="1">
        <f ca="1">IFERROR(__xludf.DUMMYFUNCTION("""COMPUTED_VALUE"""),430.32)</f>
        <v>430.32</v>
      </c>
      <c r="D1109" s="1">
        <f ca="1">IFERROR(__xludf.DUMMYFUNCTION("""COMPUTED_VALUE"""),182.15)</f>
        <v>182.15</v>
      </c>
      <c r="E1109" s="1">
        <f ca="1">IFERROR(__xludf.DUMMYFUNCTION("""COMPUTED_VALUE"""),113.9)</f>
        <v>113.9</v>
      </c>
      <c r="F1109" s="1">
        <f ca="1">IFERROR(__xludf.DUMMYFUNCTION("""COMPUTED_VALUE"""),479.92)</f>
        <v>479.92</v>
      </c>
      <c r="G1109" s="1">
        <f ca="1">IFERROR(__xludf.DUMMYFUNCTION("""COMPUTED_VALUE"""),178.02)</f>
        <v>178.02</v>
      </c>
      <c r="H1109" s="1">
        <f ca="1">IFERROR(__xludf.DUMMYFUNCTION("""COMPUTED_VALUE"""),176.75)</f>
        <v>176.75</v>
      </c>
      <c r="I1109" s="1">
        <f ca="1">IFERROR(__xludf.DUMMYFUNCTION("""COMPUTED_VALUE"""),173.38)</f>
        <v>173.38</v>
      </c>
      <c r="J1109" s="1">
        <f ca="1">IFERROR(__xludf.DUMMYFUNCTION("""COMPUTED_VALUE"""),813.17)</f>
        <v>813.17</v>
      </c>
      <c r="K1109" s="1">
        <f ca="1">IFERROR(__xludf.DUMMYFUNCTION("""COMPUTED_VALUE"""),141.25)</f>
        <v>141.25</v>
      </c>
      <c r="L1109" s="1">
        <f ca="1">IFERROR(__xludf.DUMMYFUNCTION("""COMPUTED_VALUE"""),478.43)</f>
        <v>478.43</v>
      </c>
      <c r="M1109" s="1">
        <f ca="1">IFERROR(__xludf.DUMMYFUNCTION("""COMPUTED_VALUE"""),649)</f>
        <v>649</v>
      </c>
    </row>
    <row r="1110" spans="1:13" x14ac:dyDescent="0.25">
      <c r="A1110" s="2">
        <f ca="1">IFERROR(__xludf.DUMMYFUNCTION("""COMPUTED_VALUE"""),45442.6666666666)</f>
        <v>45442.666666666599</v>
      </c>
      <c r="B1110" s="1">
        <f ca="1">IFERROR(__xludf.DUMMYFUNCTION("""COMPUTED_VALUE"""),191.29)</f>
        <v>191.29</v>
      </c>
      <c r="C1110" s="1">
        <f ca="1">IFERROR(__xludf.DUMMYFUNCTION("""COMPUTED_VALUE"""),429.17)</f>
        <v>429.17</v>
      </c>
      <c r="D1110" s="1">
        <f ca="1">IFERROR(__xludf.DUMMYFUNCTION("""COMPUTED_VALUE"""),182.02)</f>
        <v>182.02</v>
      </c>
      <c r="E1110" s="1">
        <f ca="1">IFERROR(__xludf.DUMMYFUNCTION("""COMPUTED_VALUE"""),114.83)</f>
        <v>114.83</v>
      </c>
      <c r="F1110" s="1">
        <f ca="1">IFERROR(__xludf.DUMMYFUNCTION("""COMPUTED_VALUE"""),474.36)</f>
        <v>474.36</v>
      </c>
      <c r="G1110" s="1">
        <f ca="1">IFERROR(__xludf.DUMMYFUNCTION("""COMPUTED_VALUE"""),177.4)</f>
        <v>177.4</v>
      </c>
      <c r="H1110" s="1">
        <f ca="1">IFERROR(__xludf.DUMMYFUNCTION("""COMPUTED_VALUE"""),176.19)</f>
        <v>176.19</v>
      </c>
      <c r="I1110" s="1">
        <f ca="1">IFERROR(__xludf.DUMMYFUNCTION("""COMPUTED_VALUE"""),171.15)</f>
        <v>171.15</v>
      </c>
      <c r="J1110" s="1">
        <f ca="1">IFERROR(__xludf.DUMMYFUNCTION("""COMPUTED_VALUE"""),806.52)</f>
        <v>806.52</v>
      </c>
      <c r="K1110" s="1">
        <f ca="1">IFERROR(__xludf.DUMMYFUNCTION("""COMPUTED_VALUE"""),139.07)</f>
        <v>139.07</v>
      </c>
      <c r="L1110" s="1">
        <f ca="1">IFERROR(__xludf.DUMMYFUNCTION("""COMPUTED_VALUE"""),477.6)</f>
        <v>477.6</v>
      </c>
      <c r="M1110" s="1">
        <f ca="1">IFERROR(__xludf.DUMMYFUNCTION("""COMPUTED_VALUE"""),654.62)</f>
        <v>654.62</v>
      </c>
    </row>
    <row r="1111" spans="1:13" x14ac:dyDescent="0.25">
      <c r="A1111" s="2">
        <f ca="1">IFERROR(__xludf.DUMMYFUNCTION("""COMPUTED_VALUE"""),45443.6666666666)</f>
        <v>45443.666666666599</v>
      </c>
      <c r="B1111" s="1">
        <f ca="1">IFERROR(__xludf.DUMMYFUNCTION("""COMPUTED_VALUE"""),192.25)</f>
        <v>192.25</v>
      </c>
      <c r="C1111" s="1">
        <f ca="1">IFERROR(__xludf.DUMMYFUNCTION("""COMPUTED_VALUE"""),414.67)</f>
        <v>414.67</v>
      </c>
      <c r="D1111" s="1">
        <f ca="1">IFERROR(__xludf.DUMMYFUNCTION("""COMPUTED_VALUE"""),179.32)</f>
        <v>179.32</v>
      </c>
      <c r="E1111" s="1">
        <f ca="1">IFERROR(__xludf.DUMMYFUNCTION("""COMPUTED_VALUE"""),110.5)</f>
        <v>110.5</v>
      </c>
      <c r="F1111" s="1">
        <f ca="1">IFERROR(__xludf.DUMMYFUNCTION("""COMPUTED_VALUE"""),467.05)</f>
        <v>467.05</v>
      </c>
      <c r="G1111" s="1">
        <f ca="1">IFERROR(__xludf.DUMMYFUNCTION("""COMPUTED_VALUE"""),173.56)</f>
        <v>173.56</v>
      </c>
      <c r="H1111" s="1">
        <f ca="1">IFERROR(__xludf.DUMMYFUNCTION("""COMPUTED_VALUE"""),178.79)</f>
        <v>178.79</v>
      </c>
      <c r="I1111" s="1">
        <f ca="1">IFERROR(__xludf.DUMMYFUNCTION("""COMPUTED_VALUE"""),170.48)</f>
        <v>170.48</v>
      </c>
      <c r="J1111" s="1">
        <f ca="1">IFERROR(__xludf.DUMMYFUNCTION("""COMPUTED_VALUE"""),815.34)</f>
        <v>815.34</v>
      </c>
      <c r="K1111" s="1">
        <f ca="1">IFERROR(__xludf.DUMMYFUNCTION("""COMPUTED_VALUE"""),136.41)</f>
        <v>136.41</v>
      </c>
      <c r="L1111" s="1">
        <f ca="1">IFERROR(__xludf.DUMMYFUNCTION("""COMPUTED_VALUE"""),445.87)</f>
        <v>445.87</v>
      </c>
      <c r="M1111" s="1">
        <f ca="1">IFERROR(__xludf.DUMMYFUNCTION("""COMPUTED_VALUE"""),647.66)</f>
        <v>647.66</v>
      </c>
    </row>
    <row r="1112" spans="1:13" x14ac:dyDescent="0.25">
      <c r="A1112" s="2">
        <f ca="1">IFERROR(__xludf.DUMMYFUNCTION("""COMPUTED_VALUE"""),45446.6666666666)</f>
        <v>45446.666666666599</v>
      </c>
      <c r="B1112" s="1">
        <f ca="1">IFERROR(__xludf.DUMMYFUNCTION("""COMPUTED_VALUE"""),194.03)</f>
        <v>194.03</v>
      </c>
      <c r="C1112" s="1">
        <f ca="1">IFERROR(__xludf.DUMMYFUNCTION("""COMPUTED_VALUE"""),415.13)</f>
        <v>415.13</v>
      </c>
      <c r="D1112" s="1">
        <f ca="1">IFERROR(__xludf.DUMMYFUNCTION("""COMPUTED_VALUE"""),176.44)</f>
        <v>176.44</v>
      </c>
      <c r="E1112" s="1">
        <f ca="1">IFERROR(__xludf.DUMMYFUNCTION("""COMPUTED_VALUE"""),109.63)</f>
        <v>109.63</v>
      </c>
      <c r="F1112" s="1">
        <f ca="1">IFERROR(__xludf.DUMMYFUNCTION("""COMPUTED_VALUE"""),466.83)</f>
        <v>466.83</v>
      </c>
      <c r="G1112" s="1">
        <f ca="1">IFERROR(__xludf.DUMMYFUNCTION("""COMPUTED_VALUE"""),173.96)</f>
        <v>173.96</v>
      </c>
      <c r="H1112" s="1">
        <f ca="1">IFERROR(__xludf.DUMMYFUNCTION("""COMPUTED_VALUE"""),178.08)</f>
        <v>178.08</v>
      </c>
      <c r="I1112" s="1">
        <f ca="1">IFERROR(__xludf.DUMMYFUNCTION("""COMPUTED_VALUE"""),172.9)</f>
        <v>172.9</v>
      </c>
      <c r="J1112" s="1">
        <f ca="1">IFERROR(__xludf.DUMMYFUNCTION("""COMPUTED_VALUE"""),809.89)</f>
        <v>809.89</v>
      </c>
      <c r="K1112" s="1">
        <f ca="1">IFERROR(__xludf.DUMMYFUNCTION("""COMPUTED_VALUE"""),132.85)</f>
        <v>132.85</v>
      </c>
      <c r="L1112" s="1">
        <f ca="1">IFERROR(__xludf.DUMMYFUNCTION("""COMPUTED_VALUE"""),444.76)</f>
        <v>444.76</v>
      </c>
      <c r="M1112" s="1">
        <f ca="1">IFERROR(__xludf.DUMMYFUNCTION("""COMPUTED_VALUE"""),641.62)</f>
        <v>641.62</v>
      </c>
    </row>
    <row r="1113" spans="1:13" x14ac:dyDescent="0.25">
      <c r="A1113" s="2">
        <f ca="1">IFERROR(__xludf.DUMMYFUNCTION("""COMPUTED_VALUE"""),45447.6666666666)</f>
        <v>45447.666666666599</v>
      </c>
      <c r="B1113" s="1">
        <f ca="1">IFERROR(__xludf.DUMMYFUNCTION("""COMPUTED_VALUE"""),194.35)</f>
        <v>194.35</v>
      </c>
      <c r="C1113" s="1">
        <f ca="1">IFERROR(__xludf.DUMMYFUNCTION("""COMPUTED_VALUE"""),413.52)</f>
        <v>413.52</v>
      </c>
      <c r="D1113" s="1">
        <f ca="1">IFERROR(__xludf.DUMMYFUNCTION("""COMPUTED_VALUE"""),178.34)</f>
        <v>178.34</v>
      </c>
      <c r="E1113" s="1">
        <f ca="1">IFERROR(__xludf.DUMMYFUNCTION("""COMPUTED_VALUE"""),115)</f>
        <v>115</v>
      </c>
      <c r="F1113" s="1">
        <f ca="1">IFERROR(__xludf.DUMMYFUNCTION("""COMPUTED_VALUE"""),477.49)</f>
        <v>477.49</v>
      </c>
      <c r="G1113" s="1">
        <f ca="1">IFERROR(__xludf.DUMMYFUNCTION("""COMPUTED_VALUE"""),174.42)</f>
        <v>174.42</v>
      </c>
      <c r="H1113" s="1">
        <f ca="1">IFERROR(__xludf.DUMMYFUNCTION("""COMPUTED_VALUE"""),176.29)</f>
        <v>176.29</v>
      </c>
      <c r="I1113" s="1">
        <f ca="1">IFERROR(__xludf.DUMMYFUNCTION("""COMPUTED_VALUE"""),171.23)</f>
        <v>171.23</v>
      </c>
      <c r="J1113" s="1">
        <f ca="1">IFERROR(__xludf.DUMMYFUNCTION("""COMPUTED_VALUE"""),815.39)</f>
        <v>815.39</v>
      </c>
      <c r="K1113" s="1">
        <f ca="1">IFERROR(__xludf.DUMMYFUNCTION("""COMPUTED_VALUE"""),132.19)</f>
        <v>132.19</v>
      </c>
      <c r="L1113" s="1">
        <f ca="1">IFERROR(__xludf.DUMMYFUNCTION("""COMPUTED_VALUE"""),439.02)</f>
        <v>439.02</v>
      </c>
      <c r="M1113" s="1">
        <f ca="1">IFERROR(__xludf.DUMMYFUNCTION("""COMPUTED_VALUE"""),633.79)</f>
        <v>633.79</v>
      </c>
    </row>
    <row r="1114" spans="1:13" x14ac:dyDescent="0.25">
      <c r="A1114" s="2">
        <f ca="1">IFERROR(__xludf.DUMMYFUNCTION("""COMPUTED_VALUE"""),45448.6666666666)</f>
        <v>45448.666666666599</v>
      </c>
      <c r="B1114" s="1">
        <f ca="1">IFERROR(__xludf.DUMMYFUNCTION("""COMPUTED_VALUE"""),195.87)</f>
        <v>195.87</v>
      </c>
      <c r="C1114" s="1">
        <f ca="1">IFERROR(__xludf.DUMMYFUNCTION("""COMPUTED_VALUE"""),416.07)</f>
        <v>416.07</v>
      </c>
      <c r="D1114" s="1">
        <f ca="1">IFERROR(__xludf.DUMMYFUNCTION("""COMPUTED_VALUE"""),179.34)</f>
        <v>179.34</v>
      </c>
      <c r="E1114" s="1">
        <f ca="1">IFERROR(__xludf.DUMMYFUNCTION("""COMPUTED_VALUE"""),116.44)</f>
        <v>116.44</v>
      </c>
      <c r="F1114" s="1">
        <f ca="1">IFERROR(__xludf.DUMMYFUNCTION("""COMPUTED_VALUE"""),476.99)</f>
        <v>476.99</v>
      </c>
      <c r="G1114" s="1">
        <f ca="1">IFERROR(__xludf.DUMMYFUNCTION("""COMPUTED_VALUE"""),175.13)</f>
        <v>175.13</v>
      </c>
      <c r="H1114" s="1">
        <f ca="1">IFERROR(__xludf.DUMMYFUNCTION("""COMPUTED_VALUE"""),174.77)</f>
        <v>174.77</v>
      </c>
      <c r="I1114" s="1">
        <f ca="1">IFERROR(__xludf.DUMMYFUNCTION("""COMPUTED_VALUE"""),173.89)</f>
        <v>173.89</v>
      </c>
      <c r="J1114" s="1">
        <f ca="1">IFERROR(__xludf.DUMMYFUNCTION("""COMPUTED_VALUE"""),827.39)</f>
        <v>827.39</v>
      </c>
      <c r="K1114" s="1">
        <f ca="1">IFERROR(__xludf.DUMMYFUNCTION("""COMPUTED_VALUE"""),133.08)</f>
        <v>133.08000000000001</v>
      </c>
      <c r="L1114" s="1">
        <f ca="1">IFERROR(__xludf.DUMMYFUNCTION("""COMPUTED_VALUE"""),448.37)</f>
        <v>448.37</v>
      </c>
      <c r="M1114" s="1">
        <f ca="1">IFERROR(__xludf.DUMMYFUNCTION("""COMPUTED_VALUE"""),631.62)</f>
        <v>631.62</v>
      </c>
    </row>
    <row r="1115" spans="1:13" x14ac:dyDescent="0.25">
      <c r="A1115" s="2">
        <f ca="1">IFERROR(__xludf.DUMMYFUNCTION("""COMPUTED_VALUE"""),45449.6666666666)</f>
        <v>45449.666666666599</v>
      </c>
      <c r="B1115" s="1">
        <f ca="1">IFERROR(__xludf.DUMMYFUNCTION("""COMPUTED_VALUE"""),194.48)</f>
        <v>194.48</v>
      </c>
      <c r="C1115" s="1">
        <f ca="1">IFERROR(__xludf.DUMMYFUNCTION("""COMPUTED_VALUE"""),424.01)</f>
        <v>424.01</v>
      </c>
      <c r="D1115" s="1">
        <f ca="1">IFERROR(__xludf.DUMMYFUNCTION("""COMPUTED_VALUE"""),181.28)</f>
        <v>181.28</v>
      </c>
      <c r="E1115" s="1">
        <f ca="1">IFERROR(__xludf.DUMMYFUNCTION("""COMPUTED_VALUE"""),122.44)</f>
        <v>122.44</v>
      </c>
      <c r="F1115" s="1">
        <f ca="1">IFERROR(__xludf.DUMMYFUNCTION("""COMPUTED_VALUE"""),495.06)</f>
        <v>495.06</v>
      </c>
      <c r="G1115" s="1">
        <f ca="1">IFERROR(__xludf.DUMMYFUNCTION("""COMPUTED_VALUE"""),177.07)</f>
        <v>177.07</v>
      </c>
      <c r="H1115" s="1">
        <f ca="1">IFERROR(__xludf.DUMMYFUNCTION("""COMPUTED_VALUE"""),175)</f>
        <v>175</v>
      </c>
      <c r="I1115" s="1">
        <f ca="1">IFERROR(__xludf.DUMMYFUNCTION("""COMPUTED_VALUE"""),173.49)</f>
        <v>173.49</v>
      </c>
      <c r="J1115" s="1">
        <f ca="1">IFERROR(__xludf.DUMMYFUNCTION("""COMPUTED_VALUE"""),834.3)</f>
        <v>834.3</v>
      </c>
      <c r="K1115" s="1">
        <f ca="1">IFERROR(__xludf.DUMMYFUNCTION("""COMPUTED_VALUE"""),141.31)</f>
        <v>141.31</v>
      </c>
      <c r="L1115" s="1">
        <f ca="1">IFERROR(__xludf.DUMMYFUNCTION("""COMPUTED_VALUE"""),455.8)</f>
        <v>455.8</v>
      </c>
      <c r="M1115" s="1">
        <f ca="1">IFERROR(__xludf.DUMMYFUNCTION("""COMPUTED_VALUE"""),650.27)</f>
        <v>650.27</v>
      </c>
    </row>
    <row r="1116" spans="1:13" x14ac:dyDescent="0.25">
      <c r="A1116" s="2">
        <f ca="1">IFERROR(__xludf.DUMMYFUNCTION("""COMPUTED_VALUE"""),45450.6666666666)</f>
        <v>45450.666666666599</v>
      </c>
      <c r="B1116" s="1">
        <f ca="1">IFERROR(__xludf.DUMMYFUNCTION("""COMPUTED_VALUE"""),196.89)</f>
        <v>196.89</v>
      </c>
      <c r="C1116" s="1">
        <f ca="1">IFERROR(__xludf.DUMMYFUNCTION("""COMPUTED_VALUE"""),424.52)</f>
        <v>424.52</v>
      </c>
      <c r="D1116" s="1">
        <f ca="1">IFERROR(__xludf.DUMMYFUNCTION("""COMPUTED_VALUE"""),185)</f>
        <v>185</v>
      </c>
      <c r="E1116" s="1">
        <f ca="1">IFERROR(__xludf.DUMMYFUNCTION("""COMPUTED_VALUE"""),121)</f>
        <v>121</v>
      </c>
      <c r="F1116" s="1">
        <f ca="1">IFERROR(__xludf.DUMMYFUNCTION("""COMPUTED_VALUE"""),493.76)</f>
        <v>493.76</v>
      </c>
      <c r="G1116" s="1">
        <f ca="1">IFERROR(__xludf.DUMMYFUNCTION("""COMPUTED_VALUE"""),178.35)</f>
        <v>178.35</v>
      </c>
      <c r="H1116" s="1">
        <f ca="1">IFERROR(__xludf.DUMMYFUNCTION("""COMPUTED_VALUE"""),177.94)</f>
        <v>177.94</v>
      </c>
      <c r="I1116" s="1">
        <f ca="1">IFERROR(__xludf.DUMMYFUNCTION("""COMPUTED_VALUE"""),173.2)</f>
        <v>173.2</v>
      </c>
      <c r="J1116" s="1">
        <f ca="1">IFERROR(__xludf.DUMMYFUNCTION("""COMPUTED_VALUE"""),842.64)</f>
        <v>842.64</v>
      </c>
      <c r="K1116" s="1">
        <f ca="1">IFERROR(__xludf.DUMMYFUNCTION("""COMPUTED_VALUE"""),140.13)</f>
        <v>140.13</v>
      </c>
      <c r="L1116" s="1">
        <f ca="1">IFERROR(__xludf.DUMMYFUNCTION("""COMPUTED_VALUE"""),458.13)</f>
        <v>458.13</v>
      </c>
      <c r="M1116" s="1">
        <f ca="1">IFERROR(__xludf.DUMMYFUNCTION("""COMPUTED_VALUE"""),648.52)</f>
        <v>648.52</v>
      </c>
    </row>
    <row r="1117" spans="1:13" x14ac:dyDescent="0.25">
      <c r="A1117" s="2">
        <f ca="1">IFERROR(__xludf.DUMMYFUNCTION("""COMPUTED_VALUE"""),45453.6666666666)</f>
        <v>45453.666666666599</v>
      </c>
      <c r="B1117" s="1">
        <f ca="1">IFERROR(__xludf.DUMMYFUNCTION("""COMPUTED_VALUE"""),193.12)</f>
        <v>193.12</v>
      </c>
      <c r="C1117" s="1">
        <f ca="1">IFERROR(__xludf.DUMMYFUNCTION("""COMPUTED_VALUE"""),423.85)</f>
        <v>423.85</v>
      </c>
      <c r="D1117" s="1">
        <f ca="1">IFERROR(__xludf.DUMMYFUNCTION("""COMPUTED_VALUE"""),184.3)</f>
        <v>184.3</v>
      </c>
      <c r="E1117" s="1">
        <f ca="1">IFERROR(__xludf.DUMMYFUNCTION("""COMPUTED_VALUE"""),120.89)</f>
        <v>120.89</v>
      </c>
      <c r="F1117" s="1">
        <f ca="1">IFERROR(__xludf.DUMMYFUNCTION("""COMPUTED_VALUE"""),492.96)</f>
        <v>492.96</v>
      </c>
      <c r="G1117" s="1">
        <f ca="1">IFERROR(__xludf.DUMMYFUNCTION("""COMPUTED_VALUE"""),175.95)</f>
        <v>175.95</v>
      </c>
      <c r="H1117" s="1">
        <f ca="1">IFERROR(__xludf.DUMMYFUNCTION("""COMPUTED_VALUE"""),177.48)</f>
        <v>177.48</v>
      </c>
      <c r="I1117" s="1">
        <f ca="1">IFERROR(__xludf.DUMMYFUNCTION("""COMPUTED_VALUE"""),171.04)</f>
        <v>171.04</v>
      </c>
      <c r="J1117" s="1">
        <f ca="1">IFERROR(__xludf.DUMMYFUNCTION("""COMPUTED_VALUE"""),845.58)</f>
        <v>845.58</v>
      </c>
      <c r="K1117" s="1">
        <f ca="1">IFERROR(__xludf.DUMMYFUNCTION("""COMPUTED_VALUE"""),140.66)</f>
        <v>140.66</v>
      </c>
      <c r="L1117" s="1">
        <f ca="1">IFERROR(__xludf.DUMMYFUNCTION("""COMPUTED_VALUE"""),465.43)</f>
        <v>465.43</v>
      </c>
      <c r="M1117" s="1">
        <f ca="1">IFERROR(__xludf.DUMMYFUNCTION("""COMPUTED_VALUE"""),641.47)</f>
        <v>641.47</v>
      </c>
    </row>
    <row r="1118" spans="1:13" x14ac:dyDescent="0.25">
      <c r="A1118" s="2">
        <f ca="1">IFERROR(__xludf.DUMMYFUNCTION("""COMPUTED_VALUE"""),45454.6666666666)</f>
        <v>45454.666666666599</v>
      </c>
      <c r="B1118" s="1">
        <f ca="1">IFERROR(__xludf.DUMMYFUNCTION("""COMPUTED_VALUE"""),207.15)</f>
        <v>207.15</v>
      </c>
      <c r="C1118" s="1">
        <f ca="1">IFERROR(__xludf.DUMMYFUNCTION("""COMPUTED_VALUE"""),427.87)</f>
        <v>427.87</v>
      </c>
      <c r="D1118" s="1">
        <f ca="1">IFERROR(__xludf.DUMMYFUNCTION("""COMPUTED_VALUE"""),187.06)</f>
        <v>187.06</v>
      </c>
      <c r="E1118" s="1">
        <f ca="1">IFERROR(__xludf.DUMMYFUNCTION("""COMPUTED_VALUE"""),121.79)</f>
        <v>121.79</v>
      </c>
      <c r="F1118" s="1">
        <f ca="1">IFERROR(__xludf.DUMMYFUNCTION("""COMPUTED_VALUE"""),502.6)</f>
        <v>502.6</v>
      </c>
      <c r="G1118" s="1">
        <f ca="1">IFERROR(__xludf.DUMMYFUNCTION("""COMPUTED_VALUE"""),176.63)</f>
        <v>176.63</v>
      </c>
      <c r="H1118" s="1">
        <f ca="1">IFERROR(__xludf.DUMMYFUNCTION("""COMPUTED_VALUE"""),173.79)</f>
        <v>173.79</v>
      </c>
      <c r="I1118" s="1">
        <f ca="1">IFERROR(__xludf.DUMMYFUNCTION("""COMPUTED_VALUE"""),165.9)</f>
        <v>165.9</v>
      </c>
      <c r="J1118" s="1">
        <f ca="1">IFERROR(__xludf.DUMMYFUNCTION("""COMPUTED_VALUE"""),848.34)</f>
        <v>848.34</v>
      </c>
      <c r="K1118" s="1">
        <f ca="1">IFERROR(__xludf.DUMMYFUNCTION("""COMPUTED_VALUE"""),144.05)</f>
        <v>144.05000000000001</v>
      </c>
      <c r="L1118" s="1">
        <f ca="1">IFERROR(__xludf.DUMMYFUNCTION("""COMPUTED_VALUE"""),459.94)</f>
        <v>459.94</v>
      </c>
      <c r="M1118" s="1">
        <f ca="1">IFERROR(__xludf.DUMMYFUNCTION("""COMPUTED_VALUE"""),644.5)</f>
        <v>644.5</v>
      </c>
    </row>
    <row r="1119" spans="1:13" x14ac:dyDescent="0.25">
      <c r="A1119" s="2">
        <f ca="1">IFERROR(__xludf.DUMMYFUNCTION("""COMPUTED_VALUE"""),45455.6666666666)</f>
        <v>45455.666666666599</v>
      </c>
      <c r="B1119" s="1">
        <f ca="1">IFERROR(__xludf.DUMMYFUNCTION("""COMPUTED_VALUE"""),213.07)</f>
        <v>213.07</v>
      </c>
      <c r="C1119" s="1">
        <f ca="1">IFERROR(__xludf.DUMMYFUNCTION("""COMPUTED_VALUE"""),432.68)</f>
        <v>432.68</v>
      </c>
      <c r="D1119" s="1">
        <f ca="1">IFERROR(__xludf.DUMMYFUNCTION("""COMPUTED_VALUE"""),187.23)</f>
        <v>187.23</v>
      </c>
      <c r="E1119" s="1">
        <f ca="1">IFERROR(__xludf.DUMMYFUNCTION("""COMPUTED_VALUE"""),120.91)</f>
        <v>120.91</v>
      </c>
      <c r="F1119" s="1">
        <f ca="1">IFERROR(__xludf.DUMMYFUNCTION("""COMPUTED_VALUE"""),507.47)</f>
        <v>507.47</v>
      </c>
      <c r="G1119" s="1">
        <f ca="1">IFERROR(__xludf.DUMMYFUNCTION("""COMPUTED_VALUE"""),178.19)</f>
        <v>178.19</v>
      </c>
      <c r="H1119" s="1">
        <f ca="1">IFERROR(__xludf.DUMMYFUNCTION("""COMPUTED_VALUE"""),170.66)</f>
        <v>170.66</v>
      </c>
      <c r="I1119" s="1">
        <f ca="1">IFERROR(__xludf.DUMMYFUNCTION("""COMPUTED_VALUE"""),165.07)</f>
        <v>165.07</v>
      </c>
      <c r="J1119" s="1">
        <f ca="1">IFERROR(__xludf.DUMMYFUNCTION("""COMPUTED_VALUE"""),849.31)</f>
        <v>849.31</v>
      </c>
      <c r="K1119" s="1">
        <f ca="1">IFERROR(__xludf.DUMMYFUNCTION("""COMPUTED_VALUE"""),146.1)</f>
        <v>146.1</v>
      </c>
      <c r="L1119" s="1">
        <f ca="1">IFERROR(__xludf.DUMMYFUNCTION("""COMPUTED_VALUE"""),462.69)</f>
        <v>462.69</v>
      </c>
      <c r="M1119" s="1">
        <f ca="1">IFERROR(__xludf.DUMMYFUNCTION("""COMPUTED_VALUE"""),648.55)</f>
        <v>648.54999999999995</v>
      </c>
    </row>
    <row r="1120" spans="1:13" x14ac:dyDescent="0.25">
      <c r="A1120" s="2">
        <f ca="1">IFERROR(__xludf.DUMMYFUNCTION("""COMPUTED_VALUE"""),45456.6666666666)</f>
        <v>45456.666666666599</v>
      </c>
      <c r="B1120" s="1">
        <f ca="1">IFERROR(__xludf.DUMMYFUNCTION("""COMPUTED_VALUE"""),214.24)</f>
        <v>214.24</v>
      </c>
      <c r="C1120" s="1">
        <f ca="1">IFERROR(__xludf.DUMMYFUNCTION("""COMPUTED_VALUE"""),441.06)</f>
        <v>441.06</v>
      </c>
      <c r="D1120" s="1">
        <f ca="1">IFERROR(__xludf.DUMMYFUNCTION("""COMPUTED_VALUE"""),186.89)</f>
        <v>186.89</v>
      </c>
      <c r="E1120" s="1">
        <f ca="1">IFERROR(__xludf.DUMMYFUNCTION("""COMPUTED_VALUE"""),125.2)</f>
        <v>125.2</v>
      </c>
      <c r="F1120" s="1">
        <f ca="1">IFERROR(__xludf.DUMMYFUNCTION("""COMPUTED_VALUE"""),508.84)</f>
        <v>508.84</v>
      </c>
      <c r="G1120" s="1">
        <f ca="1">IFERROR(__xludf.DUMMYFUNCTION("""COMPUTED_VALUE"""),179.56)</f>
        <v>179.56</v>
      </c>
      <c r="H1120" s="1">
        <f ca="1">IFERROR(__xludf.DUMMYFUNCTION("""COMPUTED_VALUE"""),177.29)</f>
        <v>177.29</v>
      </c>
      <c r="I1120" s="1">
        <f ca="1">IFERROR(__xludf.DUMMYFUNCTION("""COMPUTED_VALUE"""),163.83)</f>
        <v>163.83000000000001</v>
      </c>
      <c r="J1120" s="1">
        <f ca="1">IFERROR(__xludf.DUMMYFUNCTION("""COMPUTED_VALUE"""),847.81)</f>
        <v>847.81</v>
      </c>
      <c r="K1120" s="1">
        <f ca="1">IFERROR(__xludf.DUMMYFUNCTION("""COMPUTED_VALUE"""),149.55)</f>
        <v>149.55000000000001</v>
      </c>
      <c r="L1120" s="1">
        <f ca="1">IFERROR(__xludf.DUMMYFUNCTION("""COMPUTED_VALUE"""),459.87)</f>
        <v>459.87</v>
      </c>
      <c r="M1120" s="1">
        <f ca="1">IFERROR(__xludf.DUMMYFUNCTION("""COMPUTED_VALUE"""),650.06)</f>
        <v>650.05999999999995</v>
      </c>
    </row>
    <row r="1121" spans="1:13" x14ac:dyDescent="0.25">
      <c r="A1121" s="2">
        <f ca="1">IFERROR(__xludf.DUMMYFUNCTION("""COMPUTED_VALUE"""),45457.6666666666)</f>
        <v>45457.666666666599</v>
      </c>
      <c r="B1121" s="1">
        <f ca="1">IFERROR(__xludf.DUMMYFUNCTION("""COMPUTED_VALUE"""),212.49)</f>
        <v>212.49</v>
      </c>
      <c r="C1121" s="1">
        <f ca="1">IFERROR(__xludf.DUMMYFUNCTION("""COMPUTED_VALUE"""),441.58)</f>
        <v>441.58</v>
      </c>
      <c r="D1121" s="1">
        <f ca="1">IFERROR(__xludf.DUMMYFUNCTION("""COMPUTED_VALUE"""),183.83)</f>
        <v>183.83</v>
      </c>
      <c r="E1121" s="1">
        <f ca="1">IFERROR(__xludf.DUMMYFUNCTION("""COMPUTED_VALUE"""),129.61)</f>
        <v>129.61000000000001</v>
      </c>
      <c r="F1121" s="1">
        <f ca="1">IFERROR(__xludf.DUMMYFUNCTION("""COMPUTED_VALUE"""),504.1)</f>
        <v>504.1</v>
      </c>
      <c r="G1121" s="1">
        <f ca="1">IFERROR(__xludf.DUMMYFUNCTION("""COMPUTED_VALUE"""),176.74)</f>
        <v>176.74</v>
      </c>
      <c r="H1121" s="1">
        <f ca="1">IFERROR(__xludf.DUMMYFUNCTION("""COMPUTED_VALUE"""),182.47)</f>
        <v>182.47</v>
      </c>
      <c r="I1121" s="1">
        <f ca="1">IFERROR(__xludf.DUMMYFUNCTION("""COMPUTED_VALUE"""),163.33)</f>
        <v>163.33000000000001</v>
      </c>
      <c r="J1121" s="1">
        <f ca="1">IFERROR(__xludf.DUMMYFUNCTION("""COMPUTED_VALUE"""),845.96)</f>
        <v>845.96</v>
      </c>
      <c r="K1121" s="1">
        <f ca="1">IFERROR(__xludf.DUMMYFUNCTION("""COMPUTED_VALUE"""),167.9)</f>
        <v>167.9</v>
      </c>
      <c r="L1121" s="1">
        <f ca="1">IFERROR(__xludf.DUMMYFUNCTION("""COMPUTED_VALUE"""),458.74)</f>
        <v>458.74</v>
      </c>
      <c r="M1121" s="1">
        <f ca="1">IFERROR(__xludf.DUMMYFUNCTION("""COMPUTED_VALUE"""),653.26)</f>
        <v>653.26</v>
      </c>
    </row>
    <row r="1122" spans="1:13" x14ac:dyDescent="0.25">
      <c r="A1122" s="2">
        <f ca="1">IFERROR(__xludf.DUMMYFUNCTION("""COMPUTED_VALUE"""),45460.6666666666)</f>
        <v>45460.666666666599</v>
      </c>
      <c r="B1122" s="1">
        <f ca="1">IFERROR(__xludf.DUMMYFUNCTION("""COMPUTED_VALUE"""),216.67)</f>
        <v>216.67</v>
      </c>
      <c r="C1122" s="1">
        <f ca="1">IFERROR(__xludf.DUMMYFUNCTION("""COMPUTED_VALUE"""),442.57)</f>
        <v>442.57</v>
      </c>
      <c r="D1122" s="1">
        <f ca="1">IFERROR(__xludf.DUMMYFUNCTION("""COMPUTED_VALUE"""),183.66)</f>
        <v>183.66</v>
      </c>
      <c r="E1122" s="1">
        <f ca="1">IFERROR(__xludf.DUMMYFUNCTION("""COMPUTED_VALUE"""),131.88)</f>
        <v>131.88</v>
      </c>
      <c r="F1122" s="1">
        <f ca="1">IFERROR(__xludf.DUMMYFUNCTION("""COMPUTED_VALUE"""),504.16)</f>
        <v>504.16</v>
      </c>
      <c r="G1122" s="1">
        <f ca="1">IFERROR(__xludf.DUMMYFUNCTION("""COMPUTED_VALUE"""),178.37)</f>
        <v>178.37</v>
      </c>
      <c r="H1122" s="1">
        <f ca="1">IFERROR(__xludf.DUMMYFUNCTION("""COMPUTED_VALUE"""),178.01)</f>
        <v>178.01</v>
      </c>
      <c r="I1122" s="1">
        <f ca="1">IFERROR(__xludf.DUMMYFUNCTION("""COMPUTED_VALUE"""),163.81)</f>
        <v>163.81</v>
      </c>
      <c r="J1122" s="1">
        <f ca="1">IFERROR(__xludf.DUMMYFUNCTION("""COMPUTED_VALUE"""),855.67)</f>
        <v>855.67</v>
      </c>
      <c r="K1122" s="1">
        <f ca="1">IFERROR(__xludf.DUMMYFUNCTION("""COMPUTED_VALUE"""),173.5)</f>
        <v>173.5</v>
      </c>
      <c r="L1122" s="1">
        <f ca="1">IFERROR(__xludf.DUMMYFUNCTION("""COMPUTED_VALUE"""),525.31)</f>
        <v>525.30999999999995</v>
      </c>
      <c r="M1122" s="1">
        <f ca="1">IFERROR(__xludf.DUMMYFUNCTION("""COMPUTED_VALUE"""),669.38)</f>
        <v>669.38</v>
      </c>
    </row>
    <row r="1123" spans="1:13" x14ac:dyDescent="0.25">
      <c r="A1123" s="2">
        <f ca="1">IFERROR(__xludf.DUMMYFUNCTION("""COMPUTED_VALUE"""),45461.6666666666)</f>
        <v>45461.666666666599</v>
      </c>
      <c r="B1123" s="1">
        <f ca="1">IFERROR(__xludf.DUMMYFUNCTION("""COMPUTED_VALUE"""),214.29)</f>
        <v>214.29</v>
      </c>
      <c r="C1123" s="1">
        <f ca="1">IFERROR(__xludf.DUMMYFUNCTION("""COMPUTED_VALUE"""),448.37)</f>
        <v>448.37</v>
      </c>
      <c r="D1123" s="1">
        <f ca="1">IFERROR(__xludf.DUMMYFUNCTION("""COMPUTED_VALUE"""),184.06)</f>
        <v>184.06</v>
      </c>
      <c r="E1123" s="1">
        <f ca="1">IFERROR(__xludf.DUMMYFUNCTION("""COMPUTED_VALUE"""),130.98)</f>
        <v>130.97999999999999</v>
      </c>
      <c r="F1123" s="1">
        <f ca="1">IFERROR(__xludf.DUMMYFUNCTION("""COMPUTED_VALUE"""),506.63)</f>
        <v>506.63</v>
      </c>
      <c r="G1123" s="1">
        <f ca="1">IFERROR(__xludf.DUMMYFUNCTION("""COMPUTED_VALUE"""),178.78)</f>
        <v>178.78</v>
      </c>
      <c r="H1123" s="1">
        <f ca="1">IFERROR(__xludf.DUMMYFUNCTION("""COMPUTED_VALUE"""),187.44)</f>
        <v>187.44</v>
      </c>
      <c r="I1123" s="1">
        <f ca="1">IFERROR(__xludf.DUMMYFUNCTION("""COMPUTED_VALUE"""),166.14)</f>
        <v>166.14</v>
      </c>
      <c r="J1123" s="1">
        <f ca="1">IFERROR(__xludf.DUMMYFUNCTION("""COMPUTED_VALUE"""),867.91)</f>
        <v>867.91</v>
      </c>
      <c r="K1123" s="1">
        <f ca="1">IFERROR(__xludf.DUMMYFUNCTION("""COMPUTED_VALUE"""),182.89)</f>
        <v>182.89</v>
      </c>
      <c r="L1123" s="1">
        <f ca="1">IFERROR(__xludf.DUMMYFUNCTION("""COMPUTED_VALUE"""),518.74)</f>
        <v>518.74</v>
      </c>
      <c r="M1123" s="1">
        <f ca="1">IFERROR(__xludf.DUMMYFUNCTION("""COMPUTED_VALUE"""),675.83)</f>
        <v>675.83</v>
      </c>
    </row>
    <row r="1124" spans="1:13" x14ac:dyDescent="0.25">
      <c r="A1124" s="2">
        <f ca="1">IFERROR(__xludf.DUMMYFUNCTION("""COMPUTED_VALUE"""),45463.6666666666)</f>
        <v>45463.666666666599</v>
      </c>
      <c r="B1124" s="1">
        <f ca="1">IFERROR(__xludf.DUMMYFUNCTION("""COMPUTED_VALUE"""),209.68)</f>
        <v>209.68</v>
      </c>
      <c r="C1124" s="1">
        <f ca="1">IFERROR(__xludf.DUMMYFUNCTION("""COMPUTED_VALUE"""),446.34)</f>
        <v>446.34</v>
      </c>
      <c r="D1124" s="1">
        <f ca="1">IFERROR(__xludf.DUMMYFUNCTION("""COMPUTED_VALUE"""),182.81)</f>
        <v>182.81</v>
      </c>
      <c r="E1124" s="1">
        <f ca="1">IFERROR(__xludf.DUMMYFUNCTION("""COMPUTED_VALUE"""),135.58)</f>
        <v>135.58000000000001</v>
      </c>
      <c r="F1124" s="1">
        <f ca="1">IFERROR(__xludf.DUMMYFUNCTION("""COMPUTED_VALUE"""),499.49)</f>
        <v>499.49</v>
      </c>
      <c r="G1124" s="1">
        <f ca="1">IFERROR(__xludf.DUMMYFUNCTION("""COMPUTED_VALUE"""),176.45)</f>
        <v>176.45</v>
      </c>
      <c r="H1124" s="1">
        <f ca="1">IFERROR(__xludf.DUMMYFUNCTION("""COMPUTED_VALUE"""),184.86)</f>
        <v>184.86</v>
      </c>
      <c r="I1124" s="1">
        <f ca="1">IFERROR(__xludf.DUMMYFUNCTION("""COMPUTED_VALUE"""),166.48)</f>
        <v>166.48</v>
      </c>
      <c r="J1124" s="1">
        <f ca="1">IFERROR(__xludf.DUMMYFUNCTION("""COMPUTED_VALUE"""),870.75)</f>
        <v>870.75</v>
      </c>
      <c r="K1124" s="1">
        <f ca="1">IFERROR(__xludf.DUMMYFUNCTION("""COMPUTED_VALUE"""),180.25)</f>
        <v>180.25</v>
      </c>
      <c r="L1124" s="1">
        <f ca="1">IFERROR(__xludf.DUMMYFUNCTION("""COMPUTED_VALUE"""),522.25)</f>
        <v>522.25</v>
      </c>
      <c r="M1124" s="1">
        <f ca="1">IFERROR(__xludf.DUMMYFUNCTION("""COMPUTED_VALUE"""),685.67)</f>
        <v>685.67</v>
      </c>
    </row>
    <row r="1125" spans="1:13" x14ac:dyDescent="0.25">
      <c r="A1125" s="2">
        <f ca="1">IFERROR(__xludf.DUMMYFUNCTION("""COMPUTED_VALUE"""),45464.6666666666)</f>
        <v>45464.666666666599</v>
      </c>
      <c r="B1125" s="1">
        <f ca="1">IFERROR(__xludf.DUMMYFUNCTION("""COMPUTED_VALUE"""),207.49)</f>
        <v>207.49</v>
      </c>
      <c r="C1125" s="1">
        <f ca="1">IFERROR(__xludf.DUMMYFUNCTION("""COMPUTED_VALUE"""),445.7)</f>
        <v>445.7</v>
      </c>
      <c r="D1125" s="1">
        <f ca="1">IFERROR(__xludf.DUMMYFUNCTION("""COMPUTED_VALUE"""),186.1)</f>
        <v>186.1</v>
      </c>
      <c r="E1125" s="1">
        <f ca="1">IFERROR(__xludf.DUMMYFUNCTION("""COMPUTED_VALUE"""),130.78)</f>
        <v>130.78</v>
      </c>
      <c r="F1125" s="1">
        <f ca="1">IFERROR(__xludf.DUMMYFUNCTION("""COMPUTED_VALUE"""),501.7)</f>
        <v>501.7</v>
      </c>
      <c r="G1125" s="1">
        <f ca="1">IFERROR(__xludf.DUMMYFUNCTION("""COMPUTED_VALUE"""),177.71)</f>
        <v>177.71</v>
      </c>
      <c r="H1125" s="1">
        <f ca="1">IFERROR(__xludf.DUMMYFUNCTION("""COMPUTED_VALUE"""),181.57)</f>
        <v>181.57</v>
      </c>
      <c r="I1125" s="1">
        <f ca="1">IFERROR(__xludf.DUMMYFUNCTION("""COMPUTED_VALUE"""),166.68)</f>
        <v>166.68</v>
      </c>
      <c r="J1125" s="1">
        <f ca="1">IFERROR(__xludf.DUMMYFUNCTION("""COMPUTED_VALUE"""),862.44)</f>
        <v>862.44</v>
      </c>
      <c r="K1125" s="1">
        <f ca="1">IFERROR(__xludf.DUMMYFUNCTION("""COMPUTED_VALUE"""),173.46)</f>
        <v>173.46</v>
      </c>
      <c r="L1125" s="1">
        <f ca="1">IFERROR(__xludf.DUMMYFUNCTION("""COMPUTED_VALUE"""),522.95)</f>
        <v>522.95000000000005</v>
      </c>
      <c r="M1125" s="1">
        <f ca="1">IFERROR(__xludf.DUMMYFUNCTION("""COMPUTED_VALUE"""),679.03)</f>
        <v>679.03</v>
      </c>
    </row>
    <row r="1126" spans="1:13" x14ac:dyDescent="0.25">
      <c r="A1126" s="2">
        <f ca="1">IFERROR(__xludf.DUMMYFUNCTION("""COMPUTED_VALUE"""),45467.6666666666)</f>
        <v>45467.666666666599</v>
      </c>
      <c r="B1126" s="1">
        <f ca="1">IFERROR(__xludf.DUMMYFUNCTION("""COMPUTED_VALUE"""),208.14)</f>
        <v>208.14</v>
      </c>
      <c r="C1126" s="1">
        <f ca="1">IFERROR(__xludf.DUMMYFUNCTION("""COMPUTED_VALUE"""),449.78)</f>
        <v>449.78</v>
      </c>
      <c r="D1126" s="1">
        <f ca="1">IFERROR(__xludf.DUMMYFUNCTION("""COMPUTED_VALUE"""),189.08)</f>
        <v>189.08</v>
      </c>
      <c r="E1126" s="1">
        <f ca="1">IFERROR(__xludf.DUMMYFUNCTION("""COMPUTED_VALUE"""),126.57)</f>
        <v>126.57</v>
      </c>
      <c r="F1126" s="1">
        <f ca="1">IFERROR(__xludf.DUMMYFUNCTION("""COMPUTED_VALUE"""),494.78)</f>
        <v>494.78</v>
      </c>
      <c r="G1126" s="1">
        <f ca="1">IFERROR(__xludf.DUMMYFUNCTION("""COMPUTED_VALUE"""),180.26)</f>
        <v>180.26</v>
      </c>
      <c r="H1126" s="1">
        <f ca="1">IFERROR(__xludf.DUMMYFUNCTION("""COMPUTED_VALUE"""),183.01)</f>
        <v>183.01</v>
      </c>
      <c r="I1126" s="1">
        <f ca="1">IFERROR(__xludf.DUMMYFUNCTION("""COMPUTED_VALUE"""),167.28)</f>
        <v>167.28</v>
      </c>
      <c r="J1126" s="1">
        <f ca="1">IFERROR(__xludf.DUMMYFUNCTION("""COMPUTED_VALUE"""),848.31)</f>
        <v>848.31</v>
      </c>
      <c r="K1126" s="1">
        <f ca="1">IFERROR(__xludf.DUMMYFUNCTION("""COMPUTED_VALUE"""),165.86)</f>
        <v>165.86</v>
      </c>
      <c r="L1126" s="1">
        <f ca="1">IFERROR(__xludf.DUMMYFUNCTION("""COMPUTED_VALUE"""),533.44)</f>
        <v>533.44000000000005</v>
      </c>
      <c r="M1126" s="1">
        <f ca="1">IFERROR(__xludf.DUMMYFUNCTION("""COMPUTED_VALUE"""),686.12)</f>
        <v>686.12</v>
      </c>
    </row>
    <row r="1127" spans="1:13" x14ac:dyDescent="0.25">
      <c r="A1127" s="2">
        <f ca="1">IFERROR(__xludf.DUMMYFUNCTION("""COMPUTED_VALUE"""),45468.6666666666)</f>
        <v>45468.666666666599</v>
      </c>
      <c r="B1127" s="1">
        <f ca="1">IFERROR(__xludf.DUMMYFUNCTION("""COMPUTED_VALUE"""),209.07)</f>
        <v>209.07</v>
      </c>
      <c r="C1127" s="1">
        <f ca="1">IFERROR(__xludf.DUMMYFUNCTION("""COMPUTED_VALUE"""),447.67)</f>
        <v>447.67</v>
      </c>
      <c r="D1127" s="1">
        <f ca="1">IFERROR(__xludf.DUMMYFUNCTION("""COMPUTED_VALUE"""),185.57)</f>
        <v>185.57</v>
      </c>
      <c r="E1127" s="1">
        <f ca="1">IFERROR(__xludf.DUMMYFUNCTION("""COMPUTED_VALUE"""),118.11)</f>
        <v>118.11</v>
      </c>
      <c r="F1127" s="1">
        <f ca="1">IFERROR(__xludf.DUMMYFUNCTION("""COMPUTED_VALUE"""),498.91)</f>
        <v>498.91</v>
      </c>
      <c r="G1127" s="1">
        <f ca="1">IFERROR(__xludf.DUMMYFUNCTION("""COMPUTED_VALUE"""),180.79)</f>
        <v>180.79</v>
      </c>
      <c r="H1127" s="1">
        <f ca="1">IFERROR(__xludf.DUMMYFUNCTION("""COMPUTED_VALUE"""),182.58)</f>
        <v>182.58</v>
      </c>
      <c r="I1127" s="1">
        <f ca="1">IFERROR(__xludf.DUMMYFUNCTION("""COMPUTED_VALUE"""),168.08)</f>
        <v>168.08</v>
      </c>
      <c r="J1127" s="1">
        <f ca="1">IFERROR(__xludf.DUMMYFUNCTION("""COMPUTED_VALUE"""),848.16)</f>
        <v>848.16</v>
      </c>
      <c r="K1127" s="1">
        <f ca="1">IFERROR(__xludf.DUMMYFUNCTION("""COMPUTED_VALUE"""),159.22)</f>
        <v>159.22</v>
      </c>
      <c r="L1127" s="1">
        <f ca="1">IFERROR(__xludf.DUMMYFUNCTION("""COMPUTED_VALUE"""),524.17)</f>
        <v>524.16999999999996</v>
      </c>
      <c r="M1127" s="1">
        <f ca="1">IFERROR(__xludf.DUMMYFUNCTION("""COMPUTED_VALUE"""),669.02)</f>
        <v>669.02</v>
      </c>
    </row>
    <row r="1128" spans="1:13" x14ac:dyDescent="0.25">
      <c r="A1128" s="2">
        <f ca="1">IFERROR(__xludf.DUMMYFUNCTION("""COMPUTED_VALUE"""),45469.6666666666)</f>
        <v>45469.666666666599</v>
      </c>
      <c r="B1128" s="1">
        <f ca="1">IFERROR(__xludf.DUMMYFUNCTION("""COMPUTED_VALUE"""),213.25)</f>
        <v>213.25</v>
      </c>
      <c r="C1128" s="1">
        <f ca="1">IFERROR(__xludf.DUMMYFUNCTION("""COMPUTED_VALUE"""),450.95)</f>
        <v>450.95</v>
      </c>
      <c r="D1128" s="1">
        <f ca="1">IFERROR(__xludf.DUMMYFUNCTION("""COMPUTED_VALUE"""),186.34)</f>
        <v>186.34</v>
      </c>
      <c r="E1128" s="1">
        <f ca="1">IFERROR(__xludf.DUMMYFUNCTION("""COMPUTED_VALUE"""),126.09)</f>
        <v>126.09</v>
      </c>
      <c r="F1128" s="1">
        <f ca="1">IFERROR(__xludf.DUMMYFUNCTION("""COMPUTED_VALUE"""),510.6)</f>
        <v>510.6</v>
      </c>
      <c r="G1128" s="1">
        <f ca="1">IFERROR(__xludf.DUMMYFUNCTION("""COMPUTED_VALUE"""),185.58)</f>
        <v>185.58</v>
      </c>
      <c r="H1128" s="1">
        <f ca="1">IFERROR(__xludf.DUMMYFUNCTION("""COMPUTED_VALUE"""),187.35)</f>
        <v>187.35</v>
      </c>
      <c r="I1128" s="1">
        <f ca="1">IFERROR(__xludf.DUMMYFUNCTION("""COMPUTED_VALUE"""),167.35)</f>
        <v>167.35</v>
      </c>
      <c r="J1128" s="1">
        <f ca="1">IFERROR(__xludf.DUMMYFUNCTION("""COMPUTED_VALUE"""),855.51)</f>
        <v>855.51</v>
      </c>
      <c r="K1128" s="1">
        <f ca="1">IFERROR(__xludf.DUMMYFUNCTION("""COMPUTED_VALUE"""),158.08)</f>
        <v>158.08000000000001</v>
      </c>
      <c r="L1128" s="1">
        <f ca="1">IFERROR(__xludf.DUMMYFUNCTION("""COMPUTED_VALUE"""),526.88)</f>
        <v>526.88</v>
      </c>
      <c r="M1128" s="1">
        <f ca="1">IFERROR(__xludf.DUMMYFUNCTION("""COMPUTED_VALUE"""),672.41)</f>
        <v>672.41</v>
      </c>
    </row>
    <row r="1129" spans="1:13" x14ac:dyDescent="0.25">
      <c r="A1129" s="2">
        <f ca="1">IFERROR(__xludf.DUMMYFUNCTION("""COMPUTED_VALUE"""),45470.6666666666)</f>
        <v>45470.666666666599</v>
      </c>
      <c r="B1129" s="1">
        <f ca="1">IFERROR(__xludf.DUMMYFUNCTION("""COMPUTED_VALUE"""),214.1)</f>
        <v>214.1</v>
      </c>
      <c r="C1129" s="1">
        <f ca="1">IFERROR(__xludf.DUMMYFUNCTION("""COMPUTED_VALUE"""),452.16)</f>
        <v>452.16</v>
      </c>
      <c r="D1129" s="1">
        <f ca="1">IFERROR(__xludf.DUMMYFUNCTION("""COMPUTED_VALUE"""),193.61)</f>
        <v>193.61</v>
      </c>
      <c r="E1129" s="1">
        <f ca="1">IFERROR(__xludf.DUMMYFUNCTION("""COMPUTED_VALUE"""),126.4)</f>
        <v>126.4</v>
      </c>
      <c r="F1129" s="1">
        <f ca="1">IFERROR(__xludf.DUMMYFUNCTION("""COMPUTED_VALUE"""),513.12)</f>
        <v>513.12</v>
      </c>
      <c r="G1129" s="1">
        <f ca="1">IFERROR(__xludf.DUMMYFUNCTION("""COMPUTED_VALUE"""),185.37)</f>
        <v>185.37</v>
      </c>
      <c r="H1129" s="1">
        <f ca="1">IFERROR(__xludf.DUMMYFUNCTION("""COMPUTED_VALUE"""),196.37)</f>
        <v>196.37</v>
      </c>
      <c r="I1129" s="1">
        <f ca="1">IFERROR(__xludf.DUMMYFUNCTION("""COMPUTED_VALUE"""),166.74)</f>
        <v>166.74</v>
      </c>
      <c r="J1129" s="1">
        <f ca="1">IFERROR(__xludf.DUMMYFUNCTION("""COMPUTED_VALUE"""),856.84)</f>
        <v>856.84</v>
      </c>
      <c r="K1129" s="1">
        <f ca="1">IFERROR(__xludf.DUMMYFUNCTION("""COMPUTED_VALUE"""),159.2)</f>
        <v>159.19999999999999</v>
      </c>
      <c r="L1129" s="1">
        <f ca="1">IFERROR(__xludf.DUMMYFUNCTION("""COMPUTED_VALUE"""),528.66)</f>
        <v>528.66</v>
      </c>
      <c r="M1129" s="1">
        <f ca="1">IFERROR(__xludf.DUMMYFUNCTION("""COMPUTED_VALUE"""),677.69)</f>
        <v>677.69</v>
      </c>
    </row>
    <row r="1130" spans="1:13" x14ac:dyDescent="0.25">
      <c r="A1130" s="2">
        <f ca="1">IFERROR(__xludf.DUMMYFUNCTION("""COMPUTED_VALUE"""),45471.6666666666)</f>
        <v>45471.666666666599</v>
      </c>
      <c r="B1130" s="1">
        <f ca="1">IFERROR(__xludf.DUMMYFUNCTION("""COMPUTED_VALUE"""),210.62)</f>
        <v>210.62</v>
      </c>
      <c r="C1130" s="1">
        <f ca="1">IFERROR(__xludf.DUMMYFUNCTION("""COMPUTED_VALUE"""),452.85)</f>
        <v>452.85</v>
      </c>
      <c r="D1130" s="1">
        <f ca="1">IFERROR(__xludf.DUMMYFUNCTION("""COMPUTED_VALUE"""),197.85)</f>
        <v>197.85</v>
      </c>
      <c r="E1130" s="1">
        <f ca="1">IFERROR(__xludf.DUMMYFUNCTION("""COMPUTED_VALUE"""),123.99)</f>
        <v>123.99</v>
      </c>
      <c r="F1130" s="1">
        <f ca="1">IFERROR(__xludf.DUMMYFUNCTION("""COMPUTED_VALUE"""),519.56)</f>
        <v>519.55999999999995</v>
      </c>
      <c r="G1130" s="1">
        <f ca="1">IFERROR(__xludf.DUMMYFUNCTION("""COMPUTED_VALUE"""),186.86)</f>
        <v>186.86</v>
      </c>
      <c r="H1130" s="1">
        <f ca="1">IFERROR(__xludf.DUMMYFUNCTION("""COMPUTED_VALUE"""),197.42)</f>
        <v>197.42</v>
      </c>
      <c r="I1130" s="1">
        <f ca="1">IFERROR(__xludf.DUMMYFUNCTION("""COMPUTED_VALUE"""),166.26)</f>
        <v>166.26</v>
      </c>
      <c r="J1130" s="1">
        <f ca="1">IFERROR(__xludf.DUMMYFUNCTION("""COMPUTED_VALUE"""),850.62)</f>
        <v>850.62</v>
      </c>
      <c r="K1130" s="1">
        <f ca="1">IFERROR(__xludf.DUMMYFUNCTION("""COMPUTED_VALUE"""),158.67)</f>
        <v>158.66999999999999</v>
      </c>
      <c r="L1130" s="1">
        <f ca="1">IFERROR(__xludf.DUMMYFUNCTION("""COMPUTED_VALUE"""),546.76)</f>
        <v>546.76</v>
      </c>
      <c r="M1130" s="1">
        <f ca="1">IFERROR(__xludf.DUMMYFUNCTION("""COMPUTED_VALUE"""),684.34)</f>
        <v>684.34</v>
      </c>
    </row>
    <row r="1131" spans="1:13" x14ac:dyDescent="0.25">
      <c r="A1131" s="2">
        <f ca="1">IFERROR(__xludf.DUMMYFUNCTION("""COMPUTED_VALUE"""),45474.6666666666)</f>
        <v>45474.666666666599</v>
      </c>
      <c r="B1131" s="1">
        <f ca="1">IFERROR(__xludf.DUMMYFUNCTION("""COMPUTED_VALUE"""),216.75)</f>
        <v>216.75</v>
      </c>
      <c r="C1131" s="1">
        <f ca="1">IFERROR(__xludf.DUMMYFUNCTION("""COMPUTED_VALUE"""),446.95)</f>
        <v>446.95</v>
      </c>
      <c r="D1131" s="1">
        <f ca="1">IFERROR(__xludf.DUMMYFUNCTION("""COMPUTED_VALUE"""),193.25)</f>
        <v>193.25</v>
      </c>
      <c r="E1131" s="1">
        <f ca="1">IFERROR(__xludf.DUMMYFUNCTION("""COMPUTED_VALUE"""),123.54)</f>
        <v>123.54</v>
      </c>
      <c r="F1131" s="1">
        <f ca="1">IFERROR(__xludf.DUMMYFUNCTION("""COMPUTED_VALUE"""),504.22)</f>
        <v>504.22</v>
      </c>
      <c r="G1131" s="1">
        <f ca="1">IFERROR(__xludf.DUMMYFUNCTION("""COMPUTED_VALUE"""),183.42)</f>
        <v>183.42</v>
      </c>
      <c r="H1131" s="1">
        <f ca="1">IFERROR(__xludf.DUMMYFUNCTION("""COMPUTED_VALUE"""),197.88)</f>
        <v>197.88</v>
      </c>
      <c r="I1131" s="1">
        <f ca="1">IFERROR(__xludf.DUMMYFUNCTION("""COMPUTED_VALUE"""),164.93)</f>
        <v>164.93</v>
      </c>
      <c r="J1131" s="1">
        <f ca="1">IFERROR(__xludf.DUMMYFUNCTION("""COMPUTED_VALUE"""),849.99)</f>
        <v>849.99</v>
      </c>
      <c r="K1131" s="1">
        <f ca="1">IFERROR(__xludf.DUMMYFUNCTION("""COMPUTED_VALUE"""),160.55)</f>
        <v>160.55000000000001</v>
      </c>
      <c r="L1131" s="1">
        <f ca="1">IFERROR(__xludf.DUMMYFUNCTION("""COMPUTED_VALUE"""),555.54)</f>
        <v>555.54</v>
      </c>
      <c r="M1131" s="1">
        <f ca="1">IFERROR(__xludf.DUMMYFUNCTION("""COMPUTED_VALUE"""),674.88)</f>
        <v>674.88</v>
      </c>
    </row>
    <row r="1132" spans="1:13" x14ac:dyDescent="0.25">
      <c r="A1132" s="2">
        <f ca="1">IFERROR(__xludf.DUMMYFUNCTION("""COMPUTED_VALUE"""),45475.6666666666)</f>
        <v>45475.666666666599</v>
      </c>
      <c r="B1132" s="1">
        <f ca="1">IFERROR(__xludf.DUMMYFUNCTION("""COMPUTED_VALUE"""),220.27)</f>
        <v>220.27</v>
      </c>
      <c r="C1132" s="1">
        <f ca="1">IFERROR(__xludf.DUMMYFUNCTION("""COMPUTED_VALUE"""),456.73)</f>
        <v>456.73</v>
      </c>
      <c r="D1132" s="1">
        <f ca="1">IFERROR(__xludf.DUMMYFUNCTION("""COMPUTED_VALUE"""),197.2)</f>
        <v>197.2</v>
      </c>
      <c r="E1132" s="1">
        <f ca="1">IFERROR(__xludf.DUMMYFUNCTION("""COMPUTED_VALUE"""),124.3)</f>
        <v>124.3</v>
      </c>
      <c r="F1132" s="1">
        <f ca="1">IFERROR(__xludf.DUMMYFUNCTION("""COMPUTED_VALUE"""),504.68)</f>
        <v>504.68</v>
      </c>
      <c r="G1132" s="1">
        <f ca="1">IFERROR(__xludf.DUMMYFUNCTION("""COMPUTED_VALUE"""),184.49)</f>
        <v>184.49</v>
      </c>
      <c r="H1132" s="1">
        <f ca="1">IFERROR(__xludf.DUMMYFUNCTION("""COMPUTED_VALUE"""),209.86)</f>
        <v>209.86</v>
      </c>
      <c r="I1132" s="1">
        <f ca="1">IFERROR(__xludf.DUMMYFUNCTION("""COMPUTED_VALUE"""),162.89)</f>
        <v>162.88999999999999</v>
      </c>
      <c r="J1132" s="1">
        <f ca="1">IFERROR(__xludf.DUMMYFUNCTION("""COMPUTED_VALUE"""),845.67)</f>
        <v>845.67</v>
      </c>
      <c r="K1132" s="1">
        <f ca="1">IFERROR(__xludf.DUMMYFUNCTION("""COMPUTED_VALUE"""),164.08)</f>
        <v>164.08</v>
      </c>
      <c r="L1132" s="1">
        <f ca="1">IFERROR(__xludf.DUMMYFUNCTION("""COMPUTED_VALUE"""),560.01)</f>
        <v>560.01</v>
      </c>
      <c r="M1132" s="1">
        <f ca="1">IFERROR(__xludf.DUMMYFUNCTION("""COMPUTED_VALUE"""),673.61)</f>
        <v>673.61</v>
      </c>
    </row>
    <row r="1133" spans="1:13" x14ac:dyDescent="0.25">
      <c r="A1133" s="2">
        <f ca="1">IFERROR(__xludf.DUMMYFUNCTION("""COMPUTED_VALUE"""),45476.5451388888)</f>
        <v>45476.545138888803</v>
      </c>
      <c r="B1133" s="1">
        <f ca="1">IFERROR(__xludf.DUMMYFUNCTION("""COMPUTED_VALUE"""),221.55)</f>
        <v>221.55</v>
      </c>
      <c r="C1133" s="1">
        <f ca="1">IFERROR(__xludf.DUMMYFUNCTION("""COMPUTED_VALUE"""),459.28)</f>
        <v>459.28</v>
      </c>
      <c r="D1133" s="1">
        <f ca="1">IFERROR(__xludf.DUMMYFUNCTION("""COMPUTED_VALUE"""),200)</f>
        <v>200</v>
      </c>
      <c r="E1133" s="1">
        <f ca="1">IFERROR(__xludf.DUMMYFUNCTION("""COMPUTED_VALUE"""),122.67)</f>
        <v>122.67</v>
      </c>
      <c r="F1133" s="1">
        <f ca="1">IFERROR(__xludf.DUMMYFUNCTION("""COMPUTED_VALUE"""),509.5)</f>
        <v>509.5</v>
      </c>
      <c r="G1133" s="1">
        <f ca="1">IFERROR(__xludf.DUMMYFUNCTION("""COMPUTED_VALUE"""),186.61)</f>
        <v>186.61</v>
      </c>
      <c r="H1133" s="1">
        <f ca="1">IFERROR(__xludf.DUMMYFUNCTION("""COMPUTED_VALUE"""),231.26)</f>
        <v>231.26</v>
      </c>
      <c r="I1133" s="1">
        <f ca="1">IFERROR(__xludf.DUMMYFUNCTION("""COMPUTED_VALUE"""),163.58)</f>
        <v>163.58000000000001</v>
      </c>
      <c r="J1133" s="1">
        <f ca="1">IFERROR(__xludf.DUMMYFUNCTION("""COMPUTED_VALUE"""),859.36)</f>
        <v>859.36</v>
      </c>
      <c r="K1133" s="1">
        <f ca="1">IFERROR(__xludf.DUMMYFUNCTION("""COMPUTED_VALUE"""),165.75)</f>
        <v>165.75</v>
      </c>
      <c r="L1133" s="1">
        <f ca="1">IFERROR(__xludf.DUMMYFUNCTION("""COMPUTED_VALUE"""),567.71)</f>
        <v>567.71</v>
      </c>
      <c r="M1133" s="1">
        <f ca="1">IFERROR(__xludf.DUMMYFUNCTION("""COMPUTED_VALUE"""),679.58)</f>
        <v>679.58</v>
      </c>
    </row>
    <row r="1134" spans="1:13" x14ac:dyDescent="0.25">
      <c r="A1134" s="2">
        <f ca="1">IFERROR(__xludf.DUMMYFUNCTION("""COMPUTED_VALUE"""),45478.6666666666)</f>
        <v>45478.666666666599</v>
      </c>
      <c r="B1134" s="1">
        <f ca="1">IFERROR(__xludf.DUMMYFUNCTION("""COMPUTED_VALUE"""),226.34)</f>
        <v>226.34</v>
      </c>
      <c r="C1134" s="1">
        <f ca="1">IFERROR(__xludf.DUMMYFUNCTION("""COMPUTED_VALUE"""),460.77)</f>
        <v>460.77</v>
      </c>
      <c r="D1134" s="1">
        <f ca="1">IFERROR(__xludf.DUMMYFUNCTION("""COMPUTED_VALUE"""),197.59)</f>
        <v>197.59</v>
      </c>
      <c r="E1134" s="1">
        <f ca="1">IFERROR(__xludf.DUMMYFUNCTION("""COMPUTED_VALUE"""),128.28)</f>
        <v>128.28</v>
      </c>
      <c r="F1134" s="1">
        <f ca="1">IFERROR(__xludf.DUMMYFUNCTION("""COMPUTED_VALUE"""),509.96)</f>
        <v>509.96</v>
      </c>
      <c r="G1134" s="1">
        <f ca="1">IFERROR(__xludf.DUMMYFUNCTION("""COMPUTED_VALUE"""),187.39)</f>
        <v>187.39</v>
      </c>
      <c r="H1134" s="1">
        <f ca="1">IFERROR(__xludf.DUMMYFUNCTION("""COMPUTED_VALUE"""),246.39)</f>
        <v>246.39</v>
      </c>
      <c r="I1134" s="1">
        <f ca="1">IFERROR(__xludf.DUMMYFUNCTION("""COMPUTED_VALUE"""),162.6)</f>
        <v>162.6</v>
      </c>
      <c r="J1134" s="1">
        <f ca="1">IFERROR(__xludf.DUMMYFUNCTION("""COMPUTED_VALUE"""),862.66)</f>
        <v>862.66</v>
      </c>
      <c r="K1134" s="1">
        <f ca="1">IFERROR(__xludf.DUMMYFUNCTION("""COMPUTED_VALUE"""),172.92)</f>
        <v>172.92</v>
      </c>
      <c r="L1134" s="1">
        <f ca="1">IFERROR(__xludf.DUMMYFUNCTION("""COMPUTED_VALUE"""),570.15)</f>
        <v>570.15</v>
      </c>
      <c r="M1134" s="1">
        <f ca="1">IFERROR(__xludf.DUMMYFUNCTION("""COMPUTED_VALUE"""),682.51)</f>
        <v>682.51</v>
      </c>
    </row>
    <row r="1135" spans="1:13" x14ac:dyDescent="0.25">
      <c r="A1135" s="2">
        <f ca="1">IFERROR(__xludf.DUMMYFUNCTION("""COMPUTED_VALUE"""),45481.6666666666)</f>
        <v>45481.666666666599</v>
      </c>
      <c r="B1135" s="1">
        <f ca="1">IFERROR(__xludf.DUMMYFUNCTION("""COMPUTED_VALUE"""),227.82)</f>
        <v>227.82</v>
      </c>
      <c r="C1135" s="1">
        <f ca="1">IFERROR(__xludf.DUMMYFUNCTION("""COMPUTED_VALUE"""),467.56)</f>
        <v>467.56</v>
      </c>
      <c r="D1135" s="1">
        <f ca="1">IFERROR(__xludf.DUMMYFUNCTION("""COMPUTED_VALUE"""),200)</f>
        <v>200</v>
      </c>
      <c r="E1135" s="1">
        <f ca="1">IFERROR(__xludf.DUMMYFUNCTION("""COMPUTED_VALUE"""),125.83)</f>
        <v>125.83</v>
      </c>
      <c r="F1135" s="1">
        <f ca="1">IFERROR(__xludf.DUMMYFUNCTION("""COMPUTED_VALUE"""),539.91)</f>
        <v>539.91</v>
      </c>
      <c r="G1135" s="1">
        <f ca="1">IFERROR(__xludf.DUMMYFUNCTION("""COMPUTED_VALUE"""),191.96)</f>
        <v>191.96</v>
      </c>
      <c r="H1135" s="1">
        <f ca="1">IFERROR(__xludf.DUMMYFUNCTION("""COMPUTED_VALUE"""),251.52)</f>
        <v>251.52</v>
      </c>
      <c r="I1135" s="1">
        <f ca="1">IFERROR(__xludf.DUMMYFUNCTION("""COMPUTED_VALUE"""),164.39)</f>
        <v>164.39</v>
      </c>
      <c r="J1135" s="1">
        <f ca="1">IFERROR(__xludf.DUMMYFUNCTION("""COMPUTED_VALUE"""),885.67)</f>
        <v>885.67</v>
      </c>
      <c r="K1135" s="1">
        <f ca="1">IFERROR(__xludf.DUMMYFUNCTION("""COMPUTED_VALUE"""),170.33)</f>
        <v>170.33</v>
      </c>
      <c r="L1135" s="1">
        <f ca="1">IFERROR(__xludf.DUMMYFUNCTION("""COMPUTED_VALUE"""),578.34)</f>
        <v>578.34</v>
      </c>
      <c r="M1135" s="1">
        <f ca="1">IFERROR(__xludf.DUMMYFUNCTION("""COMPUTED_VALUE"""),690.65)</f>
        <v>690.65</v>
      </c>
    </row>
    <row r="1136" spans="1:13" x14ac:dyDescent="0.25">
      <c r="A1136" s="2">
        <f ca="1">IFERROR(__xludf.DUMMYFUNCTION("""COMPUTED_VALUE"""),45482.6666666666)</f>
        <v>45482.666666666599</v>
      </c>
      <c r="B1136" s="1">
        <f ca="1">IFERROR(__xludf.DUMMYFUNCTION("""COMPUTED_VALUE"""),228.68)</f>
        <v>228.68</v>
      </c>
      <c r="C1136" s="1">
        <f ca="1">IFERROR(__xludf.DUMMYFUNCTION("""COMPUTED_VALUE"""),466.24)</f>
        <v>466.24</v>
      </c>
      <c r="D1136" s="1">
        <f ca="1">IFERROR(__xludf.DUMMYFUNCTION("""COMPUTED_VALUE"""),199.29)</f>
        <v>199.29</v>
      </c>
      <c r="E1136" s="1">
        <f ca="1">IFERROR(__xludf.DUMMYFUNCTION("""COMPUTED_VALUE"""),128.2)</f>
        <v>128.19999999999999</v>
      </c>
      <c r="F1136" s="1">
        <f ca="1">IFERROR(__xludf.DUMMYFUNCTION("""COMPUTED_VALUE"""),529.32)</f>
        <v>529.32000000000005</v>
      </c>
      <c r="G1136" s="1">
        <f ca="1">IFERROR(__xludf.DUMMYFUNCTION("""COMPUTED_VALUE"""),190.48)</f>
        <v>190.48</v>
      </c>
      <c r="H1136" s="1">
        <f ca="1">IFERROR(__xludf.DUMMYFUNCTION("""COMPUTED_VALUE"""),252.94)</f>
        <v>252.94</v>
      </c>
      <c r="I1136" s="1">
        <f ca="1">IFERROR(__xludf.DUMMYFUNCTION("""COMPUTED_VALUE"""),162.12)</f>
        <v>162.12</v>
      </c>
      <c r="J1136" s="1">
        <f ca="1">IFERROR(__xludf.DUMMYFUNCTION("""COMPUTED_VALUE"""),880.84)</f>
        <v>880.84</v>
      </c>
      <c r="K1136" s="1">
        <f ca="1">IFERROR(__xludf.DUMMYFUNCTION("""COMPUTED_VALUE"""),174.59)</f>
        <v>174.59</v>
      </c>
      <c r="L1136" s="1">
        <f ca="1">IFERROR(__xludf.DUMMYFUNCTION("""COMPUTED_VALUE"""),575.4)</f>
        <v>575.4</v>
      </c>
      <c r="M1136" s="1">
        <f ca="1">IFERROR(__xludf.DUMMYFUNCTION("""COMPUTED_VALUE"""),685.74)</f>
        <v>685.74</v>
      </c>
    </row>
    <row r="1137" spans="1:13" x14ac:dyDescent="0.25">
      <c r="A1137" s="2">
        <f ca="1">IFERROR(__xludf.DUMMYFUNCTION("""COMPUTED_VALUE"""),45483.6666666666)</f>
        <v>45483.666666666599</v>
      </c>
      <c r="B1137" s="1">
        <f ca="1">IFERROR(__xludf.DUMMYFUNCTION("""COMPUTED_VALUE"""),232.98)</f>
        <v>232.98</v>
      </c>
      <c r="C1137" s="1">
        <f ca="1">IFERROR(__xludf.DUMMYFUNCTION("""COMPUTED_VALUE"""),459.54)</f>
        <v>459.54</v>
      </c>
      <c r="D1137" s="1">
        <f ca="1">IFERROR(__xludf.DUMMYFUNCTION("""COMPUTED_VALUE"""),199.34)</f>
        <v>199.34</v>
      </c>
      <c r="E1137" s="1">
        <f ca="1">IFERROR(__xludf.DUMMYFUNCTION("""COMPUTED_VALUE"""),131.38)</f>
        <v>131.38</v>
      </c>
      <c r="F1137" s="1">
        <f ca="1">IFERROR(__xludf.DUMMYFUNCTION("""COMPUTED_VALUE"""),530)</f>
        <v>530</v>
      </c>
      <c r="G1137" s="1">
        <f ca="1">IFERROR(__xludf.DUMMYFUNCTION("""COMPUTED_VALUE"""),190.44)</f>
        <v>190.44</v>
      </c>
      <c r="H1137" s="1">
        <f ca="1">IFERROR(__xludf.DUMMYFUNCTION("""COMPUTED_VALUE"""),262.33)</f>
        <v>262.33</v>
      </c>
      <c r="I1137" s="1">
        <f ca="1">IFERROR(__xludf.DUMMYFUNCTION("""COMPUTED_VALUE"""),161.9)</f>
        <v>161.9</v>
      </c>
      <c r="J1137" s="1">
        <f ca="1">IFERROR(__xludf.DUMMYFUNCTION("""COMPUTED_VALUE"""),886.85)</f>
        <v>886.85</v>
      </c>
      <c r="K1137" s="1">
        <f ca="1">IFERROR(__xludf.DUMMYFUNCTION("""COMPUTED_VALUE"""),173.33)</f>
        <v>173.33</v>
      </c>
      <c r="L1137" s="1">
        <f ca="1">IFERROR(__xludf.DUMMYFUNCTION("""COMPUTED_VALUE"""),566.02)</f>
        <v>566.02</v>
      </c>
      <c r="M1137" s="1">
        <f ca="1">IFERROR(__xludf.DUMMYFUNCTION("""COMPUTED_VALUE"""),685.74)</f>
        <v>685.74</v>
      </c>
    </row>
    <row r="1138" spans="1:13" x14ac:dyDescent="0.25">
      <c r="A1138" s="2">
        <f ca="1">IFERROR(__xludf.DUMMYFUNCTION("""COMPUTED_VALUE"""),45484.6666666666)</f>
        <v>45484.666666666599</v>
      </c>
      <c r="B1138" s="1">
        <f ca="1">IFERROR(__xludf.DUMMYFUNCTION("""COMPUTED_VALUE"""),227.57)</f>
        <v>227.57</v>
      </c>
      <c r="C1138" s="1">
        <f ca="1">IFERROR(__xludf.DUMMYFUNCTION("""COMPUTED_VALUE"""),466.25)</f>
        <v>466.25</v>
      </c>
      <c r="D1138" s="1">
        <f ca="1">IFERROR(__xludf.DUMMYFUNCTION("""COMPUTED_VALUE"""),199.79)</f>
        <v>199.79</v>
      </c>
      <c r="E1138" s="1">
        <f ca="1">IFERROR(__xludf.DUMMYFUNCTION("""COMPUTED_VALUE"""),134.91)</f>
        <v>134.91</v>
      </c>
      <c r="F1138" s="1">
        <f ca="1">IFERROR(__xludf.DUMMYFUNCTION("""COMPUTED_VALUE"""),534.69)</f>
        <v>534.69000000000005</v>
      </c>
      <c r="G1138" s="1">
        <f ca="1">IFERROR(__xludf.DUMMYFUNCTION("""COMPUTED_VALUE"""),192.66)</f>
        <v>192.66</v>
      </c>
      <c r="H1138" s="1">
        <f ca="1">IFERROR(__xludf.DUMMYFUNCTION("""COMPUTED_VALUE"""),263.26)</f>
        <v>263.26</v>
      </c>
      <c r="I1138" s="1">
        <f ca="1">IFERROR(__xludf.DUMMYFUNCTION("""COMPUTED_VALUE"""),163.59)</f>
        <v>163.59</v>
      </c>
      <c r="J1138" s="1">
        <f ca="1">IFERROR(__xludf.DUMMYFUNCTION("""COMPUTED_VALUE"""),884.31)</f>
        <v>884.31</v>
      </c>
      <c r="K1138" s="1">
        <f ca="1">IFERROR(__xludf.DUMMYFUNCTION("""COMPUTED_VALUE"""),174.47)</f>
        <v>174.47</v>
      </c>
      <c r="L1138" s="1">
        <f ca="1">IFERROR(__xludf.DUMMYFUNCTION("""COMPUTED_VALUE"""),564.55)</f>
        <v>564.54999999999995</v>
      </c>
      <c r="M1138" s="1">
        <f ca="1">IFERROR(__xludf.DUMMYFUNCTION("""COMPUTED_VALUE"""),677.65)</f>
        <v>677.65</v>
      </c>
    </row>
    <row r="1139" spans="1:13" x14ac:dyDescent="0.25">
      <c r="A1139" s="2">
        <f ca="1">IFERROR(__xludf.DUMMYFUNCTION("""COMPUTED_VALUE"""),45485.6666666666)</f>
        <v>45485.666666666599</v>
      </c>
      <c r="B1139" s="1">
        <f ca="1">IFERROR(__xludf.DUMMYFUNCTION("""COMPUTED_VALUE"""),230.54)</f>
        <v>230.54</v>
      </c>
      <c r="C1139" s="1">
        <f ca="1">IFERROR(__xludf.DUMMYFUNCTION("""COMPUTED_VALUE"""),454.7)</f>
        <v>454.7</v>
      </c>
      <c r="D1139" s="1">
        <f ca="1">IFERROR(__xludf.DUMMYFUNCTION("""COMPUTED_VALUE"""),195.05)</f>
        <v>195.05</v>
      </c>
      <c r="E1139" s="1">
        <f ca="1">IFERROR(__xludf.DUMMYFUNCTION("""COMPUTED_VALUE"""),127.4)</f>
        <v>127.4</v>
      </c>
      <c r="F1139" s="1">
        <f ca="1">IFERROR(__xludf.DUMMYFUNCTION("""COMPUTED_VALUE"""),512.7)</f>
        <v>512.70000000000005</v>
      </c>
      <c r="G1139" s="1">
        <f ca="1">IFERROR(__xludf.DUMMYFUNCTION("""COMPUTED_VALUE"""),187.3)</f>
        <v>187.3</v>
      </c>
      <c r="H1139" s="1">
        <f ca="1">IFERROR(__xludf.DUMMYFUNCTION("""COMPUTED_VALUE"""),241.03)</f>
        <v>241.03</v>
      </c>
      <c r="I1139" s="1">
        <f ca="1">IFERROR(__xludf.DUMMYFUNCTION("""COMPUTED_VALUE"""),163.95)</f>
        <v>163.95</v>
      </c>
      <c r="J1139" s="1">
        <f ca="1">IFERROR(__xludf.DUMMYFUNCTION("""COMPUTED_VALUE"""),846.59)</f>
        <v>846.59</v>
      </c>
      <c r="K1139" s="1">
        <f ca="1">IFERROR(__xludf.DUMMYFUNCTION("""COMPUTED_VALUE"""),170.6)</f>
        <v>170.6</v>
      </c>
      <c r="L1139" s="1">
        <f ca="1">IFERROR(__xludf.DUMMYFUNCTION("""COMPUTED_VALUE"""),557.63)</f>
        <v>557.63</v>
      </c>
      <c r="M1139" s="1">
        <f ca="1">IFERROR(__xludf.DUMMYFUNCTION("""COMPUTED_VALUE"""),652.75)</f>
        <v>652.75</v>
      </c>
    </row>
    <row r="1140" spans="1:13" x14ac:dyDescent="0.25">
      <c r="A1140" s="2">
        <f ca="1">IFERROR(__xludf.DUMMYFUNCTION("""COMPUTED_VALUE"""),45488.6666666666)</f>
        <v>45488.666666666599</v>
      </c>
      <c r="B1140" s="1">
        <f ca="1">IFERROR(__xludf.DUMMYFUNCTION("""COMPUTED_VALUE"""),234.4)</f>
        <v>234.4</v>
      </c>
      <c r="C1140" s="1">
        <f ca="1">IFERROR(__xludf.DUMMYFUNCTION("""COMPUTED_VALUE"""),453.55)</f>
        <v>453.55</v>
      </c>
      <c r="D1140" s="1">
        <f ca="1">IFERROR(__xludf.DUMMYFUNCTION("""COMPUTED_VALUE"""),194.49)</f>
        <v>194.49</v>
      </c>
      <c r="E1140" s="1">
        <f ca="1">IFERROR(__xludf.DUMMYFUNCTION("""COMPUTED_VALUE"""),129.24)</f>
        <v>129.24</v>
      </c>
      <c r="F1140" s="1">
        <f ca="1">IFERROR(__xludf.DUMMYFUNCTION("""COMPUTED_VALUE"""),498.87)</f>
        <v>498.87</v>
      </c>
      <c r="G1140" s="1">
        <f ca="1">IFERROR(__xludf.DUMMYFUNCTION("""COMPUTED_VALUE"""),186.78)</f>
        <v>186.78</v>
      </c>
      <c r="H1140" s="1">
        <f ca="1">IFERROR(__xludf.DUMMYFUNCTION("""COMPUTED_VALUE"""),248.23)</f>
        <v>248.23</v>
      </c>
      <c r="I1140" s="1">
        <f ca="1">IFERROR(__xludf.DUMMYFUNCTION("""COMPUTED_VALUE"""),166.38)</f>
        <v>166.38</v>
      </c>
      <c r="J1140" s="1">
        <f ca="1">IFERROR(__xludf.DUMMYFUNCTION("""COMPUTED_VALUE"""),842.9)</f>
        <v>842.9</v>
      </c>
      <c r="K1140" s="1">
        <f ca="1">IFERROR(__xludf.DUMMYFUNCTION("""COMPUTED_VALUE"""),170.07)</f>
        <v>170.07</v>
      </c>
      <c r="L1140" s="1">
        <f ca="1">IFERROR(__xludf.DUMMYFUNCTION("""COMPUTED_VALUE"""),559.05)</f>
        <v>559.04999999999995</v>
      </c>
      <c r="M1140" s="1">
        <f ca="1">IFERROR(__xludf.DUMMYFUNCTION("""COMPUTED_VALUE"""),647.6)</f>
        <v>647.6</v>
      </c>
    </row>
    <row r="1141" spans="1:13" x14ac:dyDescent="0.25">
      <c r="A1141" s="2">
        <f ca="1">IFERROR(__xludf.DUMMYFUNCTION("""COMPUTED_VALUE"""),45489.6666666666)</f>
        <v>45489.666666666599</v>
      </c>
      <c r="B1141" s="1">
        <f ca="1">IFERROR(__xludf.DUMMYFUNCTION("""COMPUTED_VALUE"""),234.82)</f>
        <v>234.82</v>
      </c>
      <c r="C1141" s="1">
        <f ca="1">IFERROR(__xludf.DUMMYFUNCTION("""COMPUTED_VALUE"""),453.96)</f>
        <v>453.96</v>
      </c>
      <c r="D1141" s="1">
        <f ca="1">IFERROR(__xludf.DUMMYFUNCTION("""COMPUTED_VALUE"""),192.72)</f>
        <v>192.72</v>
      </c>
      <c r="E1141" s="1">
        <f ca="1">IFERROR(__xludf.DUMMYFUNCTION("""COMPUTED_VALUE"""),128.44)</f>
        <v>128.44</v>
      </c>
      <c r="F1141" s="1">
        <f ca="1">IFERROR(__xludf.DUMMYFUNCTION("""COMPUTED_VALUE"""),496.16)</f>
        <v>496.16</v>
      </c>
      <c r="G1141" s="1">
        <f ca="1">IFERROR(__xludf.DUMMYFUNCTION("""COMPUTED_VALUE"""),188.19)</f>
        <v>188.19</v>
      </c>
      <c r="H1141" s="1">
        <f ca="1">IFERROR(__xludf.DUMMYFUNCTION("""COMPUTED_VALUE"""),252.64)</f>
        <v>252.64</v>
      </c>
      <c r="I1141" s="1">
        <f ca="1">IFERROR(__xludf.DUMMYFUNCTION("""COMPUTED_VALUE"""),163.86)</f>
        <v>163.86</v>
      </c>
      <c r="J1141" s="1">
        <f ca="1">IFERROR(__xludf.DUMMYFUNCTION("""COMPUTED_VALUE"""),848.73)</f>
        <v>848.73</v>
      </c>
      <c r="K1141" s="1">
        <f ca="1">IFERROR(__xludf.DUMMYFUNCTION("""COMPUTED_VALUE"""),171.42)</f>
        <v>171.42</v>
      </c>
      <c r="L1141" s="1">
        <f ca="1">IFERROR(__xludf.DUMMYFUNCTION("""COMPUTED_VALUE"""),565.71)</f>
        <v>565.71</v>
      </c>
      <c r="M1141" s="1">
        <f ca="1">IFERROR(__xludf.DUMMYFUNCTION("""COMPUTED_VALUE"""),656.45)</f>
        <v>656.45</v>
      </c>
    </row>
    <row r="1142" spans="1:13" x14ac:dyDescent="0.25">
      <c r="A1142" s="2">
        <f ca="1">IFERROR(__xludf.DUMMYFUNCTION("""COMPUTED_VALUE"""),45490.6666666666)</f>
        <v>45490.666666666599</v>
      </c>
      <c r="B1142" s="1">
        <f ca="1">IFERROR(__xludf.DUMMYFUNCTION("""COMPUTED_VALUE"""),228.88)</f>
        <v>228.88</v>
      </c>
      <c r="C1142" s="1">
        <f ca="1">IFERROR(__xludf.DUMMYFUNCTION("""COMPUTED_VALUE"""),449.52)</f>
        <v>449.52</v>
      </c>
      <c r="D1142" s="1">
        <f ca="1">IFERROR(__xludf.DUMMYFUNCTION("""COMPUTED_VALUE"""),193.02)</f>
        <v>193.02</v>
      </c>
      <c r="E1142" s="1">
        <f ca="1">IFERROR(__xludf.DUMMYFUNCTION("""COMPUTED_VALUE"""),126.36)</f>
        <v>126.36</v>
      </c>
      <c r="F1142" s="1">
        <f ca="1">IFERROR(__xludf.DUMMYFUNCTION("""COMPUTED_VALUE"""),489.79)</f>
        <v>489.79</v>
      </c>
      <c r="G1142" s="1">
        <f ca="1">IFERROR(__xludf.DUMMYFUNCTION("""COMPUTED_VALUE"""),185.5)</f>
        <v>185.5</v>
      </c>
      <c r="H1142" s="1">
        <f ca="1">IFERROR(__xludf.DUMMYFUNCTION("""COMPUTED_VALUE"""),256.56)</f>
        <v>256.56</v>
      </c>
      <c r="I1142" s="1">
        <f ca="1">IFERROR(__xludf.DUMMYFUNCTION("""COMPUTED_VALUE"""),164.76)</f>
        <v>164.76</v>
      </c>
      <c r="J1142" s="1">
        <f ca="1">IFERROR(__xludf.DUMMYFUNCTION("""COMPUTED_VALUE"""),850.77)</f>
        <v>850.77</v>
      </c>
      <c r="K1142" s="1">
        <f ca="1">IFERROR(__xludf.DUMMYFUNCTION("""COMPUTED_VALUE"""),169.38)</f>
        <v>169.38</v>
      </c>
      <c r="L1142" s="1">
        <f ca="1">IFERROR(__xludf.DUMMYFUNCTION("""COMPUTED_VALUE"""),566.54)</f>
        <v>566.54</v>
      </c>
      <c r="M1142" s="1">
        <f ca="1">IFERROR(__xludf.DUMMYFUNCTION("""COMPUTED_VALUE"""),656.32)</f>
        <v>656.32</v>
      </c>
    </row>
    <row r="1143" spans="1:13" x14ac:dyDescent="0.25">
      <c r="A1143" s="2">
        <f ca="1">IFERROR(__xludf.DUMMYFUNCTION("""COMPUTED_VALUE"""),45491.6666666666)</f>
        <v>45491.666666666599</v>
      </c>
      <c r="B1143" s="1">
        <f ca="1">IFERROR(__xludf.DUMMYFUNCTION("""COMPUTED_VALUE"""),224.18)</f>
        <v>224.18</v>
      </c>
      <c r="C1143" s="1">
        <f ca="1">IFERROR(__xludf.DUMMYFUNCTION("""COMPUTED_VALUE"""),443.52)</f>
        <v>443.52</v>
      </c>
      <c r="D1143" s="1">
        <f ca="1">IFERROR(__xludf.DUMMYFUNCTION("""COMPUTED_VALUE"""),187.93)</f>
        <v>187.93</v>
      </c>
      <c r="E1143" s="1">
        <f ca="1">IFERROR(__xludf.DUMMYFUNCTION("""COMPUTED_VALUE"""),117.99)</f>
        <v>117.99</v>
      </c>
      <c r="F1143" s="1">
        <f ca="1">IFERROR(__xludf.DUMMYFUNCTION("""COMPUTED_VALUE"""),461.99)</f>
        <v>461.99</v>
      </c>
      <c r="G1143" s="1">
        <f ca="1">IFERROR(__xludf.DUMMYFUNCTION("""COMPUTED_VALUE"""),182.62)</f>
        <v>182.62</v>
      </c>
      <c r="H1143" s="1">
        <f ca="1">IFERROR(__xludf.DUMMYFUNCTION("""COMPUTED_VALUE"""),248.5)</f>
        <v>248.5</v>
      </c>
      <c r="I1143" s="1">
        <f ca="1">IFERROR(__xludf.DUMMYFUNCTION("""COMPUTED_VALUE"""),169.89)</f>
        <v>169.89</v>
      </c>
      <c r="J1143" s="1">
        <f ca="1">IFERROR(__xludf.DUMMYFUNCTION("""COMPUTED_VALUE"""),846.28)</f>
        <v>846.28</v>
      </c>
      <c r="K1143" s="1">
        <f ca="1">IFERROR(__xludf.DUMMYFUNCTION("""COMPUTED_VALUE"""),155.98)</f>
        <v>155.97999999999999</v>
      </c>
      <c r="L1143" s="1">
        <f ca="1">IFERROR(__xludf.DUMMYFUNCTION("""COMPUTED_VALUE"""),563.09)</f>
        <v>563.09</v>
      </c>
      <c r="M1143" s="1">
        <f ca="1">IFERROR(__xludf.DUMMYFUNCTION("""COMPUTED_VALUE"""),647.46)</f>
        <v>647.46</v>
      </c>
    </row>
    <row r="1144" spans="1:13" x14ac:dyDescent="0.25">
      <c r="A1144" s="2">
        <f ca="1">IFERROR(__xludf.DUMMYFUNCTION("""COMPUTED_VALUE"""),45492.6666666666)</f>
        <v>45492.666666666599</v>
      </c>
      <c r="B1144" s="1">
        <f ca="1">IFERROR(__xludf.DUMMYFUNCTION("""COMPUTED_VALUE"""),224.31)</f>
        <v>224.31</v>
      </c>
      <c r="C1144" s="1">
        <f ca="1">IFERROR(__xludf.DUMMYFUNCTION("""COMPUTED_VALUE"""),440.37)</f>
        <v>440.37</v>
      </c>
      <c r="D1144" s="1">
        <f ca="1">IFERROR(__xludf.DUMMYFUNCTION("""COMPUTED_VALUE"""),183.75)</f>
        <v>183.75</v>
      </c>
      <c r="E1144" s="1">
        <f ca="1">IFERROR(__xludf.DUMMYFUNCTION("""COMPUTED_VALUE"""),121.09)</f>
        <v>121.09</v>
      </c>
      <c r="F1144" s="1">
        <f ca="1">IFERROR(__xludf.DUMMYFUNCTION("""COMPUTED_VALUE"""),475.85)</f>
        <v>475.85</v>
      </c>
      <c r="G1144" s="1">
        <f ca="1">IFERROR(__xludf.DUMMYFUNCTION("""COMPUTED_VALUE"""),179.22)</f>
        <v>179.22</v>
      </c>
      <c r="H1144" s="1">
        <f ca="1">IFERROR(__xludf.DUMMYFUNCTION("""COMPUTED_VALUE"""),249.23)</f>
        <v>249.23</v>
      </c>
      <c r="I1144" s="1">
        <f ca="1">IFERROR(__xludf.DUMMYFUNCTION("""COMPUTED_VALUE"""),170.37)</f>
        <v>170.37</v>
      </c>
      <c r="J1144" s="1">
        <f ca="1">IFERROR(__xludf.DUMMYFUNCTION("""COMPUTED_VALUE"""),839.37)</f>
        <v>839.37</v>
      </c>
      <c r="K1144" s="1">
        <f ca="1">IFERROR(__xludf.DUMMYFUNCTION("""COMPUTED_VALUE"""),160.52)</f>
        <v>160.52000000000001</v>
      </c>
      <c r="L1144" s="1">
        <f ca="1">IFERROR(__xludf.DUMMYFUNCTION("""COMPUTED_VALUE"""),556.85)</f>
        <v>556.85</v>
      </c>
      <c r="M1144" s="1">
        <f ca="1">IFERROR(__xludf.DUMMYFUNCTION("""COMPUTED_VALUE"""),643.04)</f>
        <v>643.04</v>
      </c>
    </row>
    <row r="1145" spans="1:13" x14ac:dyDescent="0.25">
      <c r="A1145" s="2">
        <f ca="1">IFERROR(__xludf.DUMMYFUNCTION("""COMPUTED_VALUE"""),45495.6666666666)</f>
        <v>45495.666666666599</v>
      </c>
      <c r="B1145" s="1">
        <f ca="1">IFERROR(__xludf.DUMMYFUNCTION("""COMPUTED_VALUE"""),223.96)</f>
        <v>223.96</v>
      </c>
      <c r="C1145" s="1">
        <f ca="1">IFERROR(__xludf.DUMMYFUNCTION("""COMPUTED_VALUE"""),437.11)</f>
        <v>437.11</v>
      </c>
      <c r="D1145" s="1">
        <f ca="1">IFERROR(__xludf.DUMMYFUNCTION("""COMPUTED_VALUE"""),183.13)</f>
        <v>183.13</v>
      </c>
      <c r="E1145" s="1">
        <f ca="1">IFERROR(__xludf.DUMMYFUNCTION("""COMPUTED_VALUE"""),117.93)</f>
        <v>117.93</v>
      </c>
      <c r="F1145" s="1">
        <f ca="1">IFERROR(__xludf.DUMMYFUNCTION("""COMPUTED_VALUE"""),476.79)</f>
        <v>476.79</v>
      </c>
      <c r="G1145" s="1">
        <f ca="1">IFERROR(__xludf.DUMMYFUNCTION("""COMPUTED_VALUE"""),179.39)</f>
        <v>179.39</v>
      </c>
      <c r="H1145" s="1">
        <f ca="1">IFERROR(__xludf.DUMMYFUNCTION("""COMPUTED_VALUE"""),239.2)</f>
        <v>239.2</v>
      </c>
      <c r="I1145" s="1">
        <f ca="1">IFERROR(__xludf.DUMMYFUNCTION("""COMPUTED_VALUE"""),169.36)</f>
        <v>169.36</v>
      </c>
      <c r="J1145" s="1">
        <f ca="1">IFERROR(__xludf.DUMMYFUNCTION("""COMPUTED_VALUE"""),838.13)</f>
        <v>838.13</v>
      </c>
      <c r="K1145" s="1">
        <f ca="1">IFERROR(__xludf.DUMMYFUNCTION("""COMPUTED_VALUE"""),157.35)</f>
        <v>157.35</v>
      </c>
      <c r="L1145" s="1">
        <f ca="1">IFERROR(__xludf.DUMMYFUNCTION("""COMPUTED_VALUE"""),551)</f>
        <v>551</v>
      </c>
      <c r="M1145" s="1">
        <f ca="1">IFERROR(__xludf.DUMMYFUNCTION("""COMPUTED_VALUE"""),633.34)</f>
        <v>633.34</v>
      </c>
    </row>
    <row r="1146" spans="1:13" x14ac:dyDescent="0.25">
      <c r="A1146" s="2">
        <f ca="1">IFERROR(__xludf.DUMMYFUNCTION("""COMPUTED_VALUE"""),45496.6666666666)</f>
        <v>45496.666666666599</v>
      </c>
      <c r="B1146" s="1">
        <f ca="1">IFERROR(__xludf.DUMMYFUNCTION("""COMPUTED_VALUE"""),225.01)</f>
        <v>225.01</v>
      </c>
      <c r="C1146" s="1">
        <f ca="1">IFERROR(__xludf.DUMMYFUNCTION("""COMPUTED_VALUE"""),442.94)</f>
        <v>442.94</v>
      </c>
      <c r="D1146" s="1">
        <f ca="1">IFERROR(__xludf.DUMMYFUNCTION("""COMPUTED_VALUE"""),182.55)</f>
        <v>182.55</v>
      </c>
      <c r="E1146" s="1">
        <f ca="1">IFERROR(__xludf.DUMMYFUNCTION("""COMPUTED_VALUE"""),123.54)</f>
        <v>123.54</v>
      </c>
      <c r="F1146" s="1">
        <f ca="1">IFERROR(__xludf.DUMMYFUNCTION("""COMPUTED_VALUE"""),487.4)</f>
        <v>487.4</v>
      </c>
      <c r="G1146" s="1">
        <f ca="1">IFERROR(__xludf.DUMMYFUNCTION("""COMPUTED_VALUE"""),183.35)</f>
        <v>183.35</v>
      </c>
      <c r="H1146" s="1">
        <f ca="1">IFERROR(__xludf.DUMMYFUNCTION("""COMPUTED_VALUE"""),251.51)</f>
        <v>251.51</v>
      </c>
      <c r="I1146" s="1">
        <f ca="1">IFERROR(__xludf.DUMMYFUNCTION("""COMPUTED_VALUE"""),167.66)</f>
        <v>167.66</v>
      </c>
      <c r="J1146" s="1">
        <f ca="1">IFERROR(__xludf.DUMMYFUNCTION("""COMPUTED_VALUE"""),847.42)</f>
        <v>847.42</v>
      </c>
      <c r="K1146" s="1">
        <f ca="1">IFERROR(__xludf.DUMMYFUNCTION("""COMPUTED_VALUE"""),161.06)</f>
        <v>161.06</v>
      </c>
      <c r="L1146" s="1">
        <f ca="1">IFERROR(__xludf.DUMMYFUNCTION("""COMPUTED_VALUE"""),554.82)</f>
        <v>554.82000000000005</v>
      </c>
      <c r="M1146" s="1">
        <f ca="1">IFERROR(__xludf.DUMMYFUNCTION("""COMPUTED_VALUE"""),647.5)</f>
        <v>647.5</v>
      </c>
    </row>
    <row r="1147" spans="1:13" x14ac:dyDescent="0.25">
      <c r="A1147" s="2">
        <f ca="1">IFERROR(__xludf.DUMMYFUNCTION("""COMPUTED_VALUE"""),45497.6666666666)</f>
        <v>45497.666666666599</v>
      </c>
      <c r="B1147" s="1">
        <f ca="1">IFERROR(__xludf.DUMMYFUNCTION("""COMPUTED_VALUE"""),218.54)</f>
        <v>218.54</v>
      </c>
      <c r="C1147" s="1">
        <f ca="1">IFERROR(__xludf.DUMMYFUNCTION("""COMPUTED_VALUE"""),444.85)</f>
        <v>444.85</v>
      </c>
      <c r="D1147" s="1">
        <f ca="1">IFERROR(__xludf.DUMMYFUNCTION("""COMPUTED_VALUE"""),186.41)</f>
        <v>186.41</v>
      </c>
      <c r="E1147" s="1">
        <f ca="1">IFERROR(__xludf.DUMMYFUNCTION("""COMPUTED_VALUE"""),122.59)</f>
        <v>122.59</v>
      </c>
      <c r="F1147" s="1">
        <f ca="1">IFERROR(__xludf.DUMMYFUNCTION("""COMPUTED_VALUE"""),488.69)</f>
        <v>488.69</v>
      </c>
      <c r="G1147" s="1">
        <f ca="1">IFERROR(__xludf.DUMMYFUNCTION("""COMPUTED_VALUE"""),183.6)</f>
        <v>183.6</v>
      </c>
      <c r="H1147" s="1">
        <f ca="1">IFERROR(__xludf.DUMMYFUNCTION("""COMPUTED_VALUE"""),246.38)</f>
        <v>246.38</v>
      </c>
      <c r="I1147" s="1">
        <f ca="1">IFERROR(__xludf.DUMMYFUNCTION("""COMPUTED_VALUE"""),166.28)</f>
        <v>166.28</v>
      </c>
      <c r="J1147" s="1">
        <f ca="1">IFERROR(__xludf.DUMMYFUNCTION("""COMPUTED_VALUE"""),852.11)</f>
        <v>852.11</v>
      </c>
      <c r="K1147" s="1">
        <f ca="1">IFERROR(__xludf.DUMMYFUNCTION("""COMPUTED_VALUE"""),163.77)</f>
        <v>163.77000000000001</v>
      </c>
      <c r="L1147" s="1">
        <f ca="1">IFERROR(__xludf.DUMMYFUNCTION("""COMPUTED_VALUE"""),546.01)</f>
        <v>546.01</v>
      </c>
      <c r="M1147" s="1">
        <f ca="1">IFERROR(__xludf.DUMMYFUNCTION("""COMPUTED_VALUE"""),642.76)</f>
        <v>642.76</v>
      </c>
    </row>
    <row r="1148" spans="1:13" x14ac:dyDescent="0.25">
      <c r="A1148" s="2">
        <f ca="1">IFERROR(__xludf.DUMMYFUNCTION("""COMPUTED_VALUE"""),45498.6666666666)</f>
        <v>45498.666666666599</v>
      </c>
      <c r="B1148" s="1">
        <f ca="1">IFERROR(__xludf.DUMMYFUNCTION("""COMPUTED_VALUE"""),217.49)</f>
        <v>217.49</v>
      </c>
      <c r="C1148" s="1">
        <f ca="1">IFERROR(__xludf.DUMMYFUNCTION("""COMPUTED_VALUE"""),428.9)</f>
        <v>428.9</v>
      </c>
      <c r="D1148" s="1">
        <f ca="1">IFERROR(__xludf.DUMMYFUNCTION("""COMPUTED_VALUE"""),180.83)</f>
        <v>180.83</v>
      </c>
      <c r="E1148" s="1">
        <f ca="1">IFERROR(__xludf.DUMMYFUNCTION("""COMPUTED_VALUE"""),114.25)</f>
        <v>114.25</v>
      </c>
      <c r="F1148" s="1">
        <f ca="1">IFERROR(__xludf.DUMMYFUNCTION("""COMPUTED_VALUE"""),461.27)</f>
        <v>461.27</v>
      </c>
      <c r="G1148" s="1">
        <f ca="1">IFERROR(__xludf.DUMMYFUNCTION("""COMPUTED_VALUE"""),174.37)</f>
        <v>174.37</v>
      </c>
      <c r="H1148" s="1">
        <f ca="1">IFERROR(__xludf.DUMMYFUNCTION("""COMPUTED_VALUE"""),215.99)</f>
        <v>215.99</v>
      </c>
      <c r="I1148" s="1">
        <f ca="1">IFERROR(__xludf.DUMMYFUNCTION("""COMPUTED_VALUE"""),168.17)</f>
        <v>168.17</v>
      </c>
      <c r="J1148" s="1">
        <f ca="1">IFERROR(__xludf.DUMMYFUNCTION("""COMPUTED_VALUE"""),830.82)</f>
        <v>830.82</v>
      </c>
      <c r="K1148" s="1">
        <f ca="1">IFERROR(__xludf.DUMMYFUNCTION("""COMPUTED_VALUE"""),151.34)</f>
        <v>151.34</v>
      </c>
      <c r="L1148" s="1">
        <f ca="1">IFERROR(__xludf.DUMMYFUNCTION("""COMPUTED_VALUE"""),531.04)</f>
        <v>531.04</v>
      </c>
      <c r="M1148" s="1">
        <f ca="1">IFERROR(__xludf.DUMMYFUNCTION("""COMPUTED_VALUE"""),635.99)</f>
        <v>635.99</v>
      </c>
    </row>
    <row r="1149" spans="1:13" x14ac:dyDescent="0.25">
      <c r="A1149" s="2">
        <f ca="1">IFERROR(__xludf.DUMMYFUNCTION("""COMPUTED_VALUE"""),45499.6666666666)</f>
        <v>45499.666666666599</v>
      </c>
      <c r="B1149" s="1">
        <f ca="1">IFERROR(__xludf.DUMMYFUNCTION("""COMPUTED_VALUE"""),217.96)</f>
        <v>217.96</v>
      </c>
      <c r="C1149" s="1">
        <f ca="1">IFERROR(__xludf.DUMMYFUNCTION("""COMPUTED_VALUE"""),418.4)</f>
        <v>418.4</v>
      </c>
      <c r="D1149" s="1">
        <f ca="1">IFERROR(__xludf.DUMMYFUNCTION("""COMPUTED_VALUE"""),179.85)</f>
        <v>179.85</v>
      </c>
      <c r="E1149" s="1">
        <f ca="1">IFERROR(__xludf.DUMMYFUNCTION("""COMPUTED_VALUE"""),112.28)</f>
        <v>112.28</v>
      </c>
      <c r="F1149" s="1">
        <f ca="1">IFERROR(__xludf.DUMMYFUNCTION("""COMPUTED_VALUE"""),453.41)</f>
        <v>453.41</v>
      </c>
      <c r="G1149" s="1">
        <f ca="1">IFERROR(__xludf.DUMMYFUNCTION("""COMPUTED_VALUE"""),169.16)</f>
        <v>169.16</v>
      </c>
      <c r="H1149" s="1">
        <f ca="1">IFERROR(__xludf.DUMMYFUNCTION("""COMPUTED_VALUE"""),220.25)</f>
        <v>220.25</v>
      </c>
      <c r="I1149" s="1">
        <f ca="1">IFERROR(__xludf.DUMMYFUNCTION("""COMPUTED_VALUE"""),171.02)</f>
        <v>171.02</v>
      </c>
      <c r="J1149" s="1">
        <f ca="1">IFERROR(__xludf.DUMMYFUNCTION("""COMPUTED_VALUE"""),815.95)</f>
        <v>815.95</v>
      </c>
      <c r="K1149" s="1">
        <f ca="1">IFERROR(__xludf.DUMMYFUNCTION("""COMPUTED_VALUE"""),149.26)</f>
        <v>149.26</v>
      </c>
      <c r="L1149" s="1">
        <f ca="1">IFERROR(__xludf.DUMMYFUNCTION("""COMPUTED_VALUE"""),532.15)</f>
        <v>532.15</v>
      </c>
      <c r="M1149" s="1">
        <f ca="1">IFERROR(__xludf.DUMMYFUNCTION("""COMPUTED_VALUE"""),634.09)</f>
        <v>634.09</v>
      </c>
    </row>
    <row r="1150" spans="1:13" x14ac:dyDescent="0.25">
      <c r="A1150" s="2">
        <f ca="1">IFERROR(__xludf.DUMMYFUNCTION("""COMPUTED_VALUE"""),45502.6666666666)</f>
        <v>45502.666666666599</v>
      </c>
      <c r="B1150" s="1">
        <f ca="1">IFERROR(__xludf.DUMMYFUNCTION("""COMPUTED_VALUE"""),218.24)</f>
        <v>218.24</v>
      </c>
      <c r="C1150" s="1">
        <f ca="1">IFERROR(__xludf.DUMMYFUNCTION("""COMPUTED_VALUE"""),425.27)</f>
        <v>425.27</v>
      </c>
      <c r="D1150" s="1">
        <f ca="1">IFERROR(__xludf.DUMMYFUNCTION("""COMPUTED_VALUE"""),182.5)</f>
        <v>182.5</v>
      </c>
      <c r="E1150" s="1">
        <f ca="1">IFERROR(__xludf.DUMMYFUNCTION("""COMPUTED_VALUE"""),113.06)</f>
        <v>113.06</v>
      </c>
      <c r="F1150" s="1">
        <f ca="1">IFERROR(__xludf.DUMMYFUNCTION("""COMPUTED_VALUE"""),465.7)</f>
        <v>465.7</v>
      </c>
      <c r="G1150" s="1">
        <f ca="1">IFERROR(__xludf.DUMMYFUNCTION("""COMPUTED_VALUE"""),168.68)</f>
        <v>168.68</v>
      </c>
      <c r="H1150" s="1">
        <f ca="1">IFERROR(__xludf.DUMMYFUNCTION("""COMPUTED_VALUE"""),219.8)</f>
        <v>219.8</v>
      </c>
      <c r="I1150" s="1">
        <f ca="1">IFERROR(__xludf.DUMMYFUNCTION("""COMPUTED_VALUE"""),172.75)</f>
        <v>172.75</v>
      </c>
      <c r="J1150" s="1">
        <f ca="1">IFERROR(__xludf.DUMMYFUNCTION("""COMPUTED_VALUE"""),817.6)</f>
        <v>817.6</v>
      </c>
      <c r="K1150" s="1">
        <f ca="1">IFERROR(__xludf.DUMMYFUNCTION("""COMPUTED_VALUE"""),151.63)</f>
        <v>151.63</v>
      </c>
      <c r="L1150" s="1">
        <f ca="1">IFERROR(__xludf.DUMMYFUNCTION("""COMPUTED_VALUE"""),542.44)</f>
        <v>542.44000000000005</v>
      </c>
      <c r="M1150" s="1">
        <f ca="1">IFERROR(__xludf.DUMMYFUNCTION("""COMPUTED_VALUE"""),631.37)</f>
        <v>631.37</v>
      </c>
    </row>
    <row r="1151" spans="1:13" x14ac:dyDescent="0.25">
      <c r="A1151" s="2">
        <f ca="1">IFERROR(__xludf.DUMMYFUNCTION("""COMPUTED_VALUE"""),45503.6666666666)</f>
        <v>45503.666666666599</v>
      </c>
      <c r="B1151" s="1">
        <f ca="1">IFERROR(__xludf.DUMMYFUNCTION("""COMPUTED_VALUE"""),218.8)</f>
        <v>218.8</v>
      </c>
      <c r="C1151" s="1">
        <f ca="1">IFERROR(__xludf.DUMMYFUNCTION("""COMPUTED_VALUE"""),426.73)</f>
        <v>426.73</v>
      </c>
      <c r="D1151" s="1">
        <f ca="1">IFERROR(__xludf.DUMMYFUNCTION("""COMPUTED_VALUE"""),183.2)</f>
        <v>183.2</v>
      </c>
      <c r="E1151" s="1">
        <f ca="1">IFERROR(__xludf.DUMMYFUNCTION("""COMPUTED_VALUE"""),111.59)</f>
        <v>111.59</v>
      </c>
      <c r="F1151" s="1">
        <f ca="1">IFERROR(__xludf.DUMMYFUNCTION("""COMPUTED_VALUE"""),465.71)</f>
        <v>465.71</v>
      </c>
      <c r="G1151" s="1">
        <f ca="1">IFERROR(__xludf.DUMMYFUNCTION("""COMPUTED_VALUE"""),171.13)</f>
        <v>171.13</v>
      </c>
      <c r="H1151" s="1">
        <f ca="1">IFERROR(__xludf.DUMMYFUNCTION("""COMPUTED_VALUE"""),232.1)</f>
        <v>232.1</v>
      </c>
      <c r="I1151" s="1">
        <f ca="1">IFERROR(__xludf.DUMMYFUNCTION("""COMPUTED_VALUE"""),173.21)</f>
        <v>173.21</v>
      </c>
      <c r="J1151" s="1">
        <f ca="1">IFERROR(__xludf.DUMMYFUNCTION("""COMPUTED_VALUE"""),815.56)</f>
        <v>815.56</v>
      </c>
      <c r="K1151" s="1">
        <f ca="1">IFERROR(__xludf.DUMMYFUNCTION("""COMPUTED_VALUE"""),150.22)</f>
        <v>150.22</v>
      </c>
      <c r="L1151" s="1">
        <f ca="1">IFERROR(__xludf.DUMMYFUNCTION("""COMPUTED_VALUE"""),536.61)</f>
        <v>536.61</v>
      </c>
      <c r="M1151" s="1">
        <f ca="1">IFERROR(__xludf.DUMMYFUNCTION("""COMPUTED_VALUE"""),626.96)</f>
        <v>626.96</v>
      </c>
    </row>
    <row r="1152" spans="1:13" x14ac:dyDescent="0.25">
      <c r="A1152" s="2">
        <f ca="1">IFERROR(__xludf.DUMMYFUNCTION("""COMPUTED_VALUE"""),45504.6666666666)</f>
        <v>45504.666666666599</v>
      </c>
      <c r="B1152" s="1">
        <f ca="1">IFERROR(__xludf.DUMMYFUNCTION("""COMPUTED_VALUE"""),222.08)</f>
        <v>222.08</v>
      </c>
      <c r="C1152" s="1">
        <f ca="1">IFERROR(__xludf.DUMMYFUNCTION("""COMPUTED_VALUE"""),422.92)</f>
        <v>422.92</v>
      </c>
      <c r="D1152" s="1">
        <f ca="1">IFERROR(__xludf.DUMMYFUNCTION("""COMPUTED_VALUE"""),181.71)</f>
        <v>181.71</v>
      </c>
      <c r="E1152" s="1">
        <f ca="1">IFERROR(__xludf.DUMMYFUNCTION("""COMPUTED_VALUE"""),103.73)</f>
        <v>103.73</v>
      </c>
      <c r="F1152" s="1">
        <f ca="1">IFERROR(__xludf.DUMMYFUNCTION("""COMPUTED_VALUE"""),463.19)</f>
        <v>463.19</v>
      </c>
      <c r="G1152" s="1">
        <f ca="1">IFERROR(__xludf.DUMMYFUNCTION("""COMPUTED_VALUE"""),171.86)</f>
        <v>171.86</v>
      </c>
      <c r="H1152" s="1">
        <f ca="1">IFERROR(__xludf.DUMMYFUNCTION("""COMPUTED_VALUE"""),222.62)</f>
        <v>222.62</v>
      </c>
      <c r="I1152" s="1">
        <f ca="1">IFERROR(__xludf.DUMMYFUNCTION("""COMPUTED_VALUE"""),173.18)</f>
        <v>173.18</v>
      </c>
      <c r="J1152" s="1">
        <f ca="1">IFERROR(__xludf.DUMMYFUNCTION("""COMPUTED_VALUE"""),810.03)</f>
        <v>810.03</v>
      </c>
      <c r="K1152" s="1">
        <f ca="1">IFERROR(__xludf.DUMMYFUNCTION("""COMPUTED_VALUE"""),143.52)</f>
        <v>143.52000000000001</v>
      </c>
      <c r="L1152" s="1">
        <f ca="1">IFERROR(__xludf.DUMMYFUNCTION("""COMPUTED_VALUE"""),538.71)</f>
        <v>538.71</v>
      </c>
      <c r="M1152" s="1">
        <f ca="1">IFERROR(__xludf.DUMMYFUNCTION("""COMPUTED_VALUE"""),622.58)</f>
        <v>622.58000000000004</v>
      </c>
    </row>
    <row r="1153" spans="1:13" x14ac:dyDescent="0.25">
      <c r="A1153" s="2">
        <f ca="1">IFERROR(__xludf.DUMMYFUNCTION("""COMPUTED_VALUE"""),45505.6666666666)</f>
        <v>45505.666666666599</v>
      </c>
      <c r="B1153" s="1">
        <f ca="1">IFERROR(__xludf.DUMMYFUNCTION("""COMPUTED_VALUE"""),218.36)</f>
        <v>218.36</v>
      </c>
      <c r="C1153" s="1">
        <f ca="1">IFERROR(__xludf.DUMMYFUNCTION("""COMPUTED_VALUE"""),418.35)</f>
        <v>418.35</v>
      </c>
      <c r="D1153" s="1">
        <f ca="1">IFERROR(__xludf.DUMMYFUNCTION("""COMPUTED_VALUE"""),186.98)</f>
        <v>186.98</v>
      </c>
      <c r="E1153" s="1">
        <f ca="1">IFERROR(__xludf.DUMMYFUNCTION("""COMPUTED_VALUE"""),117.02)</f>
        <v>117.02</v>
      </c>
      <c r="F1153" s="1">
        <f ca="1">IFERROR(__xludf.DUMMYFUNCTION("""COMPUTED_VALUE"""),474.83)</f>
        <v>474.83</v>
      </c>
      <c r="G1153" s="1">
        <f ca="1">IFERROR(__xludf.DUMMYFUNCTION("""COMPUTED_VALUE"""),173.15)</f>
        <v>173.15</v>
      </c>
      <c r="H1153" s="1">
        <f ca="1">IFERROR(__xludf.DUMMYFUNCTION("""COMPUTED_VALUE"""),232.07)</f>
        <v>232.07</v>
      </c>
      <c r="I1153" s="1">
        <f ca="1">IFERROR(__xludf.DUMMYFUNCTION("""COMPUTED_VALUE"""),172.67)</f>
        <v>172.67</v>
      </c>
      <c r="J1153" s="1">
        <f ca="1">IFERROR(__xludf.DUMMYFUNCTION("""COMPUTED_VALUE"""),822)</f>
        <v>822</v>
      </c>
      <c r="K1153" s="1">
        <f ca="1">IFERROR(__xludf.DUMMYFUNCTION("""COMPUTED_VALUE"""),160.68)</f>
        <v>160.68</v>
      </c>
      <c r="L1153" s="1">
        <f ca="1">IFERROR(__xludf.DUMMYFUNCTION("""COMPUTED_VALUE"""),551.65)</f>
        <v>551.65</v>
      </c>
      <c r="M1153" s="1">
        <f ca="1">IFERROR(__xludf.DUMMYFUNCTION("""COMPUTED_VALUE"""),628.35)</f>
        <v>628.35</v>
      </c>
    </row>
    <row r="1154" spans="1:13" x14ac:dyDescent="0.25">
      <c r="A1154" s="2">
        <f ca="1">IFERROR(__xludf.DUMMYFUNCTION("""COMPUTED_VALUE"""),45506.6666666666)</f>
        <v>45506.666666666599</v>
      </c>
      <c r="B1154" s="1">
        <f ca="1">IFERROR(__xludf.DUMMYFUNCTION("""COMPUTED_VALUE"""),219.86)</f>
        <v>219.86</v>
      </c>
      <c r="C1154" s="1">
        <f ca="1">IFERROR(__xludf.DUMMYFUNCTION("""COMPUTED_VALUE"""),417.11)</f>
        <v>417.11</v>
      </c>
      <c r="D1154" s="1">
        <f ca="1">IFERROR(__xludf.DUMMYFUNCTION("""COMPUTED_VALUE"""),184.07)</f>
        <v>184.07</v>
      </c>
      <c r="E1154" s="1">
        <f ca="1">IFERROR(__xludf.DUMMYFUNCTION("""COMPUTED_VALUE"""),109.21)</f>
        <v>109.21</v>
      </c>
      <c r="F1154" s="1">
        <f ca="1">IFERROR(__xludf.DUMMYFUNCTION("""COMPUTED_VALUE"""),497.74)</f>
        <v>497.74</v>
      </c>
      <c r="G1154" s="1">
        <f ca="1">IFERROR(__xludf.DUMMYFUNCTION("""COMPUTED_VALUE"""),172.45)</f>
        <v>172.45</v>
      </c>
      <c r="H1154" s="1">
        <f ca="1">IFERROR(__xludf.DUMMYFUNCTION("""COMPUTED_VALUE"""),216.86)</f>
        <v>216.86</v>
      </c>
      <c r="I1154" s="1">
        <f ca="1">IFERROR(__xludf.DUMMYFUNCTION("""COMPUTED_VALUE"""),174.96)</f>
        <v>174.96</v>
      </c>
      <c r="J1154" s="1">
        <f ca="1">IFERROR(__xludf.DUMMYFUNCTION("""COMPUTED_VALUE"""),816.89)</f>
        <v>816.89</v>
      </c>
      <c r="K1154" s="1">
        <f ca="1">IFERROR(__xludf.DUMMYFUNCTION("""COMPUTED_VALUE"""),147.02)</f>
        <v>147.02000000000001</v>
      </c>
      <c r="L1154" s="1">
        <f ca="1">IFERROR(__xludf.DUMMYFUNCTION("""COMPUTED_VALUE"""),546.41)</f>
        <v>546.41</v>
      </c>
      <c r="M1154" s="1">
        <f ca="1">IFERROR(__xludf.DUMMYFUNCTION("""COMPUTED_VALUE"""),624.85)</f>
        <v>624.85</v>
      </c>
    </row>
    <row r="1155" spans="1:13" x14ac:dyDescent="0.25">
      <c r="A1155" s="2">
        <f ca="1">IFERROR(__xludf.DUMMYFUNCTION("""COMPUTED_VALUE"""),45509.6666666666)</f>
        <v>45509.666666666599</v>
      </c>
      <c r="B1155" s="1">
        <f ca="1">IFERROR(__xludf.DUMMYFUNCTION("""COMPUTED_VALUE"""),209.27)</f>
        <v>209.27</v>
      </c>
      <c r="C1155" s="1">
        <f ca="1">IFERROR(__xludf.DUMMYFUNCTION("""COMPUTED_VALUE"""),408.49)</f>
        <v>408.49</v>
      </c>
      <c r="D1155" s="1">
        <f ca="1">IFERROR(__xludf.DUMMYFUNCTION("""COMPUTED_VALUE"""),167.9)</f>
        <v>167.9</v>
      </c>
      <c r="E1155" s="1">
        <f ca="1">IFERROR(__xludf.DUMMYFUNCTION("""COMPUTED_VALUE"""),107.27)</f>
        <v>107.27</v>
      </c>
      <c r="F1155" s="1">
        <f ca="1">IFERROR(__xludf.DUMMYFUNCTION("""COMPUTED_VALUE"""),488.14)</f>
        <v>488.14</v>
      </c>
      <c r="G1155" s="1">
        <f ca="1">IFERROR(__xludf.DUMMYFUNCTION("""COMPUTED_VALUE"""),168.4)</f>
        <v>168.4</v>
      </c>
      <c r="H1155" s="1">
        <f ca="1">IFERROR(__xludf.DUMMYFUNCTION("""COMPUTED_VALUE"""),207.67)</f>
        <v>207.67</v>
      </c>
      <c r="I1155" s="1">
        <f ca="1">IFERROR(__xludf.DUMMYFUNCTION("""COMPUTED_VALUE"""),178.04)</f>
        <v>178.04</v>
      </c>
      <c r="J1155" s="1">
        <f ca="1">IFERROR(__xludf.DUMMYFUNCTION("""COMPUTED_VALUE"""),822.08)</f>
        <v>822.08</v>
      </c>
      <c r="K1155" s="1">
        <f ca="1">IFERROR(__xludf.DUMMYFUNCTION("""COMPUTED_VALUE"""),143.82)</f>
        <v>143.82</v>
      </c>
      <c r="L1155" s="1">
        <f ca="1">IFERROR(__xludf.DUMMYFUNCTION("""COMPUTED_VALUE"""),526.17)</f>
        <v>526.16999999999996</v>
      </c>
      <c r="M1155" s="1">
        <f ca="1">IFERROR(__xludf.DUMMYFUNCTION("""COMPUTED_VALUE"""),613.64)</f>
        <v>613.64</v>
      </c>
    </row>
    <row r="1156" spans="1:13" x14ac:dyDescent="0.25">
      <c r="A1156" s="2">
        <f ca="1">IFERROR(__xludf.DUMMYFUNCTION("""COMPUTED_VALUE"""),45510.6666666666)</f>
        <v>45510.666666666599</v>
      </c>
      <c r="B1156" s="1">
        <f ca="1">IFERROR(__xludf.DUMMYFUNCTION("""COMPUTED_VALUE"""),207.23)</f>
        <v>207.23</v>
      </c>
      <c r="C1156" s="1">
        <f ca="1">IFERROR(__xludf.DUMMYFUNCTION("""COMPUTED_VALUE"""),395.15)</f>
        <v>395.15</v>
      </c>
      <c r="D1156" s="1">
        <f ca="1">IFERROR(__xludf.DUMMYFUNCTION("""COMPUTED_VALUE"""),161.02)</f>
        <v>161.02000000000001</v>
      </c>
      <c r="E1156" s="1">
        <f ca="1">IFERROR(__xludf.DUMMYFUNCTION("""COMPUTED_VALUE"""),100.45)</f>
        <v>100.45</v>
      </c>
      <c r="F1156" s="1">
        <f ca="1">IFERROR(__xludf.DUMMYFUNCTION("""COMPUTED_VALUE"""),475.73)</f>
        <v>475.73</v>
      </c>
      <c r="G1156" s="1">
        <f ca="1">IFERROR(__xludf.DUMMYFUNCTION("""COMPUTED_VALUE"""),160.64)</f>
        <v>160.63999999999999</v>
      </c>
      <c r="H1156" s="1">
        <f ca="1">IFERROR(__xludf.DUMMYFUNCTION("""COMPUTED_VALUE"""),198.88)</f>
        <v>198.88</v>
      </c>
      <c r="I1156" s="1">
        <f ca="1">IFERROR(__xludf.DUMMYFUNCTION("""COMPUTED_VALUE"""),174.04)</f>
        <v>174.04</v>
      </c>
      <c r="J1156" s="1">
        <f ca="1">IFERROR(__xludf.DUMMYFUNCTION("""COMPUTED_VALUE"""),801.83)</f>
        <v>801.83</v>
      </c>
      <c r="K1156" s="1">
        <f ca="1">IFERROR(__xludf.DUMMYFUNCTION("""COMPUTED_VALUE"""),142.08)</f>
        <v>142.08000000000001</v>
      </c>
      <c r="L1156" s="1">
        <f ca="1">IFERROR(__xludf.DUMMYFUNCTION("""COMPUTED_VALUE"""),509.32)</f>
        <v>509.32</v>
      </c>
      <c r="M1156" s="1">
        <f ca="1">IFERROR(__xludf.DUMMYFUNCTION("""COMPUTED_VALUE"""),598.55)</f>
        <v>598.54999999999995</v>
      </c>
    </row>
    <row r="1157" spans="1:13" x14ac:dyDescent="0.25">
      <c r="A1157" s="2">
        <f ca="1">IFERROR(__xludf.DUMMYFUNCTION("""COMPUTED_VALUE"""),45511.6666666666)</f>
        <v>45511.666666666599</v>
      </c>
      <c r="B1157" s="1">
        <f ca="1">IFERROR(__xludf.DUMMYFUNCTION("""COMPUTED_VALUE"""),209.82)</f>
        <v>209.82</v>
      </c>
      <c r="C1157" s="1">
        <f ca="1">IFERROR(__xludf.DUMMYFUNCTION("""COMPUTED_VALUE"""),399.61)</f>
        <v>399.61</v>
      </c>
      <c r="D1157" s="1">
        <f ca="1">IFERROR(__xludf.DUMMYFUNCTION("""COMPUTED_VALUE"""),161.93)</f>
        <v>161.93</v>
      </c>
      <c r="E1157" s="1">
        <f ca="1">IFERROR(__xludf.DUMMYFUNCTION("""COMPUTED_VALUE"""),104.25)</f>
        <v>104.25</v>
      </c>
      <c r="F1157" s="1">
        <f ca="1">IFERROR(__xludf.DUMMYFUNCTION("""COMPUTED_VALUE"""),494.09)</f>
        <v>494.09</v>
      </c>
      <c r="G1157" s="1">
        <f ca="1">IFERROR(__xludf.DUMMYFUNCTION("""COMPUTED_VALUE"""),160.54)</f>
        <v>160.54</v>
      </c>
      <c r="H1157" s="1">
        <f ca="1">IFERROR(__xludf.DUMMYFUNCTION("""COMPUTED_VALUE"""),200.64)</f>
        <v>200.64</v>
      </c>
      <c r="I1157" s="1">
        <f ca="1">IFERROR(__xludf.DUMMYFUNCTION("""COMPUTED_VALUE"""),172.49)</f>
        <v>172.49</v>
      </c>
      <c r="J1157" s="1">
        <f ca="1">IFERROR(__xludf.DUMMYFUNCTION("""COMPUTED_VALUE"""),816.88)</f>
        <v>816.88</v>
      </c>
      <c r="K1157" s="1">
        <f ca="1">IFERROR(__xludf.DUMMYFUNCTION("""COMPUTED_VALUE"""),143.92)</f>
        <v>143.91999999999999</v>
      </c>
      <c r="L1157" s="1">
        <f ca="1">IFERROR(__xludf.DUMMYFUNCTION("""COMPUTED_VALUE"""),514.2)</f>
        <v>514.20000000000005</v>
      </c>
      <c r="M1157" s="1">
        <f ca="1">IFERROR(__xludf.DUMMYFUNCTION("""COMPUTED_VALUE"""),609.57)</f>
        <v>609.57000000000005</v>
      </c>
    </row>
    <row r="1158" spans="1:13" x14ac:dyDescent="0.25">
      <c r="A1158" s="2">
        <f ca="1">IFERROR(__xludf.DUMMYFUNCTION("""COMPUTED_VALUE"""),45512.6666666666)</f>
        <v>45512.666666666599</v>
      </c>
      <c r="B1158" s="1">
        <f ca="1">IFERROR(__xludf.DUMMYFUNCTION("""COMPUTED_VALUE"""),213.31)</f>
        <v>213.31</v>
      </c>
      <c r="C1158" s="1">
        <f ca="1">IFERROR(__xludf.DUMMYFUNCTION("""COMPUTED_VALUE"""),398.43)</f>
        <v>398.43</v>
      </c>
      <c r="D1158" s="1">
        <f ca="1">IFERROR(__xludf.DUMMYFUNCTION("""COMPUTED_VALUE"""),162.77)</f>
        <v>162.77000000000001</v>
      </c>
      <c r="E1158" s="1">
        <f ca="1">IFERROR(__xludf.DUMMYFUNCTION("""COMPUTED_VALUE"""),98.91)</f>
        <v>98.91</v>
      </c>
      <c r="F1158" s="1">
        <f ca="1">IFERROR(__xludf.DUMMYFUNCTION("""COMPUTED_VALUE"""),488.92)</f>
        <v>488.92</v>
      </c>
      <c r="G1158" s="1">
        <f ca="1">IFERROR(__xludf.DUMMYFUNCTION("""COMPUTED_VALUE"""),160.75)</f>
        <v>160.75</v>
      </c>
      <c r="H1158" s="1">
        <f ca="1">IFERROR(__xludf.DUMMYFUNCTION("""COMPUTED_VALUE"""),191.76)</f>
        <v>191.76</v>
      </c>
      <c r="I1158" s="1">
        <f ca="1">IFERROR(__xludf.DUMMYFUNCTION("""COMPUTED_VALUE"""),171.79)</f>
        <v>171.79</v>
      </c>
      <c r="J1158" s="1">
        <f ca="1">IFERROR(__xludf.DUMMYFUNCTION("""COMPUTED_VALUE"""),810.3)</f>
        <v>810.3</v>
      </c>
      <c r="K1158" s="1">
        <f ca="1">IFERROR(__xludf.DUMMYFUNCTION("""COMPUTED_VALUE"""),136.27)</f>
        <v>136.27000000000001</v>
      </c>
      <c r="L1158" s="1">
        <f ca="1">IFERROR(__xludf.DUMMYFUNCTION("""COMPUTED_VALUE"""),513.62)</f>
        <v>513.62</v>
      </c>
      <c r="M1158" s="1">
        <f ca="1">IFERROR(__xludf.DUMMYFUNCTION("""COMPUTED_VALUE"""),611.48)</f>
        <v>611.48</v>
      </c>
    </row>
    <row r="1159" spans="1:13" x14ac:dyDescent="0.25">
      <c r="A1159" s="2">
        <f ca="1">IFERROR(__xludf.DUMMYFUNCTION("""COMPUTED_VALUE"""),45513.6666666666)</f>
        <v>45513.666666666599</v>
      </c>
      <c r="B1159" s="1">
        <f ca="1">IFERROR(__xludf.DUMMYFUNCTION("""COMPUTED_VALUE"""),216.24)</f>
        <v>216.24</v>
      </c>
      <c r="C1159" s="1">
        <f ca="1">IFERROR(__xludf.DUMMYFUNCTION("""COMPUTED_VALUE"""),402.69)</f>
        <v>402.69</v>
      </c>
      <c r="D1159" s="1">
        <f ca="1">IFERROR(__xludf.DUMMYFUNCTION("""COMPUTED_VALUE"""),165.8)</f>
        <v>165.8</v>
      </c>
      <c r="E1159" s="1">
        <f ca="1">IFERROR(__xludf.DUMMYFUNCTION("""COMPUTED_VALUE"""),104.97)</f>
        <v>104.97</v>
      </c>
      <c r="F1159" s="1">
        <f ca="1">IFERROR(__xludf.DUMMYFUNCTION("""COMPUTED_VALUE"""),509.63)</f>
        <v>509.63</v>
      </c>
      <c r="G1159" s="1">
        <f ca="1">IFERROR(__xludf.DUMMYFUNCTION("""COMPUTED_VALUE"""),163.84)</f>
        <v>163.84</v>
      </c>
      <c r="H1159" s="1">
        <f ca="1">IFERROR(__xludf.DUMMYFUNCTION("""COMPUTED_VALUE"""),198.84)</f>
        <v>198.84</v>
      </c>
      <c r="I1159" s="1">
        <f ca="1">IFERROR(__xludf.DUMMYFUNCTION("""COMPUTED_VALUE"""),172.37)</f>
        <v>172.37</v>
      </c>
      <c r="J1159" s="1">
        <f ca="1">IFERROR(__xludf.DUMMYFUNCTION("""COMPUTED_VALUE"""),839.43)</f>
        <v>839.43</v>
      </c>
      <c r="K1159" s="1">
        <f ca="1">IFERROR(__xludf.DUMMYFUNCTION("""COMPUTED_VALUE"""),145.74)</f>
        <v>145.74</v>
      </c>
      <c r="L1159" s="1">
        <f ca="1">IFERROR(__xludf.DUMMYFUNCTION("""COMPUTED_VALUE"""),530.24)</f>
        <v>530.24</v>
      </c>
      <c r="M1159" s="1">
        <f ca="1">IFERROR(__xludf.DUMMYFUNCTION("""COMPUTED_VALUE"""),630.35)</f>
        <v>630.35</v>
      </c>
    </row>
    <row r="1160" spans="1:13" x14ac:dyDescent="0.25">
      <c r="A1160" s="2">
        <f ca="1">IFERROR(__xludf.DUMMYFUNCTION("""COMPUTED_VALUE"""),45516.6666666666)</f>
        <v>45516.666666666599</v>
      </c>
      <c r="B1160" s="1">
        <f ca="1">IFERROR(__xludf.DUMMYFUNCTION("""COMPUTED_VALUE"""),217.53)</f>
        <v>217.53</v>
      </c>
      <c r="C1160" s="1">
        <f ca="1">IFERROR(__xludf.DUMMYFUNCTION("""COMPUTED_VALUE"""),406.02)</f>
        <v>406.02</v>
      </c>
      <c r="D1160" s="1">
        <f ca="1">IFERROR(__xludf.DUMMYFUNCTION("""COMPUTED_VALUE"""),166.94)</f>
        <v>166.94</v>
      </c>
      <c r="E1160" s="1">
        <f ca="1">IFERROR(__xludf.DUMMYFUNCTION("""COMPUTED_VALUE"""),104.75)</f>
        <v>104.75</v>
      </c>
      <c r="F1160" s="1">
        <f ca="1">IFERROR(__xludf.DUMMYFUNCTION("""COMPUTED_VALUE"""),517.77)</f>
        <v>517.77</v>
      </c>
      <c r="G1160" s="1">
        <f ca="1">IFERROR(__xludf.DUMMYFUNCTION("""COMPUTED_VALUE"""),165.39)</f>
        <v>165.39</v>
      </c>
      <c r="H1160" s="1">
        <f ca="1">IFERROR(__xludf.DUMMYFUNCTION("""COMPUTED_VALUE"""),200)</f>
        <v>200</v>
      </c>
      <c r="I1160" s="1">
        <f ca="1">IFERROR(__xludf.DUMMYFUNCTION("""COMPUTED_VALUE"""),172.39)</f>
        <v>172.39</v>
      </c>
      <c r="J1160" s="1">
        <f ca="1">IFERROR(__xludf.DUMMYFUNCTION("""COMPUTED_VALUE"""),854.93)</f>
        <v>854.93</v>
      </c>
      <c r="K1160" s="1">
        <f ca="1">IFERROR(__xludf.DUMMYFUNCTION("""COMPUTED_VALUE"""),148.26)</f>
        <v>148.26</v>
      </c>
      <c r="L1160" s="1">
        <f ca="1">IFERROR(__xludf.DUMMYFUNCTION("""COMPUTED_VALUE"""),536.3)</f>
        <v>536.29999999999995</v>
      </c>
      <c r="M1160" s="1">
        <f ca="1">IFERROR(__xludf.DUMMYFUNCTION("""COMPUTED_VALUE"""),633.94)</f>
        <v>633.94000000000005</v>
      </c>
    </row>
    <row r="1161" spans="1:13" x14ac:dyDescent="0.25">
      <c r="A1161" s="2">
        <f ca="1">IFERROR(__xludf.DUMMYFUNCTION("""COMPUTED_VALUE"""),45517.6666666666)</f>
        <v>45517.666666666599</v>
      </c>
      <c r="B1161" s="1">
        <f ca="1">IFERROR(__xludf.DUMMYFUNCTION("""COMPUTED_VALUE"""),221.27)</f>
        <v>221.27</v>
      </c>
      <c r="C1161" s="1">
        <f ca="1">IFERROR(__xludf.DUMMYFUNCTION("""COMPUTED_VALUE"""),406.81)</f>
        <v>406.81</v>
      </c>
      <c r="D1161" s="1">
        <f ca="1">IFERROR(__xludf.DUMMYFUNCTION("""COMPUTED_VALUE"""),166.8)</f>
        <v>166.8</v>
      </c>
      <c r="E1161" s="1">
        <f ca="1">IFERROR(__xludf.DUMMYFUNCTION("""COMPUTED_VALUE"""),109.02)</f>
        <v>109.02</v>
      </c>
      <c r="F1161" s="1">
        <f ca="1">IFERROR(__xludf.DUMMYFUNCTION("""COMPUTED_VALUE"""),515.95)</f>
        <v>515.95000000000005</v>
      </c>
      <c r="G1161" s="1">
        <f ca="1">IFERROR(__xludf.DUMMYFUNCTION("""COMPUTED_VALUE"""),163.95)</f>
        <v>163.95</v>
      </c>
      <c r="H1161" s="1">
        <f ca="1">IFERROR(__xludf.DUMMYFUNCTION("""COMPUTED_VALUE"""),197.49)</f>
        <v>197.49</v>
      </c>
      <c r="I1161" s="1">
        <f ca="1">IFERROR(__xludf.DUMMYFUNCTION("""COMPUTED_VALUE"""),171.42)</f>
        <v>171.42</v>
      </c>
      <c r="J1161" s="1">
        <f ca="1">IFERROR(__xludf.DUMMYFUNCTION("""COMPUTED_VALUE"""),863.57)</f>
        <v>863.57</v>
      </c>
      <c r="K1161" s="1">
        <f ca="1">IFERROR(__xludf.DUMMYFUNCTION("""COMPUTED_VALUE"""),148.62)</f>
        <v>148.62</v>
      </c>
      <c r="L1161" s="1">
        <f ca="1">IFERROR(__xludf.DUMMYFUNCTION("""COMPUTED_VALUE"""),530.93)</f>
        <v>530.92999999999995</v>
      </c>
      <c r="M1161" s="1">
        <f ca="1">IFERROR(__xludf.DUMMYFUNCTION("""COMPUTED_VALUE"""),633.14)</f>
        <v>633.14</v>
      </c>
    </row>
    <row r="1162" spans="1:13" x14ac:dyDescent="0.25">
      <c r="A1162" s="2">
        <f ca="1">IFERROR(__xludf.DUMMYFUNCTION("""COMPUTED_VALUE"""),45518.6666666666)</f>
        <v>45518.666666666599</v>
      </c>
      <c r="B1162" s="1">
        <f ca="1">IFERROR(__xludf.DUMMYFUNCTION("""COMPUTED_VALUE"""),221.72)</f>
        <v>221.72</v>
      </c>
      <c r="C1162" s="1">
        <f ca="1">IFERROR(__xludf.DUMMYFUNCTION("""COMPUTED_VALUE"""),414.01)</f>
        <v>414.01</v>
      </c>
      <c r="D1162" s="1">
        <f ca="1">IFERROR(__xludf.DUMMYFUNCTION("""COMPUTED_VALUE"""),170.23)</f>
        <v>170.23</v>
      </c>
      <c r="E1162" s="1">
        <f ca="1">IFERROR(__xludf.DUMMYFUNCTION("""COMPUTED_VALUE"""),116.14)</f>
        <v>116.14</v>
      </c>
      <c r="F1162" s="1">
        <f ca="1">IFERROR(__xludf.DUMMYFUNCTION("""COMPUTED_VALUE"""),528.54)</f>
        <v>528.54</v>
      </c>
      <c r="G1162" s="1">
        <f ca="1">IFERROR(__xludf.DUMMYFUNCTION("""COMPUTED_VALUE"""),165.93)</f>
        <v>165.93</v>
      </c>
      <c r="H1162" s="1">
        <f ca="1">IFERROR(__xludf.DUMMYFUNCTION("""COMPUTED_VALUE"""),207.83)</f>
        <v>207.83</v>
      </c>
      <c r="I1162" s="1">
        <f ca="1">IFERROR(__xludf.DUMMYFUNCTION("""COMPUTED_VALUE"""),172.37)</f>
        <v>172.37</v>
      </c>
      <c r="J1162" s="1">
        <f ca="1">IFERROR(__xludf.DUMMYFUNCTION("""COMPUTED_VALUE"""),864.82)</f>
        <v>864.82</v>
      </c>
      <c r="K1162" s="1">
        <f ca="1">IFERROR(__xludf.DUMMYFUNCTION("""COMPUTED_VALUE"""),156.16)</f>
        <v>156.16</v>
      </c>
      <c r="L1162" s="1">
        <f ca="1">IFERROR(__xludf.DUMMYFUNCTION("""COMPUTED_VALUE"""),535.22)</f>
        <v>535.22</v>
      </c>
      <c r="M1162" s="1">
        <f ca="1">IFERROR(__xludf.DUMMYFUNCTION("""COMPUTED_VALUE"""),648.02)</f>
        <v>648.02</v>
      </c>
    </row>
    <row r="1163" spans="1:13" x14ac:dyDescent="0.25">
      <c r="A1163" s="2">
        <f ca="1">IFERROR(__xludf.DUMMYFUNCTION("""COMPUTED_VALUE"""),45519.6666666666)</f>
        <v>45519.666666666599</v>
      </c>
      <c r="B1163" s="1">
        <f ca="1">IFERROR(__xludf.DUMMYFUNCTION("""COMPUTED_VALUE"""),224.72)</f>
        <v>224.72</v>
      </c>
      <c r="C1163" s="1">
        <f ca="1">IFERROR(__xludf.DUMMYFUNCTION("""COMPUTED_VALUE"""),416.86)</f>
        <v>416.86</v>
      </c>
      <c r="D1163" s="1">
        <f ca="1">IFERROR(__xludf.DUMMYFUNCTION("""COMPUTED_VALUE"""),170.1)</f>
        <v>170.1</v>
      </c>
      <c r="E1163" s="1">
        <f ca="1">IFERROR(__xludf.DUMMYFUNCTION("""COMPUTED_VALUE"""),118.08)</f>
        <v>118.08</v>
      </c>
      <c r="F1163" s="1">
        <f ca="1">IFERROR(__xludf.DUMMYFUNCTION("""COMPUTED_VALUE"""),526.76)</f>
        <v>526.76</v>
      </c>
      <c r="G1163" s="1">
        <f ca="1">IFERROR(__xludf.DUMMYFUNCTION("""COMPUTED_VALUE"""),162.03)</f>
        <v>162.03</v>
      </c>
      <c r="H1163" s="1">
        <f ca="1">IFERROR(__xludf.DUMMYFUNCTION("""COMPUTED_VALUE"""),201.38)</f>
        <v>201.38</v>
      </c>
      <c r="I1163" s="1">
        <f ca="1">IFERROR(__xludf.DUMMYFUNCTION("""COMPUTED_VALUE"""),173.71)</f>
        <v>173.71</v>
      </c>
      <c r="J1163" s="1">
        <f ca="1">IFERROR(__xludf.DUMMYFUNCTION("""COMPUTED_VALUE"""),862.71)</f>
        <v>862.71</v>
      </c>
      <c r="K1163" s="1">
        <f ca="1">IFERROR(__xludf.DUMMYFUNCTION("""COMPUTED_VALUE"""),157.69)</f>
        <v>157.69</v>
      </c>
      <c r="L1163" s="1">
        <f ca="1">IFERROR(__xludf.DUMMYFUNCTION("""COMPUTED_VALUE"""),539.79)</f>
        <v>539.79</v>
      </c>
      <c r="M1163" s="1">
        <f ca="1">IFERROR(__xludf.DUMMYFUNCTION("""COMPUTED_VALUE"""),661.68)</f>
        <v>661.68</v>
      </c>
    </row>
    <row r="1164" spans="1:13" x14ac:dyDescent="0.25">
      <c r="A1164" s="2">
        <f ca="1">IFERROR(__xludf.DUMMYFUNCTION("""COMPUTED_VALUE"""),45520.6666666666)</f>
        <v>45520.666666666599</v>
      </c>
      <c r="B1164" s="1">
        <f ca="1">IFERROR(__xludf.DUMMYFUNCTION("""COMPUTED_VALUE"""),226.05)</f>
        <v>226.05</v>
      </c>
      <c r="C1164" s="1">
        <f ca="1">IFERROR(__xludf.DUMMYFUNCTION("""COMPUTED_VALUE"""),421.03)</f>
        <v>421.03</v>
      </c>
      <c r="D1164" s="1">
        <f ca="1">IFERROR(__xludf.DUMMYFUNCTION("""COMPUTED_VALUE"""),177.59)</f>
        <v>177.59</v>
      </c>
      <c r="E1164" s="1">
        <f ca="1">IFERROR(__xludf.DUMMYFUNCTION("""COMPUTED_VALUE"""),122.86)</f>
        <v>122.86</v>
      </c>
      <c r="F1164" s="1">
        <f ca="1">IFERROR(__xludf.DUMMYFUNCTION("""COMPUTED_VALUE"""),537.33)</f>
        <v>537.33000000000004</v>
      </c>
      <c r="G1164" s="1">
        <f ca="1">IFERROR(__xludf.DUMMYFUNCTION("""COMPUTED_VALUE"""),163.17)</f>
        <v>163.16999999999999</v>
      </c>
      <c r="H1164" s="1">
        <f ca="1">IFERROR(__xludf.DUMMYFUNCTION("""COMPUTED_VALUE"""),214.14)</f>
        <v>214.14</v>
      </c>
      <c r="I1164" s="1">
        <f ca="1">IFERROR(__xludf.DUMMYFUNCTION("""COMPUTED_VALUE"""),172.52)</f>
        <v>172.52</v>
      </c>
      <c r="J1164" s="1">
        <f ca="1">IFERROR(__xludf.DUMMYFUNCTION("""COMPUTED_VALUE"""),877.35)</f>
        <v>877.35</v>
      </c>
      <c r="K1164" s="1">
        <f ca="1">IFERROR(__xludf.DUMMYFUNCTION("""COMPUTED_VALUE"""),166.13)</f>
        <v>166.13</v>
      </c>
      <c r="L1164" s="1">
        <f ca="1">IFERROR(__xludf.DUMMYFUNCTION("""COMPUTED_VALUE"""),554.16)</f>
        <v>554.16</v>
      </c>
      <c r="M1164" s="1">
        <f ca="1">IFERROR(__xludf.DUMMYFUNCTION("""COMPUTED_VALUE"""),663.22)</f>
        <v>663.22</v>
      </c>
    </row>
    <row r="1165" spans="1:13" x14ac:dyDescent="0.25">
      <c r="A1165" s="2">
        <f ca="1">IFERROR(__xludf.DUMMYFUNCTION("""COMPUTED_VALUE"""),45523.6666666666)</f>
        <v>45523.666666666599</v>
      </c>
      <c r="B1165" s="1">
        <f ca="1">IFERROR(__xludf.DUMMYFUNCTION("""COMPUTED_VALUE"""),225.89)</f>
        <v>225.89</v>
      </c>
      <c r="C1165" s="1">
        <f ca="1">IFERROR(__xludf.DUMMYFUNCTION("""COMPUTED_VALUE"""),418.47)</f>
        <v>418.47</v>
      </c>
      <c r="D1165" s="1">
        <f ca="1">IFERROR(__xludf.DUMMYFUNCTION("""COMPUTED_VALUE"""),177.06)</f>
        <v>177.06</v>
      </c>
      <c r="E1165" s="1">
        <f ca="1">IFERROR(__xludf.DUMMYFUNCTION("""COMPUTED_VALUE"""),124.58)</f>
        <v>124.58</v>
      </c>
      <c r="F1165" s="1">
        <f ca="1">IFERROR(__xludf.DUMMYFUNCTION("""COMPUTED_VALUE"""),527.42)</f>
        <v>527.41999999999996</v>
      </c>
      <c r="G1165" s="1">
        <f ca="1">IFERROR(__xludf.DUMMYFUNCTION("""COMPUTED_VALUE"""),164.74)</f>
        <v>164.74</v>
      </c>
      <c r="H1165" s="1">
        <f ca="1">IFERROR(__xludf.DUMMYFUNCTION("""COMPUTED_VALUE"""),216.12)</f>
        <v>216.12</v>
      </c>
      <c r="I1165" s="1">
        <f ca="1">IFERROR(__xludf.DUMMYFUNCTION("""COMPUTED_VALUE"""),172.62)</f>
        <v>172.62</v>
      </c>
      <c r="J1165" s="1">
        <f ca="1">IFERROR(__xludf.DUMMYFUNCTION("""COMPUTED_VALUE"""),870.59)</f>
        <v>870.59</v>
      </c>
      <c r="K1165" s="1">
        <f ca="1">IFERROR(__xludf.DUMMYFUNCTION("""COMPUTED_VALUE"""),165.72)</f>
        <v>165.72</v>
      </c>
      <c r="L1165" s="1">
        <f ca="1">IFERROR(__xludf.DUMMYFUNCTION("""COMPUTED_VALUE"""),553.46)</f>
        <v>553.46</v>
      </c>
      <c r="M1165" s="1">
        <f ca="1">IFERROR(__xludf.DUMMYFUNCTION("""COMPUTED_VALUE"""),674.07)</f>
        <v>674.07</v>
      </c>
    </row>
    <row r="1166" spans="1:13" x14ac:dyDescent="0.25">
      <c r="A1166" s="2">
        <f ca="1">IFERROR(__xludf.DUMMYFUNCTION("""COMPUTED_VALUE"""),45524.6666666666)</f>
        <v>45524.666666666599</v>
      </c>
      <c r="B1166" s="1">
        <f ca="1">IFERROR(__xludf.DUMMYFUNCTION("""COMPUTED_VALUE"""),226.51)</f>
        <v>226.51</v>
      </c>
      <c r="C1166" s="1">
        <f ca="1">IFERROR(__xludf.DUMMYFUNCTION("""COMPUTED_VALUE"""),421.53)</f>
        <v>421.53</v>
      </c>
      <c r="D1166" s="1">
        <f ca="1">IFERROR(__xludf.DUMMYFUNCTION("""COMPUTED_VALUE"""),178.22)</f>
        <v>178.22</v>
      </c>
      <c r="E1166" s="1">
        <f ca="1">IFERROR(__xludf.DUMMYFUNCTION("""COMPUTED_VALUE"""),130)</f>
        <v>130</v>
      </c>
      <c r="F1166" s="1">
        <f ca="1">IFERROR(__xludf.DUMMYFUNCTION("""COMPUTED_VALUE"""),529.28)</f>
        <v>529.28</v>
      </c>
      <c r="G1166" s="1">
        <f ca="1">IFERROR(__xludf.DUMMYFUNCTION("""COMPUTED_VALUE"""),168.4)</f>
        <v>168.4</v>
      </c>
      <c r="H1166" s="1">
        <f ca="1">IFERROR(__xludf.DUMMYFUNCTION("""COMPUTED_VALUE"""),222.72)</f>
        <v>222.72</v>
      </c>
      <c r="I1166" s="1">
        <f ca="1">IFERROR(__xludf.DUMMYFUNCTION("""COMPUTED_VALUE"""),173.82)</f>
        <v>173.82</v>
      </c>
      <c r="J1166" s="1">
        <f ca="1">IFERROR(__xludf.DUMMYFUNCTION("""COMPUTED_VALUE"""),872.35)</f>
        <v>872.35</v>
      </c>
      <c r="K1166" s="1">
        <f ca="1">IFERROR(__xludf.DUMMYFUNCTION("""COMPUTED_VALUE"""),167.71)</f>
        <v>167.71</v>
      </c>
      <c r="L1166" s="1">
        <f ca="1">IFERROR(__xludf.DUMMYFUNCTION("""COMPUTED_VALUE"""),563.12)</f>
        <v>563.12</v>
      </c>
      <c r="M1166" s="1">
        <f ca="1">IFERROR(__xludf.DUMMYFUNCTION("""COMPUTED_VALUE"""),688.53)</f>
        <v>688.53</v>
      </c>
    </row>
    <row r="1167" spans="1:13" x14ac:dyDescent="0.25">
      <c r="A1167" s="2">
        <f ca="1">IFERROR(__xludf.DUMMYFUNCTION("""COMPUTED_VALUE"""),45525.6666666666)</f>
        <v>45525.666666666599</v>
      </c>
      <c r="B1167" s="1">
        <f ca="1">IFERROR(__xludf.DUMMYFUNCTION("""COMPUTED_VALUE"""),226.4)</f>
        <v>226.4</v>
      </c>
      <c r="C1167" s="1">
        <f ca="1">IFERROR(__xludf.DUMMYFUNCTION("""COMPUTED_VALUE"""),424.8)</f>
        <v>424.8</v>
      </c>
      <c r="D1167" s="1">
        <f ca="1">IFERROR(__xludf.DUMMYFUNCTION("""COMPUTED_VALUE"""),178.88)</f>
        <v>178.88</v>
      </c>
      <c r="E1167" s="1">
        <f ca="1">IFERROR(__xludf.DUMMYFUNCTION("""COMPUTED_VALUE"""),127.25)</f>
        <v>127.25</v>
      </c>
      <c r="F1167" s="1">
        <f ca="1">IFERROR(__xludf.DUMMYFUNCTION("""COMPUTED_VALUE"""),526.73)</f>
        <v>526.73</v>
      </c>
      <c r="G1167" s="1">
        <f ca="1">IFERROR(__xludf.DUMMYFUNCTION("""COMPUTED_VALUE"""),168.96)</f>
        <v>168.96</v>
      </c>
      <c r="H1167" s="1">
        <f ca="1">IFERROR(__xludf.DUMMYFUNCTION("""COMPUTED_VALUE"""),221.1)</f>
        <v>221.1</v>
      </c>
      <c r="I1167" s="1">
        <f ca="1">IFERROR(__xludf.DUMMYFUNCTION("""COMPUTED_VALUE"""),175.85)</f>
        <v>175.85</v>
      </c>
      <c r="J1167" s="1">
        <f ca="1">IFERROR(__xludf.DUMMYFUNCTION("""COMPUTED_VALUE"""),876.2)</f>
        <v>876.2</v>
      </c>
      <c r="K1167" s="1">
        <f ca="1">IFERROR(__xludf.DUMMYFUNCTION("""COMPUTED_VALUE"""),165.95)</f>
        <v>165.95</v>
      </c>
      <c r="L1167" s="1">
        <f ca="1">IFERROR(__xludf.DUMMYFUNCTION("""COMPUTED_VALUE"""),562.25)</f>
        <v>562.25</v>
      </c>
      <c r="M1167" s="1">
        <f ca="1">IFERROR(__xludf.DUMMYFUNCTION("""COMPUTED_VALUE"""),698.54)</f>
        <v>698.54</v>
      </c>
    </row>
    <row r="1168" spans="1:13" x14ac:dyDescent="0.25">
      <c r="A1168" s="2">
        <f ca="1">IFERROR(__xludf.DUMMYFUNCTION("""COMPUTED_VALUE"""),45526.6666666666)</f>
        <v>45526.666666666599</v>
      </c>
      <c r="B1168" s="1">
        <f ca="1">IFERROR(__xludf.DUMMYFUNCTION("""COMPUTED_VALUE"""),224.53)</f>
        <v>224.53</v>
      </c>
      <c r="C1168" s="1">
        <f ca="1">IFERROR(__xludf.DUMMYFUNCTION("""COMPUTED_VALUE"""),424.14)</f>
        <v>424.14</v>
      </c>
      <c r="D1168" s="1">
        <f ca="1">IFERROR(__xludf.DUMMYFUNCTION("""COMPUTED_VALUE"""),180.11)</f>
        <v>180.11</v>
      </c>
      <c r="E1168" s="1">
        <f ca="1">IFERROR(__xludf.DUMMYFUNCTION("""COMPUTED_VALUE"""),128.5)</f>
        <v>128.5</v>
      </c>
      <c r="F1168" s="1">
        <f ca="1">IFERROR(__xludf.DUMMYFUNCTION("""COMPUTED_VALUE"""),535.16)</f>
        <v>535.16</v>
      </c>
      <c r="G1168" s="1">
        <f ca="1">IFERROR(__xludf.DUMMYFUNCTION("""COMPUTED_VALUE"""),167.63)</f>
        <v>167.63</v>
      </c>
      <c r="H1168" s="1">
        <f ca="1">IFERROR(__xludf.DUMMYFUNCTION("""COMPUTED_VALUE"""),223.27)</f>
        <v>223.27</v>
      </c>
      <c r="I1168" s="1">
        <f ca="1">IFERROR(__xludf.DUMMYFUNCTION("""COMPUTED_VALUE"""),175.21)</f>
        <v>175.21</v>
      </c>
      <c r="J1168" s="1">
        <f ca="1">IFERROR(__xludf.DUMMYFUNCTION("""COMPUTED_VALUE"""),881.42)</f>
        <v>881.42</v>
      </c>
      <c r="K1168" s="1">
        <f ca="1">IFERROR(__xludf.DUMMYFUNCTION("""COMPUTED_VALUE"""),165.78)</f>
        <v>165.78</v>
      </c>
      <c r="L1168" s="1">
        <f ca="1">IFERROR(__xludf.DUMMYFUNCTION("""COMPUTED_VALUE"""),565.79)</f>
        <v>565.79</v>
      </c>
      <c r="M1168" s="1">
        <f ca="1">IFERROR(__xludf.DUMMYFUNCTION("""COMPUTED_VALUE"""),697.12)</f>
        <v>697.12</v>
      </c>
    </row>
    <row r="1169" spans="1:13" x14ac:dyDescent="0.25">
      <c r="A1169" s="2">
        <f ca="1">IFERROR(__xludf.DUMMYFUNCTION("""COMPUTED_VALUE"""),45527.6666666666)</f>
        <v>45527.666666666599</v>
      </c>
      <c r="B1169" s="1">
        <f ca="1">IFERROR(__xludf.DUMMYFUNCTION("""COMPUTED_VALUE"""),226.84)</f>
        <v>226.84</v>
      </c>
      <c r="C1169" s="1">
        <f ca="1">IFERROR(__xludf.DUMMYFUNCTION("""COMPUTED_VALUE"""),415.55)</f>
        <v>415.55</v>
      </c>
      <c r="D1169" s="1">
        <f ca="1">IFERROR(__xludf.DUMMYFUNCTION("""COMPUTED_VALUE"""),176.13)</f>
        <v>176.13</v>
      </c>
      <c r="E1169" s="1">
        <f ca="1">IFERROR(__xludf.DUMMYFUNCTION("""COMPUTED_VALUE"""),123.74)</f>
        <v>123.74</v>
      </c>
      <c r="F1169" s="1">
        <f ca="1">IFERROR(__xludf.DUMMYFUNCTION("""COMPUTED_VALUE"""),531.93)</f>
        <v>531.92999999999995</v>
      </c>
      <c r="G1169" s="1">
        <f ca="1">IFERROR(__xludf.DUMMYFUNCTION("""COMPUTED_VALUE"""),165.49)</f>
        <v>165.49</v>
      </c>
      <c r="H1169" s="1">
        <f ca="1">IFERROR(__xludf.DUMMYFUNCTION("""COMPUTED_VALUE"""),210.66)</f>
        <v>210.66</v>
      </c>
      <c r="I1169" s="1">
        <f ca="1">IFERROR(__xludf.DUMMYFUNCTION("""COMPUTED_VALUE"""),175.74)</f>
        <v>175.74</v>
      </c>
      <c r="J1169" s="1">
        <f ca="1">IFERROR(__xludf.DUMMYFUNCTION("""COMPUTED_VALUE"""),877.56)</f>
        <v>877.56</v>
      </c>
      <c r="K1169" s="1">
        <f ca="1">IFERROR(__xludf.DUMMYFUNCTION("""COMPUTED_VALUE"""),162.34)</f>
        <v>162.34</v>
      </c>
      <c r="L1169" s="1">
        <f ca="1">IFERROR(__xludf.DUMMYFUNCTION("""COMPUTED_VALUE"""),557.44)</f>
        <v>557.44000000000005</v>
      </c>
      <c r="M1169" s="1">
        <f ca="1">IFERROR(__xludf.DUMMYFUNCTION("""COMPUTED_VALUE"""),688.96)</f>
        <v>688.96</v>
      </c>
    </row>
    <row r="1170" spans="1:13" x14ac:dyDescent="0.25">
      <c r="A1170" s="2">
        <f ca="1">IFERROR(__xludf.DUMMYFUNCTION("""COMPUTED_VALUE"""),45530.6666666666)</f>
        <v>45530.666666666599</v>
      </c>
      <c r="B1170" s="1">
        <f ca="1">IFERROR(__xludf.DUMMYFUNCTION("""COMPUTED_VALUE"""),227.18)</f>
        <v>227.18</v>
      </c>
      <c r="C1170" s="1">
        <f ca="1">IFERROR(__xludf.DUMMYFUNCTION("""COMPUTED_VALUE"""),416.79)</f>
        <v>416.79</v>
      </c>
      <c r="D1170" s="1">
        <f ca="1">IFERROR(__xludf.DUMMYFUNCTION("""COMPUTED_VALUE"""),177.04)</f>
        <v>177.04</v>
      </c>
      <c r="E1170" s="1">
        <f ca="1">IFERROR(__xludf.DUMMYFUNCTION("""COMPUTED_VALUE"""),129.37)</f>
        <v>129.37</v>
      </c>
      <c r="F1170" s="1">
        <f ca="1">IFERROR(__xludf.DUMMYFUNCTION("""COMPUTED_VALUE"""),528)</f>
        <v>528</v>
      </c>
      <c r="G1170" s="1">
        <f ca="1">IFERROR(__xludf.DUMMYFUNCTION("""COMPUTED_VALUE"""),167.43)</f>
        <v>167.43</v>
      </c>
      <c r="H1170" s="1">
        <f ca="1">IFERROR(__xludf.DUMMYFUNCTION("""COMPUTED_VALUE"""),220.32)</f>
        <v>220.32</v>
      </c>
      <c r="I1170" s="1">
        <f ca="1">IFERROR(__xludf.DUMMYFUNCTION("""COMPUTED_VALUE"""),175.87)</f>
        <v>175.87</v>
      </c>
      <c r="J1170" s="1">
        <f ca="1">IFERROR(__xludf.DUMMYFUNCTION("""COMPUTED_VALUE"""),879.21)</f>
        <v>879.21</v>
      </c>
      <c r="K1170" s="1">
        <f ca="1">IFERROR(__xludf.DUMMYFUNCTION("""COMPUTED_VALUE"""),166.36)</f>
        <v>166.36</v>
      </c>
      <c r="L1170" s="1">
        <f ca="1">IFERROR(__xludf.DUMMYFUNCTION("""COMPUTED_VALUE"""),558.3)</f>
        <v>558.29999999999995</v>
      </c>
      <c r="M1170" s="1">
        <f ca="1">IFERROR(__xludf.DUMMYFUNCTION("""COMPUTED_VALUE"""),686.73)</f>
        <v>686.73</v>
      </c>
    </row>
    <row r="1171" spans="1:13" x14ac:dyDescent="0.25">
      <c r="A1171" s="2">
        <f ca="1">IFERROR(__xludf.DUMMYFUNCTION("""COMPUTED_VALUE"""),45531.6666666666)</f>
        <v>45531.666666666599</v>
      </c>
      <c r="B1171" s="1">
        <f ca="1">IFERROR(__xludf.DUMMYFUNCTION("""COMPUTED_VALUE"""),228.03)</f>
        <v>228.03</v>
      </c>
      <c r="C1171" s="1">
        <f ca="1">IFERROR(__xludf.DUMMYFUNCTION("""COMPUTED_VALUE"""),413.49)</f>
        <v>413.49</v>
      </c>
      <c r="D1171" s="1">
        <f ca="1">IFERROR(__xludf.DUMMYFUNCTION("""COMPUTED_VALUE"""),175.5)</f>
        <v>175.5</v>
      </c>
      <c r="E1171" s="1">
        <f ca="1">IFERROR(__xludf.DUMMYFUNCTION("""COMPUTED_VALUE"""),126.46)</f>
        <v>126.46</v>
      </c>
      <c r="F1171" s="1">
        <f ca="1">IFERROR(__xludf.DUMMYFUNCTION("""COMPUTED_VALUE"""),521.12)</f>
        <v>521.12</v>
      </c>
      <c r="G1171" s="1">
        <f ca="1">IFERROR(__xludf.DUMMYFUNCTION("""COMPUTED_VALUE"""),167.93)</f>
        <v>167.93</v>
      </c>
      <c r="H1171" s="1">
        <f ca="1">IFERROR(__xludf.DUMMYFUNCTION("""COMPUTED_VALUE"""),213.21)</f>
        <v>213.21</v>
      </c>
      <c r="I1171" s="1">
        <f ca="1">IFERROR(__xludf.DUMMYFUNCTION("""COMPUTED_VALUE"""),175.97)</f>
        <v>175.97</v>
      </c>
      <c r="J1171" s="1">
        <f ca="1">IFERROR(__xludf.DUMMYFUNCTION("""COMPUTED_VALUE"""),892.51)</f>
        <v>892.51</v>
      </c>
      <c r="K1171" s="1">
        <f ca="1">IFERROR(__xludf.DUMMYFUNCTION("""COMPUTED_VALUE"""),159.62)</f>
        <v>159.62</v>
      </c>
      <c r="L1171" s="1">
        <f ca="1">IFERROR(__xludf.DUMMYFUNCTION("""COMPUTED_VALUE"""),559.44)</f>
        <v>559.44000000000005</v>
      </c>
      <c r="M1171" s="1">
        <f ca="1">IFERROR(__xludf.DUMMYFUNCTION("""COMPUTED_VALUE"""),688.44)</f>
        <v>688.44</v>
      </c>
    </row>
    <row r="1172" spans="1:13" x14ac:dyDescent="0.25">
      <c r="A1172" s="2">
        <f ca="1">IFERROR(__xludf.DUMMYFUNCTION("""COMPUTED_VALUE"""),45532.6666666666)</f>
        <v>45532.666666666599</v>
      </c>
      <c r="B1172" s="1">
        <f ca="1">IFERROR(__xludf.DUMMYFUNCTION("""COMPUTED_VALUE"""),226.49)</f>
        <v>226.49</v>
      </c>
      <c r="C1172" s="1">
        <f ca="1">IFERROR(__xludf.DUMMYFUNCTION("""COMPUTED_VALUE"""),413.84)</f>
        <v>413.84</v>
      </c>
      <c r="D1172" s="1">
        <f ca="1">IFERROR(__xludf.DUMMYFUNCTION("""COMPUTED_VALUE"""),173.12)</f>
        <v>173.12</v>
      </c>
      <c r="E1172" s="1">
        <f ca="1">IFERROR(__xludf.DUMMYFUNCTION("""COMPUTED_VALUE"""),128.3)</f>
        <v>128.30000000000001</v>
      </c>
      <c r="F1172" s="1">
        <f ca="1">IFERROR(__xludf.DUMMYFUNCTION("""COMPUTED_VALUE"""),519.1)</f>
        <v>519.1</v>
      </c>
      <c r="G1172" s="1">
        <f ca="1">IFERROR(__xludf.DUMMYFUNCTION("""COMPUTED_VALUE"""),166.38)</f>
        <v>166.38</v>
      </c>
      <c r="H1172" s="1">
        <f ca="1">IFERROR(__xludf.DUMMYFUNCTION("""COMPUTED_VALUE"""),209.21)</f>
        <v>209.21</v>
      </c>
      <c r="I1172" s="1">
        <f ca="1">IFERROR(__xludf.DUMMYFUNCTION("""COMPUTED_VALUE"""),175.3)</f>
        <v>175.3</v>
      </c>
      <c r="J1172" s="1">
        <f ca="1">IFERROR(__xludf.DUMMYFUNCTION("""COMPUTED_VALUE"""),908.9)</f>
        <v>908.9</v>
      </c>
      <c r="K1172" s="1">
        <f ca="1">IFERROR(__xludf.DUMMYFUNCTION("""COMPUTED_VALUE"""),161.39)</f>
        <v>161.38999999999999</v>
      </c>
      <c r="L1172" s="1">
        <f ca="1">IFERROR(__xludf.DUMMYFUNCTION("""COMPUTED_VALUE"""),567.82)</f>
        <v>567.82000000000005</v>
      </c>
      <c r="M1172" s="1">
        <f ca="1">IFERROR(__xludf.DUMMYFUNCTION("""COMPUTED_VALUE"""),695.72)</f>
        <v>695.72</v>
      </c>
    </row>
    <row r="1173" spans="1:13" x14ac:dyDescent="0.25">
      <c r="A1173" s="2">
        <f ca="1">IFERROR(__xludf.DUMMYFUNCTION("""COMPUTED_VALUE"""),45533.6666666666)</f>
        <v>45533.666666666599</v>
      </c>
      <c r="B1173" s="1">
        <f ca="1">IFERROR(__xludf.DUMMYFUNCTION("""COMPUTED_VALUE"""),229.79)</f>
        <v>229.79</v>
      </c>
      <c r="C1173" s="1">
        <f ca="1">IFERROR(__xludf.DUMMYFUNCTION("""COMPUTED_VALUE"""),410.6)</f>
        <v>410.6</v>
      </c>
      <c r="D1173" s="1">
        <f ca="1">IFERROR(__xludf.DUMMYFUNCTION("""COMPUTED_VALUE"""),170.8)</f>
        <v>170.8</v>
      </c>
      <c r="E1173" s="1">
        <f ca="1">IFERROR(__xludf.DUMMYFUNCTION("""COMPUTED_VALUE"""),125.61)</f>
        <v>125.61</v>
      </c>
      <c r="F1173" s="1">
        <f ca="1">IFERROR(__xludf.DUMMYFUNCTION("""COMPUTED_VALUE"""),516.78)</f>
        <v>516.78</v>
      </c>
      <c r="G1173" s="1">
        <f ca="1">IFERROR(__xludf.DUMMYFUNCTION("""COMPUTED_VALUE"""),164.5)</f>
        <v>164.5</v>
      </c>
      <c r="H1173" s="1">
        <f ca="1">IFERROR(__xludf.DUMMYFUNCTION("""COMPUTED_VALUE"""),205.75)</f>
        <v>205.75</v>
      </c>
      <c r="I1173" s="1">
        <f ca="1">IFERROR(__xludf.DUMMYFUNCTION("""COMPUTED_VALUE"""),173.92)</f>
        <v>173.92</v>
      </c>
      <c r="J1173" s="1">
        <f ca="1">IFERROR(__xludf.DUMMYFUNCTION("""COMPUTED_VALUE"""),888.05)</f>
        <v>888.05</v>
      </c>
      <c r="K1173" s="1">
        <f ca="1">IFERROR(__xludf.DUMMYFUNCTION("""COMPUTED_VALUE"""),158.18)</f>
        <v>158.18</v>
      </c>
      <c r="L1173" s="1">
        <f ca="1">IFERROR(__xludf.DUMMYFUNCTION("""COMPUTED_VALUE"""),560.54)</f>
        <v>560.54</v>
      </c>
      <c r="M1173" s="1">
        <f ca="1">IFERROR(__xludf.DUMMYFUNCTION("""COMPUTED_VALUE"""),683.84)</f>
        <v>683.84</v>
      </c>
    </row>
    <row r="1174" spans="1:13" x14ac:dyDescent="0.25">
      <c r="A1174" s="2">
        <f ca="1">IFERROR(__xludf.DUMMYFUNCTION("""COMPUTED_VALUE"""),45534.6666666666)</f>
        <v>45534.666666666599</v>
      </c>
      <c r="B1174" s="1">
        <f ca="1">IFERROR(__xludf.DUMMYFUNCTION("""COMPUTED_VALUE"""),229)</f>
        <v>229</v>
      </c>
      <c r="C1174" s="1">
        <f ca="1">IFERROR(__xludf.DUMMYFUNCTION("""COMPUTED_VALUE"""),413.12)</f>
        <v>413.12</v>
      </c>
      <c r="D1174" s="1">
        <f ca="1">IFERROR(__xludf.DUMMYFUNCTION("""COMPUTED_VALUE"""),172.12)</f>
        <v>172.12</v>
      </c>
      <c r="E1174" s="1">
        <f ca="1">IFERROR(__xludf.DUMMYFUNCTION("""COMPUTED_VALUE"""),117.59)</f>
        <v>117.59</v>
      </c>
      <c r="F1174" s="1">
        <f ca="1">IFERROR(__xludf.DUMMYFUNCTION("""COMPUTED_VALUE"""),518.22)</f>
        <v>518.22</v>
      </c>
      <c r="G1174" s="1">
        <f ca="1">IFERROR(__xludf.DUMMYFUNCTION("""COMPUTED_VALUE"""),163.4)</f>
        <v>163.4</v>
      </c>
      <c r="H1174" s="1">
        <f ca="1">IFERROR(__xludf.DUMMYFUNCTION("""COMPUTED_VALUE"""),206.28)</f>
        <v>206.28</v>
      </c>
      <c r="I1174" s="1">
        <f ca="1">IFERROR(__xludf.DUMMYFUNCTION("""COMPUTED_VALUE"""),172.09)</f>
        <v>172.09</v>
      </c>
      <c r="J1174" s="1">
        <f ca="1">IFERROR(__xludf.DUMMYFUNCTION("""COMPUTED_VALUE"""),886.63)</f>
        <v>886.63</v>
      </c>
      <c r="K1174" s="1">
        <f ca="1">IFERROR(__xludf.DUMMYFUNCTION("""COMPUTED_VALUE"""),156.93)</f>
        <v>156.93</v>
      </c>
      <c r="L1174" s="1">
        <f ca="1">IFERROR(__xludf.DUMMYFUNCTION("""COMPUTED_VALUE"""),569.63)</f>
        <v>569.63</v>
      </c>
      <c r="M1174" s="1">
        <f ca="1">IFERROR(__xludf.DUMMYFUNCTION("""COMPUTED_VALUE"""),692.48)</f>
        <v>692.48</v>
      </c>
    </row>
    <row r="1175" spans="1:13" x14ac:dyDescent="0.25">
      <c r="A1175" s="2">
        <f ca="1">IFERROR(__xludf.DUMMYFUNCTION("""COMPUTED_VALUE"""),45538.6666666666)</f>
        <v>45538.666666666599</v>
      </c>
      <c r="B1175" s="1">
        <f ca="1">IFERROR(__xludf.DUMMYFUNCTION("""COMPUTED_VALUE"""),222.77)</f>
        <v>222.77</v>
      </c>
      <c r="C1175" s="1">
        <f ca="1">IFERROR(__xludf.DUMMYFUNCTION("""COMPUTED_VALUE"""),417.14)</f>
        <v>417.14</v>
      </c>
      <c r="D1175" s="1">
        <f ca="1">IFERROR(__xludf.DUMMYFUNCTION("""COMPUTED_VALUE"""),178.5)</f>
        <v>178.5</v>
      </c>
      <c r="E1175" s="1">
        <f ca="1">IFERROR(__xludf.DUMMYFUNCTION("""COMPUTED_VALUE"""),119.37)</f>
        <v>119.37</v>
      </c>
      <c r="F1175" s="1">
        <f ca="1">IFERROR(__xludf.DUMMYFUNCTION("""COMPUTED_VALUE"""),521.31)</f>
        <v>521.30999999999995</v>
      </c>
      <c r="G1175" s="1">
        <f ca="1">IFERROR(__xludf.DUMMYFUNCTION("""COMPUTED_VALUE"""),165.11)</f>
        <v>165.11</v>
      </c>
      <c r="H1175" s="1">
        <f ca="1">IFERROR(__xludf.DUMMYFUNCTION("""COMPUTED_VALUE"""),214.11)</f>
        <v>214.11</v>
      </c>
      <c r="I1175" s="1">
        <f ca="1">IFERROR(__xludf.DUMMYFUNCTION("""COMPUTED_VALUE"""),172.88)</f>
        <v>172.88</v>
      </c>
      <c r="J1175" s="1">
        <f ca="1">IFERROR(__xludf.DUMMYFUNCTION("""COMPUTED_VALUE"""),892.38)</f>
        <v>892.38</v>
      </c>
      <c r="K1175" s="1">
        <f ca="1">IFERROR(__xludf.DUMMYFUNCTION("""COMPUTED_VALUE"""),162.82)</f>
        <v>162.82</v>
      </c>
      <c r="L1175" s="1">
        <f ca="1">IFERROR(__xludf.DUMMYFUNCTION("""COMPUTED_VALUE"""),574.41)</f>
        <v>574.41</v>
      </c>
      <c r="M1175" s="1">
        <f ca="1">IFERROR(__xludf.DUMMYFUNCTION("""COMPUTED_VALUE"""),701.35)</f>
        <v>701.35</v>
      </c>
    </row>
    <row r="1176" spans="1:13" x14ac:dyDescent="0.25">
      <c r="A1176" s="2">
        <f ca="1">IFERROR(__xludf.DUMMYFUNCTION("""COMPUTED_VALUE"""),45539.6666666666)</f>
        <v>45539.666666666599</v>
      </c>
      <c r="B1176" s="1">
        <f ca="1">IFERROR(__xludf.DUMMYFUNCTION("""COMPUTED_VALUE"""),220.85)</f>
        <v>220.85</v>
      </c>
      <c r="C1176" s="1">
        <f ca="1">IFERROR(__xludf.DUMMYFUNCTION("""COMPUTED_VALUE"""),409.44)</f>
        <v>409.44</v>
      </c>
      <c r="D1176" s="1">
        <f ca="1">IFERROR(__xludf.DUMMYFUNCTION("""COMPUTED_VALUE"""),176.25)</f>
        <v>176.25</v>
      </c>
      <c r="E1176" s="1">
        <f ca="1">IFERROR(__xludf.DUMMYFUNCTION("""COMPUTED_VALUE"""),108)</f>
        <v>108</v>
      </c>
      <c r="F1176" s="1">
        <f ca="1">IFERROR(__xludf.DUMMYFUNCTION("""COMPUTED_VALUE"""),511.76)</f>
        <v>511.76</v>
      </c>
      <c r="G1176" s="1">
        <f ca="1">IFERROR(__xludf.DUMMYFUNCTION("""COMPUTED_VALUE"""),158.61)</f>
        <v>158.61000000000001</v>
      </c>
      <c r="H1176" s="1">
        <f ca="1">IFERROR(__xludf.DUMMYFUNCTION("""COMPUTED_VALUE"""),210.6)</f>
        <v>210.6</v>
      </c>
      <c r="I1176" s="1">
        <f ca="1">IFERROR(__xludf.DUMMYFUNCTION("""COMPUTED_VALUE"""),177.54)</f>
        <v>177.54</v>
      </c>
      <c r="J1176" s="1">
        <f ca="1">IFERROR(__xludf.DUMMYFUNCTION("""COMPUTED_VALUE"""),878.57)</f>
        <v>878.57</v>
      </c>
      <c r="K1176" s="1">
        <f ca="1">IFERROR(__xludf.DUMMYFUNCTION("""COMPUTED_VALUE"""),152.79)</f>
        <v>152.79</v>
      </c>
      <c r="L1176" s="1">
        <f ca="1">IFERROR(__xludf.DUMMYFUNCTION("""COMPUTED_VALUE"""),571.04)</f>
        <v>571.04</v>
      </c>
      <c r="M1176" s="1">
        <f ca="1">IFERROR(__xludf.DUMMYFUNCTION("""COMPUTED_VALUE"""),675.32)</f>
        <v>675.32</v>
      </c>
    </row>
    <row r="1177" spans="1:13" x14ac:dyDescent="0.25">
      <c r="A1177" s="2">
        <f ca="1">IFERROR(__xludf.DUMMYFUNCTION("""COMPUTED_VALUE"""),45540.6666666666)</f>
        <v>45540.666666666599</v>
      </c>
      <c r="B1177" s="1">
        <f ca="1">IFERROR(__xludf.DUMMYFUNCTION("""COMPUTED_VALUE"""),222.38)</f>
        <v>222.38</v>
      </c>
      <c r="C1177" s="1">
        <f ca="1">IFERROR(__xludf.DUMMYFUNCTION("""COMPUTED_VALUE"""),408.9)</f>
        <v>408.9</v>
      </c>
      <c r="D1177" s="1">
        <f ca="1">IFERROR(__xludf.DUMMYFUNCTION("""COMPUTED_VALUE"""),173.33)</f>
        <v>173.33</v>
      </c>
      <c r="E1177" s="1">
        <f ca="1">IFERROR(__xludf.DUMMYFUNCTION("""COMPUTED_VALUE"""),106.21)</f>
        <v>106.21</v>
      </c>
      <c r="F1177" s="1">
        <f ca="1">IFERROR(__xludf.DUMMYFUNCTION("""COMPUTED_VALUE"""),512.74)</f>
        <v>512.74</v>
      </c>
      <c r="G1177" s="1">
        <f ca="1">IFERROR(__xludf.DUMMYFUNCTION("""COMPUTED_VALUE"""),157.81)</f>
        <v>157.81</v>
      </c>
      <c r="H1177" s="1">
        <f ca="1">IFERROR(__xludf.DUMMYFUNCTION("""COMPUTED_VALUE"""),219.41)</f>
        <v>219.41</v>
      </c>
      <c r="I1177" s="1">
        <f ca="1">IFERROR(__xludf.DUMMYFUNCTION("""COMPUTED_VALUE"""),178.52)</f>
        <v>178.52</v>
      </c>
      <c r="J1177" s="1">
        <f ca="1">IFERROR(__xludf.DUMMYFUNCTION("""COMPUTED_VALUE"""),890.02)</f>
        <v>890.02</v>
      </c>
      <c r="K1177" s="1">
        <f ca="1">IFERROR(__xludf.DUMMYFUNCTION("""COMPUTED_VALUE"""),154.12)</f>
        <v>154.12</v>
      </c>
      <c r="L1177" s="1">
        <f ca="1">IFERROR(__xludf.DUMMYFUNCTION("""COMPUTED_VALUE"""),575.25)</f>
        <v>575.25</v>
      </c>
      <c r="M1177" s="1">
        <f ca="1">IFERROR(__xludf.DUMMYFUNCTION("""COMPUTED_VALUE"""),679.68)</f>
        <v>679.68</v>
      </c>
    </row>
    <row r="1178" spans="1:13" x14ac:dyDescent="0.25">
      <c r="A1178" s="2">
        <f ca="1">IFERROR(__xludf.DUMMYFUNCTION("""COMPUTED_VALUE"""),45541.6666666666)</f>
        <v>45541.666666666599</v>
      </c>
      <c r="B1178" s="1">
        <f ca="1">IFERROR(__xludf.DUMMYFUNCTION("""COMPUTED_VALUE"""),220.82)</f>
        <v>220.82</v>
      </c>
      <c r="C1178" s="1">
        <f ca="1">IFERROR(__xludf.DUMMYFUNCTION("""COMPUTED_VALUE"""),408.39)</f>
        <v>408.39</v>
      </c>
      <c r="D1178" s="1">
        <f ca="1">IFERROR(__xludf.DUMMYFUNCTION("""COMPUTED_VALUE"""),177.89)</f>
        <v>177.89</v>
      </c>
      <c r="E1178" s="1">
        <f ca="1">IFERROR(__xludf.DUMMYFUNCTION("""COMPUTED_VALUE"""),107.21)</f>
        <v>107.21</v>
      </c>
      <c r="F1178" s="1">
        <f ca="1">IFERROR(__xludf.DUMMYFUNCTION("""COMPUTED_VALUE"""),516.86)</f>
        <v>516.86</v>
      </c>
      <c r="G1178" s="1">
        <f ca="1">IFERROR(__xludf.DUMMYFUNCTION("""COMPUTED_VALUE"""),158.6)</f>
        <v>158.6</v>
      </c>
      <c r="H1178" s="1">
        <f ca="1">IFERROR(__xludf.DUMMYFUNCTION("""COMPUTED_VALUE"""),230.17)</f>
        <v>230.17</v>
      </c>
      <c r="I1178" s="1">
        <f ca="1">IFERROR(__xludf.DUMMYFUNCTION("""COMPUTED_VALUE"""),179.3)</f>
        <v>179.3</v>
      </c>
      <c r="J1178" s="1">
        <f ca="1">IFERROR(__xludf.DUMMYFUNCTION("""COMPUTED_VALUE"""),885.98)</f>
        <v>885.98</v>
      </c>
      <c r="K1178" s="1">
        <f ca="1">IFERROR(__xludf.DUMMYFUNCTION("""COMPUTED_VALUE"""),152.82)</f>
        <v>152.82</v>
      </c>
      <c r="L1178" s="1">
        <f ca="1">IFERROR(__xludf.DUMMYFUNCTION("""COMPUTED_VALUE"""),567.93)</f>
        <v>567.92999999999995</v>
      </c>
      <c r="M1178" s="1">
        <f ca="1">IFERROR(__xludf.DUMMYFUNCTION("""COMPUTED_VALUE"""),683.62)</f>
        <v>683.62</v>
      </c>
    </row>
    <row r="1179" spans="1:13" x14ac:dyDescent="0.25">
      <c r="A1179" s="2">
        <f ca="1">IFERROR(__xludf.DUMMYFUNCTION("""COMPUTED_VALUE"""),45544.6666666666)</f>
        <v>45544.666666666599</v>
      </c>
      <c r="B1179" s="1">
        <f ca="1">IFERROR(__xludf.DUMMYFUNCTION("""COMPUTED_VALUE"""),220.91)</f>
        <v>220.91</v>
      </c>
      <c r="C1179" s="1">
        <f ca="1">IFERROR(__xludf.DUMMYFUNCTION("""COMPUTED_VALUE"""),401.7)</f>
        <v>401.7</v>
      </c>
      <c r="D1179" s="1">
        <f ca="1">IFERROR(__xludf.DUMMYFUNCTION("""COMPUTED_VALUE"""),171.39)</f>
        <v>171.39</v>
      </c>
      <c r="E1179" s="1">
        <f ca="1">IFERROR(__xludf.DUMMYFUNCTION("""COMPUTED_VALUE"""),102.83)</f>
        <v>102.83</v>
      </c>
      <c r="F1179" s="1">
        <f ca="1">IFERROR(__xludf.DUMMYFUNCTION("""COMPUTED_VALUE"""),500.27)</f>
        <v>500.27</v>
      </c>
      <c r="G1179" s="1">
        <f ca="1">IFERROR(__xludf.DUMMYFUNCTION("""COMPUTED_VALUE"""),152.13)</f>
        <v>152.13</v>
      </c>
      <c r="H1179" s="1">
        <f ca="1">IFERROR(__xludf.DUMMYFUNCTION("""COMPUTED_VALUE"""),210.73)</f>
        <v>210.73</v>
      </c>
      <c r="I1179" s="1">
        <f ca="1">IFERROR(__xludf.DUMMYFUNCTION("""COMPUTED_VALUE"""),177.34)</f>
        <v>177.34</v>
      </c>
      <c r="J1179" s="1">
        <f ca="1">IFERROR(__xludf.DUMMYFUNCTION("""COMPUTED_VALUE"""),876.68)</f>
        <v>876.68</v>
      </c>
      <c r="K1179" s="1">
        <f ca="1">IFERROR(__xludf.DUMMYFUNCTION("""COMPUTED_VALUE"""),137)</f>
        <v>137</v>
      </c>
      <c r="L1179" s="1">
        <f ca="1">IFERROR(__xludf.DUMMYFUNCTION("""COMPUTED_VALUE"""),563.41)</f>
        <v>563.41</v>
      </c>
      <c r="M1179" s="1">
        <f ca="1">IFERROR(__xludf.DUMMYFUNCTION("""COMPUTED_VALUE"""),665.77)</f>
        <v>665.77</v>
      </c>
    </row>
    <row r="1180" spans="1:13" x14ac:dyDescent="0.25">
      <c r="A1180" s="2">
        <f ca="1">IFERROR(__xludf.DUMMYFUNCTION("""COMPUTED_VALUE"""),45545.6666666666)</f>
        <v>45545.666666666599</v>
      </c>
      <c r="B1180" s="1">
        <f ca="1">IFERROR(__xludf.DUMMYFUNCTION("""COMPUTED_VALUE"""),220.11)</f>
        <v>220.11</v>
      </c>
      <c r="C1180" s="1">
        <f ca="1">IFERROR(__xludf.DUMMYFUNCTION("""COMPUTED_VALUE"""),405.72)</f>
        <v>405.72</v>
      </c>
      <c r="D1180" s="1">
        <f ca="1">IFERROR(__xludf.DUMMYFUNCTION("""COMPUTED_VALUE"""),175.4)</f>
        <v>175.4</v>
      </c>
      <c r="E1180" s="1">
        <f ca="1">IFERROR(__xludf.DUMMYFUNCTION("""COMPUTED_VALUE"""),106.47)</f>
        <v>106.47</v>
      </c>
      <c r="F1180" s="1">
        <f ca="1">IFERROR(__xludf.DUMMYFUNCTION("""COMPUTED_VALUE"""),504.79)</f>
        <v>504.79</v>
      </c>
      <c r="G1180" s="1">
        <f ca="1">IFERROR(__xludf.DUMMYFUNCTION("""COMPUTED_VALUE"""),149.54)</f>
        <v>149.54</v>
      </c>
      <c r="H1180" s="1">
        <f ca="1">IFERROR(__xludf.DUMMYFUNCTION("""COMPUTED_VALUE"""),216.27)</f>
        <v>216.27</v>
      </c>
      <c r="I1180" s="1">
        <f ca="1">IFERROR(__xludf.DUMMYFUNCTION("""COMPUTED_VALUE"""),178.19)</f>
        <v>178.19</v>
      </c>
      <c r="J1180" s="1">
        <f ca="1">IFERROR(__xludf.DUMMYFUNCTION("""COMPUTED_VALUE"""),896.49)</f>
        <v>896.49</v>
      </c>
      <c r="K1180" s="1">
        <f ca="1">IFERROR(__xludf.DUMMYFUNCTION("""COMPUTED_VALUE"""),140.82)</f>
        <v>140.82</v>
      </c>
      <c r="L1180" s="1">
        <f ca="1">IFERROR(__xludf.DUMMYFUNCTION("""COMPUTED_VALUE"""),569.88)</f>
        <v>569.88</v>
      </c>
      <c r="M1180" s="1">
        <f ca="1">IFERROR(__xludf.DUMMYFUNCTION("""COMPUTED_VALUE"""),675.42)</f>
        <v>675.42</v>
      </c>
    </row>
    <row r="1181" spans="1:13" x14ac:dyDescent="0.25">
      <c r="A1181" s="2">
        <f ca="1">IFERROR(__xludf.DUMMYFUNCTION("""COMPUTED_VALUE"""),45546.6666666666)</f>
        <v>45546.666666666599</v>
      </c>
      <c r="B1181" s="1">
        <f ca="1">IFERROR(__xludf.DUMMYFUNCTION("""COMPUTED_VALUE"""),222.66)</f>
        <v>222.66</v>
      </c>
      <c r="C1181" s="1">
        <f ca="1">IFERROR(__xludf.DUMMYFUNCTION("""COMPUTED_VALUE"""),414.2)</f>
        <v>414.2</v>
      </c>
      <c r="D1181" s="1">
        <f ca="1">IFERROR(__xludf.DUMMYFUNCTION("""COMPUTED_VALUE"""),179.55)</f>
        <v>179.55</v>
      </c>
      <c r="E1181" s="1">
        <f ca="1">IFERROR(__xludf.DUMMYFUNCTION("""COMPUTED_VALUE"""),108.1)</f>
        <v>108.1</v>
      </c>
      <c r="F1181" s="1">
        <f ca="1">IFERROR(__xludf.DUMMYFUNCTION("""COMPUTED_VALUE"""),504.79)</f>
        <v>504.79</v>
      </c>
      <c r="G1181" s="1">
        <f ca="1">IFERROR(__xludf.DUMMYFUNCTION("""COMPUTED_VALUE"""),150.01)</f>
        <v>150.01</v>
      </c>
      <c r="H1181" s="1">
        <f ca="1">IFERROR(__xludf.DUMMYFUNCTION("""COMPUTED_VALUE"""),226.17)</f>
        <v>226.17</v>
      </c>
      <c r="I1181" s="1">
        <f ca="1">IFERROR(__xludf.DUMMYFUNCTION("""COMPUTED_VALUE"""),177.81)</f>
        <v>177.81</v>
      </c>
      <c r="J1181" s="1">
        <f ca="1">IFERROR(__xludf.DUMMYFUNCTION("""COMPUTED_VALUE"""),894.29)</f>
        <v>894.29</v>
      </c>
      <c r="K1181" s="1">
        <f ca="1">IFERROR(__xludf.DUMMYFUNCTION("""COMPUTED_VALUE"""),148.21)</f>
        <v>148.21</v>
      </c>
      <c r="L1181" s="1">
        <f ca="1">IFERROR(__xludf.DUMMYFUNCTION("""COMPUTED_VALUE"""),574.48)</f>
        <v>574.48</v>
      </c>
      <c r="M1181" s="1">
        <f ca="1">IFERROR(__xludf.DUMMYFUNCTION("""COMPUTED_VALUE"""),673.62)</f>
        <v>673.62</v>
      </c>
    </row>
    <row r="1182" spans="1:13" x14ac:dyDescent="0.25">
      <c r="A1182" s="2">
        <f ca="1">IFERROR(__xludf.DUMMYFUNCTION("""COMPUTED_VALUE"""),45547.6666666666)</f>
        <v>45547.666666666599</v>
      </c>
      <c r="B1182" s="1">
        <f ca="1">IFERROR(__xludf.DUMMYFUNCTION("""COMPUTED_VALUE"""),222.77)</f>
        <v>222.77</v>
      </c>
      <c r="C1182" s="1">
        <f ca="1">IFERROR(__xludf.DUMMYFUNCTION("""COMPUTED_VALUE"""),423.04)</f>
        <v>423.04</v>
      </c>
      <c r="D1182" s="1">
        <f ca="1">IFERROR(__xludf.DUMMYFUNCTION("""COMPUTED_VALUE"""),184.52)</f>
        <v>184.52</v>
      </c>
      <c r="E1182" s="1">
        <f ca="1">IFERROR(__xludf.DUMMYFUNCTION("""COMPUTED_VALUE"""),116.91)</f>
        <v>116.91</v>
      </c>
      <c r="F1182" s="1">
        <f ca="1">IFERROR(__xludf.DUMMYFUNCTION("""COMPUTED_VALUE"""),511.83)</f>
        <v>511.83</v>
      </c>
      <c r="G1182" s="1">
        <f ca="1">IFERROR(__xludf.DUMMYFUNCTION("""COMPUTED_VALUE"""),152.15)</f>
        <v>152.15</v>
      </c>
      <c r="H1182" s="1">
        <f ca="1">IFERROR(__xludf.DUMMYFUNCTION("""COMPUTED_VALUE"""),228.13)</f>
        <v>228.13</v>
      </c>
      <c r="I1182" s="1">
        <f ca="1">IFERROR(__xludf.DUMMYFUNCTION("""COMPUTED_VALUE"""),175.78)</f>
        <v>175.78</v>
      </c>
      <c r="J1182" s="1">
        <f ca="1">IFERROR(__xludf.DUMMYFUNCTION("""COMPUTED_VALUE"""),900.4)</f>
        <v>900.4</v>
      </c>
      <c r="K1182" s="1">
        <f ca="1">IFERROR(__xludf.DUMMYFUNCTION("""COMPUTED_VALUE"""),158.27)</f>
        <v>158.27000000000001</v>
      </c>
      <c r="L1182" s="1">
        <f ca="1">IFERROR(__xludf.DUMMYFUNCTION("""COMPUTED_VALUE"""),580.38)</f>
        <v>580.38</v>
      </c>
      <c r="M1182" s="1">
        <f ca="1">IFERROR(__xludf.DUMMYFUNCTION("""COMPUTED_VALUE"""),681.47)</f>
        <v>681.47</v>
      </c>
    </row>
    <row r="1183" spans="1:13" x14ac:dyDescent="0.25">
      <c r="A1183" s="2">
        <f ca="1">IFERROR(__xludf.DUMMYFUNCTION("""COMPUTED_VALUE"""),45548.6666666666)</f>
        <v>45548.666666666599</v>
      </c>
      <c r="B1183" s="1">
        <f ca="1">IFERROR(__xludf.DUMMYFUNCTION("""COMPUTED_VALUE"""),222.5)</f>
        <v>222.5</v>
      </c>
      <c r="C1183" s="1">
        <f ca="1">IFERROR(__xludf.DUMMYFUNCTION("""COMPUTED_VALUE"""),427)</f>
        <v>427</v>
      </c>
      <c r="D1183" s="1">
        <f ca="1">IFERROR(__xludf.DUMMYFUNCTION("""COMPUTED_VALUE"""),187)</f>
        <v>187</v>
      </c>
      <c r="E1183" s="1">
        <f ca="1">IFERROR(__xludf.DUMMYFUNCTION("""COMPUTED_VALUE"""),119.14)</f>
        <v>119.14</v>
      </c>
      <c r="F1183" s="1">
        <f ca="1">IFERROR(__xludf.DUMMYFUNCTION("""COMPUTED_VALUE"""),525.6)</f>
        <v>525.6</v>
      </c>
      <c r="G1183" s="1">
        <f ca="1">IFERROR(__xludf.DUMMYFUNCTION("""COMPUTED_VALUE"""),155.54)</f>
        <v>155.54</v>
      </c>
      <c r="H1183" s="1">
        <f ca="1">IFERROR(__xludf.DUMMYFUNCTION("""COMPUTED_VALUE"""),229.81)</f>
        <v>229.81</v>
      </c>
      <c r="I1183" s="1">
        <f ca="1">IFERROR(__xludf.DUMMYFUNCTION("""COMPUTED_VALUE"""),177.25)</f>
        <v>177.25</v>
      </c>
      <c r="J1183" s="1">
        <f ca="1">IFERROR(__xludf.DUMMYFUNCTION("""COMPUTED_VALUE"""),915.03)</f>
        <v>915.03</v>
      </c>
      <c r="K1183" s="1">
        <f ca="1">IFERROR(__xludf.DUMMYFUNCTION("""COMPUTED_VALUE"""),164.56)</f>
        <v>164.56</v>
      </c>
      <c r="L1183" s="1">
        <f ca="1">IFERROR(__xludf.DUMMYFUNCTION("""COMPUTED_VALUE"""),586.55)</f>
        <v>586.54999999999995</v>
      </c>
      <c r="M1183" s="1">
        <f ca="1">IFERROR(__xludf.DUMMYFUNCTION("""COMPUTED_VALUE"""),686.8)</f>
        <v>686.8</v>
      </c>
    </row>
    <row r="1184" spans="1:13" x14ac:dyDescent="0.25">
      <c r="A1184" s="2">
        <f ca="1">IFERROR(__xludf.DUMMYFUNCTION("""COMPUTED_VALUE"""),45551.6666666666)</f>
        <v>45551.666666666599</v>
      </c>
      <c r="B1184" s="1">
        <f ca="1">IFERROR(__xludf.DUMMYFUNCTION("""COMPUTED_VALUE"""),216.32)</f>
        <v>216.32</v>
      </c>
      <c r="C1184" s="1">
        <f ca="1">IFERROR(__xludf.DUMMYFUNCTION("""COMPUTED_VALUE"""),430.59)</f>
        <v>430.59</v>
      </c>
      <c r="D1184" s="1">
        <f ca="1">IFERROR(__xludf.DUMMYFUNCTION("""COMPUTED_VALUE"""),186.49)</f>
        <v>186.49</v>
      </c>
      <c r="E1184" s="1">
        <f ca="1">IFERROR(__xludf.DUMMYFUNCTION("""COMPUTED_VALUE"""),119.1)</f>
        <v>119.1</v>
      </c>
      <c r="F1184" s="1">
        <f ca="1">IFERROR(__xludf.DUMMYFUNCTION("""COMPUTED_VALUE"""),524.62)</f>
        <v>524.62</v>
      </c>
      <c r="G1184" s="1">
        <f ca="1">IFERROR(__xludf.DUMMYFUNCTION("""COMPUTED_VALUE"""),158.37)</f>
        <v>158.37</v>
      </c>
      <c r="H1184" s="1">
        <f ca="1">IFERROR(__xludf.DUMMYFUNCTION("""COMPUTED_VALUE"""),230.29)</f>
        <v>230.29</v>
      </c>
      <c r="I1184" s="1">
        <f ca="1">IFERROR(__xludf.DUMMYFUNCTION("""COMPUTED_VALUE"""),177.36)</f>
        <v>177.36</v>
      </c>
      <c r="J1184" s="1">
        <f ca="1">IFERROR(__xludf.DUMMYFUNCTION("""COMPUTED_VALUE"""),916)</f>
        <v>916</v>
      </c>
      <c r="K1184" s="1">
        <f ca="1">IFERROR(__xludf.DUMMYFUNCTION("""COMPUTED_VALUE"""),167.69)</f>
        <v>167.69</v>
      </c>
      <c r="L1184" s="1">
        <f ca="1">IFERROR(__xludf.DUMMYFUNCTION("""COMPUTED_VALUE"""),536.87)</f>
        <v>536.87</v>
      </c>
      <c r="M1184" s="1">
        <f ca="1">IFERROR(__xludf.DUMMYFUNCTION("""COMPUTED_VALUE"""),697.06)</f>
        <v>697.06</v>
      </c>
    </row>
    <row r="1185" spans="1:13" x14ac:dyDescent="0.25">
      <c r="A1185" s="2">
        <f ca="1">IFERROR(__xludf.DUMMYFUNCTION("""COMPUTED_VALUE"""),45552.6666666666)</f>
        <v>45552.666666666599</v>
      </c>
      <c r="B1185" s="1">
        <f ca="1">IFERROR(__xludf.DUMMYFUNCTION("""COMPUTED_VALUE"""),216.79)</f>
        <v>216.79</v>
      </c>
      <c r="C1185" s="1">
        <f ca="1">IFERROR(__xludf.DUMMYFUNCTION("""COMPUTED_VALUE"""),431.34)</f>
        <v>431.34</v>
      </c>
      <c r="D1185" s="1">
        <f ca="1">IFERROR(__xludf.DUMMYFUNCTION("""COMPUTED_VALUE"""),184.89)</f>
        <v>184.89</v>
      </c>
      <c r="E1185" s="1">
        <f ca="1">IFERROR(__xludf.DUMMYFUNCTION("""COMPUTED_VALUE"""),116.78)</f>
        <v>116.78</v>
      </c>
      <c r="F1185" s="1">
        <f ca="1">IFERROR(__xludf.DUMMYFUNCTION("""COMPUTED_VALUE"""),533.28)</f>
        <v>533.28</v>
      </c>
      <c r="G1185" s="1">
        <f ca="1">IFERROR(__xludf.DUMMYFUNCTION("""COMPUTED_VALUE"""),158.99)</f>
        <v>158.99</v>
      </c>
      <c r="H1185" s="1">
        <f ca="1">IFERROR(__xludf.DUMMYFUNCTION("""COMPUTED_VALUE"""),226.78)</f>
        <v>226.78</v>
      </c>
      <c r="I1185" s="1">
        <f ca="1">IFERROR(__xludf.DUMMYFUNCTION("""COMPUTED_VALUE"""),177.21)</f>
        <v>177.21</v>
      </c>
      <c r="J1185" s="1">
        <f ca="1">IFERROR(__xludf.DUMMYFUNCTION("""COMPUTED_VALUE"""),907.87)</f>
        <v>907.87</v>
      </c>
      <c r="K1185" s="1">
        <f ca="1">IFERROR(__xludf.DUMMYFUNCTION("""COMPUTED_VALUE"""),164.02)</f>
        <v>164.02</v>
      </c>
      <c r="L1185" s="1">
        <f ca="1">IFERROR(__xludf.DUMMYFUNCTION("""COMPUTED_VALUE"""),521.5)</f>
        <v>521.5</v>
      </c>
      <c r="M1185" s="1">
        <f ca="1">IFERROR(__xludf.DUMMYFUNCTION("""COMPUTED_VALUE"""),696.5)</f>
        <v>696.5</v>
      </c>
    </row>
    <row r="1186" spans="1:13" x14ac:dyDescent="0.25">
      <c r="A1186" s="2">
        <f ca="1">IFERROR(__xludf.DUMMYFUNCTION("""COMPUTED_VALUE"""),45553.6666666666)</f>
        <v>45553.666666666599</v>
      </c>
      <c r="B1186" s="1">
        <f ca="1">IFERROR(__xludf.DUMMYFUNCTION("""COMPUTED_VALUE"""),220.69)</f>
        <v>220.69</v>
      </c>
      <c r="C1186" s="1">
        <f ca="1">IFERROR(__xludf.DUMMYFUNCTION("""COMPUTED_VALUE"""),435.15)</f>
        <v>435.15</v>
      </c>
      <c r="D1186" s="1">
        <f ca="1">IFERROR(__xludf.DUMMYFUNCTION("""COMPUTED_VALUE"""),186.88)</f>
        <v>186.88</v>
      </c>
      <c r="E1186" s="1">
        <f ca="1">IFERROR(__xludf.DUMMYFUNCTION("""COMPUTED_VALUE"""),115.59)</f>
        <v>115.59</v>
      </c>
      <c r="F1186" s="1">
        <f ca="1">IFERROR(__xludf.DUMMYFUNCTION("""COMPUTED_VALUE"""),536.32)</f>
        <v>536.32000000000005</v>
      </c>
      <c r="G1186" s="1">
        <f ca="1">IFERROR(__xludf.DUMMYFUNCTION("""COMPUTED_VALUE"""),160.28)</f>
        <v>160.28</v>
      </c>
      <c r="H1186" s="1">
        <f ca="1">IFERROR(__xludf.DUMMYFUNCTION("""COMPUTED_VALUE"""),227.87)</f>
        <v>227.87</v>
      </c>
      <c r="I1186" s="1">
        <f ca="1">IFERROR(__xludf.DUMMYFUNCTION("""COMPUTED_VALUE"""),176.87)</f>
        <v>176.87</v>
      </c>
      <c r="J1186" s="1">
        <f ca="1">IFERROR(__xludf.DUMMYFUNCTION("""COMPUTED_VALUE"""),897.27)</f>
        <v>897.27</v>
      </c>
      <c r="K1186" s="1">
        <f ca="1">IFERROR(__xludf.DUMMYFUNCTION("""COMPUTED_VALUE"""),162.47)</f>
        <v>162.47</v>
      </c>
      <c r="L1186" s="1">
        <f ca="1">IFERROR(__xludf.DUMMYFUNCTION("""COMPUTED_VALUE"""),515.03)</f>
        <v>515.03</v>
      </c>
      <c r="M1186" s="1">
        <f ca="1">IFERROR(__xludf.DUMMYFUNCTION("""COMPUTED_VALUE"""),706.91)</f>
        <v>706.91</v>
      </c>
    </row>
    <row r="1187" spans="1:13" x14ac:dyDescent="0.25">
      <c r="A1187" s="2">
        <f ca="1">IFERROR(__xludf.DUMMYFUNCTION("""COMPUTED_VALUE"""),45554.6666666666)</f>
        <v>45554.666666666599</v>
      </c>
      <c r="B1187" s="1">
        <f ca="1">IFERROR(__xludf.DUMMYFUNCTION("""COMPUTED_VALUE"""),228.87)</f>
        <v>228.87</v>
      </c>
      <c r="C1187" s="1">
        <f ca="1">IFERROR(__xludf.DUMMYFUNCTION("""COMPUTED_VALUE"""),430.81)</f>
        <v>430.81</v>
      </c>
      <c r="D1187" s="1">
        <f ca="1">IFERROR(__xludf.DUMMYFUNCTION("""COMPUTED_VALUE"""),186.43)</f>
        <v>186.43</v>
      </c>
      <c r="E1187" s="1">
        <f ca="1">IFERROR(__xludf.DUMMYFUNCTION("""COMPUTED_VALUE"""),113.37)</f>
        <v>113.37</v>
      </c>
      <c r="F1187" s="1">
        <f ca="1">IFERROR(__xludf.DUMMYFUNCTION("""COMPUTED_VALUE"""),537.95)</f>
        <v>537.95000000000005</v>
      </c>
      <c r="G1187" s="1">
        <f ca="1">IFERROR(__xludf.DUMMYFUNCTION("""COMPUTED_VALUE"""),160.81)</f>
        <v>160.81</v>
      </c>
      <c r="H1187" s="1">
        <f ca="1">IFERROR(__xludf.DUMMYFUNCTION("""COMPUTED_VALUE"""),227.2)</f>
        <v>227.2</v>
      </c>
      <c r="I1187" s="1">
        <f ca="1">IFERROR(__xludf.DUMMYFUNCTION("""COMPUTED_VALUE"""),175.21)</f>
        <v>175.21</v>
      </c>
      <c r="J1187" s="1">
        <f ca="1">IFERROR(__xludf.DUMMYFUNCTION("""COMPUTED_VALUE"""),892.52)</f>
        <v>892.52</v>
      </c>
      <c r="K1187" s="1">
        <f ca="1">IFERROR(__xludf.DUMMYFUNCTION("""COMPUTED_VALUE"""),161.67)</f>
        <v>161.66999999999999</v>
      </c>
      <c r="L1187" s="1">
        <f ca="1">IFERROR(__xludf.DUMMYFUNCTION("""COMPUTED_VALUE"""),508.13)</f>
        <v>508.13</v>
      </c>
      <c r="M1187" s="1">
        <f ca="1">IFERROR(__xludf.DUMMYFUNCTION("""COMPUTED_VALUE"""),690.47)</f>
        <v>690.47</v>
      </c>
    </row>
    <row r="1188" spans="1:13" x14ac:dyDescent="0.25">
      <c r="A1188" s="2">
        <f ca="1">IFERROR(__xludf.DUMMYFUNCTION("""COMPUTED_VALUE"""),45555.6666666666)</f>
        <v>45555.666666666599</v>
      </c>
      <c r="B1188" s="1">
        <f ca="1">IFERROR(__xludf.DUMMYFUNCTION("""COMPUTED_VALUE"""),228.2)</f>
        <v>228.2</v>
      </c>
      <c r="C1188" s="1">
        <f ca="1">IFERROR(__xludf.DUMMYFUNCTION("""COMPUTED_VALUE"""),438.69)</f>
        <v>438.69</v>
      </c>
      <c r="D1188" s="1">
        <f ca="1">IFERROR(__xludf.DUMMYFUNCTION("""COMPUTED_VALUE"""),189.87)</f>
        <v>189.87</v>
      </c>
      <c r="E1188" s="1">
        <f ca="1">IFERROR(__xludf.DUMMYFUNCTION("""COMPUTED_VALUE"""),117.87)</f>
        <v>117.87</v>
      </c>
      <c r="F1188" s="1">
        <f ca="1">IFERROR(__xludf.DUMMYFUNCTION("""COMPUTED_VALUE"""),559.1)</f>
        <v>559.1</v>
      </c>
      <c r="G1188" s="1">
        <f ca="1">IFERROR(__xludf.DUMMYFUNCTION("""COMPUTED_VALUE"""),163.24)</f>
        <v>163.24</v>
      </c>
      <c r="H1188" s="1">
        <f ca="1">IFERROR(__xludf.DUMMYFUNCTION("""COMPUTED_VALUE"""),243.92)</f>
        <v>243.92</v>
      </c>
      <c r="I1188" s="1">
        <f ca="1">IFERROR(__xludf.DUMMYFUNCTION("""COMPUTED_VALUE"""),174.66)</f>
        <v>174.66</v>
      </c>
      <c r="J1188" s="1">
        <f ca="1">IFERROR(__xludf.DUMMYFUNCTION("""COMPUTED_VALUE"""),900.74)</f>
        <v>900.74</v>
      </c>
      <c r="K1188" s="1">
        <f ca="1">IFERROR(__xludf.DUMMYFUNCTION("""COMPUTED_VALUE"""),167.42)</f>
        <v>167.42</v>
      </c>
      <c r="L1188" s="1">
        <f ca="1">IFERROR(__xludf.DUMMYFUNCTION("""COMPUTED_VALUE"""),526.44)</f>
        <v>526.44000000000005</v>
      </c>
      <c r="M1188" s="1">
        <f ca="1">IFERROR(__xludf.DUMMYFUNCTION("""COMPUTED_VALUE"""),704.32)</f>
        <v>704.32</v>
      </c>
    </row>
    <row r="1189" spans="1:13" x14ac:dyDescent="0.25">
      <c r="A1189" s="2">
        <f ca="1">IFERROR(__xludf.DUMMYFUNCTION("""COMPUTED_VALUE"""),45558.6666666666)</f>
        <v>45558.666666666599</v>
      </c>
      <c r="B1189" s="1">
        <f ca="1">IFERROR(__xludf.DUMMYFUNCTION("""COMPUTED_VALUE"""),226.47)</f>
        <v>226.47</v>
      </c>
      <c r="C1189" s="1">
        <f ca="1">IFERROR(__xludf.DUMMYFUNCTION("""COMPUTED_VALUE"""),435.27)</f>
        <v>435.27</v>
      </c>
      <c r="D1189" s="1">
        <f ca="1">IFERROR(__xludf.DUMMYFUNCTION("""COMPUTED_VALUE"""),191.6)</f>
        <v>191.6</v>
      </c>
      <c r="E1189" s="1">
        <f ca="1">IFERROR(__xludf.DUMMYFUNCTION("""COMPUTED_VALUE"""),116)</f>
        <v>116</v>
      </c>
      <c r="F1189" s="1">
        <f ca="1">IFERROR(__xludf.DUMMYFUNCTION("""COMPUTED_VALUE"""),561.35)</f>
        <v>561.35</v>
      </c>
      <c r="G1189" s="1">
        <f ca="1">IFERROR(__xludf.DUMMYFUNCTION("""COMPUTED_VALUE"""),164.64)</f>
        <v>164.64</v>
      </c>
      <c r="H1189" s="1">
        <f ca="1">IFERROR(__xludf.DUMMYFUNCTION("""COMPUTED_VALUE"""),238.25)</f>
        <v>238.25</v>
      </c>
      <c r="I1189" s="1">
        <f ca="1">IFERROR(__xludf.DUMMYFUNCTION("""COMPUTED_VALUE"""),171.18)</f>
        <v>171.18</v>
      </c>
      <c r="J1189" s="1">
        <f ca="1">IFERROR(__xludf.DUMMYFUNCTION("""COMPUTED_VALUE"""),906.98)</f>
        <v>906.98</v>
      </c>
      <c r="K1189" s="1">
        <f ca="1">IFERROR(__xludf.DUMMYFUNCTION("""COMPUTED_VALUE"""),171.1)</f>
        <v>171.1</v>
      </c>
      <c r="L1189" s="1">
        <f ca="1">IFERROR(__xludf.DUMMYFUNCTION("""COMPUTED_VALUE"""),522.3)</f>
        <v>522.29999999999995</v>
      </c>
      <c r="M1189" s="1">
        <f ca="1">IFERROR(__xludf.DUMMYFUNCTION("""COMPUTED_VALUE"""),701.03)</f>
        <v>701.03</v>
      </c>
    </row>
    <row r="1190" spans="1:13" x14ac:dyDescent="0.25">
      <c r="A1190" s="2">
        <f ca="1">IFERROR(__xludf.DUMMYFUNCTION("""COMPUTED_VALUE"""),45559.6666666666)</f>
        <v>45559.666666666599</v>
      </c>
      <c r="B1190" s="1">
        <f ca="1">IFERROR(__xludf.DUMMYFUNCTION("""COMPUTED_VALUE"""),227.37)</f>
        <v>227.37</v>
      </c>
      <c r="C1190" s="1">
        <f ca="1">IFERROR(__xludf.DUMMYFUNCTION("""COMPUTED_VALUE"""),433.51)</f>
        <v>433.51</v>
      </c>
      <c r="D1190" s="1">
        <f ca="1">IFERROR(__xludf.DUMMYFUNCTION("""COMPUTED_VALUE"""),193.88)</f>
        <v>193.88</v>
      </c>
      <c r="E1190" s="1">
        <f ca="1">IFERROR(__xludf.DUMMYFUNCTION("""COMPUTED_VALUE"""),116.26)</f>
        <v>116.26</v>
      </c>
      <c r="F1190" s="1">
        <f ca="1">IFERROR(__xludf.DUMMYFUNCTION("""COMPUTED_VALUE"""),564.41)</f>
        <v>564.41</v>
      </c>
      <c r="G1190" s="1">
        <f ca="1">IFERROR(__xludf.DUMMYFUNCTION("""COMPUTED_VALUE"""),163.07)</f>
        <v>163.07</v>
      </c>
      <c r="H1190" s="1">
        <f ca="1">IFERROR(__xludf.DUMMYFUNCTION("""COMPUTED_VALUE"""),250)</f>
        <v>250</v>
      </c>
      <c r="I1190" s="1">
        <f ca="1">IFERROR(__xludf.DUMMYFUNCTION("""COMPUTED_VALUE"""),172.11)</f>
        <v>172.11</v>
      </c>
      <c r="J1190" s="1">
        <f ca="1">IFERROR(__xludf.DUMMYFUNCTION("""COMPUTED_VALUE"""),917.08)</f>
        <v>917.08</v>
      </c>
      <c r="K1190" s="1">
        <f ca="1">IFERROR(__xludf.DUMMYFUNCTION("""COMPUTED_VALUE"""),172.94)</f>
        <v>172.94</v>
      </c>
      <c r="L1190" s="1">
        <f ca="1">IFERROR(__xludf.DUMMYFUNCTION("""COMPUTED_VALUE"""),527.87)</f>
        <v>527.87</v>
      </c>
      <c r="M1190" s="1">
        <f ca="1">IFERROR(__xludf.DUMMYFUNCTION("""COMPUTED_VALUE"""),705.37)</f>
        <v>705.37</v>
      </c>
    </row>
    <row r="1191" spans="1:13" x14ac:dyDescent="0.25">
      <c r="A1191" s="2">
        <f ca="1">IFERROR(__xludf.DUMMYFUNCTION("""COMPUTED_VALUE"""),45560.6666666666)</f>
        <v>45560.666666666599</v>
      </c>
      <c r="B1191" s="1">
        <f ca="1">IFERROR(__xludf.DUMMYFUNCTION("""COMPUTED_VALUE"""),226.37)</f>
        <v>226.37</v>
      </c>
      <c r="C1191" s="1">
        <f ca="1">IFERROR(__xludf.DUMMYFUNCTION("""COMPUTED_VALUE"""),429.17)</f>
        <v>429.17</v>
      </c>
      <c r="D1191" s="1">
        <f ca="1">IFERROR(__xludf.DUMMYFUNCTION("""COMPUTED_VALUE"""),193.96)</f>
        <v>193.96</v>
      </c>
      <c r="E1191" s="1">
        <f ca="1">IFERROR(__xludf.DUMMYFUNCTION("""COMPUTED_VALUE"""),120.87)</f>
        <v>120.87</v>
      </c>
      <c r="F1191" s="1">
        <f ca="1">IFERROR(__xludf.DUMMYFUNCTION("""COMPUTED_VALUE"""),563.33)</f>
        <v>563.33000000000004</v>
      </c>
      <c r="G1191" s="1">
        <f ca="1">IFERROR(__xludf.DUMMYFUNCTION("""COMPUTED_VALUE"""),163.64)</f>
        <v>163.63999999999999</v>
      </c>
      <c r="H1191" s="1">
        <f ca="1">IFERROR(__xludf.DUMMYFUNCTION("""COMPUTED_VALUE"""),254.27)</f>
        <v>254.27</v>
      </c>
      <c r="I1191" s="1">
        <f ca="1">IFERROR(__xludf.DUMMYFUNCTION("""COMPUTED_VALUE"""),169.92)</f>
        <v>169.92</v>
      </c>
      <c r="J1191" s="1">
        <f ca="1">IFERROR(__xludf.DUMMYFUNCTION("""COMPUTED_VALUE"""),901.54)</f>
        <v>901.54</v>
      </c>
      <c r="K1191" s="1">
        <f ca="1">IFERROR(__xludf.DUMMYFUNCTION("""COMPUTED_VALUE"""),174.84)</f>
        <v>174.84</v>
      </c>
      <c r="L1191" s="1">
        <f ca="1">IFERROR(__xludf.DUMMYFUNCTION("""COMPUTED_VALUE"""),524.07)</f>
        <v>524.07000000000005</v>
      </c>
      <c r="M1191" s="1">
        <f ca="1">IFERROR(__xludf.DUMMYFUNCTION("""COMPUTED_VALUE"""),722.26)</f>
        <v>722.26</v>
      </c>
    </row>
    <row r="1192" spans="1:13" x14ac:dyDescent="0.25">
      <c r="A1192" s="2">
        <f ca="1">IFERROR(__xludf.DUMMYFUNCTION("""COMPUTED_VALUE"""),45561.6666666666)</f>
        <v>45561.666666666599</v>
      </c>
      <c r="B1192" s="1">
        <f ca="1">IFERROR(__xludf.DUMMYFUNCTION("""COMPUTED_VALUE"""),227.52)</f>
        <v>227.52</v>
      </c>
      <c r="C1192" s="1">
        <f ca="1">IFERROR(__xludf.DUMMYFUNCTION("""COMPUTED_VALUE"""),432.11)</f>
        <v>432.11</v>
      </c>
      <c r="D1192" s="1">
        <f ca="1">IFERROR(__xludf.DUMMYFUNCTION("""COMPUTED_VALUE"""),192.53)</f>
        <v>192.53</v>
      </c>
      <c r="E1192" s="1">
        <f ca="1">IFERROR(__xludf.DUMMYFUNCTION("""COMPUTED_VALUE"""),123.51)</f>
        <v>123.51</v>
      </c>
      <c r="F1192" s="1">
        <f ca="1">IFERROR(__xludf.DUMMYFUNCTION("""COMPUTED_VALUE"""),568.31)</f>
        <v>568.30999999999995</v>
      </c>
      <c r="G1192" s="1">
        <f ca="1">IFERROR(__xludf.DUMMYFUNCTION("""COMPUTED_VALUE"""),162.99)</f>
        <v>162.99</v>
      </c>
      <c r="H1192" s="1">
        <f ca="1">IFERROR(__xludf.DUMMYFUNCTION("""COMPUTED_VALUE"""),257.02)</f>
        <v>257.02</v>
      </c>
      <c r="I1192" s="1">
        <f ca="1">IFERROR(__xludf.DUMMYFUNCTION("""COMPUTED_VALUE"""),169.4)</f>
        <v>169.4</v>
      </c>
      <c r="J1192" s="1">
        <f ca="1">IFERROR(__xludf.DUMMYFUNCTION("""COMPUTED_VALUE"""),908.42)</f>
        <v>908.42</v>
      </c>
      <c r="K1192" s="1">
        <f ca="1">IFERROR(__xludf.DUMMYFUNCTION("""COMPUTED_VALUE"""),175.52)</f>
        <v>175.52</v>
      </c>
      <c r="L1192" s="1">
        <f ca="1">IFERROR(__xludf.DUMMYFUNCTION("""COMPUTED_VALUE"""),517.9)</f>
        <v>517.9</v>
      </c>
      <c r="M1192" s="1">
        <f ca="1">IFERROR(__xludf.DUMMYFUNCTION("""COMPUTED_VALUE"""),721.56)</f>
        <v>721.56</v>
      </c>
    </row>
    <row r="1193" spans="1:13" x14ac:dyDescent="0.25">
      <c r="A1193" s="2">
        <f ca="1">IFERROR(__xludf.DUMMYFUNCTION("""COMPUTED_VALUE"""),45562.6666666666)</f>
        <v>45562.666666666599</v>
      </c>
      <c r="B1193" s="1">
        <f ca="1">IFERROR(__xludf.DUMMYFUNCTION("""COMPUTED_VALUE"""),227.79)</f>
        <v>227.79</v>
      </c>
      <c r="C1193" s="1">
        <f ca="1">IFERROR(__xludf.DUMMYFUNCTION("""COMPUTED_VALUE"""),431.31)</f>
        <v>431.31</v>
      </c>
      <c r="D1193" s="1">
        <f ca="1">IFERROR(__xludf.DUMMYFUNCTION("""COMPUTED_VALUE"""),191.16)</f>
        <v>191.16</v>
      </c>
      <c r="E1193" s="1">
        <f ca="1">IFERROR(__xludf.DUMMYFUNCTION("""COMPUTED_VALUE"""),124.04)</f>
        <v>124.04</v>
      </c>
      <c r="F1193" s="1">
        <f ca="1">IFERROR(__xludf.DUMMYFUNCTION("""COMPUTED_VALUE"""),567.84)</f>
        <v>567.84</v>
      </c>
      <c r="G1193" s="1">
        <f ca="1">IFERROR(__xludf.DUMMYFUNCTION("""COMPUTED_VALUE"""),163.83)</f>
        <v>163.83000000000001</v>
      </c>
      <c r="H1193" s="1">
        <f ca="1">IFERROR(__xludf.DUMMYFUNCTION("""COMPUTED_VALUE"""),254.22)</f>
        <v>254.22</v>
      </c>
      <c r="I1193" s="1">
        <f ca="1">IFERROR(__xludf.DUMMYFUNCTION("""COMPUTED_VALUE"""),169.69)</f>
        <v>169.69</v>
      </c>
      <c r="J1193" s="1">
        <f ca="1">IFERROR(__xludf.DUMMYFUNCTION("""COMPUTED_VALUE"""),901.44)</f>
        <v>901.44</v>
      </c>
      <c r="K1193" s="1">
        <f ca="1">IFERROR(__xludf.DUMMYFUNCTION("""COMPUTED_VALUE"""),178.09)</f>
        <v>178.09</v>
      </c>
      <c r="L1193" s="1">
        <f ca="1">IFERROR(__xludf.DUMMYFUNCTION("""COMPUTED_VALUE"""),515.38)</f>
        <v>515.38</v>
      </c>
      <c r="M1193" s="1">
        <f ca="1">IFERROR(__xludf.DUMMYFUNCTION("""COMPUTED_VALUE"""),711.43)</f>
        <v>711.43</v>
      </c>
    </row>
    <row r="1194" spans="1:13" x14ac:dyDescent="0.25">
      <c r="A1194" s="2">
        <f ca="1">IFERROR(__xludf.DUMMYFUNCTION("""COMPUTED_VALUE"""),45565.6666666666)</f>
        <v>45565.666666666599</v>
      </c>
      <c r="B1194" s="1">
        <f ca="1">IFERROR(__xludf.DUMMYFUNCTION("""COMPUTED_VALUE"""),233)</f>
        <v>233</v>
      </c>
      <c r="C1194" s="1">
        <f ca="1">IFERROR(__xludf.DUMMYFUNCTION("""COMPUTED_VALUE"""),428.02)</f>
        <v>428.02</v>
      </c>
      <c r="D1194" s="1">
        <f ca="1">IFERROR(__xludf.DUMMYFUNCTION("""COMPUTED_VALUE"""),187.97)</f>
        <v>187.97</v>
      </c>
      <c r="E1194" s="1">
        <f ca="1">IFERROR(__xludf.DUMMYFUNCTION("""COMPUTED_VALUE"""),121.4)</f>
        <v>121.4</v>
      </c>
      <c r="F1194" s="1">
        <f ca="1">IFERROR(__xludf.DUMMYFUNCTION("""COMPUTED_VALUE"""),567.36)</f>
        <v>567.36</v>
      </c>
      <c r="G1194" s="1">
        <f ca="1">IFERROR(__xludf.DUMMYFUNCTION("""COMPUTED_VALUE"""),165.29)</f>
        <v>165.29</v>
      </c>
      <c r="H1194" s="1">
        <f ca="1">IFERROR(__xludf.DUMMYFUNCTION("""COMPUTED_VALUE"""),260.46)</f>
        <v>260.45999999999998</v>
      </c>
      <c r="I1194" s="1">
        <f ca="1">IFERROR(__xludf.DUMMYFUNCTION("""COMPUTED_VALUE"""),170)</f>
        <v>170</v>
      </c>
      <c r="J1194" s="1">
        <f ca="1">IFERROR(__xludf.DUMMYFUNCTION("""COMPUTED_VALUE"""),885.62)</f>
        <v>885.62</v>
      </c>
      <c r="K1194" s="1">
        <f ca="1">IFERROR(__xludf.DUMMYFUNCTION("""COMPUTED_VALUE"""),172.69)</f>
        <v>172.69</v>
      </c>
      <c r="L1194" s="1">
        <f ca="1">IFERROR(__xludf.DUMMYFUNCTION("""COMPUTED_VALUE"""),515.48)</f>
        <v>515.48</v>
      </c>
      <c r="M1194" s="1">
        <f ca="1">IFERROR(__xludf.DUMMYFUNCTION("""COMPUTED_VALUE"""),707.35)</f>
        <v>707.35</v>
      </c>
    </row>
    <row r="1195" spans="1:13" x14ac:dyDescent="0.25">
      <c r="A1195" s="2">
        <f ca="1">IFERROR(__xludf.DUMMYFUNCTION("""COMPUTED_VALUE"""),45566.6666666666)</f>
        <v>45566.666666666599</v>
      </c>
      <c r="B1195" s="1">
        <f ca="1">IFERROR(__xludf.DUMMYFUNCTION("""COMPUTED_VALUE"""),226.21)</f>
        <v>226.21</v>
      </c>
      <c r="C1195" s="1">
        <f ca="1">IFERROR(__xludf.DUMMYFUNCTION("""COMPUTED_VALUE"""),430.3)</f>
        <v>430.3</v>
      </c>
      <c r="D1195" s="1">
        <f ca="1">IFERROR(__xludf.DUMMYFUNCTION("""COMPUTED_VALUE"""),186.33)</f>
        <v>186.33</v>
      </c>
      <c r="E1195" s="1">
        <f ca="1">IFERROR(__xludf.DUMMYFUNCTION("""COMPUTED_VALUE"""),121.44)</f>
        <v>121.44</v>
      </c>
      <c r="F1195" s="1">
        <f ca="1">IFERROR(__xludf.DUMMYFUNCTION("""COMPUTED_VALUE"""),572.44)</f>
        <v>572.44000000000005</v>
      </c>
      <c r="G1195" s="1">
        <f ca="1">IFERROR(__xludf.DUMMYFUNCTION("""COMPUTED_VALUE"""),167.19)</f>
        <v>167.19</v>
      </c>
      <c r="H1195" s="1">
        <f ca="1">IFERROR(__xludf.DUMMYFUNCTION("""COMPUTED_VALUE"""),261.63)</f>
        <v>261.63</v>
      </c>
      <c r="I1195" s="1">
        <f ca="1">IFERROR(__xludf.DUMMYFUNCTION("""COMPUTED_VALUE"""),170.05)</f>
        <v>170.05</v>
      </c>
      <c r="J1195" s="1">
        <f ca="1">IFERROR(__xludf.DUMMYFUNCTION("""COMPUTED_VALUE"""),886.52)</f>
        <v>886.52</v>
      </c>
      <c r="K1195" s="1">
        <f ca="1">IFERROR(__xludf.DUMMYFUNCTION("""COMPUTED_VALUE"""),172.5)</f>
        <v>172.5</v>
      </c>
      <c r="L1195" s="1">
        <f ca="1">IFERROR(__xludf.DUMMYFUNCTION("""COMPUTED_VALUE"""),517.78)</f>
        <v>517.78</v>
      </c>
      <c r="M1195" s="1">
        <f ca="1">IFERROR(__xludf.DUMMYFUNCTION("""COMPUTED_VALUE"""),709.27)</f>
        <v>709.27</v>
      </c>
    </row>
    <row r="1196" spans="1:13" x14ac:dyDescent="0.25">
      <c r="A1196" s="2">
        <f ca="1">IFERROR(__xludf.DUMMYFUNCTION("""COMPUTED_VALUE"""),45567.6666666666)</f>
        <v>45567.666666666599</v>
      </c>
      <c r="B1196" s="1">
        <f ca="1">IFERROR(__xludf.DUMMYFUNCTION("""COMPUTED_VALUE"""),226.78)</f>
        <v>226.78</v>
      </c>
      <c r="C1196" s="1">
        <f ca="1">IFERROR(__xludf.DUMMYFUNCTION("""COMPUTED_VALUE"""),420.69)</f>
        <v>420.69</v>
      </c>
      <c r="D1196" s="1">
        <f ca="1">IFERROR(__xludf.DUMMYFUNCTION("""COMPUTED_VALUE"""),185.13)</f>
        <v>185.13</v>
      </c>
      <c r="E1196" s="1">
        <f ca="1">IFERROR(__xludf.DUMMYFUNCTION("""COMPUTED_VALUE"""),117)</f>
        <v>117</v>
      </c>
      <c r="F1196" s="1">
        <f ca="1">IFERROR(__xludf.DUMMYFUNCTION("""COMPUTED_VALUE"""),576.47)</f>
        <v>576.47</v>
      </c>
      <c r="G1196" s="1">
        <f ca="1">IFERROR(__xludf.DUMMYFUNCTION("""COMPUTED_VALUE"""),168.42)</f>
        <v>168.42</v>
      </c>
      <c r="H1196" s="1">
        <f ca="1">IFERROR(__xludf.DUMMYFUNCTION("""COMPUTED_VALUE"""),258.02)</f>
        <v>258.02</v>
      </c>
      <c r="I1196" s="1">
        <f ca="1">IFERROR(__xludf.DUMMYFUNCTION("""COMPUTED_VALUE"""),171.38)</f>
        <v>171.38</v>
      </c>
      <c r="J1196" s="1">
        <f ca="1">IFERROR(__xludf.DUMMYFUNCTION("""COMPUTED_VALUE"""),877.38)</f>
        <v>877.38</v>
      </c>
      <c r="K1196" s="1">
        <f ca="1">IFERROR(__xludf.DUMMYFUNCTION("""COMPUTED_VALUE"""),167.47)</f>
        <v>167.47</v>
      </c>
      <c r="L1196" s="1">
        <f ca="1">IFERROR(__xludf.DUMMYFUNCTION("""COMPUTED_VALUE"""),502.8)</f>
        <v>502.8</v>
      </c>
      <c r="M1196" s="1">
        <f ca="1">IFERROR(__xludf.DUMMYFUNCTION("""COMPUTED_VALUE"""),706.13)</f>
        <v>706.13</v>
      </c>
    </row>
    <row r="1197" spans="1:13" x14ac:dyDescent="0.25">
      <c r="A1197" s="2">
        <f ca="1">IFERROR(__xludf.DUMMYFUNCTION("""COMPUTED_VALUE"""),45568.6666666666)</f>
        <v>45568.666666666599</v>
      </c>
      <c r="B1197" s="1">
        <f ca="1">IFERROR(__xludf.DUMMYFUNCTION("""COMPUTED_VALUE"""),225.67)</f>
        <v>225.67</v>
      </c>
      <c r="C1197" s="1">
        <f ca="1">IFERROR(__xludf.DUMMYFUNCTION("""COMPUTED_VALUE"""),417.13)</f>
        <v>417.13</v>
      </c>
      <c r="D1197" s="1">
        <f ca="1">IFERROR(__xludf.DUMMYFUNCTION("""COMPUTED_VALUE"""),184.76)</f>
        <v>184.76</v>
      </c>
      <c r="E1197" s="1">
        <f ca="1">IFERROR(__xludf.DUMMYFUNCTION("""COMPUTED_VALUE"""),118.85)</f>
        <v>118.85</v>
      </c>
      <c r="F1197" s="1">
        <f ca="1">IFERROR(__xludf.DUMMYFUNCTION("""COMPUTED_VALUE"""),572.81)</f>
        <v>572.80999999999995</v>
      </c>
      <c r="G1197" s="1">
        <f ca="1">IFERROR(__xludf.DUMMYFUNCTION("""COMPUTED_VALUE"""),167.31)</f>
        <v>167.31</v>
      </c>
      <c r="H1197" s="1">
        <f ca="1">IFERROR(__xludf.DUMMYFUNCTION("""COMPUTED_VALUE"""),249.02)</f>
        <v>249.02</v>
      </c>
      <c r="I1197" s="1">
        <f ca="1">IFERROR(__xludf.DUMMYFUNCTION("""COMPUTED_VALUE"""),169.55)</f>
        <v>169.55</v>
      </c>
      <c r="J1197" s="1">
        <f ca="1">IFERROR(__xludf.DUMMYFUNCTION("""COMPUTED_VALUE"""),878.53)</f>
        <v>878.53</v>
      </c>
      <c r="K1197" s="1">
        <f ca="1">IFERROR(__xludf.DUMMYFUNCTION("""COMPUTED_VALUE"""),170.66)</f>
        <v>170.66</v>
      </c>
      <c r="L1197" s="1">
        <f ca="1">IFERROR(__xludf.DUMMYFUNCTION("""COMPUTED_VALUE"""),505.81)</f>
        <v>505.81</v>
      </c>
      <c r="M1197" s="1">
        <f ca="1">IFERROR(__xludf.DUMMYFUNCTION("""COMPUTED_VALUE"""),711.09)</f>
        <v>711.09</v>
      </c>
    </row>
    <row r="1198" spans="1:13" x14ac:dyDescent="0.25">
      <c r="A1198" s="2">
        <f ca="1">IFERROR(__xludf.DUMMYFUNCTION("""COMPUTED_VALUE"""),45569.6666666666)</f>
        <v>45569.666666666599</v>
      </c>
      <c r="B1198" s="1">
        <f ca="1">IFERROR(__xludf.DUMMYFUNCTION("""COMPUTED_VALUE"""),226.8)</f>
        <v>226.8</v>
      </c>
      <c r="C1198" s="1">
        <f ca="1">IFERROR(__xludf.DUMMYFUNCTION("""COMPUTED_VALUE"""),416.54)</f>
        <v>416.54</v>
      </c>
      <c r="D1198" s="1">
        <f ca="1">IFERROR(__xludf.DUMMYFUNCTION("""COMPUTED_VALUE"""),181.96)</f>
        <v>181.96</v>
      </c>
      <c r="E1198" s="1">
        <f ca="1">IFERROR(__xludf.DUMMYFUNCTION("""COMPUTED_VALUE"""),122.85)</f>
        <v>122.85</v>
      </c>
      <c r="F1198" s="1">
        <f ca="1">IFERROR(__xludf.DUMMYFUNCTION("""COMPUTED_VALUE"""),582.77)</f>
        <v>582.77</v>
      </c>
      <c r="G1198" s="1">
        <f ca="1">IFERROR(__xludf.DUMMYFUNCTION("""COMPUTED_VALUE"""),167.21)</f>
        <v>167.21</v>
      </c>
      <c r="H1198" s="1">
        <f ca="1">IFERROR(__xludf.DUMMYFUNCTION("""COMPUTED_VALUE"""),240.66)</f>
        <v>240.66</v>
      </c>
      <c r="I1198" s="1">
        <f ca="1">IFERROR(__xludf.DUMMYFUNCTION("""COMPUTED_VALUE"""),168.53)</f>
        <v>168.53</v>
      </c>
      <c r="J1198" s="1">
        <f ca="1">IFERROR(__xludf.DUMMYFUNCTION("""COMPUTED_VALUE"""),875.67)</f>
        <v>875.67</v>
      </c>
      <c r="K1198" s="1">
        <f ca="1">IFERROR(__xludf.DUMMYFUNCTION("""COMPUTED_VALUE"""),171.89)</f>
        <v>171.89</v>
      </c>
      <c r="L1198" s="1">
        <f ca="1">IFERROR(__xludf.DUMMYFUNCTION("""COMPUTED_VALUE"""),503.8)</f>
        <v>503.8</v>
      </c>
      <c r="M1198" s="1">
        <f ca="1">IFERROR(__xludf.DUMMYFUNCTION("""COMPUTED_VALUE"""),706.8)</f>
        <v>706.8</v>
      </c>
    </row>
    <row r="1199" spans="1:13" x14ac:dyDescent="0.25">
      <c r="A1199" s="2">
        <f ca="1">IFERROR(__xludf.DUMMYFUNCTION("""COMPUTED_VALUE"""),45572.6666666666)</f>
        <v>45572.666666666599</v>
      </c>
      <c r="B1199" s="1">
        <f ca="1">IFERROR(__xludf.DUMMYFUNCTION("""COMPUTED_VALUE"""),221.69)</f>
        <v>221.69</v>
      </c>
      <c r="C1199" s="1">
        <f ca="1">IFERROR(__xludf.DUMMYFUNCTION("""COMPUTED_VALUE"""),416.06)</f>
        <v>416.06</v>
      </c>
      <c r="D1199" s="1">
        <f ca="1">IFERROR(__xludf.DUMMYFUNCTION("""COMPUTED_VALUE"""),186.51)</f>
        <v>186.51</v>
      </c>
      <c r="E1199" s="1">
        <f ca="1">IFERROR(__xludf.DUMMYFUNCTION("""COMPUTED_VALUE"""),124.92)</f>
        <v>124.92</v>
      </c>
      <c r="F1199" s="1">
        <f ca="1">IFERROR(__xludf.DUMMYFUNCTION("""COMPUTED_VALUE"""),595.94)</f>
        <v>595.94000000000005</v>
      </c>
      <c r="G1199" s="1">
        <f ca="1">IFERROR(__xludf.DUMMYFUNCTION("""COMPUTED_VALUE"""),168.56)</f>
        <v>168.56</v>
      </c>
      <c r="H1199" s="1">
        <f ca="1">IFERROR(__xludf.DUMMYFUNCTION("""COMPUTED_VALUE"""),250.08)</f>
        <v>250.08</v>
      </c>
      <c r="I1199" s="1">
        <f ca="1">IFERROR(__xludf.DUMMYFUNCTION("""COMPUTED_VALUE"""),167.97)</f>
        <v>167.97</v>
      </c>
      <c r="J1199" s="1">
        <f ca="1">IFERROR(__xludf.DUMMYFUNCTION("""COMPUTED_VALUE"""),883.11)</f>
        <v>883.11</v>
      </c>
      <c r="K1199" s="1">
        <f ca="1">IFERROR(__xludf.DUMMYFUNCTION("""COMPUTED_VALUE"""),176.64)</f>
        <v>176.64</v>
      </c>
      <c r="L1199" s="1">
        <f ca="1">IFERROR(__xludf.DUMMYFUNCTION("""COMPUTED_VALUE"""),507.22)</f>
        <v>507.22</v>
      </c>
      <c r="M1199" s="1">
        <f ca="1">IFERROR(__xludf.DUMMYFUNCTION("""COMPUTED_VALUE"""),719.7)</f>
        <v>719.7</v>
      </c>
    </row>
    <row r="1200" spans="1:13" x14ac:dyDescent="0.25">
      <c r="A1200" s="2">
        <f ca="1">IFERROR(__xludf.DUMMYFUNCTION("""COMPUTED_VALUE"""),45573.6666666666)</f>
        <v>45573.666666666599</v>
      </c>
      <c r="B1200" s="1">
        <f ca="1">IFERROR(__xludf.DUMMYFUNCTION("""COMPUTED_VALUE"""),225.77)</f>
        <v>225.77</v>
      </c>
      <c r="C1200" s="1">
        <f ca="1">IFERROR(__xludf.DUMMYFUNCTION("""COMPUTED_VALUE"""),409.54)</f>
        <v>409.54</v>
      </c>
      <c r="D1200" s="1">
        <f ca="1">IFERROR(__xludf.DUMMYFUNCTION("""COMPUTED_VALUE"""),180.8)</f>
        <v>180.8</v>
      </c>
      <c r="E1200" s="1">
        <f ca="1">IFERROR(__xludf.DUMMYFUNCTION("""COMPUTED_VALUE"""),127.72)</f>
        <v>127.72</v>
      </c>
      <c r="F1200" s="1">
        <f ca="1">IFERROR(__xludf.DUMMYFUNCTION("""COMPUTED_VALUE"""),584.78)</f>
        <v>584.78</v>
      </c>
      <c r="G1200" s="1">
        <f ca="1">IFERROR(__xludf.DUMMYFUNCTION("""COMPUTED_VALUE"""),164.39)</f>
        <v>164.39</v>
      </c>
      <c r="H1200" s="1">
        <f ca="1">IFERROR(__xludf.DUMMYFUNCTION("""COMPUTED_VALUE"""),240.83)</f>
        <v>240.83</v>
      </c>
      <c r="I1200" s="1">
        <f ca="1">IFERROR(__xludf.DUMMYFUNCTION("""COMPUTED_VALUE"""),167.21)</f>
        <v>167.21</v>
      </c>
      <c r="J1200" s="1">
        <f ca="1">IFERROR(__xludf.DUMMYFUNCTION("""COMPUTED_VALUE"""),873.59)</f>
        <v>873.59</v>
      </c>
      <c r="K1200" s="1">
        <f ca="1">IFERROR(__xludf.DUMMYFUNCTION("""COMPUTED_VALUE"""),175.08)</f>
        <v>175.08</v>
      </c>
      <c r="L1200" s="1">
        <f ca="1">IFERROR(__xludf.DUMMYFUNCTION("""COMPUTED_VALUE"""),487.3)</f>
        <v>487.3</v>
      </c>
      <c r="M1200" s="1">
        <f ca="1">IFERROR(__xludf.DUMMYFUNCTION("""COMPUTED_VALUE"""),701.92)</f>
        <v>701.92</v>
      </c>
    </row>
    <row r="1201" spans="1:13" x14ac:dyDescent="0.25">
      <c r="A1201" s="2">
        <f ca="1">IFERROR(__xludf.DUMMYFUNCTION("""COMPUTED_VALUE"""),45574.6666666666)</f>
        <v>45574.666666666599</v>
      </c>
      <c r="B1201" s="1">
        <f ca="1">IFERROR(__xludf.DUMMYFUNCTION("""COMPUTED_VALUE"""),229.54)</f>
        <v>229.54</v>
      </c>
      <c r="C1201" s="1">
        <f ca="1">IFERROR(__xludf.DUMMYFUNCTION("""COMPUTED_VALUE"""),414.71)</f>
        <v>414.71</v>
      </c>
      <c r="D1201" s="1">
        <f ca="1">IFERROR(__xludf.DUMMYFUNCTION("""COMPUTED_VALUE"""),182.72)</f>
        <v>182.72</v>
      </c>
      <c r="E1201" s="1">
        <f ca="1">IFERROR(__xludf.DUMMYFUNCTION("""COMPUTED_VALUE"""),132.89)</f>
        <v>132.88999999999999</v>
      </c>
      <c r="F1201" s="1">
        <f ca="1">IFERROR(__xludf.DUMMYFUNCTION("""COMPUTED_VALUE"""),592.89)</f>
        <v>592.89</v>
      </c>
      <c r="G1201" s="1">
        <f ca="1">IFERROR(__xludf.DUMMYFUNCTION("""COMPUTED_VALUE"""),165.7)</f>
        <v>165.7</v>
      </c>
      <c r="H1201" s="1">
        <f ca="1">IFERROR(__xludf.DUMMYFUNCTION("""COMPUTED_VALUE"""),244.5)</f>
        <v>244.5</v>
      </c>
      <c r="I1201" s="1">
        <f ca="1">IFERROR(__xludf.DUMMYFUNCTION("""COMPUTED_VALUE"""),170.42)</f>
        <v>170.42</v>
      </c>
      <c r="J1201" s="1">
        <f ca="1">IFERROR(__xludf.DUMMYFUNCTION("""COMPUTED_VALUE"""),890.42)</f>
        <v>890.42</v>
      </c>
      <c r="K1201" s="1">
        <f ca="1">IFERROR(__xludf.DUMMYFUNCTION("""COMPUTED_VALUE"""),180.73)</f>
        <v>180.73</v>
      </c>
      <c r="L1201" s="1">
        <f ca="1">IFERROR(__xludf.DUMMYFUNCTION("""COMPUTED_VALUE"""),496.24)</f>
        <v>496.24</v>
      </c>
      <c r="M1201" s="1">
        <f ca="1">IFERROR(__xludf.DUMMYFUNCTION("""COMPUTED_VALUE"""),721.76)</f>
        <v>721.76</v>
      </c>
    </row>
    <row r="1202" spans="1:13" x14ac:dyDescent="0.25">
      <c r="A1202" s="2">
        <f ca="1">IFERROR(__xludf.DUMMYFUNCTION("""COMPUTED_VALUE"""),45575.6666666666)</f>
        <v>45575.666666666599</v>
      </c>
      <c r="B1202" s="1">
        <f ca="1">IFERROR(__xludf.DUMMYFUNCTION("""COMPUTED_VALUE"""),229.04)</f>
        <v>229.04</v>
      </c>
      <c r="C1202" s="1">
        <f ca="1">IFERROR(__xludf.DUMMYFUNCTION("""COMPUTED_VALUE"""),417.46)</f>
        <v>417.46</v>
      </c>
      <c r="D1202" s="1">
        <f ca="1">IFERROR(__xludf.DUMMYFUNCTION("""COMPUTED_VALUE"""),185.17)</f>
        <v>185.17</v>
      </c>
      <c r="E1202" s="1">
        <f ca="1">IFERROR(__xludf.DUMMYFUNCTION("""COMPUTED_VALUE"""),132.65)</f>
        <v>132.65</v>
      </c>
      <c r="F1202" s="1">
        <f ca="1">IFERROR(__xludf.DUMMYFUNCTION("""COMPUTED_VALUE"""),590.51)</f>
        <v>590.51</v>
      </c>
      <c r="G1202" s="1">
        <f ca="1">IFERROR(__xludf.DUMMYFUNCTION("""COMPUTED_VALUE"""),163.06)</f>
        <v>163.06</v>
      </c>
      <c r="H1202" s="1">
        <f ca="1">IFERROR(__xludf.DUMMYFUNCTION("""COMPUTED_VALUE"""),241.05)</f>
        <v>241.05</v>
      </c>
      <c r="I1202" s="1">
        <f ca="1">IFERROR(__xludf.DUMMYFUNCTION("""COMPUTED_VALUE"""),172.54)</f>
        <v>172.54</v>
      </c>
      <c r="J1202" s="1">
        <f ca="1">IFERROR(__xludf.DUMMYFUNCTION("""COMPUTED_VALUE"""),909.1)</f>
        <v>909.1</v>
      </c>
      <c r="K1202" s="1">
        <f ca="1">IFERROR(__xludf.DUMMYFUNCTION("""COMPUTED_VALUE"""),185.95)</f>
        <v>185.95</v>
      </c>
      <c r="L1202" s="1">
        <f ca="1">IFERROR(__xludf.DUMMYFUNCTION("""COMPUTED_VALUE"""),494.08)</f>
        <v>494.08</v>
      </c>
      <c r="M1202" s="1">
        <f ca="1">IFERROR(__xludf.DUMMYFUNCTION("""COMPUTED_VALUE"""),727.43)</f>
        <v>727.43</v>
      </c>
    </row>
    <row r="1203" spans="1:13" x14ac:dyDescent="0.25">
      <c r="A1203" s="2">
        <f ca="1">IFERROR(__xludf.DUMMYFUNCTION("""COMPUTED_VALUE"""),45576.6666666666)</f>
        <v>45576.666666666599</v>
      </c>
      <c r="B1203" s="1">
        <f ca="1">IFERROR(__xludf.DUMMYFUNCTION("""COMPUTED_VALUE"""),227.55)</f>
        <v>227.55</v>
      </c>
      <c r="C1203" s="1">
        <f ca="1">IFERROR(__xludf.DUMMYFUNCTION("""COMPUTED_VALUE"""),415.84)</f>
        <v>415.84</v>
      </c>
      <c r="D1203" s="1">
        <f ca="1">IFERROR(__xludf.DUMMYFUNCTION("""COMPUTED_VALUE"""),186.65)</f>
        <v>186.65</v>
      </c>
      <c r="E1203" s="1">
        <f ca="1">IFERROR(__xludf.DUMMYFUNCTION("""COMPUTED_VALUE"""),134.81)</f>
        <v>134.81</v>
      </c>
      <c r="F1203" s="1">
        <f ca="1">IFERROR(__xludf.DUMMYFUNCTION("""COMPUTED_VALUE"""),583.83)</f>
        <v>583.83000000000004</v>
      </c>
      <c r="G1203" s="1">
        <f ca="1">IFERROR(__xludf.DUMMYFUNCTION("""COMPUTED_VALUE"""),163.18)</f>
        <v>163.18</v>
      </c>
      <c r="H1203" s="1">
        <f ca="1">IFERROR(__xludf.DUMMYFUNCTION("""COMPUTED_VALUE"""),238.77)</f>
        <v>238.77</v>
      </c>
      <c r="I1203" s="1">
        <f ca="1">IFERROR(__xludf.DUMMYFUNCTION("""COMPUTED_VALUE"""),172.99)</f>
        <v>172.99</v>
      </c>
      <c r="J1203" s="1">
        <f ca="1">IFERROR(__xludf.DUMMYFUNCTION("""COMPUTED_VALUE"""),893.63)</f>
        <v>893.63</v>
      </c>
      <c r="K1203" s="1">
        <f ca="1">IFERROR(__xludf.DUMMYFUNCTION("""COMPUTED_VALUE"""),185.69)</f>
        <v>185.69</v>
      </c>
      <c r="L1203" s="1">
        <f ca="1">IFERROR(__xludf.DUMMYFUNCTION("""COMPUTED_VALUE"""),503.57)</f>
        <v>503.57</v>
      </c>
      <c r="M1203" s="1">
        <f ca="1">IFERROR(__xludf.DUMMYFUNCTION("""COMPUTED_VALUE"""),730.29)</f>
        <v>730.29</v>
      </c>
    </row>
    <row r="1204" spans="1:13" x14ac:dyDescent="0.25">
      <c r="A1204" s="2">
        <f ca="1">IFERROR(__xludf.DUMMYFUNCTION("""COMPUTED_VALUE"""),45579.6666666666)</f>
        <v>45579.666666666599</v>
      </c>
      <c r="B1204" s="1">
        <f ca="1">IFERROR(__xludf.DUMMYFUNCTION("""COMPUTED_VALUE"""),231.3)</f>
        <v>231.3</v>
      </c>
      <c r="C1204" s="1">
        <f ca="1">IFERROR(__xludf.DUMMYFUNCTION("""COMPUTED_VALUE"""),416.32)</f>
        <v>416.32</v>
      </c>
      <c r="D1204" s="1">
        <f ca="1">IFERROR(__xludf.DUMMYFUNCTION("""COMPUTED_VALUE"""),188.82)</f>
        <v>188.82</v>
      </c>
      <c r="E1204" s="1">
        <f ca="1">IFERROR(__xludf.DUMMYFUNCTION("""COMPUTED_VALUE"""),134.8)</f>
        <v>134.80000000000001</v>
      </c>
      <c r="F1204" s="1">
        <f ca="1">IFERROR(__xludf.DUMMYFUNCTION("""COMPUTED_VALUE"""),589.95)</f>
        <v>589.95000000000005</v>
      </c>
      <c r="G1204" s="1">
        <f ca="1">IFERROR(__xludf.DUMMYFUNCTION("""COMPUTED_VALUE"""),164.52)</f>
        <v>164.52</v>
      </c>
      <c r="H1204" s="1">
        <f ca="1">IFERROR(__xludf.DUMMYFUNCTION("""COMPUTED_VALUE"""),217.8)</f>
        <v>217.8</v>
      </c>
      <c r="I1204" s="1">
        <f ca="1">IFERROR(__xludf.DUMMYFUNCTION("""COMPUTED_VALUE"""),174.81)</f>
        <v>174.81</v>
      </c>
      <c r="J1204" s="1">
        <f ca="1">IFERROR(__xludf.DUMMYFUNCTION("""COMPUTED_VALUE"""),889.03)</f>
        <v>889.03</v>
      </c>
      <c r="K1204" s="1">
        <f ca="1">IFERROR(__xludf.DUMMYFUNCTION("""COMPUTED_VALUE"""),181.48)</f>
        <v>181.48</v>
      </c>
      <c r="L1204" s="1">
        <f ca="1">IFERROR(__xludf.DUMMYFUNCTION("""COMPUTED_VALUE"""),495.42)</f>
        <v>495.42</v>
      </c>
      <c r="M1204" s="1">
        <f ca="1">IFERROR(__xludf.DUMMYFUNCTION("""COMPUTED_VALUE"""),722.79)</f>
        <v>722.79</v>
      </c>
    </row>
    <row r="1205" spans="1:13" x14ac:dyDescent="0.25">
      <c r="A1205" s="2">
        <f ca="1">IFERROR(__xludf.DUMMYFUNCTION("""COMPUTED_VALUE"""),45580.6666666666)</f>
        <v>45580.666666666599</v>
      </c>
      <c r="B1205" s="1">
        <f ca="1">IFERROR(__xludf.DUMMYFUNCTION("""COMPUTED_VALUE"""),231.3)</f>
        <v>231.3</v>
      </c>
      <c r="C1205" s="1">
        <f ca="1">IFERROR(__xludf.DUMMYFUNCTION("""COMPUTED_VALUE"""),419.14)</f>
        <v>419.14</v>
      </c>
      <c r="D1205" s="1">
        <f ca="1">IFERROR(__xludf.DUMMYFUNCTION("""COMPUTED_VALUE"""),187.54)</f>
        <v>187.54</v>
      </c>
      <c r="E1205" s="1">
        <f ca="1">IFERROR(__xludf.DUMMYFUNCTION("""COMPUTED_VALUE"""),138.07)</f>
        <v>138.07</v>
      </c>
      <c r="F1205" s="1">
        <f ca="1">IFERROR(__xludf.DUMMYFUNCTION("""COMPUTED_VALUE"""),590.42)</f>
        <v>590.41999999999996</v>
      </c>
      <c r="G1205" s="1">
        <f ca="1">IFERROR(__xludf.DUMMYFUNCTION("""COMPUTED_VALUE"""),166.35)</f>
        <v>166.35</v>
      </c>
      <c r="H1205" s="1">
        <f ca="1">IFERROR(__xludf.DUMMYFUNCTION("""COMPUTED_VALUE"""),219.16)</f>
        <v>219.16</v>
      </c>
      <c r="I1205" s="1">
        <f ca="1">IFERROR(__xludf.DUMMYFUNCTION("""COMPUTED_VALUE"""),176.1)</f>
        <v>176.1</v>
      </c>
      <c r="J1205" s="1">
        <f ca="1">IFERROR(__xludf.DUMMYFUNCTION("""COMPUTED_VALUE"""),889.76)</f>
        <v>889.76</v>
      </c>
      <c r="K1205" s="1">
        <f ca="1">IFERROR(__xludf.DUMMYFUNCTION("""COMPUTED_VALUE"""),182.31)</f>
        <v>182.31</v>
      </c>
      <c r="L1205" s="1">
        <f ca="1">IFERROR(__xludf.DUMMYFUNCTION("""COMPUTED_VALUE"""),509.65)</f>
        <v>509.65</v>
      </c>
      <c r="M1205" s="1">
        <f ca="1">IFERROR(__xludf.DUMMYFUNCTION("""COMPUTED_VALUE"""),713)</f>
        <v>713</v>
      </c>
    </row>
    <row r="1206" spans="1:13" x14ac:dyDescent="0.25">
      <c r="A1206" s="2">
        <f ca="1">IFERROR(__xludf.DUMMYFUNCTION("""COMPUTED_VALUE"""),45581.6666666666)</f>
        <v>45581.666666666599</v>
      </c>
      <c r="B1206" s="1">
        <f ca="1">IFERROR(__xludf.DUMMYFUNCTION("""COMPUTED_VALUE"""),231.78)</f>
        <v>231.78</v>
      </c>
      <c r="C1206" s="1">
        <f ca="1">IFERROR(__xludf.DUMMYFUNCTION("""COMPUTED_VALUE"""),418.74)</f>
        <v>418.74</v>
      </c>
      <c r="D1206" s="1">
        <f ca="1">IFERROR(__xludf.DUMMYFUNCTION("""COMPUTED_VALUE"""),187.69)</f>
        <v>187.69</v>
      </c>
      <c r="E1206" s="1">
        <f ca="1">IFERROR(__xludf.DUMMYFUNCTION("""COMPUTED_VALUE"""),131.6)</f>
        <v>131.6</v>
      </c>
      <c r="F1206" s="1">
        <f ca="1">IFERROR(__xludf.DUMMYFUNCTION("""COMPUTED_VALUE"""),586.27)</f>
        <v>586.27</v>
      </c>
      <c r="G1206" s="1">
        <f ca="1">IFERROR(__xludf.DUMMYFUNCTION("""COMPUTED_VALUE"""),166.9)</f>
        <v>166.9</v>
      </c>
      <c r="H1206" s="1">
        <f ca="1">IFERROR(__xludf.DUMMYFUNCTION("""COMPUTED_VALUE"""),219.57)</f>
        <v>219.57</v>
      </c>
      <c r="I1206" s="1">
        <f ca="1">IFERROR(__xludf.DUMMYFUNCTION("""COMPUTED_VALUE"""),175.9)</f>
        <v>175.9</v>
      </c>
      <c r="J1206" s="1">
        <f ca="1">IFERROR(__xludf.DUMMYFUNCTION("""COMPUTED_VALUE"""),894.61)</f>
        <v>894.61</v>
      </c>
      <c r="K1206" s="1">
        <f ca="1">IFERROR(__xludf.DUMMYFUNCTION("""COMPUTED_VALUE"""),175.98)</f>
        <v>175.98</v>
      </c>
      <c r="L1206" s="1">
        <f ca="1">IFERROR(__xludf.DUMMYFUNCTION("""COMPUTED_VALUE"""),508.03)</f>
        <v>508.03</v>
      </c>
      <c r="M1206" s="1">
        <f ca="1">IFERROR(__xludf.DUMMYFUNCTION("""COMPUTED_VALUE"""),705.98)</f>
        <v>705.98</v>
      </c>
    </row>
    <row r="1207" spans="1:13" x14ac:dyDescent="0.25">
      <c r="A1207" s="2">
        <f ca="1">IFERROR(__xludf.DUMMYFUNCTION("""COMPUTED_VALUE"""),45582.6666666666)</f>
        <v>45582.666666666599</v>
      </c>
      <c r="B1207" s="1">
        <f ca="1">IFERROR(__xludf.DUMMYFUNCTION("""COMPUTED_VALUE"""),232.15)</f>
        <v>232.15</v>
      </c>
      <c r="C1207" s="1">
        <f ca="1">IFERROR(__xludf.DUMMYFUNCTION("""COMPUTED_VALUE"""),416.12)</f>
        <v>416.12</v>
      </c>
      <c r="D1207" s="1">
        <f ca="1">IFERROR(__xludf.DUMMYFUNCTION("""COMPUTED_VALUE"""),186.89)</f>
        <v>186.89</v>
      </c>
      <c r="E1207" s="1">
        <f ca="1">IFERROR(__xludf.DUMMYFUNCTION("""COMPUTED_VALUE"""),135.72)</f>
        <v>135.72</v>
      </c>
      <c r="F1207" s="1">
        <f ca="1">IFERROR(__xludf.DUMMYFUNCTION("""COMPUTED_VALUE"""),576.79)</f>
        <v>576.79</v>
      </c>
      <c r="G1207" s="1">
        <f ca="1">IFERROR(__xludf.DUMMYFUNCTION("""COMPUTED_VALUE"""),166.74)</f>
        <v>166.74</v>
      </c>
      <c r="H1207" s="1">
        <f ca="1">IFERROR(__xludf.DUMMYFUNCTION("""COMPUTED_VALUE"""),221.33)</f>
        <v>221.33</v>
      </c>
      <c r="I1207" s="1">
        <f ca="1">IFERROR(__xludf.DUMMYFUNCTION("""COMPUTED_VALUE"""),174.48)</f>
        <v>174.48</v>
      </c>
      <c r="J1207" s="1">
        <f ca="1">IFERROR(__xludf.DUMMYFUNCTION("""COMPUTED_VALUE"""),887.38)</f>
        <v>887.38</v>
      </c>
      <c r="K1207" s="1">
        <f ca="1">IFERROR(__xludf.DUMMYFUNCTION("""COMPUTED_VALUE"""),176.82)</f>
        <v>176.82</v>
      </c>
      <c r="L1207" s="1">
        <f ca="1">IFERROR(__xludf.DUMMYFUNCTION("""COMPUTED_VALUE"""),502.54)</f>
        <v>502.54</v>
      </c>
      <c r="M1207" s="1">
        <f ca="1">IFERROR(__xludf.DUMMYFUNCTION("""COMPUTED_VALUE"""),702)</f>
        <v>702</v>
      </c>
    </row>
    <row r="1208" spans="1:13" x14ac:dyDescent="0.25">
      <c r="A1208" s="2">
        <f ca="1">IFERROR(__xludf.DUMMYFUNCTION("""COMPUTED_VALUE"""),45583.6666666666)</f>
        <v>45583.666666666599</v>
      </c>
      <c r="B1208" s="1">
        <f ca="1">IFERROR(__xludf.DUMMYFUNCTION("""COMPUTED_VALUE"""),235)</f>
        <v>235</v>
      </c>
      <c r="C1208" s="1">
        <f ca="1">IFERROR(__xludf.DUMMYFUNCTION("""COMPUTED_VALUE"""),416.72)</f>
        <v>416.72</v>
      </c>
      <c r="D1208" s="1">
        <f ca="1">IFERROR(__xludf.DUMMYFUNCTION("""COMPUTED_VALUE"""),187.53)</f>
        <v>187.53</v>
      </c>
      <c r="E1208" s="1">
        <f ca="1">IFERROR(__xludf.DUMMYFUNCTION("""COMPUTED_VALUE"""),136.93)</f>
        <v>136.93</v>
      </c>
      <c r="F1208" s="1">
        <f ca="1">IFERROR(__xludf.DUMMYFUNCTION("""COMPUTED_VALUE"""),576.93)</f>
        <v>576.92999999999995</v>
      </c>
      <c r="G1208" s="1">
        <f ca="1">IFERROR(__xludf.DUMMYFUNCTION("""COMPUTED_VALUE"""),164.51)</f>
        <v>164.51</v>
      </c>
      <c r="H1208" s="1">
        <f ca="1">IFERROR(__xludf.DUMMYFUNCTION("""COMPUTED_VALUE"""),220.89)</f>
        <v>220.89</v>
      </c>
      <c r="I1208" s="1">
        <f ca="1">IFERROR(__xludf.DUMMYFUNCTION("""COMPUTED_VALUE"""),174.67)</f>
        <v>174.67</v>
      </c>
      <c r="J1208" s="1">
        <f ca="1">IFERROR(__xludf.DUMMYFUNCTION("""COMPUTED_VALUE"""),885.29)</f>
        <v>885.29</v>
      </c>
      <c r="K1208" s="1">
        <f ca="1">IFERROR(__xludf.DUMMYFUNCTION("""COMPUTED_VALUE"""),181.53)</f>
        <v>181.53</v>
      </c>
      <c r="L1208" s="1">
        <f ca="1">IFERROR(__xludf.DUMMYFUNCTION("""COMPUTED_VALUE"""),496.83)</f>
        <v>496.83</v>
      </c>
      <c r="M1208" s="1">
        <f ca="1">IFERROR(__xludf.DUMMYFUNCTION("""COMPUTED_VALUE"""),687.65)</f>
        <v>687.65</v>
      </c>
    </row>
    <row r="1209" spans="1:13" x14ac:dyDescent="0.25">
      <c r="A1209" s="2">
        <f ca="1">IFERROR(__xludf.DUMMYFUNCTION("""COMPUTED_VALUE"""),45586.6666666666)</f>
        <v>45586.666666666599</v>
      </c>
      <c r="B1209" s="1">
        <f ca="1">IFERROR(__xludf.DUMMYFUNCTION("""COMPUTED_VALUE"""),236.48)</f>
        <v>236.48</v>
      </c>
      <c r="C1209" s="1">
        <f ca="1">IFERROR(__xludf.DUMMYFUNCTION("""COMPUTED_VALUE"""),418.16)</f>
        <v>418.16</v>
      </c>
      <c r="D1209" s="1">
        <f ca="1">IFERROR(__xludf.DUMMYFUNCTION("""COMPUTED_VALUE"""),188.99)</f>
        <v>188.99</v>
      </c>
      <c r="E1209" s="1">
        <f ca="1">IFERROR(__xludf.DUMMYFUNCTION("""COMPUTED_VALUE"""),138)</f>
        <v>138</v>
      </c>
      <c r="F1209" s="1">
        <f ca="1">IFERROR(__xludf.DUMMYFUNCTION("""COMPUTED_VALUE"""),576.47)</f>
        <v>576.47</v>
      </c>
      <c r="G1209" s="1">
        <f ca="1">IFERROR(__xludf.DUMMYFUNCTION("""COMPUTED_VALUE"""),165.05)</f>
        <v>165.05</v>
      </c>
      <c r="H1209" s="1">
        <f ca="1">IFERROR(__xludf.DUMMYFUNCTION("""COMPUTED_VALUE"""),220.7)</f>
        <v>220.7</v>
      </c>
      <c r="I1209" s="1">
        <f ca="1">IFERROR(__xludf.DUMMYFUNCTION("""COMPUTED_VALUE"""),175.06)</f>
        <v>175.06</v>
      </c>
      <c r="J1209" s="1">
        <f ca="1">IFERROR(__xludf.DUMMYFUNCTION("""COMPUTED_VALUE"""),889.56)</f>
        <v>889.56</v>
      </c>
      <c r="K1209" s="1">
        <f ca="1">IFERROR(__xludf.DUMMYFUNCTION("""COMPUTED_VALUE"""),179.89)</f>
        <v>179.89</v>
      </c>
      <c r="L1209" s="1">
        <f ca="1">IFERROR(__xludf.DUMMYFUNCTION("""COMPUTED_VALUE"""),494.9)</f>
        <v>494.9</v>
      </c>
      <c r="M1209" s="1">
        <f ca="1">IFERROR(__xludf.DUMMYFUNCTION("""COMPUTED_VALUE"""),763.89)</f>
        <v>763.89</v>
      </c>
    </row>
    <row r="1210" spans="1:13" x14ac:dyDescent="0.25">
      <c r="A1210" s="2">
        <f ca="1">IFERROR(__xludf.DUMMYFUNCTION("""COMPUTED_VALUE"""),45587.6666666666)</f>
        <v>45587.666666666599</v>
      </c>
      <c r="B1210" s="1">
        <f ca="1">IFERROR(__xludf.DUMMYFUNCTION("""COMPUTED_VALUE"""),235.86)</f>
        <v>235.86</v>
      </c>
      <c r="C1210" s="1">
        <f ca="1">IFERROR(__xludf.DUMMYFUNCTION("""COMPUTED_VALUE"""),418.78)</f>
        <v>418.78</v>
      </c>
      <c r="D1210" s="1">
        <f ca="1">IFERROR(__xludf.DUMMYFUNCTION("""COMPUTED_VALUE"""),189.07)</f>
        <v>189.07</v>
      </c>
      <c r="E1210" s="1">
        <f ca="1">IFERROR(__xludf.DUMMYFUNCTION("""COMPUTED_VALUE"""),143.71)</f>
        <v>143.71</v>
      </c>
      <c r="F1210" s="1">
        <f ca="1">IFERROR(__xludf.DUMMYFUNCTION("""COMPUTED_VALUE"""),575.16)</f>
        <v>575.16</v>
      </c>
      <c r="G1210" s="1">
        <f ca="1">IFERROR(__xludf.DUMMYFUNCTION("""COMPUTED_VALUE"""),165.8)</f>
        <v>165.8</v>
      </c>
      <c r="H1210" s="1">
        <f ca="1">IFERROR(__xludf.DUMMYFUNCTION("""COMPUTED_VALUE"""),218.85)</f>
        <v>218.85</v>
      </c>
      <c r="I1210" s="1">
        <f ca="1">IFERROR(__xludf.DUMMYFUNCTION("""COMPUTED_VALUE"""),175.01)</f>
        <v>175.01</v>
      </c>
      <c r="J1210" s="1">
        <f ca="1">IFERROR(__xludf.DUMMYFUNCTION("""COMPUTED_VALUE"""),886.77)</f>
        <v>886.77</v>
      </c>
      <c r="K1210" s="1">
        <f ca="1">IFERROR(__xludf.DUMMYFUNCTION("""COMPUTED_VALUE"""),179.99)</f>
        <v>179.99</v>
      </c>
      <c r="L1210" s="1">
        <f ca="1">IFERROR(__xludf.DUMMYFUNCTION("""COMPUTED_VALUE"""),497.71)</f>
        <v>497.71</v>
      </c>
      <c r="M1210" s="1">
        <f ca="1">IFERROR(__xludf.DUMMYFUNCTION("""COMPUTED_VALUE"""),772.07)</f>
        <v>772.07</v>
      </c>
    </row>
    <row r="1211" spans="1:13" x14ac:dyDescent="0.25">
      <c r="A1211" s="2">
        <f ca="1">IFERROR(__xludf.DUMMYFUNCTION("""COMPUTED_VALUE"""),45588.6666666666)</f>
        <v>45588.666666666599</v>
      </c>
      <c r="B1211" s="1">
        <f ca="1">IFERROR(__xludf.DUMMYFUNCTION("""COMPUTED_VALUE"""),230.76)</f>
        <v>230.76</v>
      </c>
      <c r="C1211" s="1">
        <f ca="1">IFERROR(__xludf.DUMMYFUNCTION("""COMPUTED_VALUE"""),427.51)</f>
        <v>427.51</v>
      </c>
      <c r="D1211" s="1">
        <f ca="1">IFERROR(__xludf.DUMMYFUNCTION("""COMPUTED_VALUE"""),189.7)</f>
        <v>189.7</v>
      </c>
      <c r="E1211" s="1">
        <f ca="1">IFERROR(__xludf.DUMMYFUNCTION("""COMPUTED_VALUE"""),143.59)</f>
        <v>143.59</v>
      </c>
      <c r="F1211" s="1">
        <f ca="1">IFERROR(__xludf.DUMMYFUNCTION("""COMPUTED_VALUE"""),582.01)</f>
        <v>582.01</v>
      </c>
      <c r="G1211" s="1">
        <f ca="1">IFERROR(__xludf.DUMMYFUNCTION("""COMPUTED_VALUE"""),166.82)</f>
        <v>166.82</v>
      </c>
      <c r="H1211" s="1">
        <f ca="1">IFERROR(__xludf.DUMMYFUNCTION("""COMPUTED_VALUE"""),217.97)</f>
        <v>217.97</v>
      </c>
      <c r="I1211" s="1">
        <f ca="1">IFERROR(__xludf.DUMMYFUNCTION("""COMPUTED_VALUE"""),174.37)</f>
        <v>174.37</v>
      </c>
      <c r="J1211" s="1">
        <f ca="1">IFERROR(__xludf.DUMMYFUNCTION("""COMPUTED_VALUE"""),893.49)</f>
        <v>893.49</v>
      </c>
      <c r="K1211" s="1">
        <f ca="1">IFERROR(__xludf.DUMMYFUNCTION("""COMPUTED_VALUE"""),179.38)</f>
        <v>179.38</v>
      </c>
      <c r="L1211" s="1">
        <f ca="1">IFERROR(__xludf.DUMMYFUNCTION("""COMPUTED_VALUE"""),493.11)</f>
        <v>493.11</v>
      </c>
      <c r="M1211" s="1">
        <f ca="1">IFERROR(__xludf.DUMMYFUNCTION("""COMPUTED_VALUE"""),764.24)</f>
        <v>764.24</v>
      </c>
    </row>
    <row r="1212" spans="1:13" x14ac:dyDescent="0.25">
      <c r="A1212" s="2">
        <f ca="1">IFERROR(__xludf.DUMMYFUNCTION("""COMPUTED_VALUE"""),45589.6666666666)</f>
        <v>45589.666666666599</v>
      </c>
      <c r="B1212" s="1">
        <f ca="1">IFERROR(__xludf.DUMMYFUNCTION("""COMPUTED_VALUE"""),230.57)</f>
        <v>230.57</v>
      </c>
      <c r="C1212" s="1">
        <f ca="1">IFERROR(__xludf.DUMMYFUNCTION("""COMPUTED_VALUE"""),424.6)</f>
        <v>424.6</v>
      </c>
      <c r="D1212" s="1">
        <f ca="1">IFERROR(__xludf.DUMMYFUNCTION("""COMPUTED_VALUE"""),184.71)</f>
        <v>184.71</v>
      </c>
      <c r="E1212" s="1">
        <f ca="1">IFERROR(__xludf.DUMMYFUNCTION("""COMPUTED_VALUE"""),139.56)</f>
        <v>139.56</v>
      </c>
      <c r="F1212" s="1">
        <f ca="1">IFERROR(__xludf.DUMMYFUNCTION("""COMPUTED_VALUE"""),563.69)</f>
        <v>563.69000000000005</v>
      </c>
      <c r="G1212" s="1">
        <f ca="1">IFERROR(__xludf.DUMMYFUNCTION("""COMPUTED_VALUE"""),164.48)</f>
        <v>164.48</v>
      </c>
      <c r="H1212" s="1">
        <f ca="1">IFERROR(__xludf.DUMMYFUNCTION("""COMPUTED_VALUE"""),213.65)</f>
        <v>213.65</v>
      </c>
      <c r="I1212" s="1">
        <f ca="1">IFERROR(__xludf.DUMMYFUNCTION("""COMPUTED_VALUE"""),172.95)</f>
        <v>172.95</v>
      </c>
      <c r="J1212" s="1">
        <f ca="1">IFERROR(__xludf.DUMMYFUNCTION("""COMPUTED_VALUE"""),899.17)</f>
        <v>899.17</v>
      </c>
      <c r="K1212" s="1">
        <f ca="1">IFERROR(__xludf.DUMMYFUNCTION("""COMPUTED_VALUE"""),173.51)</f>
        <v>173.51</v>
      </c>
      <c r="L1212" s="1">
        <f ca="1">IFERROR(__xludf.DUMMYFUNCTION("""COMPUTED_VALUE"""),485.03)</f>
        <v>485.03</v>
      </c>
      <c r="M1212" s="1">
        <f ca="1">IFERROR(__xludf.DUMMYFUNCTION("""COMPUTED_VALUE"""),749.29)</f>
        <v>749.29</v>
      </c>
    </row>
    <row r="1213" spans="1:13" x14ac:dyDescent="0.25">
      <c r="A1213" s="2">
        <f ca="1">IFERROR(__xludf.DUMMYFUNCTION("""COMPUTED_VALUE"""),45590.6666666666)</f>
        <v>45590.666666666599</v>
      </c>
      <c r="B1213" s="1">
        <f ca="1">IFERROR(__xludf.DUMMYFUNCTION("""COMPUTED_VALUE"""),231.41)</f>
        <v>231.41</v>
      </c>
      <c r="C1213" s="1">
        <f ca="1">IFERROR(__xludf.DUMMYFUNCTION("""COMPUTED_VALUE"""),424.73)</f>
        <v>424.73</v>
      </c>
      <c r="D1213" s="1">
        <f ca="1">IFERROR(__xludf.DUMMYFUNCTION("""COMPUTED_VALUE"""),186.38)</f>
        <v>186.38</v>
      </c>
      <c r="E1213" s="1">
        <f ca="1">IFERROR(__xludf.DUMMYFUNCTION("""COMPUTED_VALUE"""),140.41)</f>
        <v>140.41</v>
      </c>
      <c r="F1213" s="1">
        <f ca="1">IFERROR(__xludf.DUMMYFUNCTION("""COMPUTED_VALUE"""),567.78)</f>
        <v>567.78</v>
      </c>
      <c r="G1213" s="1">
        <f ca="1">IFERROR(__xludf.DUMMYFUNCTION("""COMPUTED_VALUE"""),164.53)</f>
        <v>164.53</v>
      </c>
      <c r="H1213" s="1">
        <f ca="1">IFERROR(__xludf.DUMMYFUNCTION("""COMPUTED_VALUE"""),260.48)</f>
        <v>260.48</v>
      </c>
      <c r="I1213" s="1">
        <f ca="1">IFERROR(__xludf.DUMMYFUNCTION("""COMPUTED_VALUE"""),172.16)</f>
        <v>172.16</v>
      </c>
      <c r="J1213" s="1">
        <f ca="1">IFERROR(__xludf.DUMMYFUNCTION("""COMPUTED_VALUE"""),893.42)</f>
        <v>893.42</v>
      </c>
      <c r="K1213" s="1">
        <f ca="1">IFERROR(__xludf.DUMMYFUNCTION("""COMPUTED_VALUE"""),171.35)</f>
        <v>171.35</v>
      </c>
      <c r="L1213" s="1">
        <f ca="1">IFERROR(__xludf.DUMMYFUNCTION("""COMPUTED_VALUE"""),482.87)</f>
        <v>482.87</v>
      </c>
      <c r="M1213" s="1">
        <f ca="1">IFERROR(__xludf.DUMMYFUNCTION("""COMPUTED_VALUE"""),754.55)</f>
        <v>754.55</v>
      </c>
    </row>
    <row r="1214" spans="1:13" x14ac:dyDescent="0.25">
      <c r="A1214" s="2">
        <f ca="1">IFERROR(__xludf.DUMMYFUNCTION("""COMPUTED_VALUE"""),45593.6666666666)</f>
        <v>45593.666666666599</v>
      </c>
      <c r="B1214" s="1">
        <f ca="1">IFERROR(__xludf.DUMMYFUNCTION("""COMPUTED_VALUE"""),233.4)</f>
        <v>233.4</v>
      </c>
      <c r="C1214" s="1">
        <f ca="1">IFERROR(__xludf.DUMMYFUNCTION("""COMPUTED_VALUE"""),428.15)</f>
        <v>428.15</v>
      </c>
      <c r="D1214" s="1">
        <f ca="1">IFERROR(__xludf.DUMMYFUNCTION("""COMPUTED_VALUE"""),187.83)</f>
        <v>187.83</v>
      </c>
      <c r="E1214" s="1">
        <f ca="1">IFERROR(__xludf.DUMMYFUNCTION("""COMPUTED_VALUE"""),141.54)</f>
        <v>141.54</v>
      </c>
      <c r="F1214" s="1">
        <f ca="1">IFERROR(__xludf.DUMMYFUNCTION("""COMPUTED_VALUE"""),573.25)</f>
        <v>573.25</v>
      </c>
      <c r="G1214" s="1">
        <f ca="1">IFERROR(__xludf.DUMMYFUNCTION("""COMPUTED_VALUE"""),166.99)</f>
        <v>166.99</v>
      </c>
      <c r="H1214" s="1">
        <f ca="1">IFERROR(__xludf.DUMMYFUNCTION("""COMPUTED_VALUE"""),269.19)</f>
        <v>269.19</v>
      </c>
      <c r="I1214" s="1">
        <f ca="1">IFERROR(__xludf.DUMMYFUNCTION("""COMPUTED_VALUE"""),171.79)</f>
        <v>171.79</v>
      </c>
      <c r="J1214" s="1">
        <f ca="1">IFERROR(__xludf.DUMMYFUNCTION("""COMPUTED_VALUE"""),891.22)</f>
        <v>891.22</v>
      </c>
      <c r="K1214" s="1">
        <f ca="1">IFERROR(__xludf.DUMMYFUNCTION("""COMPUTED_VALUE"""),173)</f>
        <v>173</v>
      </c>
      <c r="L1214" s="1">
        <f ca="1">IFERROR(__xludf.DUMMYFUNCTION("""COMPUTED_VALUE"""),483.72)</f>
        <v>483.72</v>
      </c>
      <c r="M1214" s="1">
        <f ca="1">IFERROR(__xludf.DUMMYFUNCTION("""COMPUTED_VALUE"""),754.68)</f>
        <v>754.68</v>
      </c>
    </row>
    <row r="1215" spans="1:13" x14ac:dyDescent="0.25">
      <c r="A1215" s="2">
        <f ca="1">IFERROR(__xludf.DUMMYFUNCTION("""COMPUTED_VALUE"""),45595.6666666666)</f>
        <v>45595.666666666599</v>
      </c>
      <c r="B1215" s="1">
        <f ca="1">IFERROR(__xludf.DUMMYFUNCTION("""COMPUTED_VALUE"""),230.1)</f>
        <v>230.1</v>
      </c>
      <c r="C1215" s="1">
        <f ca="1">IFERROR(__xludf.DUMMYFUNCTION("""COMPUTED_VALUE"""),426.59)</f>
        <v>426.59</v>
      </c>
      <c r="D1215" s="1">
        <f ca="1">IFERROR(__xludf.DUMMYFUNCTION("""COMPUTED_VALUE"""),188.39)</f>
        <v>188.39</v>
      </c>
      <c r="E1215" s="1">
        <f ca="1">IFERROR(__xludf.DUMMYFUNCTION("""COMPUTED_VALUE"""),140.52)</f>
        <v>140.52000000000001</v>
      </c>
      <c r="F1215" s="1">
        <f ca="1">IFERROR(__xludf.DUMMYFUNCTION("""COMPUTED_VALUE"""),578.16)</f>
        <v>578.16</v>
      </c>
      <c r="G1215" s="1">
        <f ca="1">IFERROR(__xludf.DUMMYFUNCTION("""COMPUTED_VALUE"""),168.34)</f>
        <v>168.34</v>
      </c>
      <c r="H1215" s="1">
        <f ca="1">IFERROR(__xludf.DUMMYFUNCTION("""COMPUTED_VALUE"""),262.51)</f>
        <v>262.51</v>
      </c>
      <c r="I1215" s="1">
        <f ca="1">IFERROR(__xludf.DUMMYFUNCTION("""COMPUTED_VALUE"""),169.84)</f>
        <v>169.84</v>
      </c>
      <c r="J1215" s="1">
        <f ca="1">IFERROR(__xludf.DUMMYFUNCTION("""COMPUTED_VALUE"""),890.96)</f>
        <v>890.96</v>
      </c>
      <c r="K1215" s="1">
        <f ca="1">IFERROR(__xludf.DUMMYFUNCTION("""COMPUTED_VALUE"""),172.02)</f>
        <v>172.02</v>
      </c>
      <c r="L1215" s="1">
        <f ca="1">IFERROR(__xludf.DUMMYFUNCTION("""COMPUTED_VALUE"""),481.04)</f>
        <v>481.04</v>
      </c>
      <c r="M1215" s="1">
        <f ca="1">IFERROR(__xludf.DUMMYFUNCTION("""COMPUTED_VALUE"""),749.12)</f>
        <v>749.12</v>
      </c>
    </row>
    <row r="1216" spans="1:13" x14ac:dyDescent="0.25">
      <c r="A1216" s="2">
        <f ca="1">IFERROR(__xludf.DUMMYFUNCTION("""COMPUTED_VALUE"""),45596.6666666666)</f>
        <v>45596.666666666599</v>
      </c>
      <c r="B1216" s="1">
        <f ca="1">IFERROR(__xludf.DUMMYFUNCTION("""COMPUTED_VALUE"""),225.91)</f>
        <v>225.91</v>
      </c>
      <c r="C1216" s="1">
        <f ca="1">IFERROR(__xludf.DUMMYFUNCTION("""COMPUTED_VALUE"""),431.95)</f>
        <v>431.95</v>
      </c>
      <c r="D1216" s="1">
        <f ca="1">IFERROR(__xludf.DUMMYFUNCTION("""COMPUTED_VALUE"""),190.83)</f>
        <v>190.83</v>
      </c>
      <c r="E1216" s="1">
        <f ca="1">IFERROR(__xludf.DUMMYFUNCTION("""COMPUTED_VALUE"""),141.25)</f>
        <v>141.25</v>
      </c>
      <c r="F1216" s="1">
        <f ca="1">IFERROR(__xludf.DUMMYFUNCTION("""COMPUTED_VALUE"""),593.28)</f>
        <v>593.28</v>
      </c>
      <c r="G1216" s="1">
        <f ca="1">IFERROR(__xludf.DUMMYFUNCTION("""COMPUTED_VALUE"""),171.14)</f>
        <v>171.14</v>
      </c>
      <c r="H1216" s="1">
        <f ca="1">IFERROR(__xludf.DUMMYFUNCTION("""COMPUTED_VALUE"""),259.52)</f>
        <v>259.52</v>
      </c>
      <c r="I1216" s="1">
        <f ca="1">IFERROR(__xludf.DUMMYFUNCTION("""COMPUTED_VALUE"""),167.5)</f>
        <v>167.5</v>
      </c>
      <c r="J1216" s="1">
        <f ca="1">IFERROR(__xludf.DUMMYFUNCTION("""COMPUTED_VALUE"""),886.99)</f>
        <v>886.99</v>
      </c>
      <c r="K1216" s="1">
        <f ca="1">IFERROR(__xludf.DUMMYFUNCTION("""COMPUTED_VALUE"""),179.24)</f>
        <v>179.24</v>
      </c>
      <c r="L1216" s="1">
        <f ca="1">IFERROR(__xludf.DUMMYFUNCTION("""COMPUTED_VALUE"""),485.39)</f>
        <v>485.39</v>
      </c>
      <c r="M1216" s="1">
        <f ca="1">IFERROR(__xludf.DUMMYFUNCTION("""COMPUTED_VALUE"""),759.44)</f>
        <v>759.44</v>
      </c>
    </row>
    <row r="1217" spans="1:13" x14ac:dyDescent="0.25">
      <c r="A1217" s="2">
        <f ca="1">IFERROR(__xludf.DUMMYFUNCTION("""COMPUTED_VALUE"""),45597.6666666666)</f>
        <v>45597.666666666599</v>
      </c>
      <c r="B1217" s="1">
        <f ca="1">IFERROR(__xludf.DUMMYFUNCTION("""COMPUTED_VALUE"""),222.91)</f>
        <v>222.91</v>
      </c>
      <c r="C1217" s="1">
        <f ca="1">IFERROR(__xludf.DUMMYFUNCTION("""COMPUTED_VALUE"""),432.53)</f>
        <v>432.53</v>
      </c>
      <c r="D1217" s="1">
        <f ca="1">IFERROR(__xludf.DUMMYFUNCTION("""COMPUTED_VALUE"""),192.73)</f>
        <v>192.73</v>
      </c>
      <c r="E1217" s="1">
        <f ca="1">IFERROR(__xludf.DUMMYFUNCTION("""COMPUTED_VALUE"""),139.34)</f>
        <v>139.34</v>
      </c>
      <c r="F1217" s="1">
        <f ca="1">IFERROR(__xludf.DUMMYFUNCTION("""COMPUTED_VALUE"""),591.8)</f>
        <v>591.79999999999995</v>
      </c>
      <c r="G1217" s="1">
        <f ca="1">IFERROR(__xludf.DUMMYFUNCTION("""COMPUTED_VALUE"""),176.14)</f>
        <v>176.14</v>
      </c>
      <c r="H1217" s="1">
        <f ca="1">IFERROR(__xludf.DUMMYFUNCTION("""COMPUTED_VALUE"""),257.55)</f>
        <v>257.55</v>
      </c>
      <c r="I1217" s="1">
        <f ca="1">IFERROR(__xludf.DUMMYFUNCTION("""COMPUTED_VALUE"""),166.21)</f>
        <v>166.21</v>
      </c>
      <c r="J1217" s="1">
        <f ca="1">IFERROR(__xludf.DUMMYFUNCTION("""COMPUTED_VALUE"""),879.09)</f>
        <v>879.09</v>
      </c>
      <c r="K1217" s="1">
        <f ca="1">IFERROR(__xludf.DUMMYFUNCTION("""COMPUTED_VALUE"""),176.64)</f>
        <v>176.64</v>
      </c>
      <c r="L1217" s="1">
        <f ca="1">IFERROR(__xludf.DUMMYFUNCTION("""COMPUTED_VALUE"""),486.68)</f>
        <v>486.68</v>
      </c>
      <c r="M1217" s="1">
        <f ca="1">IFERROR(__xludf.DUMMYFUNCTION("""COMPUTED_VALUE"""),753.74)</f>
        <v>753.74</v>
      </c>
    </row>
    <row r="1218" spans="1:13" x14ac:dyDescent="0.25">
      <c r="A1218" s="2">
        <f ca="1">IFERROR(__xludf.DUMMYFUNCTION("""COMPUTED_VALUE"""),45600.6666666666)</f>
        <v>45600.666666666599</v>
      </c>
      <c r="B1218" s="1">
        <f ca="1">IFERROR(__xludf.DUMMYFUNCTION("""COMPUTED_VALUE"""),222.01)</f>
        <v>222.01</v>
      </c>
      <c r="C1218" s="1">
        <f ca="1">IFERROR(__xludf.DUMMYFUNCTION("""COMPUTED_VALUE"""),406.35)</f>
        <v>406.35</v>
      </c>
      <c r="D1218" s="1">
        <f ca="1">IFERROR(__xludf.DUMMYFUNCTION("""COMPUTED_VALUE"""),186.4)</f>
        <v>186.4</v>
      </c>
      <c r="E1218" s="1">
        <f ca="1">IFERROR(__xludf.DUMMYFUNCTION("""COMPUTED_VALUE"""),132.76)</f>
        <v>132.76</v>
      </c>
      <c r="F1218" s="1">
        <f ca="1">IFERROR(__xludf.DUMMYFUNCTION("""COMPUTED_VALUE"""),567.58)</f>
        <v>567.58000000000004</v>
      </c>
      <c r="G1218" s="1">
        <f ca="1">IFERROR(__xludf.DUMMYFUNCTION("""COMPUTED_VALUE"""),172.69)</f>
        <v>172.69</v>
      </c>
      <c r="H1218" s="1">
        <f ca="1">IFERROR(__xludf.DUMMYFUNCTION("""COMPUTED_VALUE"""),249.85)</f>
        <v>249.85</v>
      </c>
      <c r="I1218" s="1">
        <f ca="1">IFERROR(__xludf.DUMMYFUNCTION("""COMPUTED_VALUE"""),166.08)</f>
        <v>166.08</v>
      </c>
      <c r="J1218" s="1">
        <f ca="1">IFERROR(__xludf.DUMMYFUNCTION("""COMPUTED_VALUE"""),874.18)</f>
        <v>874.18</v>
      </c>
      <c r="K1218" s="1">
        <f ca="1">IFERROR(__xludf.DUMMYFUNCTION("""COMPUTED_VALUE"""),169.77)</f>
        <v>169.77</v>
      </c>
      <c r="L1218" s="1">
        <f ca="1">IFERROR(__xludf.DUMMYFUNCTION("""COMPUTED_VALUE"""),478.08)</f>
        <v>478.08</v>
      </c>
      <c r="M1218" s="1">
        <f ca="1">IFERROR(__xludf.DUMMYFUNCTION("""COMPUTED_VALUE"""),756.03)</f>
        <v>756.03</v>
      </c>
    </row>
    <row r="1219" spans="1:13" x14ac:dyDescent="0.25">
      <c r="A1219" s="2">
        <f ca="1">IFERROR(__xludf.DUMMYFUNCTION("""COMPUTED_VALUE"""),45601.6666666666)</f>
        <v>45601.666666666599</v>
      </c>
      <c r="B1219" s="1">
        <f ca="1">IFERROR(__xludf.DUMMYFUNCTION("""COMPUTED_VALUE"""),223.45)</f>
        <v>223.45</v>
      </c>
      <c r="C1219" s="1">
        <f ca="1">IFERROR(__xludf.DUMMYFUNCTION("""COMPUTED_VALUE"""),410.37)</f>
        <v>410.37</v>
      </c>
      <c r="D1219" s="1">
        <f ca="1">IFERROR(__xludf.DUMMYFUNCTION("""COMPUTED_VALUE"""),197.93)</f>
        <v>197.93</v>
      </c>
      <c r="E1219" s="1">
        <f ca="1">IFERROR(__xludf.DUMMYFUNCTION("""COMPUTED_VALUE"""),135.4)</f>
        <v>135.4</v>
      </c>
      <c r="F1219" s="1">
        <f ca="1">IFERROR(__xludf.DUMMYFUNCTION("""COMPUTED_VALUE"""),567.16)</f>
        <v>567.16</v>
      </c>
      <c r="G1219" s="1">
        <f ca="1">IFERROR(__xludf.DUMMYFUNCTION("""COMPUTED_VALUE"""),172.65)</f>
        <v>172.65</v>
      </c>
      <c r="H1219" s="1">
        <f ca="1">IFERROR(__xludf.DUMMYFUNCTION("""COMPUTED_VALUE"""),248.98)</f>
        <v>248.98</v>
      </c>
      <c r="I1219" s="1">
        <f ca="1">IFERROR(__xludf.DUMMYFUNCTION("""COMPUTED_VALUE"""),165.59)</f>
        <v>165.59</v>
      </c>
      <c r="J1219" s="1">
        <f ca="1">IFERROR(__xludf.DUMMYFUNCTION("""COMPUTED_VALUE"""),877.31)</f>
        <v>877.31</v>
      </c>
      <c r="K1219" s="1">
        <f ca="1">IFERROR(__xludf.DUMMYFUNCTION("""COMPUTED_VALUE"""),168.92)</f>
        <v>168.92</v>
      </c>
      <c r="L1219" s="1">
        <f ca="1">IFERROR(__xludf.DUMMYFUNCTION("""COMPUTED_VALUE"""),482.8)</f>
        <v>482.8</v>
      </c>
      <c r="M1219" s="1">
        <f ca="1">IFERROR(__xludf.DUMMYFUNCTION("""COMPUTED_VALUE"""),756.1)</f>
        <v>756.1</v>
      </c>
    </row>
    <row r="1220" spans="1:13" x14ac:dyDescent="0.25">
      <c r="A1220" s="2">
        <f ca="1">IFERROR(__xludf.DUMMYFUNCTION("""COMPUTED_VALUE"""),45602.6666666666)</f>
        <v>45602.666666666599</v>
      </c>
      <c r="B1220" s="1">
        <f ca="1">IFERROR(__xludf.DUMMYFUNCTION("""COMPUTED_VALUE"""),222.72)</f>
        <v>222.72</v>
      </c>
      <c r="C1220" s="1">
        <f ca="1">IFERROR(__xludf.DUMMYFUNCTION("""COMPUTED_VALUE"""),408.46)</f>
        <v>408.46</v>
      </c>
      <c r="D1220" s="1">
        <f ca="1">IFERROR(__xludf.DUMMYFUNCTION("""COMPUTED_VALUE"""),195.78)</f>
        <v>195.78</v>
      </c>
      <c r="E1220" s="1">
        <f ca="1">IFERROR(__xludf.DUMMYFUNCTION("""COMPUTED_VALUE"""),136.05)</f>
        <v>136.05000000000001</v>
      </c>
      <c r="F1220" s="1">
        <f ca="1">IFERROR(__xludf.DUMMYFUNCTION("""COMPUTED_VALUE"""),560.68)</f>
        <v>560.67999999999995</v>
      </c>
      <c r="G1220" s="1">
        <f ca="1">IFERROR(__xludf.DUMMYFUNCTION("""COMPUTED_VALUE"""),170.68)</f>
        <v>170.68</v>
      </c>
      <c r="H1220" s="1">
        <f ca="1">IFERROR(__xludf.DUMMYFUNCTION("""COMPUTED_VALUE"""),242.84)</f>
        <v>242.84</v>
      </c>
      <c r="I1220" s="1">
        <f ca="1">IFERROR(__xludf.DUMMYFUNCTION("""COMPUTED_VALUE"""),166.34)</f>
        <v>166.34</v>
      </c>
      <c r="J1220" s="1">
        <f ca="1">IFERROR(__xludf.DUMMYFUNCTION("""COMPUTED_VALUE"""),886.07)</f>
        <v>886.07</v>
      </c>
      <c r="K1220" s="1">
        <f ca="1">IFERROR(__xludf.DUMMYFUNCTION("""COMPUTED_VALUE"""),168.55)</f>
        <v>168.55</v>
      </c>
      <c r="L1220" s="1">
        <f ca="1">IFERROR(__xludf.DUMMYFUNCTION("""COMPUTED_VALUE"""),481.35)</f>
        <v>481.35</v>
      </c>
      <c r="M1220" s="1">
        <f ca="1">IFERROR(__xludf.DUMMYFUNCTION("""COMPUTED_VALUE"""),755.51)</f>
        <v>755.51</v>
      </c>
    </row>
    <row r="1221" spans="1:13" x14ac:dyDescent="0.25">
      <c r="A1221" s="2">
        <f ca="1">IFERROR(__xludf.DUMMYFUNCTION("""COMPUTED_VALUE"""),45603.6666666666)</f>
        <v>45603.666666666599</v>
      </c>
      <c r="B1221" s="1">
        <f ca="1">IFERROR(__xludf.DUMMYFUNCTION("""COMPUTED_VALUE"""),227.48)</f>
        <v>227.48</v>
      </c>
      <c r="C1221" s="1">
        <f ca="1">IFERROR(__xludf.DUMMYFUNCTION("""COMPUTED_VALUE"""),411.46)</f>
        <v>411.46</v>
      </c>
      <c r="D1221" s="1">
        <f ca="1">IFERROR(__xludf.DUMMYFUNCTION("""COMPUTED_VALUE"""),199.5)</f>
        <v>199.5</v>
      </c>
      <c r="E1221" s="1">
        <f ca="1">IFERROR(__xludf.DUMMYFUNCTION("""COMPUTED_VALUE"""),139.91)</f>
        <v>139.91</v>
      </c>
      <c r="F1221" s="1">
        <f ca="1">IFERROR(__xludf.DUMMYFUNCTION("""COMPUTED_VALUE"""),572.43)</f>
        <v>572.42999999999995</v>
      </c>
      <c r="G1221" s="1">
        <f ca="1">IFERROR(__xludf.DUMMYFUNCTION("""COMPUTED_VALUE"""),171.41)</f>
        <v>171.41</v>
      </c>
      <c r="H1221" s="1">
        <f ca="1">IFERROR(__xludf.DUMMYFUNCTION("""COMPUTED_VALUE"""),251.44)</f>
        <v>251.44</v>
      </c>
      <c r="I1221" s="1">
        <f ca="1">IFERROR(__xludf.DUMMYFUNCTION("""COMPUTED_VALUE"""),167.85)</f>
        <v>167.85</v>
      </c>
      <c r="J1221" s="1">
        <f ca="1">IFERROR(__xludf.DUMMYFUNCTION("""COMPUTED_VALUE"""),890.17)</f>
        <v>890.17</v>
      </c>
      <c r="K1221" s="1">
        <f ca="1">IFERROR(__xludf.DUMMYFUNCTION("""COMPUTED_VALUE"""),173.9)</f>
        <v>173.9</v>
      </c>
      <c r="L1221" s="1">
        <f ca="1">IFERROR(__xludf.DUMMYFUNCTION("""COMPUTED_VALUE"""),486.42)</f>
        <v>486.42</v>
      </c>
      <c r="M1221" s="1">
        <f ca="1">IFERROR(__xludf.DUMMYFUNCTION("""COMPUTED_VALUE"""),763.91)</f>
        <v>763.91</v>
      </c>
    </row>
    <row r="1222" spans="1:13" x14ac:dyDescent="0.25">
      <c r="A1222" s="2">
        <f ca="1">IFERROR(__xludf.DUMMYFUNCTION("""COMPUTED_VALUE"""),45604.6666666666)</f>
        <v>45604.666666666599</v>
      </c>
      <c r="B1222" s="1">
        <f ca="1">IFERROR(__xludf.DUMMYFUNCTION("""COMPUTED_VALUE"""),226.96)</f>
        <v>226.96</v>
      </c>
      <c r="C1222" s="1">
        <f ca="1">IFERROR(__xludf.DUMMYFUNCTION("""COMPUTED_VALUE"""),420.18)</f>
        <v>420.18</v>
      </c>
      <c r="D1222" s="1">
        <f ca="1">IFERROR(__xludf.DUMMYFUNCTION("""COMPUTED_VALUE"""),207.09)</f>
        <v>207.09</v>
      </c>
      <c r="E1222" s="1">
        <f ca="1">IFERROR(__xludf.DUMMYFUNCTION("""COMPUTED_VALUE"""),145.61)</f>
        <v>145.61000000000001</v>
      </c>
      <c r="F1222" s="1">
        <f ca="1">IFERROR(__xludf.DUMMYFUNCTION("""COMPUTED_VALUE"""),572.05)</f>
        <v>572.04999999999995</v>
      </c>
      <c r="G1222" s="1">
        <f ca="1">IFERROR(__xludf.DUMMYFUNCTION("""COMPUTED_VALUE"""),178.33)</f>
        <v>178.33</v>
      </c>
      <c r="H1222" s="1">
        <f ca="1">IFERROR(__xludf.DUMMYFUNCTION("""COMPUTED_VALUE"""),288.53)</f>
        <v>288.52999999999997</v>
      </c>
      <c r="I1222" s="1">
        <f ca="1">IFERROR(__xludf.DUMMYFUNCTION("""COMPUTED_VALUE"""),164.71)</f>
        <v>164.71</v>
      </c>
      <c r="J1222" s="1">
        <f ca="1">IFERROR(__xludf.DUMMYFUNCTION("""COMPUTED_VALUE"""),899.25)</f>
        <v>899.25</v>
      </c>
      <c r="K1222" s="1">
        <f ca="1">IFERROR(__xludf.DUMMYFUNCTION("""COMPUTED_VALUE"""),179.55)</f>
        <v>179.55</v>
      </c>
      <c r="L1222" s="1">
        <f ca="1">IFERROR(__xludf.DUMMYFUNCTION("""COMPUTED_VALUE"""),504.83)</f>
        <v>504.83</v>
      </c>
      <c r="M1222" s="1">
        <f ca="1">IFERROR(__xludf.DUMMYFUNCTION("""COMPUTED_VALUE"""),780.21)</f>
        <v>780.21</v>
      </c>
    </row>
    <row r="1223" spans="1:13" x14ac:dyDescent="0.25">
      <c r="A1223" s="2">
        <f ca="1">IFERROR(__xludf.DUMMYFUNCTION("""COMPUTED_VALUE"""),45607.6666666666)</f>
        <v>45607.666666666599</v>
      </c>
      <c r="B1223" s="1">
        <f ca="1">IFERROR(__xludf.DUMMYFUNCTION("""COMPUTED_VALUE"""),224.23)</f>
        <v>224.23</v>
      </c>
      <c r="C1223" s="1">
        <f ca="1">IFERROR(__xludf.DUMMYFUNCTION("""COMPUTED_VALUE"""),425.43)</f>
        <v>425.43</v>
      </c>
      <c r="D1223" s="1">
        <f ca="1">IFERROR(__xludf.DUMMYFUNCTION("""COMPUTED_VALUE"""),210.05)</f>
        <v>210.05</v>
      </c>
      <c r="E1223" s="1">
        <f ca="1">IFERROR(__xludf.DUMMYFUNCTION("""COMPUTED_VALUE"""),148.88)</f>
        <v>148.88</v>
      </c>
      <c r="F1223" s="1">
        <f ca="1">IFERROR(__xludf.DUMMYFUNCTION("""COMPUTED_VALUE"""),591.7)</f>
        <v>591.70000000000005</v>
      </c>
      <c r="G1223" s="1">
        <f ca="1">IFERROR(__xludf.DUMMYFUNCTION("""COMPUTED_VALUE"""),182.28)</f>
        <v>182.28</v>
      </c>
      <c r="H1223" s="1">
        <f ca="1">IFERROR(__xludf.DUMMYFUNCTION("""COMPUTED_VALUE"""),296.91)</f>
        <v>296.91000000000003</v>
      </c>
      <c r="I1223" s="1">
        <f ca="1">IFERROR(__xludf.DUMMYFUNCTION("""COMPUTED_VALUE"""),164)</f>
        <v>164</v>
      </c>
      <c r="J1223" s="1">
        <f ca="1">IFERROR(__xludf.DUMMYFUNCTION("""COMPUTED_VALUE"""),913.93)</f>
        <v>913.93</v>
      </c>
      <c r="K1223" s="1">
        <f ca="1">IFERROR(__xludf.DUMMYFUNCTION("""COMPUTED_VALUE"""),183.81)</f>
        <v>183.81</v>
      </c>
      <c r="L1223" s="1">
        <f ca="1">IFERROR(__xludf.DUMMYFUNCTION("""COMPUTED_VALUE"""),500.92)</f>
        <v>500.92</v>
      </c>
      <c r="M1223" s="1">
        <f ca="1">IFERROR(__xludf.DUMMYFUNCTION("""COMPUTED_VALUE"""),796.54)</f>
        <v>796.54</v>
      </c>
    </row>
    <row r="1224" spans="1:13" x14ac:dyDescent="0.25">
      <c r="A1224" s="2">
        <f ca="1">IFERROR(__xludf.DUMMYFUNCTION("""COMPUTED_VALUE"""),45608.6666666666)</f>
        <v>45608.666666666599</v>
      </c>
      <c r="B1224" s="1">
        <f ca="1">IFERROR(__xludf.DUMMYFUNCTION("""COMPUTED_VALUE"""),224.23)</f>
        <v>224.23</v>
      </c>
      <c r="C1224" s="1">
        <f ca="1">IFERROR(__xludf.DUMMYFUNCTION("""COMPUTED_VALUE"""),422.54)</f>
        <v>422.54</v>
      </c>
      <c r="D1224" s="1">
        <f ca="1">IFERROR(__xludf.DUMMYFUNCTION("""COMPUTED_VALUE"""),208.18)</f>
        <v>208.18</v>
      </c>
      <c r="E1224" s="1">
        <f ca="1">IFERROR(__xludf.DUMMYFUNCTION("""COMPUTED_VALUE"""),147.63)</f>
        <v>147.63</v>
      </c>
      <c r="F1224" s="1">
        <f ca="1">IFERROR(__xludf.DUMMYFUNCTION("""COMPUTED_VALUE"""),589.34)</f>
        <v>589.34</v>
      </c>
      <c r="G1224" s="1">
        <f ca="1">IFERROR(__xludf.DUMMYFUNCTION("""COMPUTED_VALUE"""),179.86)</f>
        <v>179.86</v>
      </c>
      <c r="H1224" s="1">
        <f ca="1">IFERROR(__xludf.DUMMYFUNCTION("""COMPUTED_VALUE"""),321.22)</f>
        <v>321.22000000000003</v>
      </c>
      <c r="I1224" s="1">
        <f ca="1">IFERROR(__xludf.DUMMYFUNCTION("""COMPUTED_VALUE"""),165.11)</f>
        <v>165.11</v>
      </c>
      <c r="J1224" s="1">
        <f ca="1">IFERROR(__xludf.DUMMYFUNCTION("""COMPUTED_VALUE"""),943.8)</f>
        <v>943.8</v>
      </c>
      <c r="K1224" s="1">
        <f ca="1">IFERROR(__xludf.DUMMYFUNCTION("""COMPUTED_VALUE"""),183.64)</f>
        <v>183.64</v>
      </c>
      <c r="L1224" s="1">
        <f ca="1">IFERROR(__xludf.DUMMYFUNCTION("""COMPUTED_VALUE"""),494.68)</f>
        <v>494.68</v>
      </c>
      <c r="M1224" s="1">
        <f ca="1">IFERROR(__xludf.DUMMYFUNCTION("""COMPUTED_VALUE"""),795.04)</f>
        <v>795.04</v>
      </c>
    </row>
    <row r="1225" spans="1:13" x14ac:dyDescent="0.25">
      <c r="A1225" s="2">
        <f ca="1">IFERROR(__xludf.DUMMYFUNCTION("""COMPUTED_VALUE"""),45609.6666666666)</f>
        <v>45609.666666666599</v>
      </c>
      <c r="B1225" s="1">
        <f ca="1">IFERROR(__xludf.DUMMYFUNCTION("""COMPUTED_VALUE"""),225.12)</f>
        <v>225.12</v>
      </c>
      <c r="C1225" s="1">
        <f ca="1">IFERROR(__xludf.DUMMYFUNCTION("""COMPUTED_VALUE"""),418.01)</f>
        <v>418.01</v>
      </c>
      <c r="D1225" s="1">
        <f ca="1">IFERROR(__xludf.DUMMYFUNCTION("""COMPUTED_VALUE"""),206.84)</f>
        <v>206.84</v>
      </c>
      <c r="E1225" s="1">
        <f ca="1">IFERROR(__xludf.DUMMYFUNCTION("""COMPUTED_VALUE"""),145.26)</f>
        <v>145.26</v>
      </c>
      <c r="F1225" s="1">
        <f ca="1">IFERROR(__xludf.DUMMYFUNCTION("""COMPUTED_VALUE"""),583.17)</f>
        <v>583.16999999999996</v>
      </c>
      <c r="G1225" s="1">
        <f ca="1">IFERROR(__xludf.DUMMYFUNCTION("""COMPUTED_VALUE"""),181.97)</f>
        <v>181.97</v>
      </c>
      <c r="H1225" s="1">
        <f ca="1">IFERROR(__xludf.DUMMYFUNCTION("""COMPUTED_VALUE"""),350)</f>
        <v>350</v>
      </c>
      <c r="I1225" s="1">
        <f ca="1">IFERROR(__xludf.DUMMYFUNCTION("""COMPUTED_VALUE"""),164.26)</f>
        <v>164.26</v>
      </c>
      <c r="J1225" s="1">
        <f ca="1">IFERROR(__xludf.DUMMYFUNCTION("""COMPUTED_VALUE"""),932.88)</f>
        <v>932.88</v>
      </c>
      <c r="K1225" s="1">
        <f ca="1">IFERROR(__xludf.DUMMYFUNCTION("""COMPUTED_VALUE"""),178.91)</f>
        <v>178.91</v>
      </c>
      <c r="L1225" s="1">
        <f ca="1">IFERROR(__xludf.DUMMYFUNCTION("""COMPUTED_VALUE"""),504.48)</f>
        <v>504.48</v>
      </c>
      <c r="M1225" s="1">
        <f ca="1">IFERROR(__xludf.DUMMYFUNCTION("""COMPUTED_VALUE"""),805.44)</f>
        <v>805.44</v>
      </c>
    </row>
    <row r="1226" spans="1:13" x14ac:dyDescent="0.25">
      <c r="A1226" s="2">
        <f ca="1">IFERROR(__xludf.DUMMYFUNCTION("""COMPUTED_VALUE"""),45610.6666666666)</f>
        <v>45610.666666666599</v>
      </c>
      <c r="B1226" s="1">
        <f ca="1">IFERROR(__xludf.DUMMYFUNCTION("""COMPUTED_VALUE"""),228.22)</f>
        <v>228.22</v>
      </c>
      <c r="C1226" s="1">
        <f ca="1">IFERROR(__xludf.DUMMYFUNCTION("""COMPUTED_VALUE"""),423.03)</f>
        <v>423.03</v>
      </c>
      <c r="D1226" s="1">
        <f ca="1">IFERROR(__xludf.DUMMYFUNCTION("""COMPUTED_VALUE"""),208.91)</f>
        <v>208.91</v>
      </c>
      <c r="E1226" s="1">
        <f ca="1">IFERROR(__xludf.DUMMYFUNCTION("""COMPUTED_VALUE"""),148.29)</f>
        <v>148.29</v>
      </c>
      <c r="F1226" s="1">
        <f ca="1">IFERROR(__xludf.DUMMYFUNCTION("""COMPUTED_VALUE"""),584.82)</f>
        <v>584.82000000000005</v>
      </c>
      <c r="G1226" s="1">
        <f ca="1">IFERROR(__xludf.DUMMYFUNCTION("""COMPUTED_VALUE"""),183.32)</f>
        <v>183.32</v>
      </c>
      <c r="H1226" s="1">
        <f ca="1">IFERROR(__xludf.DUMMYFUNCTION("""COMPUTED_VALUE"""),328.49)</f>
        <v>328.49</v>
      </c>
      <c r="I1226" s="1">
        <f ca="1">IFERROR(__xludf.DUMMYFUNCTION("""COMPUTED_VALUE"""),164.34)</f>
        <v>164.34</v>
      </c>
      <c r="J1226" s="1">
        <f ca="1">IFERROR(__xludf.DUMMYFUNCTION("""COMPUTED_VALUE"""),932.38)</f>
        <v>932.38</v>
      </c>
      <c r="K1226" s="1">
        <f ca="1">IFERROR(__xludf.DUMMYFUNCTION("""COMPUTED_VALUE"""),176.22)</f>
        <v>176.22</v>
      </c>
      <c r="L1226" s="1">
        <f ca="1">IFERROR(__xludf.DUMMYFUNCTION("""COMPUTED_VALUE"""),526.42)</f>
        <v>526.41999999999996</v>
      </c>
      <c r="M1226" s="1">
        <f ca="1">IFERROR(__xludf.DUMMYFUNCTION("""COMPUTED_VALUE"""),819.5)</f>
        <v>819.5</v>
      </c>
    </row>
    <row r="1227" spans="1:13" x14ac:dyDescent="0.25">
      <c r="A1227" s="2">
        <f ca="1">IFERROR(__xludf.DUMMYFUNCTION("""COMPUTED_VALUE"""),45611.6666666666)</f>
        <v>45611.666666666599</v>
      </c>
      <c r="B1227" s="1">
        <f ca="1">IFERROR(__xludf.DUMMYFUNCTION("""COMPUTED_VALUE"""),225)</f>
        <v>225</v>
      </c>
      <c r="C1227" s="1">
        <f ca="1">IFERROR(__xludf.DUMMYFUNCTION("""COMPUTED_VALUE"""),425.2)</f>
        <v>425.2</v>
      </c>
      <c r="D1227" s="1">
        <f ca="1">IFERROR(__xludf.DUMMYFUNCTION("""COMPUTED_VALUE"""),214.1)</f>
        <v>214.1</v>
      </c>
      <c r="E1227" s="1">
        <f ca="1">IFERROR(__xludf.DUMMYFUNCTION("""COMPUTED_VALUE"""),146.27)</f>
        <v>146.27000000000001</v>
      </c>
      <c r="F1227" s="1">
        <f ca="1">IFERROR(__xludf.DUMMYFUNCTION("""COMPUTED_VALUE"""),580)</f>
        <v>580</v>
      </c>
      <c r="G1227" s="1">
        <f ca="1">IFERROR(__xludf.DUMMYFUNCTION("""COMPUTED_VALUE"""),180.49)</f>
        <v>180.49</v>
      </c>
      <c r="H1227" s="1">
        <f ca="1">IFERROR(__xludf.DUMMYFUNCTION("""COMPUTED_VALUE"""),330.24)</f>
        <v>330.24</v>
      </c>
      <c r="I1227" s="1">
        <f ca="1">IFERROR(__xludf.DUMMYFUNCTION("""COMPUTED_VALUE"""),164.74)</f>
        <v>164.74</v>
      </c>
      <c r="J1227" s="1">
        <f ca="1">IFERROR(__xludf.DUMMYFUNCTION("""COMPUTED_VALUE"""),933.73)</f>
        <v>933.73</v>
      </c>
      <c r="K1227" s="1">
        <f ca="1">IFERROR(__xludf.DUMMYFUNCTION("""COMPUTED_VALUE"""),173.58)</f>
        <v>173.58</v>
      </c>
      <c r="L1227" s="1">
        <f ca="1">IFERROR(__xludf.DUMMYFUNCTION("""COMPUTED_VALUE"""),532.5)</f>
        <v>532.5</v>
      </c>
      <c r="M1227" s="1">
        <f ca="1">IFERROR(__xludf.DUMMYFUNCTION("""COMPUTED_VALUE"""),830.47)</f>
        <v>830.47</v>
      </c>
    </row>
    <row r="1228" spans="1:13" x14ac:dyDescent="0.25">
      <c r="A1228" s="2">
        <f ca="1">IFERROR(__xludf.DUMMYFUNCTION("""COMPUTED_VALUE"""),45614.6666666666)</f>
        <v>45614.666666666599</v>
      </c>
      <c r="B1228" s="1">
        <f ca="1">IFERROR(__xludf.DUMMYFUNCTION("""COMPUTED_VALUE"""),228.02)</f>
        <v>228.02</v>
      </c>
      <c r="C1228" s="1">
        <f ca="1">IFERROR(__xludf.DUMMYFUNCTION("""COMPUTED_VALUE"""),426.89)</f>
        <v>426.89</v>
      </c>
      <c r="D1228" s="1">
        <f ca="1">IFERROR(__xludf.DUMMYFUNCTION("""COMPUTED_VALUE"""),211.48)</f>
        <v>211.48</v>
      </c>
      <c r="E1228" s="1">
        <f ca="1">IFERROR(__xludf.DUMMYFUNCTION("""COMPUTED_VALUE"""),146.76)</f>
        <v>146.76</v>
      </c>
      <c r="F1228" s="1">
        <f ca="1">IFERROR(__xludf.DUMMYFUNCTION("""COMPUTED_VALUE"""),577.16)</f>
        <v>577.16</v>
      </c>
      <c r="G1228" s="1">
        <f ca="1">IFERROR(__xludf.DUMMYFUNCTION("""COMPUTED_VALUE"""),177.35)</f>
        <v>177.35</v>
      </c>
      <c r="H1228" s="1">
        <f ca="1">IFERROR(__xludf.DUMMYFUNCTION("""COMPUTED_VALUE"""),311.18)</f>
        <v>311.18</v>
      </c>
      <c r="I1228" s="1">
        <f ca="1">IFERROR(__xludf.DUMMYFUNCTION("""COMPUTED_VALUE"""),165.15)</f>
        <v>165.15</v>
      </c>
      <c r="J1228" s="1">
        <f ca="1">IFERROR(__xludf.DUMMYFUNCTION("""COMPUTED_VALUE"""),923.89)</f>
        <v>923.89</v>
      </c>
      <c r="K1228" s="1">
        <f ca="1">IFERROR(__xludf.DUMMYFUNCTION("""COMPUTED_VALUE"""),170.38)</f>
        <v>170.38</v>
      </c>
      <c r="L1228" s="1">
        <f ca="1">IFERROR(__xludf.DUMMYFUNCTION("""COMPUTED_VALUE"""),529.87)</f>
        <v>529.87</v>
      </c>
      <c r="M1228" s="1">
        <f ca="1">IFERROR(__xludf.DUMMYFUNCTION("""COMPUTED_VALUE"""),837.26)</f>
        <v>837.26</v>
      </c>
    </row>
    <row r="1229" spans="1:13" x14ac:dyDescent="0.25">
      <c r="A1229" s="2">
        <f ca="1">IFERROR(__xludf.DUMMYFUNCTION("""COMPUTED_VALUE"""),45615.6666666666)</f>
        <v>45615.666666666599</v>
      </c>
      <c r="B1229" s="1">
        <f ca="1">IFERROR(__xludf.DUMMYFUNCTION("""COMPUTED_VALUE"""),228.28)</f>
        <v>228.28</v>
      </c>
      <c r="C1229" s="1">
        <f ca="1">IFERROR(__xludf.DUMMYFUNCTION("""COMPUTED_VALUE"""),415)</f>
        <v>415</v>
      </c>
      <c r="D1229" s="1">
        <f ca="1">IFERROR(__xludf.DUMMYFUNCTION("""COMPUTED_VALUE"""),202.61)</f>
        <v>202.61</v>
      </c>
      <c r="E1229" s="1">
        <f ca="1">IFERROR(__xludf.DUMMYFUNCTION("""COMPUTED_VALUE"""),141.98)</f>
        <v>141.97999999999999</v>
      </c>
      <c r="F1229" s="1">
        <f ca="1">IFERROR(__xludf.DUMMYFUNCTION("""COMPUTED_VALUE"""),554.08)</f>
        <v>554.08000000000004</v>
      </c>
      <c r="G1229" s="1">
        <f ca="1">IFERROR(__xludf.DUMMYFUNCTION("""COMPUTED_VALUE"""),173.89)</f>
        <v>173.89</v>
      </c>
      <c r="H1229" s="1">
        <f ca="1">IFERROR(__xludf.DUMMYFUNCTION("""COMPUTED_VALUE"""),320.72)</f>
        <v>320.72000000000003</v>
      </c>
      <c r="I1229" s="1">
        <f ca="1">IFERROR(__xludf.DUMMYFUNCTION("""COMPUTED_VALUE"""),158.62)</f>
        <v>158.62</v>
      </c>
      <c r="J1229" s="1">
        <f ca="1">IFERROR(__xludf.DUMMYFUNCTION("""COMPUTED_VALUE"""),907.07)</f>
        <v>907.07</v>
      </c>
      <c r="K1229" s="1">
        <f ca="1">IFERROR(__xludf.DUMMYFUNCTION("""COMPUTED_VALUE"""),164.84)</f>
        <v>164.84</v>
      </c>
      <c r="L1229" s="1">
        <f ca="1">IFERROR(__xludf.DUMMYFUNCTION("""COMPUTED_VALUE"""),503.37)</f>
        <v>503.37</v>
      </c>
      <c r="M1229" s="1">
        <f ca="1">IFERROR(__xludf.DUMMYFUNCTION("""COMPUTED_VALUE"""),823.96)</f>
        <v>823.96</v>
      </c>
    </row>
    <row r="1230" spans="1:13" x14ac:dyDescent="0.25">
      <c r="A1230" s="2">
        <f ca="1">IFERROR(__xludf.DUMMYFUNCTION("""COMPUTED_VALUE"""),45616.6666666666)</f>
        <v>45616.666666666599</v>
      </c>
      <c r="B1230" s="1">
        <f ca="1">IFERROR(__xludf.DUMMYFUNCTION("""COMPUTED_VALUE"""),229)</f>
        <v>229</v>
      </c>
      <c r="C1230" s="1">
        <f ca="1">IFERROR(__xludf.DUMMYFUNCTION("""COMPUTED_VALUE"""),415.76)</f>
        <v>415.76</v>
      </c>
      <c r="D1230" s="1">
        <f ca="1">IFERROR(__xludf.DUMMYFUNCTION("""COMPUTED_VALUE"""),201.7)</f>
        <v>201.7</v>
      </c>
      <c r="E1230" s="1">
        <f ca="1">IFERROR(__xludf.DUMMYFUNCTION("""COMPUTED_VALUE"""),140.15)</f>
        <v>140.15</v>
      </c>
      <c r="F1230" s="1">
        <f ca="1">IFERROR(__xludf.DUMMYFUNCTION("""COMPUTED_VALUE"""),554.4)</f>
        <v>554.4</v>
      </c>
      <c r="G1230" s="1">
        <f ca="1">IFERROR(__xludf.DUMMYFUNCTION("""COMPUTED_VALUE"""),176.8)</f>
        <v>176.8</v>
      </c>
      <c r="H1230" s="1">
        <f ca="1">IFERROR(__xludf.DUMMYFUNCTION("""COMPUTED_VALUE"""),338.74)</f>
        <v>338.74</v>
      </c>
      <c r="I1230" s="1">
        <f ca="1">IFERROR(__xludf.DUMMYFUNCTION("""COMPUTED_VALUE"""),158.33)</f>
        <v>158.33000000000001</v>
      </c>
      <c r="J1230" s="1">
        <f ca="1">IFERROR(__xludf.DUMMYFUNCTION("""COMPUTED_VALUE"""),919.51)</f>
        <v>919.51</v>
      </c>
      <c r="K1230" s="1">
        <f ca="1">IFERROR(__xludf.DUMMYFUNCTION("""COMPUTED_VALUE"""),165.67)</f>
        <v>165.67</v>
      </c>
      <c r="L1230" s="1">
        <f ca="1">IFERROR(__xludf.DUMMYFUNCTION("""COMPUTED_VALUE"""),499.51)</f>
        <v>499.51</v>
      </c>
      <c r="M1230" s="1">
        <f ca="1">IFERROR(__xludf.DUMMYFUNCTION("""COMPUTED_VALUE"""),847.05)</f>
        <v>847.05</v>
      </c>
    </row>
    <row r="1231" spans="1:13" x14ac:dyDescent="0.25">
      <c r="A1231" s="2">
        <f ca="1">IFERROR(__xludf.DUMMYFUNCTION("""COMPUTED_VALUE"""),45617.6666666666)</f>
        <v>45617.666666666599</v>
      </c>
      <c r="B1231" s="1">
        <f ca="1">IFERROR(__xludf.DUMMYFUNCTION("""COMPUTED_VALUE"""),228.52)</f>
        <v>228.52</v>
      </c>
      <c r="C1231" s="1">
        <f ca="1">IFERROR(__xludf.DUMMYFUNCTION("""COMPUTED_VALUE"""),417.79)</f>
        <v>417.79</v>
      </c>
      <c r="D1231" s="1">
        <f ca="1">IFERROR(__xludf.DUMMYFUNCTION("""COMPUTED_VALUE"""),204.61)</f>
        <v>204.61</v>
      </c>
      <c r="E1231" s="1">
        <f ca="1">IFERROR(__xludf.DUMMYFUNCTION("""COMPUTED_VALUE"""),147.01)</f>
        <v>147.01</v>
      </c>
      <c r="F1231" s="1">
        <f ca="1">IFERROR(__xludf.DUMMYFUNCTION("""COMPUTED_VALUE"""),561.09)</f>
        <v>561.09</v>
      </c>
      <c r="G1231" s="1">
        <f ca="1">IFERROR(__xludf.DUMMYFUNCTION("""COMPUTED_VALUE"""),179.58)</f>
        <v>179.58</v>
      </c>
      <c r="H1231" s="1">
        <f ca="1">IFERROR(__xludf.DUMMYFUNCTION("""COMPUTED_VALUE"""),346)</f>
        <v>346</v>
      </c>
      <c r="I1231" s="1">
        <f ca="1">IFERROR(__xludf.DUMMYFUNCTION("""COMPUTED_VALUE"""),156.72)</f>
        <v>156.72</v>
      </c>
      <c r="J1231" s="1">
        <f ca="1">IFERROR(__xludf.DUMMYFUNCTION("""COMPUTED_VALUE"""),930.15)</f>
        <v>930.15</v>
      </c>
      <c r="K1231" s="1">
        <f ca="1">IFERROR(__xludf.DUMMYFUNCTION("""COMPUTED_VALUE"""),165.35)</f>
        <v>165.35</v>
      </c>
      <c r="L1231" s="1">
        <f ca="1">IFERROR(__xludf.DUMMYFUNCTION("""COMPUTED_VALUE"""),499.61)</f>
        <v>499.61</v>
      </c>
      <c r="M1231" s="1">
        <f ca="1">IFERROR(__xludf.DUMMYFUNCTION("""COMPUTED_VALUE"""),871.32)</f>
        <v>871.32</v>
      </c>
    </row>
    <row r="1232" spans="1:13" x14ac:dyDescent="0.25">
      <c r="A1232" s="2">
        <f ca="1">IFERROR(__xludf.DUMMYFUNCTION("""COMPUTED_VALUE"""),45618.6666666666)</f>
        <v>45618.666666666599</v>
      </c>
      <c r="B1232" s="1">
        <f ca="1">IFERROR(__xludf.DUMMYFUNCTION("""COMPUTED_VALUE"""),229.87)</f>
        <v>229.87</v>
      </c>
      <c r="C1232" s="1">
        <f ca="1">IFERROR(__xludf.DUMMYFUNCTION("""COMPUTED_VALUE"""),415.49)</f>
        <v>415.49</v>
      </c>
      <c r="D1232" s="1">
        <f ca="1">IFERROR(__xludf.DUMMYFUNCTION("""COMPUTED_VALUE"""),202.88)</f>
        <v>202.88</v>
      </c>
      <c r="E1232" s="1">
        <f ca="1">IFERROR(__xludf.DUMMYFUNCTION("""COMPUTED_VALUE"""),145.89)</f>
        <v>145.88999999999999</v>
      </c>
      <c r="F1232" s="1">
        <f ca="1">IFERROR(__xludf.DUMMYFUNCTION("""COMPUTED_VALUE"""),565.52)</f>
        <v>565.52</v>
      </c>
      <c r="G1232" s="1">
        <f ca="1">IFERROR(__xludf.DUMMYFUNCTION("""COMPUTED_VALUE"""),177.33)</f>
        <v>177.33</v>
      </c>
      <c r="H1232" s="1">
        <f ca="1">IFERROR(__xludf.DUMMYFUNCTION("""COMPUTED_VALUE"""),342.03)</f>
        <v>342.03</v>
      </c>
      <c r="I1232" s="1">
        <f ca="1">IFERROR(__xludf.DUMMYFUNCTION("""COMPUTED_VALUE"""),158.74)</f>
        <v>158.74</v>
      </c>
      <c r="J1232" s="1">
        <f ca="1">IFERROR(__xludf.DUMMYFUNCTION("""COMPUTED_VALUE"""),928.08)</f>
        <v>928.08</v>
      </c>
      <c r="K1232" s="1">
        <f ca="1">IFERROR(__xludf.DUMMYFUNCTION("""COMPUTED_VALUE"""),163.25)</f>
        <v>163.25</v>
      </c>
      <c r="L1232" s="1">
        <f ca="1">IFERROR(__xludf.DUMMYFUNCTION("""COMPUTED_VALUE"""),499.5)</f>
        <v>499.5</v>
      </c>
      <c r="M1232" s="1">
        <f ca="1">IFERROR(__xludf.DUMMYFUNCTION("""COMPUTED_VALUE"""),883.85)</f>
        <v>883.85</v>
      </c>
    </row>
    <row r="1233" spans="1:13" x14ac:dyDescent="0.25">
      <c r="A1233" s="2">
        <f ca="1">IFERROR(__xludf.DUMMYFUNCTION("""COMPUTED_VALUE"""),45621.6666666666)</f>
        <v>45621.666666666599</v>
      </c>
      <c r="B1233" s="1">
        <f ca="1">IFERROR(__xludf.DUMMYFUNCTION("""COMPUTED_VALUE"""),232.87)</f>
        <v>232.87</v>
      </c>
      <c r="C1233" s="1">
        <f ca="1">IFERROR(__xludf.DUMMYFUNCTION("""COMPUTED_VALUE"""),412.87)</f>
        <v>412.87</v>
      </c>
      <c r="D1233" s="1">
        <f ca="1">IFERROR(__xludf.DUMMYFUNCTION("""COMPUTED_VALUE"""),198.38)</f>
        <v>198.38</v>
      </c>
      <c r="E1233" s="1">
        <f ca="1">IFERROR(__xludf.DUMMYFUNCTION("""COMPUTED_VALUE"""),146.67)</f>
        <v>146.66999999999999</v>
      </c>
      <c r="F1233" s="1">
        <f ca="1">IFERROR(__xludf.DUMMYFUNCTION("""COMPUTED_VALUE"""),563.09)</f>
        <v>563.09</v>
      </c>
      <c r="G1233" s="1">
        <f ca="1">IFERROR(__xludf.DUMMYFUNCTION("""COMPUTED_VALUE"""),169.24)</f>
        <v>169.24</v>
      </c>
      <c r="H1233" s="1">
        <f ca="1">IFERROR(__xludf.DUMMYFUNCTION("""COMPUTED_VALUE"""),339.64)</f>
        <v>339.64</v>
      </c>
      <c r="I1233" s="1">
        <f ca="1">IFERROR(__xludf.DUMMYFUNCTION("""COMPUTED_VALUE"""),160.34)</f>
        <v>160.34</v>
      </c>
      <c r="J1233" s="1">
        <f ca="1">IFERROR(__xludf.DUMMYFUNCTION("""COMPUTED_VALUE"""),955.65)</f>
        <v>955.65</v>
      </c>
      <c r="K1233" s="1">
        <f ca="1">IFERROR(__xludf.DUMMYFUNCTION("""COMPUTED_VALUE"""),163.94)</f>
        <v>163.94</v>
      </c>
      <c r="L1233" s="1">
        <f ca="1">IFERROR(__xludf.DUMMYFUNCTION("""COMPUTED_VALUE"""),504.44)</f>
        <v>504.44</v>
      </c>
      <c r="M1233" s="1">
        <f ca="1">IFERROR(__xludf.DUMMYFUNCTION("""COMPUTED_VALUE"""),897.48)</f>
        <v>897.48</v>
      </c>
    </row>
    <row r="1234" spans="1:13" x14ac:dyDescent="0.25">
      <c r="A1234" s="2">
        <f ca="1">IFERROR(__xludf.DUMMYFUNCTION("""COMPUTED_VALUE"""),45622.6666666666)</f>
        <v>45622.666666666599</v>
      </c>
      <c r="B1234" s="1">
        <f ca="1">IFERROR(__xludf.DUMMYFUNCTION("""COMPUTED_VALUE"""),235.06)</f>
        <v>235.06</v>
      </c>
      <c r="C1234" s="1">
        <f ca="1">IFERROR(__xludf.DUMMYFUNCTION("""COMPUTED_VALUE"""),417)</f>
        <v>417</v>
      </c>
      <c r="D1234" s="1">
        <f ca="1">IFERROR(__xludf.DUMMYFUNCTION("""COMPUTED_VALUE"""),197.12)</f>
        <v>197.12</v>
      </c>
      <c r="E1234" s="1">
        <f ca="1">IFERROR(__xludf.DUMMYFUNCTION("""COMPUTED_VALUE"""),141.95)</f>
        <v>141.94999999999999</v>
      </c>
      <c r="F1234" s="1">
        <f ca="1">IFERROR(__xludf.DUMMYFUNCTION("""COMPUTED_VALUE"""),559.14)</f>
        <v>559.14</v>
      </c>
      <c r="G1234" s="1">
        <f ca="1">IFERROR(__xludf.DUMMYFUNCTION("""COMPUTED_VALUE"""),166.57)</f>
        <v>166.57</v>
      </c>
      <c r="H1234" s="1">
        <f ca="1">IFERROR(__xludf.DUMMYFUNCTION("""COMPUTED_VALUE"""),352.56)</f>
        <v>352.56</v>
      </c>
      <c r="I1234" s="1">
        <f ca="1">IFERROR(__xludf.DUMMYFUNCTION("""COMPUTED_VALUE"""),162)</f>
        <v>162</v>
      </c>
      <c r="J1234" s="1">
        <f ca="1">IFERROR(__xludf.DUMMYFUNCTION("""COMPUTED_VALUE"""),964.01)</f>
        <v>964.01</v>
      </c>
      <c r="K1234" s="1">
        <f ca="1">IFERROR(__xludf.DUMMYFUNCTION("""COMPUTED_VALUE"""),164.23)</f>
        <v>164.23</v>
      </c>
      <c r="L1234" s="1">
        <f ca="1">IFERROR(__xludf.DUMMYFUNCTION("""COMPUTED_VALUE"""),512.15)</f>
        <v>512.15</v>
      </c>
      <c r="M1234" s="1">
        <f ca="1">IFERROR(__xludf.DUMMYFUNCTION("""COMPUTED_VALUE"""),897.79)</f>
        <v>897.79</v>
      </c>
    </row>
    <row r="1235" spans="1:13" x14ac:dyDescent="0.25">
      <c r="A1235" s="2">
        <f ca="1">IFERROR(__xludf.DUMMYFUNCTION("""COMPUTED_VALUE"""),45623.6666666666)</f>
        <v>45623.666666666599</v>
      </c>
      <c r="B1235" s="1">
        <f ca="1">IFERROR(__xludf.DUMMYFUNCTION("""COMPUTED_VALUE"""),234.93)</f>
        <v>234.93</v>
      </c>
      <c r="C1235" s="1">
        <f ca="1">IFERROR(__xludf.DUMMYFUNCTION("""COMPUTED_VALUE"""),418.79)</f>
        <v>418.79</v>
      </c>
      <c r="D1235" s="1">
        <f ca="1">IFERROR(__xludf.DUMMYFUNCTION("""COMPUTED_VALUE"""),201.45)</f>
        <v>201.45</v>
      </c>
      <c r="E1235" s="1">
        <f ca="1">IFERROR(__xludf.DUMMYFUNCTION("""COMPUTED_VALUE"""),136.02)</f>
        <v>136.02000000000001</v>
      </c>
      <c r="F1235" s="1">
        <f ca="1">IFERROR(__xludf.DUMMYFUNCTION("""COMPUTED_VALUE"""),565.11)</f>
        <v>565.11</v>
      </c>
      <c r="G1235" s="1">
        <f ca="1">IFERROR(__xludf.DUMMYFUNCTION("""COMPUTED_VALUE"""),169.43)</f>
        <v>169.43</v>
      </c>
      <c r="H1235" s="1">
        <f ca="1">IFERROR(__xludf.DUMMYFUNCTION("""COMPUTED_VALUE"""),338.59)</f>
        <v>338.59</v>
      </c>
      <c r="I1235" s="1">
        <f ca="1">IFERROR(__xludf.DUMMYFUNCTION("""COMPUTED_VALUE"""),163.05)</f>
        <v>163.05000000000001</v>
      </c>
      <c r="J1235" s="1">
        <f ca="1">IFERROR(__xludf.DUMMYFUNCTION("""COMPUTED_VALUE"""),960.89)</f>
        <v>960.89</v>
      </c>
      <c r="K1235" s="1">
        <f ca="1">IFERROR(__xludf.DUMMYFUNCTION("""COMPUTED_VALUE"""),164.82)</f>
        <v>164.82</v>
      </c>
      <c r="L1235" s="1">
        <f ca="1">IFERROR(__xludf.DUMMYFUNCTION("""COMPUTED_VALUE"""),518.73)</f>
        <v>518.73</v>
      </c>
      <c r="M1235" s="1">
        <f ca="1">IFERROR(__xludf.DUMMYFUNCTION("""COMPUTED_VALUE"""),865.59)</f>
        <v>865.59</v>
      </c>
    </row>
    <row r="1236" spans="1:13" x14ac:dyDescent="0.25">
      <c r="A1236" s="2">
        <f ca="1">IFERROR(__xludf.DUMMYFUNCTION("""COMPUTED_VALUE"""),45625.5451388888)</f>
        <v>45625.545138888803</v>
      </c>
      <c r="B1236" s="1">
        <f ca="1">IFERROR(__xludf.DUMMYFUNCTION("""COMPUTED_VALUE"""),237.33)</f>
        <v>237.33</v>
      </c>
      <c r="C1236" s="1">
        <f ca="1">IFERROR(__xludf.DUMMYFUNCTION("""COMPUTED_VALUE"""),427.99)</f>
        <v>427.99</v>
      </c>
      <c r="D1236" s="1">
        <f ca="1">IFERROR(__xludf.DUMMYFUNCTION("""COMPUTED_VALUE"""),207.86)</f>
        <v>207.86</v>
      </c>
      <c r="E1236" s="1">
        <f ca="1">IFERROR(__xludf.DUMMYFUNCTION("""COMPUTED_VALUE"""),136.92)</f>
        <v>136.91999999999999</v>
      </c>
      <c r="F1236" s="1">
        <f ca="1">IFERROR(__xludf.DUMMYFUNCTION("""COMPUTED_VALUE"""),573.54)</f>
        <v>573.54</v>
      </c>
      <c r="G1236" s="1">
        <f ca="1">IFERROR(__xludf.DUMMYFUNCTION("""COMPUTED_VALUE"""),170.62)</f>
        <v>170.62</v>
      </c>
      <c r="H1236" s="1">
        <f ca="1">IFERROR(__xludf.DUMMYFUNCTION("""COMPUTED_VALUE"""),338.23)</f>
        <v>338.23</v>
      </c>
      <c r="I1236" s="1">
        <f ca="1">IFERROR(__xludf.DUMMYFUNCTION("""COMPUTED_VALUE"""),162.16)</f>
        <v>162.16</v>
      </c>
      <c r="J1236" s="1">
        <f ca="1">IFERROR(__xludf.DUMMYFUNCTION("""COMPUTED_VALUE"""),971.5)</f>
        <v>971.5</v>
      </c>
      <c r="K1236" s="1">
        <f ca="1">IFERROR(__xludf.DUMMYFUNCTION("""COMPUTED_VALUE"""),164.74)</f>
        <v>164.74</v>
      </c>
      <c r="L1236" s="1">
        <f ca="1">IFERROR(__xludf.DUMMYFUNCTION("""COMPUTED_VALUE"""),525.3)</f>
        <v>525.29999999999995</v>
      </c>
      <c r="M1236" s="1">
        <f ca="1">IFERROR(__xludf.DUMMYFUNCTION("""COMPUTED_VALUE"""),872.6)</f>
        <v>872.6</v>
      </c>
    </row>
    <row r="1237" spans="1:13" x14ac:dyDescent="0.25">
      <c r="A1237" s="2">
        <f ca="1">IFERROR(__xludf.DUMMYFUNCTION("""COMPUTED_VALUE"""),45628.6666666666)</f>
        <v>45628.666666666599</v>
      </c>
      <c r="B1237" s="1">
        <f ca="1">IFERROR(__xludf.DUMMYFUNCTION("""COMPUTED_VALUE"""),239.59)</f>
        <v>239.59</v>
      </c>
      <c r="C1237" s="1">
        <f ca="1">IFERROR(__xludf.DUMMYFUNCTION("""COMPUTED_VALUE"""),422.99)</f>
        <v>422.99</v>
      </c>
      <c r="D1237" s="1">
        <f ca="1">IFERROR(__xludf.DUMMYFUNCTION("""COMPUTED_VALUE"""),205.74)</f>
        <v>205.74</v>
      </c>
      <c r="E1237" s="1">
        <f ca="1">IFERROR(__xludf.DUMMYFUNCTION("""COMPUTED_VALUE"""),135.34)</f>
        <v>135.34</v>
      </c>
      <c r="F1237" s="1">
        <f ca="1">IFERROR(__xludf.DUMMYFUNCTION("""COMPUTED_VALUE"""),569.2)</f>
        <v>569.20000000000005</v>
      </c>
      <c r="G1237" s="1">
        <f ca="1">IFERROR(__xludf.DUMMYFUNCTION("""COMPUTED_VALUE"""),170.82)</f>
        <v>170.82</v>
      </c>
      <c r="H1237" s="1">
        <f ca="1">IFERROR(__xludf.DUMMYFUNCTION("""COMPUTED_VALUE"""),332.89)</f>
        <v>332.89</v>
      </c>
      <c r="I1237" s="1">
        <f ca="1">IFERROR(__xludf.DUMMYFUNCTION("""COMPUTED_VALUE"""),162.72)</f>
        <v>162.72</v>
      </c>
      <c r="J1237" s="1">
        <f ca="1">IFERROR(__xludf.DUMMYFUNCTION("""COMPUTED_VALUE"""),961.55)</f>
        <v>961.55</v>
      </c>
      <c r="K1237" s="1">
        <f ca="1">IFERROR(__xludf.DUMMYFUNCTION("""COMPUTED_VALUE"""),159.67)</f>
        <v>159.66999999999999</v>
      </c>
      <c r="L1237" s="1">
        <f ca="1">IFERROR(__xludf.DUMMYFUNCTION("""COMPUTED_VALUE"""),513.68)</f>
        <v>513.67999999999995</v>
      </c>
      <c r="M1237" s="1">
        <f ca="1">IFERROR(__xludf.DUMMYFUNCTION("""COMPUTED_VALUE"""),877.34)</f>
        <v>877.34</v>
      </c>
    </row>
    <row r="1238" spans="1:13" x14ac:dyDescent="0.25">
      <c r="A1238" s="2">
        <f ca="1">IFERROR(__xludf.DUMMYFUNCTION("""COMPUTED_VALUE"""),45629.6666666666)</f>
        <v>45629.666666666599</v>
      </c>
      <c r="B1238" s="1">
        <f ca="1">IFERROR(__xludf.DUMMYFUNCTION("""COMPUTED_VALUE"""),242.65)</f>
        <v>242.65</v>
      </c>
      <c r="C1238" s="1">
        <f ca="1">IFERROR(__xludf.DUMMYFUNCTION("""COMPUTED_VALUE"""),423.46)</f>
        <v>423.46</v>
      </c>
      <c r="D1238" s="1">
        <f ca="1">IFERROR(__xludf.DUMMYFUNCTION("""COMPUTED_VALUE"""),207.89)</f>
        <v>207.89</v>
      </c>
      <c r="E1238" s="1">
        <f ca="1">IFERROR(__xludf.DUMMYFUNCTION("""COMPUTED_VALUE"""),138.25)</f>
        <v>138.25</v>
      </c>
      <c r="F1238" s="1">
        <f ca="1">IFERROR(__xludf.DUMMYFUNCTION("""COMPUTED_VALUE"""),574.32)</f>
        <v>574.32000000000005</v>
      </c>
      <c r="G1238" s="1">
        <f ca="1">IFERROR(__xludf.DUMMYFUNCTION("""COMPUTED_VALUE"""),170.49)</f>
        <v>170.49</v>
      </c>
      <c r="H1238" s="1">
        <f ca="1">IFERROR(__xludf.DUMMYFUNCTION("""COMPUTED_VALUE"""),345.16)</f>
        <v>345.16</v>
      </c>
      <c r="I1238" s="1">
        <f ca="1">IFERROR(__xludf.DUMMYFUNCTION("""COMPUTED_VALUE"""),163.45)</f>
        <v>163.44999999999999</v>
      </c>
      <c r="J1238" s="1">
        <f ca="1">IFERROR(__xludf.DUMMYFUNCTION("""COMPUTED_VALUE"""),971.88)</f>
        <v>971.88</v>
      </c>
      <c r="K1238" s="1">
        <f ca="1">IFERROR(__xludf.DUMMYFUNCTION("""COMPUTED_VALUE"""),162.08)</f>
        <v>162.08000000000001</v>
      </c>
      <c r="L1238" s="1">
        <f ca="1">IFERROR(__xludf.DUMMYFUNCTION("""COMPUTED_VALUE"""),515.93)</f>
        <v>515.92999999999995</v>
      </c>
      <c r="M1238" s="1">
        <f ca="1">IFERROR(__xludf.DUMMYFUNCTION("""COMPUTED_VALUE"""),886.81)</f>
        <v>886.81</v>
      </c>
    </row>
    <row r="1239" spans="1:13" x14ac:dyDescent="0.25">
      <c r="A1239" s="2">
        <f ca="1">IFERROR(__xludf.DUMMYFUNCTION("""COMPUTED_VALUE"""),45630.6666666666)</f>
        <v>45630.666666666599</v>
      </c>
      <c r="B1239" s="1">
        <f ca="1">IFERROR(__xludf.DUMMYFUNCTION("""COMPUTED_VALUE"""),243.01)</f>
        <v>243.01</v>
      </c>
      <c r="C1239" s="1">
        <f ca="1">IFERROR(__xludf.DUMMYFUNCTION("""COMPUTED_VALUE"""),430.98)</f>
        <v>430.98</v>
      </c>
      <c r="D1239" s="1">
        <f ca="1">IFERROR(__xludf.DUMMYFUNCTION("""COMPUTED_VALUE"""),210.71)</f>
        <v>210.71</v>
      </c>
      <c r="E1239" s="1">
        <f ca="1">IFERROR(__xludf.DUMMYFUNCTION("""COMPUTED_VALUE"""),138.63)</f>
        <v>138.63</v>
      </c>
      <c r="F1239" s="1">
        <f ca="1">IFERROR(__xludf.DUMMYFUNCTION("""COMPUTED_VALUE"""),592.83)</f>
        <v>592.83000000000004</v>
      </c>
      <c r="G1239" s="1">
        <f ca="1">IFERROR(__xludf.DUMMYFUNCTION("""COMPUTED_VALUE"""),172.98)</f>
        <v>172.98</v>
      </c>
      <c r="H1239" s="1">
        <f ca="1">IFERROR(__xludf.DUMMYFUNCTION("""COMPUTED_VALUE"""),357.09)</f>
        <v>357.09</v>
      </c>
      <c r="I1239" s="1">
        <f ca="1">IFERROR(__xludf.DUMMYFUNCTION("""COMPUTED_VALUE"""),163.05)</f>
        <v>163.05000000000001</v>
      </c>
      <c r="J1239" s="1">
        <f ca="1">IFERROR(__xludf.DUMMYFUNCTION("""COMPUTED_VALUE"""),975)</f>
        <v>975</v>
      </c>
      <c r="K1239" s="1">
        <f ca="1">IFERROR(__xludf.DUMMYFUNCTION("""COMPUTED_VALUE"""),166.51)</f>
        <v>166.51</v>
      </c>
      <c r="L1239" s="1">
        <f ca="1">IFERROR(__xludf.DUMMYFUNCTION("""COMPUTED_VALUE"""),516.2)</f>
        <v>516.20000000000005</v>
      </c>
      <c r="M1239" s="1">
        <f ca="1">IFERROR(__xludf.DUMMYFUNCTION("""COMPUTED_VALUE"""),897.74)</f>
        <v>897.74</v>
      </c>
    </row>
    <row r="1240" spans="1:13" x14ac:dyDescent="0.25">
      <c r="A1240" s="2">
        <f ca="1">IFERROR(__xludf.DUMMYFUNCTION("""COMPUTED_VALUE"""),45631.6666666666)</f>
        <v>45631.666666666599</v>
      </c>
      <c r="B1240" s="1">
        <f ca="1">IFERROR(__xludf.DUMMYFUNCTION("""COMPUTED_VALUE"""),243.04)</f>
        <v>243.04</v>
      </c>
      <c r="C1240" s="1">
        <f ca="1">IFERROR(__xludf.DUMMYFUNCTION("""COMPUTED_VALUE"""),431.2)</f>
        <v>431.2</v>
      </c>
      <c r="D1240" s="1">
        <f ca="1">IFERROR(__xludf.DUMMYFUNCTION("""COMPUTED_VALUE"""),213.44)</f>
        <v>213.44</v>
      </c>
      <c r="E1240" s="1">
        <f ca="1">IFERROR(__xludf.DUMMYFUNCTION("""COMPUTED_VALUE"""),140.26)</f>
        <v>140.26</v>
      </c>
      <c r="F1240" s="1">
        <f ca="1">IFERROR(__xludf.DUMMYFUNCTION("""COMPUTED_VALUE"""),613.65)</f>
        <v>613.65</v>
      </c>
      <c r="G1240" s="1">
        <f ca="1">IFERROR(__xludf.DUMMYFUNCTION("""COMPUTED_VALUE"""),173.02)</f>
        <v>173.02</v>
      </c>
      <c r="H1240" s="1">
        <f ca="1">IFERROR(__xludf.DUMMYFUNCTION("""COMPUTED_VALUE"""),351.42)</f>
        <v>351.42</v>
      </c>
      <c r="I1240" s="1">
        <f ca="1">IFERROR(__xludf.DUMMYFUNCTION("""COMPUTED_VALUE"""),161.7)</f>
        <v>161.69999999999999</v>
      </c>
      <c r="J1240" s="1">
        <f ca="1">IFERROR(__xludf.DUMMYFUNCTION("""COMPUTED_VALUE"""),982.15)</f>
        <v>982.15</v>
      </c>
      <c r="K1240" s="1">
        <f ca="1">IFERROR(__xludf.DUMMYFUNCTION("""COMPUTED_VALUE"""),168.15)</f>
        <v>168.15</v>
      </c>
      <c r="L1240" s="1">
        <f ca="1">IFERROR(__xludf.DUMMYFUNCTION("""COMPUTED_VALUE"""),516.26)</f>
        <v>516.26</v>
      </c>
      <c r="M1240" s="1">
        <f ca="1">IFERROR(__xludf.DUMMYFUNCTION("""COMPUTED_VALUE"""),902.17)</f>
        <v>902.17</v>
      </c>
    </row>
    <row r="1241" spans="1:13" x14ac:dyDescent="0.25">
      <c r="A1241" s="2">
        <f ca="1">IFERROR(__xludf.DUMMYFUNCTION("""COMPUTED_VALUE"""),45632.6666666666)</f>
        <v>45632.666666666599</v>
      </c>
      <c r="B1241" s="1">
        <f ca="1">IFERROR(__xludf.DUMMYFUNCTION("""COMPUTED_VALUE"""),242.84)</f>
        <v>242.84</v>
      </c>
      <c r="C1241" s="1">
        <f ca="1">IFERROR(__xludf.DUMMYFUNCTION("""COMPUTED_VALUE"""),437.42)</f>
        <v>437.42</v>
      </c>
      <c r="D1241" s="1">
        <f ca="1">IFERROR(__xludf.DUMMYFUNCTION("""COMPUTED_VALUE"""),218.16)</f>
        <v>218.16</v>
      </c>
      <c r="E1241" s="1">
        <f ca="1">IFERROR(__xludf.DUMMYFUNCTION("""COMPUTED_VALUE"""),145.14)</f>
        <v>145.13999999999999</v>
      </c>
      <c r="F1241" s="1">
        <f ca="1">IFERROR(__xludf.DUMMYFUNCTION("""COMPUTED_VALUE"""),613.78)</f>
        <v>613.78</v>
      </c>
      <c r="G1241" s="1">
        <f ca="1">IFERROR(__xludf.DUMMYFUNCTION("""COMPUTED_VALUE"""),176.09)</f>
        <v>176.09</v>
      </c>
      <c r="H1241" s="1">
        <f ca="1">IFERROR(__xludf.DUMMYFUNCTION("""COMPUTED_VALUE"""),357.93)</f>
        <v>357.93</v>
      </c>
      <c r="I1241" s="1">
        <f ca="1">IFERROR(__xludf.DUMMYFUNCTION("""COMPUTED_VALUE"""),160.18)</f>
        <v>160.18</v>
      </c>
      <c r="J1241" s="1">
        <f ca="1">IFERROR(__xludf.DUMMYFUNCTION("""COMPUTED_VALUE"""),990.92)</f>
        <v>990.92</v>
      </c>
      <c r="K1241" s="1">
        <f ca="1">IFERROR(__xludf.DUMMYFUNCTION("""COMPUTED_VALUE"""),170.56)</f>
        <v>170.56</v>
      </c>
      <c r="L1241" s="1">
        <f ca="1">IFERROR(__xludf.DUMMYFUNCTION("""COMPUTED_VALUE"""),536.49)</f>
        <v>536.49</v>
      </c>
      <c r="M1241" s="1">
        <f ca="1">IFERROR(__xludf.DUMMYFUNCTION("""COMPUTED_VALUE"""),911.06)</f>
        <v>911.06</v>
      </c>
    </row>
    <row r="1242" spans="1:13" x14ac:dyDescent="0.25">
      <c r="A1242" s="2">
        <f ca="1">IFERROR(__xludf.DUMMYFUNCTION("""COMPUTED_VALUE"""),45635.6666666666)</f>
        <v>45635.666666666599</v>
      </c>
      <c r="B1242" s="1">
        <f ca="1">IFERROR(__xludf.DUMMYFUNCTION("""COMPUTED_VALUE"""),246.75)</f>
        <v>246.75</v>
      </c>
      <c r="C1242" s="1">
        <f ca="1">IFERROR(__xludf.DUMMYFUNCTION("""COMPUTED_VALUE"""),442.62)</f>
        <v>442.62</v>
      </c>
      <c r="D1242" s="1">
        <f ca="1">IFERROR(__xludf.DUMMYFUNCTION("""COMPUTED_VALUE"""),220.55)</f>
        <v>220.55</v>
      </c>
      <c r="E1242" s="1">
        <f ca="1">IFERROR(__xludf.DUMMYFUNCTION("""COMPUTED_VALUE"""),145.06)</f>
        <v>145.06</v>
      </c>
      <c r="F1242" s="1">
        <f ca="1">IFERROR(__xludf.DUMMYFUNCTION("""COMPUTED_VALUE"""),608.93)</f>
        <v>608.92999999999995</v>
      </c>
      <c r="G1242" s="1">
        <f ca="1">IFERROR(__xludf.DUMMYFUNCTION("""COMPUTED_VALUE"""),174.31)</f>
        <v>174.31</v>
      </c>
      <c r="H1242" s="1">
        <f ca="1">IFERROR(__xludf.DUMMYFUNCTION("""COMPUTED_VALUE"""),369.49)</f>
        <v>369.49</v>
      </c>
      <c r="I1242" s="1">
        <f ca="1">IFERROR(__xludf.DUMMYFUNCTION("""COMPUTED_VALUE"""),160.49)</f>
        <v>160.49</v>
      </c>
      <c r="J1242" s="1">
        <f ca="1">IFERROR(__xludf.DUMMYFUNCTION("""COMPUTED_VALUE"""),982.26)</f>
        <v>982.26</v>
      </c>
      <c r="K1242" s="1">
        <f ca="1">IFERROR(__xludf.DUMMYFUNCTION("""COMPUTED_VALUE"""),170.47)</f>
        <v>170.47</v>
      </c>
      <c r="L1242" s="1">
        <f ca="1">IFERROR(__xludf.DUMMYFUNCTION("""COMPUTED_VALUE"""),538.22)</f>
        <v>538.22</v>
      </c>
      <c r="M1242" s="1">
        <f ca="1">IFERROR(__xludf.DUMMYFUNCTION("""COMPUTED_VALUE"""),917.87)</f>
        <v>917.87</v>
      </c>
    </row>
    <row r="1243" spans="1:13" x14ac:dyDescent="0.25">
      <c r="A1243" s="2">
        <f ca="1">IFERROR(__xludf.DUMMYFUNCTION("""COMPUTED_VALUE"""),45636.6666666666)</f>
        <v>45636.666666666599</v>
      </c>
      <c r="B1243" s="1">
        <f ca="1">IFERROR(__xludf.DUMMYFUNCTION("""COMPUTED_VALUE"""),247.77)</f>
        <v>247.77</v>
      </c>
      <c r="C1243" s="1">
        <f ca="1">IFERROR(__xludf.DUMMYFUNCTION("""COMPUTED_VALUE"""),443.57)</f>
        <v>443.57</v>
      </c>
      <c r="D1243" s="1">
        <f ca="1">IFERROR(__xludf.DUMMYFUNCTION("""COMPUTED_VALUE"""),227.03)</f>
        <v>227.03</v>
      </c>
      <c r="E1243" s="1">
        <f ca="1">IFERROR(__xludf.DUMMYFUNCTION("""COMPUTED_VALUE"""),142.44)</f>
        <v>142.44</v>
      </c>
      <c r="F1243" s="1">
        <f ca="1">IFERROR(__xludf.DUMMYFUNCTION("""COMPUTED_VALUE"""),623.77)</f>
        <v>623.77</v>
      </c>
      <c r="G1243" s="1">
        <f ca="1">IFERROR(__xludf.DUMMYFUNCTION("""COMPUTED_VALUE"""),176.49)</f>
        <v>176.49</v>
      </c>
      <c r="H1243" s="1">
        <f ca="1">IFERROR(__xludf.DUMMYFUNCTION("""COMPUTED_VALUE"""),389.22)</f>
        <v>389.22</v>
      </c>
      <c r="I1243" s="1">
        <f ca="1">IFERROR(__xludf.DUMMYFUNCTION("""COMPUTED_VALUE"""),157.79)</f>
        <v>157.79</v>
      </c>
      <c r="J1243" s="1">
        <f ca="1">IFERROR(__xludf.DUMMYFUNCTION("""COMPUTED_VALUE"""),992.61)</f>
        <v>992.61</v>
      </c>
      <c r="K1243" s="1">
        <f ca="1">IFERROR(__xludf.DUMMYFUNCTION("""COMPUTED_VALUE"""),179.53)</f>
        <v>179.53</v>
      </c>
      <c r="L1243" s="1">
        <f ca="1">IFERROR(__xludf.DUMMYFUNCTION("""COMPUTED_VALUE"""),552.96)</f>
        <v>552.96</v>
      </c>
      <c r="M1243" s="1">
        <f ca="1">IFERROR(__xludf.DUMMYFUNCTION("""COMPUTED_VALUE"""),934.74)</f>
        <v>934.74</v>
      </c>
    </row>
    <row r="1244" spans="1:13" x14ac:dyDescent="0.25">
      <c r="A1244" s="2">
        <f ca="1">IFERROR(__xludf.DUMMYFUNCTION("""COMPUTED_VALUE"""),45637.6666666666)</f>
        <v>45637.666666666599</v>
      </c>
      <c r="B1244" s="1">
        <f ca="1">IFERROR(__xludf.DUMMYFUNCTION("""COMPUTED_VALUE"""),246.49)</f>
        <v>246.49</v>
      </c>
      <c r="C1244" s="1">
        <f ca="1">IFERROR(__xludf.DUMMYFUNCTION("""COMPUTED_VALUE"""),446.02)</f>
        <v>446.02</v>
      </c>
      <c r="D1244" s="1">
        <f ca="1">IFERROR(__xludf.DUMMYFUNCTION("""COMPUTED_VALUE"""),226.09)</f>
        <v>226.09</v>
      </c>
      <c r="E1244" s="1">
        <f ca="1">IFERROR(__xludf.DUMMYFUNCTION("""COMPUTED_VALUE"""),138.81)</f>
        <v>138.81</v>
      </c>
      <c r="F1244" s="1">
        <f ca="1">IFERROR(__xludf.DUMMYFUNCTION("""COMPUTED_VALUE"""),613.57)</f>
        <v>613.57000000000005</v>
      </c>
      <c r="G1244" s="1">
        <f ca="1">IFERROR(__xludf.DUMMYFUNCTION("""COMPUTED_VALUE"""),177.1)</f>
        <v>177.1</v>
      </c>
      <c r="H1244" s="1">
        <f ca="1">IFERROR(__xludf.DUMMYFUNCTION("""COMPUTED_VALUE"""),389.79)</f>
        <v>389.79</v>
      </c>
      <c r="I1244" s="1">
        <f ca="1">IFERROR(__xludf.DUMMYFUNCTION("""COMPUTED_VALUE"""),159.47)</f>
        <v>159.47</v>
      </c>
      <c r="J1244" s="1">
        <f ca="1">IFERROR(__xludf.DUMMYFUNCTION("""COMPUTED_VALUE"""),987.86)</f>
        <v>987.86</v>
      </c>
      <c r="K1244" s="1">
        <f ca="1">IFERROR(__xludf.DUMMYFUNCTION("""COMPUTED_VALUE"""),178.94)</f>
        <v>178.94</v>
      </c>
      <c r="L1244" s="1">
        <f ca="1">IFERROR(__xludf.DUMMYFUNCTION("""COMPUTED_VALUE"""),547.93)</f>
        <v>547.92999999999995</v>
      </c>
      <c r="M1244" s="1">
        <f ca="1">IFERROR(__xludf.DUMMYFUNCTION("""COMPUTED_VALUE"""),913.69)</f>
        <v>913.69</v>
      </c>
    </row>
    <row r="1245" spans="1:13" x14ac:dyDescent="0.25">
      <c r="A1245" s="2">
        <f ca="1">IFERROR(__xludf.DUMMYFUNCTION("""COMPUTED_VALUE"""),45638.6666666666)</f>
        <v>45638.666666666599</v>
      </c>
      <c r="B1245" s="1">
        <f ca="1">IFERROR(__xludf.DUMMYFUNCTION("""COMPUTED_VALUE"""),247.96)</f>
        <v>247.96</v>
      </c>
      <c r="C1245" s="1">
        <f ca="1">IFERROR(__xludf.DUMMYFUNCTION("""COMPUTED_VALUE"""),443.33)</f>
        <v>443.33</v>
      </c>
      <c r="D1245" s="1">
        <f ca="1">IFERROR(__xludf.DUMMYFUNCTION("""COMPUTED_VALUE"""),225.04)</f>
        <v>225.04</v>
      </c>
      <c r="E1245" s="1">
        <f ca="1">IFERROR(__xludf.DUMMYFUNCTION("""COMPUTED_VALUE"""),135.07)</f>
        <v>135.07</v>
      </c>
      <c r="F1245" s="1">
        <f ca="1">IFERROR(__xludf.DUMMYFUNCTION("""COMPUTED_VALUE"""),619.32)</f>
        <v>619.32000000000005</v>
      </c>
      <c r="G1245" s="1">
        <f ca="1">IFERROR(__xludf.DUMMYFUNCTION("""COMPUTED_VALUE"""),186.53)</f>
        <v>186.53</v>
      </c>
      <c r="H1245" s="1">
        <f ca="1">IFERROR(__xludf.DUMMYFUNCTION("""COMPUTED_VALUE"""),400.99)</f>
        <v>400.99</v>
      </c>
      <c r="I1245" s="1">
        <f ca="1">IFERROR(__xludf.DUMMYFUNCTION("""COMPUTED_VALUE"""),159.84)</f>
        <v>159.84</v>
      </c>
      <c r="J1245" s="1">
        <f ca="1">IFERROR(__xludf.DUMMYFUNCTION("""COMPUTED_VALUE"""),993.4)</f>
        <v>993.4</v>
      </c>
      <c r="K1245" s="1">
        <f ca="1">IFERROR(__xludf.DUMMYFUNCTION("""COMPUTED_VALUE"""),171.81)</f>
        <v>171.81</v>
      </c>
      <c r="L1245" s="1">
        <f ca="1">IFERROR(__xludf.DUMMYFUNCTION("""COMPUTED_VALUE"""),547.05)</f>
        <v>547.04999999999995</v>
      </c>
      <c r="M1245" s="1">
        <f ca="1">IFERROR(__xludf.DUMMYFUNCTION("""COMPUTED_VALUE"""),913.35)</f>
        <v>913.35</v>
      </c>
    </row>
    <row r="1246" spans="1:13" x14ac:dyDescent="0.25">
      <c r="A1246" s="2">
        <f ca="1">IFERROR(__xludf.DUMMYFUNCTION("""COMPUTED_VALUE"""),45639.6666666666)</f>
        <v>45639.666666666599</v>
      </c>
      <c r="B1246" s="1">
        <f ca="1">IFERROR(__xludf.DUMMYFUNCTION("""COMPUTED_VALUE"""),248.13)</f>
        <v>248.13</v>
      </c>
      <c r="C1246" s="1">
        <f ca="1">IFERROR(__xludf.DUMMYFUNCTION("""COMPUTED_VALUE"""),448.99)</f>
        <v>448.99</v>
      </c>
      <c r="D1246" s="1">
        <f ca="1">IFERROR(__xludf.DUMMYFUNCTION("""COMPUTED_VALUE"""),230.26)</f>
        <v>230.26</v>
      </c>
      <c r="E1246" s="1">
        <f ca="1">IFERROR(__xludf.DUMMYFUNCTION("""COMPUTED_VALUE"""),139.31)</f>
        <v>139.31</v>
      </c>
      <c r="F1246" s="1">
        <f ca="1">IFERROR(__xludf.DUMMYFUNCTION("""COMPUTED_VALUE"""),632.68)</f>
        <v>632.67999999999995</v>
      </c>
      <c r="G1246" s="1">
        <f ca="1">IFERROR(__xludf.DUMMYFUNCTION("""COMPUTED_VALUE"""),196.71)</f>
        <v>196.71</v>
      </c>
      <c r="H1246" s="1">
        <f ca="1">IFERROR(__xludf.DUMMYFUNCTION("""COMPUTED_VALUE"""),424.77)</f>
        <v>424.77</v>
      </c>
      <c r="I1246" s="1">
        <f ca="1">IFERROR(__xludf.DUMMYFUNCTION("""COMPUTED_VALUE"""),156.77)</f>
        <v>156.77000000000001</v>
      </c>
      <c r="J1246" s="1">
        <f ca="1">IFERROR(__xludf.DUMMYFUNCTION("""COMPUTED_VALUE"""),994.69)</f>
        <v>994.69</v>
      </c>
      <c r="K1246" s="1">
        <f ca="1">IFERROR(__xludf.DUMMYFUNCTION("""COMPUTED_VALUE"""),183.2)</f>
        <v>183.2</v>
      </c>
      <c r="L1246" s="1">
        <f ca="1">IFERROR(__xludf.DUMMYFUNCTION("""COMPUTED_VALUE"""),549.93)</f>
        <v>549.92999999999995</v>
      </c>
      <c r="M1246" s="1">
        <f ca="1">IFERROR(__xludf.DUMMYFUNCTION("""COMPUTED_VALUE"""),936.56)</f>
        <v>936.56</v>
      </c>
    </row>
    <row r="1247" spans="1:13" x14ac:dyDescent="0.25">
      <c r="A1247" s="2">
        <f ca="1">IFERROR(__xludf.DUMMYFUNCTION("""COMPUTED_VALUE"""),45642.6666666666)</f>
        <v>45642.666666666599</v>
      </c>
      <c r="B1247" s="1">
        <f ca="1">IFERROR(__xludf.DUMMYFUNCTION("""COMPUTED_VALUE"""),251.04)</f>
        <v>251.04</v>
      </c>
      <c r="C1247" s="1">
        <f ca="1">IFERROR(__xludf.DUMMYFUNCTION("""COMPUTED_VALUE"""),449.56)</f>
        <v>449.56</v>
      </c>
      <c r="D1247" s="1">
        <f ca="1">IFERROR(__xludf.DUMMYFUNCTION("""COMPUTED_VALUE"""),228.97)</f>
        <v>228.97</v>
      </c>
      <c r="E1247" s="1">
        <f ca="1">IFERROR(__xludf.DUMMYFUNCTION("""COMPUTED_VALUE"""),137.34)</f>
        <v>137.34</v>
      </c>
      <c r="F1247" s="1">
        <f ca="1">IFERROR(__xludf.DUMMYFUNCTION("""COMPUTED_VALUE"""),630.79)</f>
        <v>630.79</v>
      </c>
      <c r="G1247" s="1">
        <f ca="1">IFERROR(__xludf.DUMMYFUNCTION("""COMPUTED_VALUE"""),193.63)</f>
        <v>193.63</v>
      </c>
      <c r="H1247" s="1">
        <f ca="1">IFERROR(__xludf.DUMMYFUNCTION("""COMPUTED_VALUE"""),418.1)</f>
        <v>418.1</v>
      </c>
      <c r="I1247" s="1">
        <f ca="1">IFERROR(__xludf.DUMMYFUNCTION("""COMPUTED_VALUE"""),158.9)</f>
        <v>158.9</v>
      </c>
      <c r="J1247" s="1">
        <f ca="1">IFERROR(__xludf.DUMMYFUNCTION("""COMPUTED_VALUE"""),988.39)</f>
        <v>988.39</v>
      </c>
      <c r="K1247" s="1">
        <f ca="1">IFERROR(__xludf.DUMMYFUNCTION("""COMPUTED_VALUE"""),180.66)</f>
        <v>180.66</v>
      </c>
      <c r="L1247" s="1">
        <f ca="1">IFERROR(__xludf.DUMMYFUNCTION("""COMPUTED_VALUE"""),474.63)</f>
        <v>474.63</v>
      </c>
      <c r="M1247" s="1">
        <f ca="1">IFERROR(__xludf.DUMMYFUNCTION("""COMPUTED_VALUE"""),925.55)</f>
        <v>925.55</v>
      </c>
    </row>
    <row r="1248" spans="1:13" x14ac:dyDescent="0.25">
      <c r="A1248" s="2">
        <f ca="1">IFERROR(__xludf.DUMMYFUNCTION("""COMPUTED_VALUE"""),45643.6666666666)</f>
        <v>45643.666666666599</v>
      </c>
      <c r="B1248" s="1">
        <f ca="1">IFERROR(__xludf.DUMMYFUNCTION("""COMPUTED_VALUE"""),253.48)</f>
        <v>253.48</v>
      </c>
      <c r="C1248" s="1">
        <f ca="1">IFERROR(__xludf.DUMMYFUNCTION("""COMPUTED_VALUE"""),447.27)</f>
        <v>447.27</v>
      </c>
      <c r="D1248" s="1">
        <f ca="1">IFERROR(__xludf.DUMMYFUNCTION("""COMPUTED_VALUE"""),227.46)</f>
        <v>227.46</v>
      </c>
      <c r="E1248" s="1">
        <f ca="1">IFERROR(__xludf.DUMMYFUNCTION("""COMPUTED_VALUE"""),134.25)</f>
        <v>134.25</v>
      </c>
      <c r="F1248" s="1">
        <f ca="1">IFERROR(__xludf.DUMMYFUNCTION("""COMPUTED_VALUE"""),620.35)</f>
        <v>620.35</v>
      </c>
      <c r="G1248" s="1">
        <f ca="1">IFERROR(__xludf.DUMMYFUNCTION("""COMPUTED_VALUE"""),191.38)</f>
        <v>191.38</v>
      </c>
      <c r="H1248" s="1">
        <f ca="1">IFERROR(__xludf.DUMMYFUNCTION("""COMPUTED_VALUE"""),436.23)</f>
        <v>436.23</v>
      </c>
      <c r="I1248" s="1">
        <f ca="1">IFERROR(__xludf.DUMMYFUNCTION("""COMPUTED_VALUE"""),157.97)</f>
        <v>157.97</v>
      </c>
      <c r="J1248" s="1">
        <f ca="1">IFERROR(__xludf.DUMMYFUNCTION("""COMPUTED_VALUE"""),989.35)</f>
        <v>989.35</v>
      </c>
      <c r="K1248" s="1">
        <f ca="1">IFERROR(__xludf.DUMMYFUNCTION("""COMPUTED_VALUE"""),224.8)</f>
        <v>224.8</v>
      </c>
      <c r="L1248" s="1">
        <f ca="1">IFERROR(__xludf.DUMMYFUNCTION("""COMPUTED_VALUE"""),465.69)</f>
        <v>465.69</v>
      </c>
      <c r="M1248" s="1">
        <f ca="1">IFERROR(__xludf.DUMMYFUNCTION("""COMPUTED_VALUE"""),918.87)</f>
        <v>918.87</v>
      </c>
    </row>
    <row r="1249" spans="1:13" x14ac:dyDescent="0.25">
      <c r="A1249" s="2">
        <f ca="1">IFERROR(__xludf.DUMMYFUNCTION("""COMPUTED_VALUE"""),45644.6666666666)</f>
        <v>45644.666666666599</v>
      </c>
      <c r="B1249" s="1">
        <f ca="1">IFERROR(__xludf.DUMMYFUNCTION("""COMPUTED_VALUE"""),248.05)</f>
        <v>248.05</v>
      </c>
      <c r="C1249" s="1">
        <f ca="1">IFERROR(__xludf.DUMMYFUNCTION("""COMPUTED_VALUE"""),451.59)</f>
        <v>451.59</v>
      </c>
      <c r="D1249" s="1">
        <f ca="1">IFERROR(__xludf.DUMMYFUNCTION("""COMPUTED_VALUE"""),232.93)</f>
        <v>232.93</v>
      </c>
      <c r="E1249" s="1">
        <f ca="1">IFERROR(__xludf.DUMMYFUNCTION("""COMPUTED_VALUE"""),132)</f>
        <v>132</v>
      </c>
      <c r="F1249" s="1">
        <f ca="1">IFERROR(__xludf.DUMMYFUNCTION("""COMPUTED_VALUE"""),624.24)</f>
        <v>624.24</v>
      </c>
      <c r="G1249" s="1">
        <f ca="1">IFERROR(__xludf.DUMMYFUNCTION("""COMPUTED_VALUE"""),198.16)</f>
        <v>198.16</v>
      </c>
      <c r="H1249" s="1">
        <f ca="1">IFERROR(__xludf.DUMMYFUNCTION("""COMPUTED_VALUE"""),463.02)</f>
        <v>463.02</v>
      </c>
      <c r="I1249" s="1">
        <f ca="1">IFERROR(__xludf.DUMMYFUNCTION("""COMPUTED_VALUE"""),156.02)</f>
        <v>156.02000000000001</v>
      </c>
      <c r="J1249" s="1">
        <f ca="1">IFERROR(__xludf.DUMMYFUNCTION("""COMPUTED_VALUE"""),992.87)</f>
        <v>992.87</v>
      </c>
      <c r="K1249" s="1">
        <f ca="1">IFERROR(__xludf.DUMMYFUNCTION("""COMPUTED_VALUE"""),250)</f>
        <v>250</v>
      </c>
      <c r="L1249" s="1">
        <f ca="1">IFERROR(__xludf.DUMMYFUNCTION("""COMPUTED_VALUE"""),461.53)</f>
        <v>461.53</v>
      </c>
      <c r="M1249" s="1">
        <f ca="1">IFERROR(__xludf.DUMMYFUNCTION("""COMPUTED_VALUE"""),921.08)</f>
        <v>921.08</v>
      </c>
    </row>
    <row r="1250" spans="1:13" x14ac:dyDescent="0.25">
      <c r="A1250" s="2">
        <f ca="1">IFERROR(__xludf.DUMMYFUNCTION("""COMPUTED_VALUE"""),45645.6666666666)</f>
        <v>45645.666666666599</v>
      </c>
      <c r="B1250" s="1">
        <f ca="1">IFERROR(__xludf.DUMMYFUNCTION("""COMPUTED_VALUE"""),249.79)</f>
        <v>249.79</v>
      </c>
      <c r="C1250" s="1">
        <f ca="1">IFERROR(__xludf.DUMMYFUNCTION("""COMPUTED_VALUE"""),454.46)</f>
        <v>454.46</v>
      </c>
      <c r="D1250" s="1">
        <f ca="1">IFERROR(__xludf.DUMMYFUNCTION("""COMPUTED_VALUE"""),231.15)</f>
        <v>231.15</v>
      </c>
      <c r="E1250" s="1">
        <f ca="1">IFERROR(__xludf.DUMMYFUNCTION("""COMPUTED_VALUE"""),130.39)</f>
        <v>130.38999999999999</v>
      </c>
      <c r="F1250" s="1">
        <f ca="1">IFERROR(__xludf.DUMMYFUNCTION("""COMPUTED_VALUE"""),619.44)</f>
        <v>619.44000000000005</v>
      </c>
      <c r="G1250" s="1">
        <f ca="1">IFERROR(__xludf.DUMMYFUNCTION("""COMPUTED_VALUE"""),197.12)</f>
        <v>197.12</v>
      </c>
      <c r="H1250" s="1">
        <f ca="1">IFERROR(__xludf.DUMMYFUNCTION("""COMPUTED_VALUE"""),479.86)</f>
        <v>479.86</v>
      </c>
      <c r="I1250" s="1">
        <f ca="1">IFERROR(__xludf.DUMMYFUNCTION("""COMPUTED_VALUE"""),156.14)</f>
        <v>156.13999999999999</v>
      </c>
      <c r="J1250" s="1">
        <f ca="1">IFERROR(__xludf.DUMMYFUNCTION("""COMPUTED_VALUE"""),982.08)</f>
        <v>982.08</v>
      </c>
      <c r="K1250" s="1">
        <f ca="1">IFERROR(__xludf.DUMMYFUNCTION("""COMPUTED_VALUE"""),240.23)</f>
        <v>240.23</v>
      </c>
      <c r="L1250" s="1">
        <f ca="1">IFERROR(__xludf.DUMMYFUNCTION("""COMPUTED_VALUE"""),455.23)</f>
        <v>455.23</v>
      </c>
      <c r="M1250" s="1">
        <f ca="1">IFERROR(__xludf.DUMMYFUNCTION("""COMPUTED_VALUE"""),919.13)</f>
        <v>919.13</v>
      </c>
    </row>
    <row r="1251" spans="1:13" x14ac:dyDescent="0.25">
      <c r="A1251" s="2">
        <f ca="1">IFERROR(__xludf.DUMMYFUNCTION("""COMPUTED_VALUE"""),45646.6666666666)</f>
        <v>45646.666666666599</v>
      </c>
      <c r="B1251" s="1">
        <f ca="1">IFERROR(__xludf.DUMMYFUNCTION("""COMPUTED_VALUE"""),254.49)</f>
        <v>254.49</v>
      </c>
      <c r="C1251" s="1">
        <f ca="1">IFERROR(__xludf.DUMMYFUNCTION("""COMPUTED_VALUE"""),437.39)</f>
        <v>437.39</v>
      </c>
      <c r="D1251" s="1">
        <f ca="1">IFERROR(__xludf.DUMMYFUNCTION("""COMPUTED_VALUE"""),220.52)</f>
        <v>220.52</v>
      </c>
      <c r="E1251" s="1">
        <f ca="1">IFERROR(__xludf.DUMMYFUNCTION("""COMPUTED_VALUE"""),128.91)</f>
        <v>128.91</v>
      </c>
      <c r="F1251" s="1">
        <f ca="1">IFERROR(__xludf.DUMMYFUNCTION("""COMPUTED_VALUE"""),597.19)</f>
        <v>597.19000000000005</v>
      </c>
      <c r="G1251" s="1">
        <f ca="1">IFERROR(__xludf.DUMMYFUNCTION("""COMPUTED_VALUE"""),190.15)</f>
        <v>190.15</v>
      </c>
      <c r="H1251" s="1">
        <f ca="1">IFERROR(__xludf.DUMMYFUNCTION("""COMPUTED_VALUE"""),440.13)</f>
        <v>440.13</v>
      </c>
      <c r="I1251" s="1">
        <f ca="1">IFERROR(__xludf.DUMMYFUNCTION("""COMPUTED_VALUE"""),154.43)</f>
        <v>154.43</v>
      </c>
      <c r="J1251" s="1">
        <f ca="1">IFERROR(__xludf.DUMMYFUNCTION("""COMPUTED_VALUE"""),964.74)</f>
        <v>964.74</v>
      </c>
      <c r="K1251" s="1">
        <f ca="1">IFERROR(__xludf.DUMMYFUNCTION("""COMPUTED_VALUE"""),223.62)</f>
        <v>223.62</v>
      </c>
      <c r="L1251" s="1">
        <f ca="1">IFERROR(__xludf.DUMMYFUNCTION("""COMPUTED_VALUE"""),441.31)</f>
        <v>441.31</v>
      </c>
      <c r="M1251" s="1">
        <f ca="1">IFERROR(__xludf.DUMMYFUNCTION("""COMPUTED_VALUE"""),889.55)</f>
        <v>889.55</v>
      </c>
    </row>
    <row r="1252" spans="1:13" x14ac:dyDescent="0.25">
      <c r="A1252" s="2">
        <f ca="1">IFERROR(__xludf.DUMMYFUNCTION("""COMPUTED_VALUE"""),45649.6666666666)</f>
        <v>45649.666666666599</v>
      </c>
      <c r="B1252" s="1">
        <f ca="1">IFERROR(__xludf.DUMMYFUNCTION("""COMPUTED_VALUE"""),255.27)</f>
        <v>255.27</v>
      </c>
      <c r="C1252" s="1">
        <f ca="1">IFERROR(__xludf.DUMMYFUNCTION("""COMPUTED_VALUE"""),437.03)</f>
        <v>437.03</v>
      </c>
      <c r="D1252" s="1">
        <f ca="1">IFERROR(__xludf.DUMMYFUNCTION("""COMPUTED_VALUE"""),223.29)</f>
        <v>223.29</v>
      </c>
      <c r="E1252" s="1">
        <f ca="1">IFERROR(__xludf.DUMMYFUNCTION("""COMPUTED_VALUE"""),130.68)</f>
        <v>130.68</v>
      </c>
      <c r="F1252" s="1">
        <f ca="1">IFERROR(__xludf.DUMMYFUNCTION("""COMPUTED_VALUE"""),595.57)</f>
        <v>595.57000000000005</v>
      </c>
      <c r="G1252" s="1">
        <f ca="1">IFERROR(__xludf.DUMMYFUNCTION("""COMPUTED_VALUE"""),189.7)</f>
        <v>189.7</v>
      </c>
      <c r="H1252" s="1">
        <f ca="1">IFERROR(__xludf.DUMMYFUNCTION("""COMPUTED_VALUE"""),436.17)</f>
        <v>436.17</v>
      </c>
      <c r="I1252" s="1">
        <f ca="1">IFERROR(__xludf.DUMMYFUNCTION("""COMPUTED_VALUE"""),151.47)</f>
        <v>151.47</v>
      </c>
      <c r="J1252" s="1">
        <f ca="1">IFERROR(__xludf.DUMMYFUNCTION("""COMPUTED_VALUE"""),954.8)</f>
        <v>954.8</v>
      </c>
      <c r="K1252" s="1">
        <f ca="1">IFERROR(__xludf.DUMMYFUNCTION("""COMPUTED_VALUE"""),218.32)</f>
        <v>218.32</v>
      </c>
      <c r="L1252" s="1">
        <f ca="1">IFERROR(__xludf.DUMMYFUNCTION("""COMPUTED_VALUE"""),437.39)</f>
        <v>437.39</v>
      </c>
      <c r="M1252" s="1">
        <f ca="1">IFERROR(__xludf.DUMMYFUNCTION("""COMPUTED_VALUE"""),902.04)</f>
        <v>902.04</v>
      </c>
    </row>
    <row r="1253" spans="1:13" x14ac:dyDescent="0.25">
      <c r="A1253" s="2">
        <f ca="1">IFERROR(__xludf.DUMMYFUNCTION("""COMPUTED_VALUE"""),45650.5451388888)</f>
        <v>45650.545138888803</v>
      </c>
      <c r="B1253" s="1">
        <f ca="1">IFERROR(__xludf.DUMMYFUNCTION("""COMPUTED_VALUE"""),258.2)</f>
        <v>258.2</v>
      </c>
      <c r="C1253" s="1">
        <f ca="1">IFERROR(__xludf.DUMMYFUNCTION("""COMPUTED_VALUE"""),436.6)</f>
        <v>436.6</v>
      </c>
      <c r="D1253" s="1">
        <f ca="1">IFERROR(__xludf.DUMMYFUNCTION("""COMPUTED_VALUE"""),224.92)</f>
        <v>224.92</v>
      </c>
      <c r="E1253" s="1">
        <f ca="1">IFERROR(__xludf.DUMMYFUNCTION("""COMPUTED_VALUE"""),134.7)</f>
        <v>134.69999999999999</v>
      </c>
      <c r="F1253" s="1">
        <f ca="1">IFERROR(__xludf.DUMMYFUNCTION("""COMPUTED_VALUE"""),585.25)</f>
        <v>585.25</v>
      </c>
      <c r="G1253" s="1">
        <f ca="1">IFERROR(__xludf.DUMMYFUNCTION("""COMPUTED_VALUE"""),192.96)</f>
        <v>192.96</v>
      </c>
      <c r="H1253" s="1">
        <f ca="1">IFERROR(__xludf.DUMMYFUNCTION("""COMPUTED_VALUE"""),421.06)</f>
        <v>421.06</v>
      </c>
      <c r="I1253" s="1">
        <f ca="1">IFERROR(__xludf.DUMMYFUNCTION("""COMPUTED_VALUE"""),152.79)</f>
        <v>152.79</v>
      </c>
      <c r="J1253" s="1">
        <f ca="1">IFERROR(__xludf.DUMMYFUNCTION("""COMPUTED_VALUE"""),954.07)</f>
        <v>954.07</v>
      </c>
      <c r="K1253" s="1">
        <f ca="1">IFERROR(__xludf.DUMMYFUNCTION("""COMPUTED_VALUE"""),220.79)</f>
        <v>220.79</v>
      </c>
      <c r="L1253" s="1">
        <f ca="1">IFERROR(__xludf.DUMMYFUNCTION("""COMPUTED_VALUE"""),447.17)</f>
        <v>447.17</v>
      </c>
      <c r="M1253" s="1">
        <f ca="1">IFERROR(__xludf.DUMMYFUNCTION("""COMPUTED_VALUE"""),909.05)</f>
        <v>909.05</v>
      </c>
    </row>
    <row r="1254" spans="1:13" x14ac:dyDescent="0.25">
      <c r="A1254" s="2">
        <f ca="1">IFERROR(__xludf.DUMMYFUNCTION("""COMPUTED_VALUE"""),45652.6666666666)</f>
        <v>45652.666666666599</v>
      </c>
      <c r="B1254" s="1">
        <f ca="1">IFERROR(__xludf.DUMMYFUNCTION("""COMPUTED_VALUE"""),259.02)</f>
        <v>259.02</v>
      </c>
      <c r="C1254" s="1">
        <f ca="1">IFERROR(__xludf.DUMMYFUNCTION("""COMPUTED_VALUE"""),435.25)</f>
        <v>435.25</v>
      </c>
      <c r="D1254" s="1">
        <f ca="1">IFERROR(__xludf.DUMMYFUNCTION("""COMPUTED_VALUE"""),225.06)</f>
        <v>225.06</v>
      </c>
      <c r="E1254" s="1">
        <f ca="1">IFERROR(__xludf.DUMMYFUNCTION("""COMPUTED_VALUE"""),139.67)</f>
        <v>139.66999999999999</v>
      </c>
      <c r="F1254" s="1">
        <f ca="1">IFERROR(__xludf.DUMMYFUNCTION("""COMPUTED_VALUE"""),599.85)</f>
        <v>599.85</v>
      </c>
      <c r="G1254" s="1">
        <f ca="1">IFERROR(__xludf.DUMMYFUNCTION("""COMPUTED_VALUE"""),195.99)</f>
        <v>195.99</v>
      </c>
      <c r="H1254" s="1">
        <f ca="1">IFERROR(__xludf.DUMMYFUNCTION("""COMPUTED_VALUE"""),430.6)</f>
        <v>430.6</v>
      </c>
      <c r="I1254" s="1">
        <f ca="1">IFERROR(__xludf.DUMMYFUNCTION("""COMPUTED_VALUE"""),151.29)</f>
        <v>151.29</v>
      </c>
      <c r="J1254" s="1">
        <f ca="1">IFERROR(__xludf.DUMMYFUNCTION("""COMPUTED_VALUE"""),949.91)</f>
        <v>949.91</v>
      </c>
      <c r="K1254" s="1">
        <f ca="1">IFERROR(__xludf.DUMMYFUNCTION("""COMPUTED_VALUE"""),232.35)</f>
        <v>232.35</v>
      </c>
      <c r="L1254" s="1">
        <f ca="1">IFERROR(__xludf.DUMMYFUNCTION("""COMPUTED_VALUE"""),446.74)</f>
        <v>446.74</v>
      </c>
      <c r="M1254" s="1">
        <f ca="1">IFERROR(__xludf.DUMMYFUNCTION("""COMPUTED_VALUE"""),911.45)</f>
        <v>911.45</v>
      </c>
    </row>
    <row r="1255" spans="1:13" x14ac:dyDescent="0.25">
      <c r="A1255" s="2">
        <f ca="1">IFERROR(__xludf.DUMMYFUNCTION("""COMPUTED_VALUE"""),45653.6666666666)</f>
        <v>45653.666666666599</v>
      </c>
      <c r="B1255" s="1">
        <f ca="1">IFERROR(__xludf.DUMMYFUNCTION("""COMPUTED_VALUE"""),255.59)</f>
        <v>255.59</v>
      </c>
      <c r="C1255" s="1">
        <f ca="1">IFERROR(__xludf.DUMMYFUNCTION("""COMPUTED_VALUE"""),439.33)</f>
        <v>439.33</v>
      </c>
      <c r="D1255" s="1">
        <f ca="1">IFERROR(__xludf.DUMMYFUNCTION("""COMPUTED_VALUE"""),229.05)</f>
        <v>229.05</v>
      </c>
      <c r="E1255" s="1">
        <f ca="1">IFERROR(__xludf.DUMMYFUNCTION("""COMPUTED_VALUE"""),140.22)</f>
        <v>140.22</v>
      </c>
      <c r="F1255" s="1">
        <f ca="1">IFERROR(__xludf.DUMMYFUNCTION("""COMPUTED_VALUE"""),607.75)</f>
        <v>607.75</v>
      </c>
      <c r="G1255" s="1">
        <f ca="1">IFERROR(__xludf.DUMMYFUNCTION("""COMPUTED_VALUE"""),197.57)</f>
        <v>197.57</v>
      </c>
      <c r="H1255" s="1">
        <f ca="1">IFERROR(__xludf.DUMMYFUNCTION("""COMPUTED_VALUE"""),462.28)</f>
        <v>462.28</v>
      </c>
      <c r="I1255" s="1">
        <f ca="1">IFERROR(__xludf.DUMMYFUNCTION("""COMPUTED_VALUE"""),152.81)</f>
        <v>152.81</v>
      </c>
      <c r="J1255" s="1">
        <f ca="1">IFERROR(__xludf.DUMMYFUNCTION("""COMPUTED_VALUE"""),958.82)</f>
        <v>958.82</v>
      </c>
      <c r="K1255" s="1">
        <f ca="1">IFERROR(__xludf.DUMMYFUNCTION("""COMPUTED_VALUE"""),239.68)</f>
        <v>239.68</v>
      </c>
      <c r="L1255" s="1">
        <f ca="1">IFERROR(__xludf.DUMMYFUNCTION("""COMPUTED_VALUE"""),447.94)</f>
        <v>447.94</v>
      </c>
      <c r="M1255" s="1">
        <f ca="1">IFERROR(__xludf.DUMMYFUNCTION("""COMPUTED_VALUE"""),932.12)</f>
        <v>932.12</v>
      </c>
    </row>
    <row r="1256" spans="1:13" x14ac:dyDescent="0.25">
      <c r="A1256" s="2">
        <f ca="1">IFERROR(__xludf.DUMMYFUNCTION("""COMPUTED_VALUE"""),45656.6666666666)</f>
        <v>45656.666666666599</v>
      </c>
      <c r="B1256" s="1">
        <f ca="1">IFERROR(__xludf.DUMMYFUNCTION("""COMPUTED_VALUE"""),252.2)</f>
        <v>252.2</v>
      </c>
      <c r="C1256" s="1">
        <f ca="1">IFERROR(__xludf.DUMMYFUNCTION("""COMPUTED_VALUE"""),438.11)</f>
        <v>438.11</v>
      </c>
      <c r="D1256" s="1">
        <f ca="1">IFERROR(__xludf.DUMMYFUNCTION("""COMPUTED_VALUE"""),227.05)</f>
        <v>227.05</v>
      </c>
      <c r="E1256" s="1">
        <f ca="1">IFERROR(__xludf.DUMMYFUNCTION("""COMPUTED_VALUE"""),139.93)</f>
        <v>139.93</v>
      </c>
      <c r="F1256" s="1">
        <f ca="1">IFERROR(__xludf.DUMMYFUNCTION("""COMPUTED_VALUE"""),603.35)</f>
        <v>603.35</v>
      </c>
      <c r="G1256" s="1">
        <f ca="1">IFERROR(__xludf.DUMMYFUNCTION("""COMPUTED_VALUE"""),197.1)</f>
        <v>197.1</v>
      </c>
      <c r="H1256" s="1">
        <f ca="1">IFERROR(__xludf.DUMMYFUNCTION("""COMPUTED_VALUE"""),454.13)</f>
        <v>454.13</v>
      </c>
      <c r="I1256" s="1">
        <f ca="1">IFERROR(__xludf.DUMMYFUNCTION("""COMPUTED_VALUE"""),152.44)</f>
        <v>152.44</v>
      </c>
      <c r="J1256" s="1">
        <f ca="1">IFERROR(__xludf.DUMMYFUNCTION("""COMPUTED_VALUE"""),956.14)</f>
        <v>956.14</v>
      </c>
      <c r="K1256" s="1">
        <f ca="1">IFERROR(__xludf.DUMMYFUNCTION("""COMPUTED_VALUE"""),245.36)</f>
        <v>245.36</v>
      </c>
      <c r="L1256" s="1">
        <f ca="1">IFERROR(__xludf.DUMMYFUNCTION("""COMPUTED_VALUE"""),450.16)</f>
        <v>450.16</v>
      </c>
      <c r="M1256" s="1">
        <f ca="1">IFERROR(__xludf.DUMMYFUNCTION("""COMPUTED_VALUE"""),924.14)</f>
        <v>924.14</v>
      </c>
    </row>
    <row r="1257" spans="1:13" x14ac:dyDescent="0.25">
      <c r="A1257" s="2">
        <f ca="1">IFERROR(__xludf.DUMMYFUNCTION("""COMPUTED_VALUE"""),45657.6666666666)</f>
        <v>45657.666666666599</v>
      </c>
      <c r="B1257" s="1">
        <f ca="1">IFERROR(__xludf.DUMMYFUNCTION("""COMPUTED_VALUE"""),250.42)</f>
        <v>250.42</v>
      </c>
      <c r="C1257" s="1">
        <f ca="1">IFERROR(__xludf.DUMMYFUNCTION("""COMPUTED_VALUE"""),430.53)</f>
        <v>430.53</v>
      </c>
      <c r="D1257" s="1">
        <f ca="1">IFERROR(__xludf.DUMMYFUNCTION("""COMPUTED_VALUE"""),223.75)</f>
        <v>223.75</v>
      </c>
      <c r="E1257" s="1">
        <f ca="1">IFERROR(__xludf.DUMMYFUNCTION("""COMPUTED_VALUE"""),137.01)</f>
        <v>137.01</v>
      </c>
      <c r="F1257" s="1">
        <f ca="1">IFERROR(__xludf.DUMMYFUNCTION("""COMPUTED_VALUE"""),599.81)</f>
        <v>599.80999999999995</v>
      </c>
      <c r="G1257" s="1">
        <f ca="1">IFERROR(__xludf.DUMMYFUNCTION("""COMPUTED_VALUE"""),194.04)</f>
        <v>194.04</v>
      </c>
      <c r="H1257" s="1">
        <f ca="1">IFERROR(__xludf.DUMMYFUNCTION("""COMPUTED_VALUE"""),431.66)</f>
        <v>431.66</v>
      </c>
      <c r="I1257" s="1">
        <f ca="1">IFERROR(__xludf.DUMMYFUNCTION("""COMPUTED_VALUE"""),152.89)</f>
        <v>152.88999999999999</v>
      </c>
      <c r="J1257" s="1">
        <f ca="1">IFERROR(__xludf.DUMMYFUNCTION("""COMPUTED_VALUE"""),939.7)</f>
        <v>939.7</v>
      </c>
      <c r="K1257" s="1">
        <f ca="1">IFERROR(__xludf.DUMMYFUNCTION("""COMPUTED_VALUE"""),241.75)</f>
        <v>241.75</v>
      </c>
      <c r="L1257" s="1">
        <f ca="1">IFERROR(__xludf.DUMMYFUNCTION("""COMPUTED_VALUE"""),446.48)</f>
        <v>446.48</v>
      </c>
      <c r="M1257" s="1">
        <f ca="1">IFERROR(__xludf.DUMMYFUNCTION("""COMPUTED_VALUE"""),907.55)</f>
        <v>907.55</v>
      </c>
    </row>
    <row r="1258" spans="1:13" x14ac:dyDescent="0.25">
      <c r="A1258" s="2">
        <f ca="1">IFERROR(__xludf.DUMMYFUNCTION("""COMPUTED_VALUE"""),45659.6666666666)</f>
        <v>45659.666666666599</v>
      </c>
      <c r="B1258" s="1">
        <f ca="1">IFERROR(__xludf.DUMMYFUNCTION("""COMPUTED_VALUE"""),243.85)</f>
        <v>243.85</v>
      </c>
      <c r="C1258" s="1">
        <f ca="1">IFERROR(__xludf.DUMMYFUNCTION("""COMPUTED_VALUE"""),424.83)</f>
        <v>424.83</v>
      </c>
      <c r="D1258" s="1">
        <f ca="1">IFERROR(__xludf.DUMMYFUNCTION("""COMPUTED_VALUE"""),221.3)</f>
        <v>221.3</v>
      </c>
      <c r="E1258" s="1">
        <f ca="1">IFERROR(__xludf.DUMMYFUNCTION("""COMPUTED_VALUE"""),137.49)</f>
        <v>137.49</v>
      </c>
      <c r="F1258" s="1">
        <f ca="1">IFERROR(__xludf.DUMMYFUNCTION("""COMPUTED_VALUE"""),591.24)</f>
        <v>591.24</v>
      </c>
      <c r="G1258" s="1">
        <f ca="1">IFERROR(__xludf.DUMMYFUNCTION("""COMPUTED_VALUE"""),192.69)</f>
        <v>192.69</v>
      </c>
      <c r="H1258" s="1">
        <f ca="1">IFERROR(__xludf.DUMMYFUNCTION("""COMPUTED_VALUE"""),417.41)</f>
        <v>417.41</v>
      </c>
      <c r="I1258" s="1">
        <f ca="1">IFERROR(__xludf.DUMMYFUNCTION("""COMPUTED_VALUE"""),151.72)</f>
        <v>151.72</v>
      </c>
      <c r="J1258" s="1">
        <f ca="1">IFERROR(__xludf.DUMMYFUNCTION("""COMPUTED_VALUE"""),922.21)</f>
        <v>922.21</v>
      </c>
      <c r="K1258" s="1">
        <f ca="1">IFERROR(__xludf.DUMMYFUNCTION("""COMPUTED_VALUE"""),235.58)</f>
        <v>235.58</v>
      </c>
      <c r="L1258" s="1">
        <f ca="1">IFERROR(__xludf.DUMMYFUNCTION("""COMPUTED_VALUE"""),445.8)</f>
        <v>445.8</v>
      </c>
      <c r="M1258" s="1">
        <f ca="1">IFERROR(__xludf.DUMMYFUNCTION("""COMPUTED_VALUE"""),900.43)</f>
        <v>900.43</v>
      </c>
    </row>
    <row r="1259" spans="1:13" x14ac:dyDescent="0.25">
      <c r="A1259" s="2">
        <f ca="1">IFERROR(__xludf.DUMMYFUNCTION("""COMPUTED_VALUE"""),45660.6666666666)</f>
        <v>45660.666666666599</v>
      </c>
      <c r="B1259" s="1">
        <f ca="1">IFERROR(__xludf.DUMMYFUNCTION("""COMPUTED_VALUE"""),243.36)</f>
        <v>243.36</v>
      </c>
      <c r="C1259" s="1">
        <f ca="1">IFERROR(__xludf.DUMMYFUNCTION("""COMPUTED_VALUE"""),421.5)</f>
        <v>421.5</v>
      </c>
      <c r="D1259" s="1">
        <f ca="1">IFERROR(__xludf.DUMMYFUNCTION("""COMPUTED_VALUE"""),219.39)</f>
        <v>219.39</v>
      </c>
      <c r="E1259" s="1">
        <f ca="1">IFERROR(__xludf.DUMMYFUNCTION("""COMPUTED_VALUE"""),134.29)</f>
        <v>134.29</v>
      </c>
      <c r="F1259" s="1">
        <f ca="1">IFERROR(__xludf.DUMMYFUNCTION("""COMPUTED_VALUE"""),585.51)</f>
        <v>585.51</v>
      </c>
      <c r="G1259" s="1">
        <f ca="1">IFERROR(__xludf.DUMMYFUNCTION("""COMPUTED_VALUE"""),190.44)</f>
        <v>190.44</v>
      </c>
      <c r="H1259" s="1">
        <f ca="1">IFERROR(__xludf.DUMMYFUNCTION("""COMPUTED_VALUE"""),403.84)</f>
        <v>403.84</v>
      </c>
      <c r="I1259" s="1">
        <f ca="1">IFERROR(__xludf.DUMMYFUNCTION("""COMPUTED_VALUE"""),152.06)</f>
        <v>152.06</v>
      </c>
      <c r="J1259" s="1">
        <f ca="1">IFERROR(__xludf.DUMMYFUNCTION("""COMPUTED_VALUE"""),916.27)</f>
        <v>916.27</v>
      </c>
      <c r="K1259" s="1">
        <f ca="1">IFERROR(__xludf.DUMMYFUNCTION("""COMPUTED_VALUE"""),231.84)</f>
        <v>231.84</v>
      </c>
      <c r="L1259" s="1">
        <f ca="1">IFERROR(__xludf.DUMMYFUNCTION("""COMPUTED_VALUE"""),444.68)</f>
        <v>444.68</v>
      </c>
      <c r="M1259" s="1">
        <f ca="1">IFERROR(__xludf.DUMMYFUNCTION("""COMPUTED_VALUE"""),891.32)</f>
        <v>891.32</v>
      </c>
    </row>
    <row r="1260" spans="1:13" x14ac:dyDescent="0.25">
      <c r="A1260" s="2">
        <f ca="1">IFERROR(__xludf.DUMMYFUNCTION("""COMPUTED_VALUE"""),45663.6666666666)</f>
        <v>45663.666666666599</v>
      </c>
      <c r="B1260" s="1">
        <f ca="1">IFERROR(__xludf.DUMMYFUNCTION("""COMPUTED_VALUE"""),245)</f>
        <v>245</v>
      </c>
      <c r="C1260" s="1">
        <f ca="1">IFERROR(__xludf.DUMMYFUNCTION("""COMPUTED_VALUE"""),418.58)</f>
        <v>418.58</v>
      </c>
      <c r="D1260" s="1">
        <f ca="1">IFERROR(__xludf.DUMMYFUNCTION("""COMPUTED_VALUE"""),220.22)</f>
        <v>220.22</v>
      </c>
      <c r="E1260" s="1">
        <f ca="1">IFERROR(__xludf.DUMMYFUNCTION("""COMPUTED_VALUE"""),138.31)</f>
        <v>138.31</v>
      </c>
      <c r="F1260" s="1">
        <f ca="1">IFERROR(__xludf.DUMMYFUNCTION("""COMPUTED_VALUE"""),599.24)</f>
        <v>599.24</v>
      </c>
      <c r="G1260" s="1">
        <f ca="1">IFERROR(__xludf.DUMMYFUNCTION("""COMPUTED_VALUE"""),190.63)</f>
        <v>190.63</v>
      </c>
      <c r="H1260" s="1">
        <f ca="1">IFERROR(__xludf.DUMMYFUNCTION("""COMPUTED_VALUE"""),379.28)</f>
        <v>379.28</v>
      </c>
      <c r="I1260" s="1">
        <f ca="1">IFERROR(__xludf.DUMMYFUNCTION("""COMPUTED_VALUE"""),150.21)</f>
        <v>150.21</v>
      </c>
      <c r="J1260" s="1">
        <f ca="1">IFERROR(__xludf.DUMMYFUNCTION("""COMPUTED_VALUE"""),909.81)</f>
        <v>909.81</v>
      </c>
      <c r="K1260" s="1">
        <f ca="1">IFERROR(__xludf.DUMMYFUNCTION("""COMPUTED_VALUE"""),231.98)</f>
        <v>231.98</v>
      </c>
      <c r="L1260" s="1">
        <f ca="1">IFERROR(__xludf.DUMMYFUNCTION("""COMPUTED_VALUE"""),441)</f>
        <v>441</v>
      </c>
      <c r="M1260" s="1">
        <f ca="1">IFERROR(__xludf.DUMMYFUNCTION("""COMPUTED_VALUE"""),886.73)</f>
        <v>886.73</v>
      </c>
    </row>
    <row r="1261" spans="1:13" x14ac:dyDescent="0.25">
      <c r="A1261" s="2">
        <f ca="1">IFERROR(__xludf.DUMMYFUNCTION("""COMPUTED_VALUE"""),45664.6666666666)</f>
        <v>45664.666666666599</v>
      </c>
      <c r="B1261" s="1">
        <f ca="1">IFERROR(__xludf.DUMMYFUNCTION("""COMPUTED_VALUE"""),242.21)</f>
        <v>242.21</v>
      </c>
      <c r="C1261" s="1">
        <f ca="1">IFERROR(__xludf.DUMMYFUNCTION("""COMPUTED_VALUE"""),423.35)</f>
        <v>423.35</v>
      </c>
      <c r="D1261" s="1">
        <f ca="1">IFERROR(__xludf.DUMMYFUNCTION("""COMPUTED_VALUE"""),224.19)</f>
        <v>224.19</v>
      </c>
      <c r="E1261" s="1">
        <f ca="1">IFERROR(__xludf.DUMMYFUNCTION("""COMPUTED_VALUE"""),144.47)</f>
        <v>144.47</v>
      </c>
      <c r="F1261" s="1">
        <f ca="1">IFERROR(__xludf.DUMMYFUNCTION("""COMPUTED_VALUE"""),604.63)</f>
        <v>604.63</v>
      </c>
      <c r="G1261" s="1">
        <f ca="1">IFERROR(__xludf.DUMMYFUNCTION("""COMPUTED_VALUE"""),193.13)</f>
        <v>193.13</v>
      </c>
      <c r="H1261" s="1">
        <f ca="1">IFERROR(__xludf.DUMMYFUNCTION("""COMPUTED_VALUE"""),410.44)</f>
        <v>410.44</v>
      </c>
      <c r="I1261" s="1">
        <f ca="1">IFERROR(__xludf.DUMMYFUNCTION("""COMPUTED_VALUE"""),149.65)</f>
        <v>149.65</v>
      </c>
      <c r="J1261" s="1">
        <f ca="1">IFERROR(__xludf.DUMMYFUNCTION("""COMPUTED_VALUE"""),916.58)</f>
        <v>916.58</v>
      </c>
      <c r="K1261" s="1">
        <f ca="1">IFERROR(__xludf.DUMMYFUNCTION("""COMPUTED_VALUE"""),232.55)</f>
        <v>232.55</v>
      </c>
      <c r="L1261" s="1">
        <f ca="1">IFERROR(__xludf.DUMMYFUNCTION("""COMPUTED_VALUE"""),430.57)</f>
        <v>430.57</v>
      </c>
      <c r="M1261" s="1">
        <f ca="1">IFERROR(__xludf.DUMMYFUNCTION("""COMPUTED_VALUE"""),881.05)</f>
        <v>881.05</v>
      </c>
    </row>
    <row r="1262" spans="1:13" x14ac:dyDescent="0.25">
      <c r="A1262" s="2">
        <f ca="1">IFERROR(__xludf.DUMMYFUNCTION("""COMPUTED_VALUE"""),45665.6666666666)</f>
        <v>45665.666666666599</v>
      </c>
      <c r="B1262" s="1">
        <f ca="1">IFERROR(__xludf.DUMMYFUNCTION("""COMPUTED_VALUE"""),242.7)</f>
        <v>242.7</v>
      </c>
      <c r="C1262" s="1">
        <f ca="1">IFERROR(__xludf.DUMMYFUNCTION("""COMPUTED_VALUE"""),427.85)</f>
        <v>427.85</v>
      </c>
      <c r="D1262" s="1">
        <f ca="1">IFERROR(__xludf.DUMMYFUNCTION("""COMPUTED_VALUE"""),227.61)</f>
        <v>227.61</v>
      </c>
      <c r="E1262" s="1">
        <f ca="1">IFERROR(__xludf.DUMMYFUNCTION("""COMPUTED_VALUE"""),149.43)</f>
        <v>149.43</v>
      </c>
      <c r="F1262" s="1">
        <f ca="1">IFERROR(__xludf.DUMMYFUNCTION("""COMPUTED_VALUE"""),630.2)</f>
        <v>630.20000000000005</v>
      </c>
      <c r="G1262" s="1">
        <f ca="1">IFERROR(__xludf.DUMMYFUNCTION("""COMPUTED_VALUE"""),197.96)</f>
        <v>197.96</v>
      </c>
      <c r="H1262" s="1">
        <f ca="1">IFERROR(__xludf.DUMMYFUNCTION("""COMPUTED_VALUE"""),411.05)</f>
        <v>411.05</v>
      </c>
      <c r="I1262" s="1">
        <f ca="1">IFERROR(__xludf.DUMMYFUNCTION("""COMPUTED_VALUE"""),146.27)</f>
        <v>146.27000000000001</v>
      </c>
      <c r="J1262" s="1">
        <f ca="1">IFERROR(__xludf.DUMMYFUNCTION("""COMPUTED_VALUE"""),922.71)</f>
        <v>922.71</v>
      </c>
      <c r="K1262" s="1">
        <f ca="1">IFERROR(__xludf.DUMMYFUNCTION("""COMPUTED_VALUE"""),236.41)</f>
        <v>236.41</v>
      </c>
      <c r="L1262" s="1">
        <f ca="1">IFERROR(__xludf.DUMMYFUNCTION("""COMPUTED_VALUE"""),431.18)</f>
        <v>431.18</v>
      </c>
      <c r="M1262" s="1">
        <f ca="1">IFERROR(__xludf.DUMMYFUNCTION("""COMPUTED_VALUE"""),881.79)</f>
        <v>881.79</v>
      </c>
    </row>
    <row r="1263" spans="1:13" x14ac:dyDescent="0.25">
      <c r="A1263" s="2">
        <f ca="1">IFERROR(__xludf.DUMMYFUNCTION("""COMPUTED_VALUE"""),45667.6666666666)</f>
        <v>45667.666666666599</v>
      </c>
      <c r="B1263" s="1">
        <f ca="1">IFERROR(__xludf.DUMMYFUNCTION("""COMPUTED_VALUE"""),236.85)</f>
        <v>236.85</v>
      </c>
      <c r="C1263" s="1">
        <f ca="1">IFERROR(__xludf.DUMMYFUNCTION("""COMPUTED_VALUE"""),422.37)</f>
        <v>422.37</v>
      </c>
      <c r="D1263" s="1">
        <f ca="1">IFERROR(__xludf.DUMMYFUNCTION("""COMPUTED_VALUE"""),222.11)</f>
        <v>222.11</v>
      </c>
      <c r="E1263" s="1">
        <f ca="1">IFERROR(__xludf.DUMMYFUNCTION("""COMPUTED_VALUE"""),140.14)</f>
        <v>140.13999999999999</v>
      </c>
      <c r="F1263" s="1">
        <f ca="1">IFERROR(__xludf.DUMMYFUNCTION("""COMPUTED_VALUE"""),617.89)</f>
        <v>617.89</v>
      </c>
      <c r="G1263" s="1">
        <f ca="1">IFERROR(__xludf.DUMMYFUNCTION("""COMPUTED_VALUE"""),196.71)</f>
        <v>196.71</v>
      </c>
      <c r="H1263" s="1">
        <f ca="1">IFERROR(__xludf.DUMMYFUNCTION("""COMPUTED_VALUE"""),394.36)</f>
        <v>394.36</v>
      </c>
      <c r="I1263" s="1">
        <f ca="1">IFERROR(__xludf.DUMMYFUNCTION("""COMPUTED_VALUE"""),145.4)</f>
        <v>145.4</v>
      </c>
      <c r="J1263" s="1">
        <f ca="1">IFERROR(__xludf.DUMMYFUNCTION("""COMPUTED_VALUE"""),921.37)</f>
        <v>921.37</v>
      </c>
      <c r="K1263" s="1">
        <f ca="1">IFERROR(__xludf.DUMMYFUNCTION("""COMPUTED_VALUE"""),228.64)</f>
        <v>228.64</v>
      </c>
      <c r="L1263" s="1">
        <f ca="1">IFERROR(__xludf.DUMMYFUNCTION("""COMPUTED_VALUE"""),422.63)</f>
        <v>422.63</v>
      </c>
      <c r="M1263" s="1">
        <f ca="1">IFERROR(__xludf.DUMMYFUNCTION("""COMPUTED_VALUE"""),879.19)</f>
        <v>879.19</v>
      </c>
    </row>
    <row r="1264" spans="1:13" x14ac:dyDescent="0.25">
      <c r="A1264" s="2">
        <f ca="1">IFERROR(__xludf.DUMMYFUNCTION("""COMPUTED_VALUE"""),45670.6666666666)</f>
        <v>45670.666666666599</v>
      </c>
      <c r="B1264" s="1">
        <f ca="1">IFERROR(__xludf.DUMMYFUNCTION("""COMPUTED_VALUE"""),234.4)</f>
        <v>234.4</v>
      </c>
      <c r="C1264" s="1">
        <f ca="1">IFERROR(__xludf.DUMMYFUNCTION("""COMPUTED_VALUE"""),424.56)</f>
        <v>424.56</v>
      </c>
      <c r="D1264" s="1">
        <f ca="1">IFERROR(__xludf.DUMMYFUNCTION("""COMPUTED_VALUE"""),222.13)</f>
        <v>222.13</v>
      </c>
      <c r="E1264" s="1">
        <f ca="1">IFERROR(__xludf.DUMMYFUNCTION("""COMPUTED_VALUE"""),140.11)</f>
        <v>140.11000000000001</v>
      </c>
      <c r="F1264" s="1">
        <f ca="1">IFERROR(__xludf.DUMMYFUNCTION("""COMPUTED_VALUE"""),610.72)</f>
        <v>610.72</v>
      </c>
      <c r="G1264" s="1">
        <f ca="1">IFERROR(__xludf.DUMMYFUNCTION("""COMPUTED_VALUE"""),195.39)</f>
        <v>195.39</v>
      </c>
      <c r="H1264" s="1">
        <f ca="1">IFERROR(__xludf.DUMMYFUNCTION("""COMPUTED_VALUE"""),394.94)</f>
        <v>394.94</v>
      </c>
      <c r="I1264" s="1">
        <f ca="1">IFERROR(__xludf.DUMMYFUNCTION("""COMPUTED_VALUE"""),146.54)</f>
        <v>146.54</v>
      </c>
      <c r="J1264" s="1">
        <f ca="1">IFERROR(__xludf.DUMMYFUNCTION("""COMPUTED_VALUE"""),927.37)</f>
        <v>927.37</v>
      </c>
      <c r="K1264" s="1">
        <f ca="1">IFERROR(__xludf.DUMMYFUNCTION("""COMPUTED_VALUE"""),229.31)</f>
        <v>229.31</v>
      </c>
      <c r="L1264" s="1">
        <f ca="1">IFERROR(__xludf.DUMMYFUNCTION("""COMPUTED_VALUE"""),419.58)</f>
        <v>419.58</v>
      </c>
      <c r="M1264" s="1">
        <f ca="1">IFERROR(__xludf.DUMMYFUNCTION("""COMPUTED_VALUE"""),875)</f>
        <v>875</v>
      </c>
    </row>
    <row r="1265" spans="1:13" x14ac:dyDescent="0.25">
      <c r="A1265" s="2">
        <f ca="1">IFERROR(__xludf.DUMMYFUNCTION("""COMPUTED_VALUE"""),45671.6666666666)</f>
        <v>45671.666666666599</v>
      </c>
      <c r="B1265" s="1">
        <f ca="1">IFERROR(__xludf.DUMMYFUNCTION("""COMPUTED_VALUE"""),233.28)</f>
        <v>233.28</v>
      </c>
      <c r="C1265" s="1">
        <f ca="1">IFERROR(__xludf.DUMMYFUNCTION("""COMPUTED_VALUE"""),418.95)</f>
        <v>418.95</v>
      </c>
      <c r="D1265" s="1">
        <f ca="1">IFERROR(__xludf.DUMMYFUNCTION("""COMPUTED_VALUE"""),218.94)</f>
        <v>218.94</v>
      </c>
      <c r="E1265" s="1">
        <f ca="1">IFERROR(__xludf.DUMMYFUNCTION("""COMPUTED_VALUE"""),135.91)</f>
        <v>135.91</v>
      </c>
      <c r="F1265" s="1">
        <f ca="1">IFERROR(__xludf.DUMMYFUNCTION("""COMPUTED_VALUE"""),615.86)</f>
        <v>615.86</v>
      </c>
      <c r="G1265" s="1">
        <f ca="1">IFERROR(__xludf.DUMMYFUNCTION("""COMPUTED_VALUE"""),193.17)</f>
        <v>193.17</v>
      </c>
      <c r="H1265" s="1">
        <f ca="1">IFERROR(__xludf.DUMMYFUNCTION("""COMPUTED_VALUE"""),394.74)</f>
        <v>394.74</v>
      </c>
      <c r="I1265" s="1">
        <f ca="1">IFERROR(__xludf.DUMMYFUNCTION("""COMPUTED_VALUE"""),142.64)</f>
        <v>142.63999999999999</v>
      </c>
      <c r="J1265" s="1">
        <f ca="1">IFERROR(__xludf.DUMMYFUNCTION("""COMPUTED_VALUE"""),936.94)</f>
        <v>936.94</v>
      </c>
      <c r="K1265" s="1">
        <f ca="1">IFERROR(__xludf.DUMMYFUNCTION("""COMPUTED_VALUE"""),224.31)</f>
        <v>224.31</v>
      </c>
      <c r="L1265" s="1">
        <f ca="1">IFERROR(__xludf.DUMMYFUNCTION("""COMPUTED_VALUE"""),405.92)</f>
        <v>405.92</v>
      </c>
      <c r="M1265" s="1">
        <f ca="1">IFERROR(__xludf.DUMMYFUNCTION("""COMPUTED_VALUE"""),837.69)</f>
        <v>837.69</v>
      </c>
    </row>
    <row r="1266" spans="1:13" x14ac:dyDescent="0.25">
      <c r="A1266" s="2">
        <f ca="1">IFERROR(__xludf.DUMMYFUNCTION("""COMPUTED_VALUE"""),45672.6666666666)</f>
        <v>45672.666666666599</v>
      </c>
      <c r="B1266" s="1">
        <f ca="1">IFERROR(__xludf.DUMMYFUNCTION("""COMPUTED_VALUE"""),237.87)</f>
        <v>237.87</v>
      </c>
      <c r="C1266" s="1">
        <f ca="1">IFERROR(__xludf.DUMMYFUNCTION("""COMPUTED_VALUE"""),417.19)</f>
        <v>417.19</v>
      </c>
      <c r="D1266" s="1">
        <f ca="1">IFERROR(__xludf.DUMMYFUNCTION("""COMPUTED_VALUE"""),218.46)</f>
        <v>218.46</v>
      </c>
      <c r="E1266" s="1">
        <f ca="1">IFERROR(__xludf.DUMMYFUNCTION("""COMPUTED_VALUE"""),133.23)</f>
        <v>133.22999999999999</v>
      </c>
      <c r="F1266" s="1">
        <f ca="1">IFERROR(__xludf.DUMMYFUNCTION("""COMPUTED_VALUE"""),608.33)</f>
        <v>608.33000000000004</v>
      </c>
      <c r="G1266" s="1">
        <f ca="1">IFERROR(__xludf.DUMMYFUNCTION("""COMPUTED_VALUE"""),192.29)</f>
        <v>192.29</v>
      </c>
      <c r="H1266" s="1">
        <f ca="1">IFERROR(__xludf.DUMMYFUNCTION("""COMPUTED_VALUE"""),403.31)</f>
        <v>403.31</v>
      </c>
      <c r="I1266" s="1">
        <f ca="1">IFERROR(__xludf.DUMMYFUNCTION("""COMPUTED_VALUE"""),144.5)</f>
        <v>144.5</v>
      </c>
      <c r="J1266" s="1">
        <f ca="1">IFERROR(__xludf.DUMMYFUNCTION("""COMPUTED_VALUE"""),924.7)</f>
        <v>924.7</v>
      </c>
      <c r="K1266" s="1">
        <f ca="1">IFERROR(__xludf.DUMMYFUNCTION("""COMPUTED_VALUE"""),225.29)</f>
        <v>225.29</v>
      </c>
      <c r="L1266" s="1">
        <f ca="1">IFERROR(__xludf.DUMMYFUNCTION("""COMPUTED_VALUE"""),408.5)</f>
        <v>408.5</v>
      </c>
      <c r="M1266" s="1">
        <f ca="1">IFERROR(__xludf.DUMMYFUNCTION("""COMPUTED_VALUE"""),840.29)</f>
        <v>840.29</v>
      </c>
    </row>
    <row r="1267" spans="1:13" x14ac:dyDescent="0.25">
      <c r="A1267" s="2">
        <f ca="1">IFERROR(__xludf.DUMMYFUNCTION("""COMPUTED_VALUE"""),45673.6666666666)</f>
        <v>45673.666666666599</v>
      </c>
      <c r="B1267" s="1">
        <f ca="1">IFERROR(__xludf.DUMMYFUNCTION("""COMPUTED_VALUE"""),228.26)</f>
        <v>228.26</v>
      </c>
      <c r="C1267" s="1">
        <f ca="1">IFERROR(__xludf.DUMMYFUNCTION("""COMPUTED_VALUE"""),415.67)</f>
        <v>415.67</v>
      </c>
      <c r="D1267" s="1">
        <f ca="1">IFERROR(__xludf.DUMMYFUNCTION("""COMPUTED_VALUE"""),217.76)</f>
        <v>217.76</v>
      </c>
      <c r="E1267" s="1">
        <f ca="1">IFERROR(__xludf.DUMMYFUNCTION("""COMPUTED_VALUE"""),131.76)</f>
        <v>131.76</v>
      </c>
      <c r="F1267" s="1">
        <f ca="1">IFERROR(__xludf.DUMMYFUNCTION("""COMPUTED_VALUE"""),594.25)</f>
        <v>594.25</v>
      </c>
      <c r="G1267" s="1">
        <f ca="1">IFERROR(__xludf.DUMMYFUNCTION("""COMPUTED_VALUE"""),191.05)</f>
        <v>191.05</v>
      </c>
      <c r="H1267" s="1">
        <f ca="1">IFERROR(__xludf.DUMMYFUNCTION("""COMPUTED_VALUE"""),396.36)</f>
        <v>396.36</v>
      </c>
      <c r="I1267" s="1">
        <f ca="1">IFERROR(__xludf.DUMMYFUNCTION("""COMPUTED_VALUE"""),144.95)</f>
        <v>144.94999999999999</v>
      </c>
      <c r="J1267" s="1">
        <f ca="1">IFERROR(__xludf.DUMMYFUNCTION("""COMPUTED_VALUE"""),917.23)</f>
        <v>917.23</v>
      </c>
      <c r="K1267" s="1">
        <f ca="1">IFERROR(__xludf.DUMMYFUNCTION("""COMPUTED_VALUE"""),224.7)</f>
        <v>224.7</v>
      </c>
      <c r="L1267" s="1">
        <f ca="1">IFERROR(__xludf.DUMMYFUNCTION("""COMPUTED_VALUE"""),412.71)</f>
        <v>412.71</v>
      </c>
      <c r="M1267" s="1">
        <f ca="1">IFERROR(__xludf.DUMMYFUNCTION("""COMPUTED_VALUE"""),828.4)</f>
        <v>828.4</v>
      </c>
    </row>
    <row r="1268" spans="1:13" x14ac:dyDescent="0.25">
      <c r="A1268" s="2">
        <f ca="1">IFERROR(__xludf.DUMMYFUNCTION("""COMPUTED_VALUE"""),45674.6666666666)</f>
        <v>45674.666666666599</v>
      </c>
      <c r="B1268" s="1">
        <f ca="1">IFERROR(__xludf.DUMMYFUNCTION("""COMPUTED_VALUE"""),229.98)</f>
        <v>229.98</v>
      </c>
      <c r="C1268" s="1">
        <f ca="1">IFERROR(__xludf.DUMMYFUNCTION("""COMPUTED_VALUE"""),426.31)</f>
        <v>426.31</v>
      </c>
      <c r="D1268" s="1">
        <f ca="1">IFERROR(__xludf.DUMMYFUNCTION("""COMPUTED_VALUE"""),223.35)</f>
        <v>223.35</v>
      </c>
      <c r="E1268" s="1">
        <f ca="1">IFERROR(__xludf.DUMMYFUNCTION("""COMPUTED_VALUE"""),136.24)</f>
        <v>136.24</v>
      </c>
      <c r="F1268" s="1">
        <f ca="1">IFERROR(__xludf.DUMMYFUNCTION("""COMPUTED_VALUE"""),617.12)</f>
        <v>617.12</v>
      </c>
      <c r="G1268" s="1">
        <f ca="1">IFERROR(__xludf.DUMMYFUNCTION("""COMPUTED_VALUE"""),196.98)</f>
        <v>196.98</v>
      </c>
      <c r="H1268" s="1">
        <f ca="1">IFERROR(__xludf.DUMMYFUNCTION("""COMPUTED_VALUE"""),428.22)</f>
        <v>428.22</v>
      </c>
      <c r="I1268" s="1">
        <f ca="1">IFERROR(__xludf.DUMMYFUNCTION("""COMPUTED_VALUE"""),144.78)</f>
        <v>144.78</v>
      </c>
      <c r="J1268" s="1">
        <f ca="1">IFERROR(__xludf.DUMMYFUNCTION("""COMPUTED_VALUE"""),923.5)</f>
        <v>923.5</v>
      </c>
      <c r="K1268" s="1">
        <f ca="1">IFERROR(__xludf.DUMMYFUNCTION("""COMPUTED_VALUE"""),228)</f>
        <v>228</v>
      </c>
      <c r="L1268" s="1">
        <f ca="1">IFERROR(__xludf.DUMMYFUNCTION("""COMPUTED_VALUE"""),417.28)</f>
        <v>417.28</v>
      </c>
      <c r="M1268" s="1">
        <f ca="1">IFERROR(__xludf.DUMMYFUNCTION("""COMPUTED_VALUE"""),848.26)</f>
        <v>848.26</v>
      </c>
    </row>
    <row r="1269" spans="1:13" x14ac:dyDescent="0.25">
      <c r="A1269" s="2">
        <f ca="1">IFERROR(__xludf.DUMMYFUNCTION("""COMPUTED_VALUE"""),45678.6666666666)</f>
        <v>45678.666666666599</v>
      </c>
      <c r="B1269" s="1">
        <f ca="1">IFERROR(__xludf.DUMMYFUNCTION("""COMPUTED_VALUE"""),222.64)</f>
        <v>222.64</v>
      </c>
      <c r="C1269" s="1">
        <f ca="1">IFERROR(__xludf.DUMMYFUNCTION("""COMPUTED_VALUE"""),424.58)</f>
        <v>424.58</v>
      </c>
      <c r="D1269" s="1">
        <f ca="1">IFERROR(__xludf.DUMMYFUNCTION("""COMPUTED_VALUE"""),220.66)</f>
        <v>220.66</v>
      </c>
      <c r="E1269" s="1">
        <f ca="1">IFERROR(__xludf.DUMMYFUNCTION("""COMPUTED_VALUE"""),133.57)</f>
        <v>133.57</v>
      </c>
      <c r="F1269" s="1">
        <f ca="1">IFERROR(__xludf.DUMMYFUNCTION("""COMPUTED_VALUE"""),611.3)</f>
        <v>611.29999999999995</v>
      </c>
      <c r="G1269" s="1">
        <f ca="1">IFERROR(__xludf.DUMMYFUNCTION("""COMPUTED_VALUE"""),194.41)</f>
        <v>194.41</v>
      </c>
      <c r="H1269" s="1">
        <f ca="1">IFERROR(__xludf.DUMMYFUNCTION("""COMPUTED_VALUE"""),413.82)</f>
        <v>413.82</v>
      </c>
      <c r="I1269" s="1">
        <f ca="1">IFERROR(__xludf.DUMMYFUNCTION("""COMPUTED_VALUE"""),146.54)</f>
        <v>146.54</v>
      </c>
      <c r="J1269" s="1">
        <f ca="1">IFERROR(__xludf.DUMMYFUNCTION("""COMPUTED_VALUE"""),919.75)</f>
        <v>919.75</v>
      </c>
      <c r="K1269" s="1">
        <f ca="1">IFERROR(__xludf.DUMMYFUNCTION("""COMPUTED_VALUE"""),229.41)</f>
        <v>229.41</v>
      </c>
      <c r="L1269" s="1">
        <f ca="1">IFERROR(__xludf.DUMMYFUNCTION("""COMPUTED_VALUE"""),426.93)</f>
        <v>426.93</v>
      </c>
      <c r="M1269" s="1">
        <f ca="1">IFERROR(__xludf.DUMMYFUNCTION("""COMPUTED_VALUE"""),842.37)</f>
        <v>842.37</v>
      </c>
    </row>
    <row r="1270" spans="1:13" x14ac:dyDescent="0.25">
      <c r="A1270" s="2">
        <f ca="1">IFERROR(__xludf.DUMMYFUNCTION("""COMPUTED_VALUE"""),45679.6666666666)</f>
        <v>45679.666666666599</v>
      </c>
      <c r="B1270" s="1">
        <f ca="1">IFERROR(__xludf.DUMMYFUNCTION("""COMPUTED_VALUE"""),223.83)</f>
        <v>223.83</v>
      </c>
      <c r="C1270" s="1">
        <f ca="1">IFERROR(__xludf.DUMMYFUNCTION("""COMPUTED_VALUE"""),429.03)</f>
        <v>429.03</v>
      </c>
      <c r="D1270" s="1">
        <f ca="1">IFERROR(__xludf.DUMMYFUNCTION("""COMPUTED_VALUE"""),225.94)</f>
        <v>225.94</v>
      </c>
      <c r="E1270" s="1">
        <f ca="1">IFERROR(__xludf.DUMMYFUNCTION("""COMPUTED_VALUE"""),137.71)</f>
        <v>137.71</v>
      </c>
      <c r="F1270" s="1">
        <f ca="1">IFERROR(__xludf.DUMMYFUNCTION("""COMPUTED_VALUE"""),612.77)</f>
        <v>612.77</v>
      </c>
      <c r="G1270" s="1">
        <f ca="1">IFERROR(__xludf.DUMMYFUNCTION("""COMPUTED_VALUE"""),197.55)</f>
        <v>197.55</v>
      </c>
      <c r="H1270" s="1">
        <f ca="1">IFERROR(__xludf.DUMMYFUNCTION("""COMPUTED_VALUE"""),426.5)</f>
        <v>426.5</v>
      </c>
      <c r="I1270" s="1">
        <f ca="1">IFERROR(__xludf.DUMMYFUNCTION("""COMPUTED_VALUE"""),148.25)</f>
        <v>148.25</v>
      </c>
      <c r="J1270" s="1">
        <f ca="1">IFERROR(__xludf.DUMMYFUNCTION("""COMPUTED_VALUE"""),943.19)</f>
        <v>943.19</v>
      </c>
      <c r="K1270" s="1">
        <f ca="1">IFERROR(__xludf.DUMMYFUNCTION("""COMPUTED_VALUE"""),237.44)</f>
        <v>237.44</v>
      </c>
      <c r="L1270" s="1">
        <f ca="1">IFERROR(__xludf.DUMMYFUNCTION("""COMPUTED_VALUE"""),429.99)</f>
        <v>429.99</v>
      </c>
      <c r="M1270" s="1">
        <f ca="1">IFERROR(__xludf.DUMMYFUNCTION("""COMPUTED_VALUE"""),858.1)</f>
        <v>858.1</v>
      </c>
    </row>
    <row r="1271" spans="1:13" x14ac:dyDescent="0.25">
      <c r="A1271" s="2">
        <f ca="1">IFERROR(__xludf.DUMMYFUNCTION("""COMPUTED_VALUE"""),45680.6666666666)</f>
        <v>45680.666666666599</v>
      </c>
      <c r="B1271" s="1">
        <f ca="1">IFERROR(__xludf.DUMMYFUNCTION("""COMPUTED_VALUE"""),223.66)</f>
        <v>223.66</v>
      </c>
      <c r="C1271" s="1">
        <f ca="1">IFERROR(__xludf.DUMMYFUNCTION("""COMPUTED_VALUE"""),428.5)</f>
        <v>428.5</v>
      </c>
      <c r="D1271" s="1">
        <f ca="1">IFERROR(__xludf.DUMMYFUNCTION("""COMPUTED_VALUE"""),230.71)</f>
        <v>230.71</v>
      </c>
      <c r="E1271" s="1">
        <f ca="1">IFERROR(__xludf.DUMMYFUNCTION("""COMPUTED_VALUE"""),140.83)</f>
        <v>140.83000000000001</v>
      </c>
      <c r="F1271" s="1">
        <f ca="1">IFERROR(__xludf.DUMMYFUNCTION("""COMPUTED_VALUE"""),616.46)</f>
        <v>616.46</v>
      </c>
      <c r="G1271" s="1">
        <f ca="1">IFERROR(__xludf.DUMMYFUNCTION("""COMPUTED_VALUE"""),199.63)</f>
        <v>199.63</v>
      </c>
      <c r="H1271" s="1">
        <f ca="1">IFERROR(__xludf.DUMMYFUNCTION("""COMPUTED_VALUE"""),424.07)</f>
        <v>424.07</v>
      </c>
      <c r="I1271" s="1">
        <f ca="1">IFERROR(__xludf.DUMMYFUNCTION("""COMPUTED_VALUE"""),148.55)</f>
        <v>148.55000000000001</v>
      </c>
      <c r="J1271" s="1">
        <f ca="1">IFERROR(__xludf.DUMMYFUNCTION("""COMPUTED_VALUE"""),947.73)</f>
        <v>947.73</v>
      </c>
      <c r="K1271" s="1">
        <f ca="1">IFERROR(__xludf.DUMMYFUNCTION("""COMPUTED_VALUE"""),240.31)</f>
        <v>240.31</v>
      </c>
      <c r="L1271" s="1">
        <f ca="1">IFERROR(__xludf.DUMMYFUNCTION("""COMPUTED_VALUE"""),436.36)</f>
        <v>436.36</v>
      </c>
      <c r="M1271" s="1">
        <f ca="1">IFERROR(__xludf.DUMMYFUNCTION("""COMPUTED_VALUE"""),869.68)</f>
        <v>869.68</v>
      </c>
    </row>
    <row r="1272" spans="1:13" x14ac:dyDescent="0.25">
      <c r="A1272" s="2">
        <f ca="1">IFERROR(__xludf.DUMMYFUNCTION("""COMPUTED_VALUE"""),45681.6666666666)</f>
        <v>45681.666666666599</v>
      </c>
      <c r="B1272" s="1">
        <f ca="1">IFERROR(__xludf.DUMMYFUNCTION("""COMPUTED_VALUE"""),222.78)</f>
        <v>222.78</v>
      </c>
      <c r="C1272" s="1">
        <f ca="1">IFERROR(__xludf.DUMMYFUNCTION("""COMPUTED_VALUE"""),446.2)</f>
        <v>446.2</v>
      </c>
      <c r="D1272" s="1">
        <f ca="1">IFERROR(__xludf.DUMMYFUNCTION("""COMPUTED_VALUE"""),235.01)</f>
        <v>235.01</v>
      </c>
      <c r="E1272" s="1">
        <f ca="1">IFERROR(__xludf.DUMMYFUNCTION("""COMPUTED_VALUE"""),147.07)</f>
        <v>147.07</v>
      </c>
      <c r="F1272" s="1">
        <f ca="1">IFERROR(__xludf.DUMMYFUNCTION("""COMPUTED_VALUE"""),623.5)</f>
        <v>623.5</v>
      </c>
      <c r="G1272" s="1">
        <f ca="1">IFERROR(__xludf.DUMMYFUNCTION("""COMPUTED_VALUE"""),200.03)</f>
        <v>200.03</v>
      </c>
      <c r="H1272" s="1">
        <f ca="1">IFERROR(__xludf.DUMMYFUNCTION("""COMPUTED_VALUE"""),415.11)</f>
        <v>415.11</v>
      </c>
      <c r="I1272" s="1">
        <f ca="1">IFERROR(__xludf.DUMMYFUNCTION("""COMPUTED_VALUE"""),148.09)</f>
        <v>148.09</v>
      </c>
      <c r="J1272" s="1">
        <f ca="1">IFERROR(__xludf.DUMMYFUNCTION("""COMPUTED_VALUE"""),944.7)</f>
        <v>944.7</v>
      </c>
      <c r="K1272" s="1">
        <f ca="1">IFERROR(__xludf.DUMMYFUNCTION("""COMPUTED_VALUE"""),240.91)</f>
        <v>240.91</v>
      </c>
      <c r="L1272" s="1">
        <f ca="1">IFERROR(__xludf.DUMMYFUNCTION("""COMPUTED_VALUE"""),437.32)</f>
        <v>437.32</v>
      </c>
      <c r="M1272" s="1">
        <f ca="1">IFERROR(__xludf.DUMMYFUNCTION("""COMPUTED_VALUE"""),953.99)</f>
        <v>953.99</v>
      </c>
    </row>
    <row r="1273" spans="1:13" x14ac:dyDescent="0.25">
      <c r="A1273" s="2">
        <f ca="1">IFERROR(__xludf.DUMMYFUNCTION("""COMPUTED_VALUE"""),45684.6666666666)</f>
        <v>45684.666666666599</v>
      </c>
      <c r="B1273" s="1">
        <f ca="1">IFERROR(__xludf.DUMMYFUNCTION("""COMPUTED_VALUE"""),229.86)</f>
        <v>229.86</v>
      </c>
      <c r="C1273" s="1">
        <f ca="1">IFERROR(__xludf.DUMMYFUNCTION("""COMPUTED_VALUE"""),446.71)</f>
        <v>446.71</v>
      </c>
      <c r="D1273" s="1">
        <f ca="1">IFERROR(__xludf.DUMMYFUNCTION("""COMPUTED_VALUE"""),235.42)</f>
        <v>235.42</v>
      </c>
      <c r="E1273" s="1">
        <f ca="1">IFERROR(__xludf.DUMMYFUNCTION("""COMPUTED_VALUE"""),147.22)</f>
        <v>147.22</v>
      </c>
      <c r="F1273" s="1">
        <f ca="1">IFERROR(__xludf.DUMMYFUNCTION("""COMPUTED_VALUE"""),636.45)</f>
        <v>636.45000000000005</v>
      </c>
      <c r="G1273" s="1">
        <f ca="1">IFERROR(__xludf.DUMMYFUNCTION("""COMPUTED_VALUE"""),199.58)</f>
        <v>199.58</v>
      </c>
      <c r="H1273" s="1">
        <f ca="1">IFERROR(__xludf.DUMMYFUNCTION("""COMPUTED_VALUE"""),412.38)</f>
        <v>412.38</v>
      </c>
      <c r="I1273" s="1">
        <f ca="1">IFERROR(__xludf.DUMMYFUNCTION("""COMPUTED_VALUE"""),148.62)</f>
        <v>148.62</v>
      </c>
      <c r="J1273" s="1">
        <f ca="1">IFERROR(__xludf.DUMMYFUNCTION("""COMPUTED_VALUE"""),942.16)</f>
        <v>942.16</v>
      </c>
      <c r="K1273" s="1">
        <f ca="1">IFERROR(__xludf.DUMMYFUNCTION("""COMPUTED_VALUE"""),240.28)</f>
        <v>240.28</v>
      </c>
      <c r="L1273" s="1">
        <f ca="1">IFERROR(__xludf.DUMMYFUNCTION("""COMPUTED_VALUE"""),437.28)</f>
        <v>437.28</v>
      </c>
      <c r="M1273" s="1">
        <f ca="1">IFERROR(__xludf.DUMMYFUNCTION("""COMPUTED_VALUE"""),984.86)</f>
        <v>984.86</v>
      </c>
    </row>
    <row r="1274" spans="1:13" x14ac:dyDescent="0.25">
      <c r="A1274" s="2">
        <f ca="1">IFERROR(__xludf.DUMMYFUNCTION("""COMPUTED_VALUE"""),45685.6666666666)</f>
        <v>45685.666666666599</v>
      </c>
      <c r="B1274" s="1">
        <f ca="1">IFERROR(__xludf.DUMMYFUNCTION("""COMPUTED_VALUE"""),238.26)</f>
        <v>238.26</v>
      </c>
      <c r="C1274" s="1">
        <f ca="1">IFERROR(__xludf.DUMMYFUNCTION("""COMPUTED_VALUE"""),444.06)</f>
        <v>444.06</v>
      </c>
      <c r="D1274" s="1">
        <f ca="1">IFERROR(__xludf.DUMMYFUNCTION("""COMPUTED_VALUE"""),234.85)</f>
        <v>234.85</v>
      </c>
      <c r="E1274" s="1">
        <f ca="1">IFERROR(__xludf.DUMMYFUNCTION("""COMPUTED_VALUE"""),142.62)</f>
        <v>142.62</v>
      </c>
      <c r="F1274" s="1">
        <f ca="1">IFERROR(__xludf.DUMMYFUNCTION("""COMPUTED_VALUE"""),647.49)</f>
        <v>647.49</v>
      </c>
      <c r="G1274" s="1">
        <f ca="1">IFERROR(__xludf.DUMMYFUNCTION("""COMPUTED_VALUE"""),201.9)</f>
        <v>201.9</v>
      </c>
      <c r="H1274" s="1">
        <f ca="1">IFERROR(__xludf.DUMMYFUNCTION("""COMPUTED_VALUE"""),406.58)</f>
        <v>406.58</v>
      </c>
      <c r="I1274" s="1">
        <f ca="1">IFERROR(__xludf.DUMMYFUNCTION("""COMPUTED_VALUE"""),149.12)</f>
        <v>149.12</v>
      </c>
      <c r="J1274" s="1">
        <f ca="1">IFERROR(__xludf.DUMMYFUNCTION("""COMPUTED_VALUE"""),939.68)</f>
        <v>939.68</v>
      </c>
      <c r="K1274" s="1">
        <f ca="1">IFERROR(__xludf.DUMMYFUNCTION("""COMPUTED_VALUE"""),244.7)</f>
        <v>244.7</v>
      </c>
      <c r="L1274" s="1">
        <f ca="1">IFERROR(__xludf.DUMMYFUNCTION("""COMPUTED_VALUE"""),435.38)</f>
        <v>435.38</v>
      </c>
      <c r="M1274" s="1">
        <f ca="1">IFERROR(__xludf.DUMMYFUNCTION("""COMPUTED_VALUE"""),977.59)</f>
        <v>977.59</v>
      </c>
    </row>
    <row r="1275" spans="1:13" x14ac:dyDescent="0.25">
      <c r="A1275" s="2">
        <f ca="1">IFERROR(__xludf.DUMMYFUNCTION("""COMPUTED_VALUE"""),45686.6666666666)</f>
        <v>45686.666666666599</v>
      </c>
      <c r="B1275" s="1">
        <f ca="1">IFERROR(__xludf.DUMMYFUNCTION("""COMPUTED_VALUE"""),239.36)</f>
        <v>239.36</v>
      </c>
      <c r="C1275" s="1">
        <f ca="1">IFERROR(__xludf.DUMMYFUNCTION("""COMPUTED_VALUE"""),434.56)</f>
        <v>434.56</v>
      </c>
      <c r="D1275" s="1">
        <f ca="1">IFERROR(__xludf.DUMMYFUNCTION("""COMPUTED_VALUE"""),235.42)</f>
        <v>235.42</v>
      </c>
      <c r="E1275" s="1">
        <f ca="1">IFERROR(__xludf.DUMMYFUNCTION("""COMPUTED_VALUE"""),118.42)</f>
        <v>118.42</v>
      </c>
      <c r="F1275" s="1">
        <f ca="1">IFERROR(__xludf.DUMMYFUNCTION("""COMPUTED_VALUE"""),659.88)</f>
        <v>659.88</v>
      </c>
      <c r="G1275" s="1">
        <f ca="1">IFERROR(__xludf.DUMMYFUNCTION("""COMPUTED_VALUE"""),193.77)</f>
        <v>193.77</v>
      </c>
      <c r="H1275" s="1">
        <f ca="1">IFERROR(__xludf.DUMMYFUNCTION("""COMPUTED_VALUE"""),397.15)</f>
        <v>397.15</v>
      </c>
      <c r="I1275" s="1">
        <f ca="1">IFERROR(__xludf.DUMMYFUNCTION("""COMPUTED_VALUE"""),154.61)</f>
        <v>154.61000000000001</v>
      </c>
      <c r="J1275" s="1">
        <f ca="1">IFERROR(__xludf.DUMMYFUNCTION("""COMPUTED_VALUE"""),965.25)</f>
        <v>965.25</v>
      </c>
      <c r="K1275" s="1">
        <f ca="1">IFERROR(__xludf.DUMMYFUNCTION("""COMPUTED_VALUE"""),202.13)</f>
        <v>202.13</v>
      </c>
      <c r="L1275" s="1">
        <f ca="1">IFERROR(__xludf.DUMMYFUNCTION("""COMPUTED_VALUE"""),438.6)</f>
        <v>438.6</v>
      </c>
      <c r="M1275" s="1">
        <f ca="1">IFERROR(__xludf.DUMMYFUNCTION("""COMPUTED_VALUE"""),971.89)</f>
        <v>971.89</v>
      </c>
    </row>
    <row r="1276" spans="1:13" x14ac:dyDescent="0.25">
      <c r="A1276" s="2">
        <f ca="1">IFERROR(__xludf.DUMMYFUNCTION("""COMPUTED_VALUE"""),45687.6666666666)</f>
        <v>45687.666666666599</v>
      </c>
      <c r="B1276" s="1">
        <f ca="1">IFERROR(__xludf.DUMMYFUNCTION("""COMPUTED_VALUE"""),237.59)</f>
        <v>237.59</v>
      </c>
      <c r="C1276" s="1">
        <f ca="1">IFERROR(__xludf.DUMMYFUNCTION("""COMPUTED_VALUE"""),447.2)</f>
        <v>447.2</v>
      </c>
      <c r="D1276" s="1">
        <f ca="1">IFERROR(__xludf.DUMMYFUNCTION("""COMPUTED_VALUE"""),238.15)</f>
        <v>238.15</v>
      </c>
      <c r="E1276" s="1">
        <f ca="1">IFERROR(__xludf.DUMMYFUNCTION("""COMPUTED_VALUE"""),128.99)</f>
        <v>128.99</v>
      </c>
      <c r="F1276" s="1">
        <f ca="1">IFERROR(__xludf.DUMMYFUNCTION("""COMPUTED_VALUE"""),674.33)</f>
        <v>674.33</v>
      </c>
      <c r="G1276" s="1">
        <f ca="1">IFERROR(__xludf.DUMMYFUNCTION("""COMPUTED_VALUE"""),197.07)</f>
        <v>197.07</v>
      </c>
      <c r="H1276" s="1">
        <f ca="1">IFERROR(__xludf.DUMMYFUNCTION("""COMPUTED_VALUE"""),398.09)</f>
        <v>398.09</v>
      </c>
      <c r="I1276" s="1">
        <f ca="1">IFERROR(__xludf.DUMMYFUNCTION("""COMPUTED_VALUE"""),150.25)</f>
        <v>150.25</v>
      </c>
      <c r="J1276" s="1">
        <f ca="1">IFERROR(__xludf.DUMMYFUNCTION("""COMPUTED_VALUE"""),958.67)</f>
        <v>958.67</v>
      </c>
      <c r="K1276" s="1">
        <f ca="1">IFERROR(__xludf.DUMMYFUNCTION("""COMPUTED_VALUE"""),207.36)</f>
        <v>207.36</v>
      </c>
      <c r="L1276" s="1">
        <f ca="1">IFERROR(__xludf.DUMMYFUNCTION("""COMPUTED_VALUE"""),442.84)</f>
        <v>442.84</v>
      </c>
      <c r="M1276" s="1">
        <f ca="1">IFERROR(__xludf.DUMMYFUNCTION("""COMPUTED_VALUE"""),971.83)</f>
        <v>971.83</v>
      </c>
    </row>
    <row r="1277" spans="1:13" x14ac:dyDescent="0.25">
      <c r="A1277" s="2">
        <f ca="1">IFERROR(__xludf.DUMMYFUNCTION("""COMPUTED_VALUE"""),45688.6666666666)</f>
        <v>45688.666666666599</v>
      </c>
      <c r="B1277" s="1">
        <f ca="1">IFERROR(__xludf.DUMMYFUNCTION("""COMPUTED_VALUE"""),236)</f>
        <v>236</v>
      </c>
      <c r="C1277" s="1">
        <f ca="1">IFERROR(__xludf.DUMMYFUNCTION("""COMPUTED_VALUE"""),442.33)</f>
        <v>442.33</v>
      </c>
      <c r="D1277" s="1">
        <f ca="1">IFERROR(__xludf.DUMMYFUNCTION("""COMPUTED_VALUE"""),237.07)</f>
        <v>237.07</v>
      </c>
      <c r="E1277" s="1">
        <f ca="1">IFERROR(__xludf.DUMMYFUNCTION("""COMPUTED_VALUE"""),123.7)</f>
        <v>123.7</v>
      </c>
      <c r="F1277" s="1">
        <f ca="1">IFERROR(__xludf.DUMMYFUNCTION("""COMPUTED_VALUE"""),676.49)</f>
        <v>676.49</v>
      </c>
      <c r="G1277" s="1">
        <f ca="1">IFERROR(__xludf.DUMMYFUNCTION("""COMPUTED_VALUE"""),197.18)</f>
        <v>197.18</v>
      </c>
      <c r="H1277" s="1">
        <f ca="1">IFERROR(__xludf.DUMMYFUNCTION("""COMPUTED_VALUE"""),389.1)</f>
        <v>389.1</v>
      </c>
      <c r="I1277" s="1">
        <f ca="1">IFERROR(__xludf.DUMMYFUNCTION("""COMPUTED_VALUE"""),150.37)</f>
        <v>150.37</v>
      </c>
      <c r="J1277" s="1">
        <f ca="1">IFERROR(__xludf.DUMMYFUNCTION("""COMPUTED_VALUE"""),964.02)</f>
        <v>964.02</v>
      </c>
      <c r="K1277" s="1">
        <f ca="1">IFERROR(__xludf.DUMMYFUNCTION("""COMPUTED_VALUE"""),206.35)</f>
        <v>206.35</v>
      </c>
      <c r="L1277" s="1">
        <f ca="1">IFERROR(__xludf.DUMMYFUNCTION("""COMPUTED_VALUE"""),441.68)</f>
        <v>441.68</v>
      </c>
      <c r="M1277" s="1">
        <f ca="1">IFERROR(__xludf.DUMMYFUNCTION("""COMPUTED_VALUE"""),978.15)</f>
        <v>978.15</v>
      </c>
    </row>
    <row r="1278" spans="1:13" x14ac:dyDescent="0.25">
      <c r="A1278" s="2">
        <f ca="1">IFERROR(__xludf.DUMMYFUNCTION("""COMPUTED_VALUE"""),45691.6666666666)</f>
        <v>45691.666666666599</v>
      </c>
      <c r="B1278" s="1">
        <f ca="1">IFERROR(__xludf.DUMMYFUNCTION("""COMPUTED_VALUE"""),228.01)</f>
        <v>228.01</v>
      </c>
      <c r="C1278" s="1">
        <f ca="1">IFERROR(__xludf.DUMMYFUNCTION("""COMPUTED_VALUE"""),414.99)</f>
        <v>414.99</v>
      </c>
      <c r="D1278" s="1">
        <f ca="1">IFERROR(__xludf.DUMMYFUNCTION("""COMPUTED_VALUE"""),234.64)</f>
        <v>234.64</v>
      </c>
      <c r="E1278" s="1">
        <f ca="1">IFERROR(__xludf.DUMMYFUNCTION("""COMPUTED_VALUE"""),124.65)</f>
        <v>124.65</v>
      </c>
      <c r="F1278" s="1">
        <f ca="1">IFERROR(__xludf.DUMMYFUNCTION("""COMPUTED_VALUE"""),687)</f>
        <v>687</v>
      </c>
      <c r="G1278" s="1">
        <f ca="1">IFERROR(__xludf.DUMMYFUNCTION("""COMPUTED_VALUE"""),202.63)</f>
        <v>202.63</v>
      </c>
      <c r="H1278" s="1">
        <f ca="1">IFERROR(__xludf.DUMMYFUNCTION("""COMPUTED_VALUE"""),400.28)</f>
        <v>400.28</v>
      </c>
      <c r="I1278" s="1">
        <f ca="1">IFERROR(__xludf.DUMMYFUNCTION("""COMPUTED_VALUE"""),151.9)</f>
        <v>151.9</v>
      </c>
      <c r="J1278" s="1">
        <f ca="1">IFERROR(__xludf.DUMMYFUNCTION("""COMPUTED_VALUE"""),979.01)</f>
        <v>979.01</v>
      </c>
      <c r="K1278" s="1">
        <f ca="1">IFERROR(__xludf.DUMMYFUNCTION("""COMPUTED_VALUE"""),215.66)</f>
        <v>215.66</v>
      </c>
      <c r="L1278" s="1">
        <f ca="1">IFERROR(__xludf.DUMMYFUNCTION("""COMPUTED_VALUE"""),446)</f>
        <v>446</v>
      </c>
      <c r="M1278" s="1">
        <f ca="1">IFERROR(__xludf.DUMMYFUNCTION("""COMPUTED_VALUE"""),973.24)</f>
        <v>973.24</v>
      </c>
    </row>
    <row r="1279" spans="1:13" x14ac:dyDescent="0.25">
      <c r="A1279" s="2">
        <f ca="1">IFERROR(__xludf.DUMMYFUNCTION("""COMPUTED_VALUE"""),45692.6666666666)</f>
        <v>45692.666666666599</v>
      </c>
      <c r="B1279" s="1">
        <f ca="1">IFERROR(__xludf.DUMMYFUNCTION("""COMPUTED_VALUE"""),232.8)</f>
        <v>232.8</v>
      </c>
      <c r="C1279" s="1">
        <f ca="1">IFERROR(__xludf.DUMMYFUNCTION("""COMPUTED_VALUE"""),415.06)</f>
        <v>415.06</v>
      </c>
      <c r="D1279" s="1">
        <f ca="1">IFERROR(__xludf.DUMMYFUNCTION("""COMPUTED_VALUE"""),237.68)</f>
        <v>237.68</v>
      </c>
      <c r="E1279" s="1">
        <f ca="1">IFERROR(__xludf.DUMMYFUNCTION("""COMPUTED_VALUE"""),120.07)</f>
        <v>120.07</v>
      </c>
      <c r="F1279" s="1">
        <f ca="1">IFERROR(__xludf.DUMMYFUNCTION("""COMPUTED_VALUE"""),689.18)</f>
        <v>689.18</v>
      </c>
      <c r="G1279" s="1">
        <f ca="1">IFERROR(__xludf.DUMMYFUNCTION("""COMPUTED_VALUE"""),205.6)</f>
        <v>205.6</v>
      </c>
      <c r="H1279" s="1">
        <f ca="1">IFERROR(__xludf.DUMMYFUNCTION("""COMPUTED_VALUE"""),404.6)</f>
        <v>404.6</v>
      </c>
      <c r="I1279" s="1">
        <f ca="1">IFERROR(__xludf.DUMMYFUNCTION("""COMPUTED_VALUE"""),150.69)</f>
        <v>150.69</v>
      </c>
      <c r="J1279" s="1">
        <f ca="1">IFERROR(__xludf.DUMMYFUNCTION("""COMPUTED_VALUE"""),979.88)</f>
        <v>979.88</v>
      </c>
      <c r="K1279" s="1">
        <f ca="1">IFERROR(__xludf.DUMMYFUNCTION("""COMPUTED_VALUE"""),221.27)</f>
        <v>221.27</v>
      </c>
      <c r="L1279" s="1">
        <f ca="1">IFERROR(__xludf.DUMMYFUNCTION("""COMPUTED_VALUE"""),437.45)</f>
        <v>437.45</v>
      </c>
      <c r="M1279" s="1">
        <f ca="1">IFERROR(__xludf.DUMMYFUNCTION("""COMPUTED_VALUE"""),976.76)</f>
        <v>976.76</v>
      </c>
    </row>
    <row r="1280" spans="1:13" x14ac:dyDescent="0.25">
      <c r="A1280" s="2">
        <f ca="1">IFERROR(__xludf.DUMMYFUNCTION("""COMPUTED_VALUE"""),45693.6666666666)</f>
        <v>45693.666666666599</v>
      </c>
      <c r="B1280" s="1">
        <f ca="1">IFERROR(__xludf.DUMMYFUNCTION("""COMPUTED_VALUE"""),232.47)</f>
        <v>232.47</v>
      </c>
      <c r="C1280" s="1">
        <f ca="1">IFERROR(__xludf.DUMMYFUNCTION("""COMPUTED_VALUE"""),410.92)</f>
        <v>410.92</v>
      </c>
      <c r="D1280" s="1">
        <f ca="1">IFERROR(__xludf.DUMMYFUNCTION("""COMPUTED_VALUE"""),237.42)</f>
        <v>237.42</v>
      </c>
      <c r="E1280" s="1">
        <f ca="1">IFERROR(__xludf.DUMMYFUNCTION("""COMPUTED_VALUE"""),116.66)</f>
        <v>116.66</v>
      </c>
      <c r="F1280" s="1">
        <f ca="1">IFERROR(__xludf.DUMMYFUNCTION("""COMPUTED_VALUE"""),697.46)</f>
        <v>697.46</v>
      </c>
      <c r="G1280" s="1">
        <f ca="1">IFERROR(__xludf.DUMMYFUNCTION("""COMPUTED_VALUE"""),202.64)</f>
        <v>202.64</v>
      </c>
      <c r="H1280" s="1">
        <f ca="1">IFERROR(__xludf.DUMMYFUNCTION("""COMPUTED_VALUE"""),383.68)</f>
        <v>383.68</v>
      </c>
      <c r="I1280" s="1">
        <f ca="1">IFERROR(__xludf.DUMMYFUNCTION("""COMPUTED_VALUE"""),150.27)</f>
        <v>150.27000000000001</v>
      </c>
      <c r="J1280" s="1">
        <f ca="1">IFERROR(__xludf.DUMMYFUNCTION("""COMPUTED_VALUE"""),1005.83)</f>
        <v>1005.83</v>
      </c>
      <c r="K1280" s="1">
        <f ca="1">IFERROR(__xludf.DUMMYFUNCTION("""COMPUTED_VALUE"""),217.73)</f>
        <v>217.73</v>
      </c>
      <c r="L1280" s="1">
        <f ca="1">IFERROR(__xludf.DUMMYFUNCTION("""COMPUTED_VALUE"""),438.6)</f>
        <v>438.6</v>
      </c>
      <c r="M1280" s="1">
        <f ca="1">IFERROR(__xludf.DUMMYFUNCTION("""COMPUTED_VALUE"""),978.94)</f>
        <v>978.94</v>
      </c>
    </row>
    <row r="1281" spans="1:13" x14ac:dyDescent="0.25">
      <c r="A1281" s="2">
        <f ca="1">IFERROR(__xludf.DUMMYFUNCTION("""COMPUTED_VALUE"""),45694.6666666666)</f>
        <v>45694.666666666599</v>
      </c>
      <c r="B1281" s="1">
        <f ca="1">IFERROR(__xludf.DUMMYFUNCTION("""COMPUTED_VALUE"""),233.22)</f>
        <v>233.22</v>
      </c>
      <c r="C1281" s="1">
        <f ca="1">IFERROR(__xludf.DUMMYFUNCTION("""COMPUTED_VALUE"""),412.37)</f>
        <v>412.37</v>
      </c>
      <c r="D1281" s="1">
        <f ca="1">IFERROR(__xludf.DUMMYFUNCTION("""COMPUTED_VALUE"""),242.06)</f>
        <v>242.06</v>
      </c>
      <c r="E1281" s="1">
        <f ca="1">IFERROR(__xludf.DUMMYFUNCTION("""COMPUTED_VALUE"""),118.65)</f>
        <v>118.65</v>
      </c>
      <c r="F1281" s="1">
        <f ca="1">IFERROR(__xludf.DUMMYFUNCTION("""COMPUTED_VALUE"""),704.19)</f>
        <v>704.19</v>
      </c>
      <c r="G1281" s="1">
        <f ca="1">IFERROR(__xludf.DUMMYFUNCTION("""COMPUTED_VALUE"""),207.71)</f>
        <v>207.71</v>
      </c>
      <c r="H1281" s="1">
        <f ca="1">IFERROR(__xludf.DUMMYFUNCTION("""COMPUTED_VALUE"""),392.21)</f>
        <v>392.21</v>
      </c>
      <c r="I1281" s="1">
        <f ca="1">IFERROR(__xludf.DUMMYFUNCTION("""COMPUTED_VALUE"""),143.49)</f>
        <v>143.49</v>
      </c>
      <c r="J1281" s="1">
        <f ca="1">IFERROR(__xludf.DUMMYFUNCTION("""COMPUTED_VALUE"""),1021.86)</f>
        <v>1021.86</v>
      </c>
      <c r="K1281" s="1">
        <f ca="1">IFERROR(__xludf.DUMMYFUNCTION("""COMPUTED_VALUE"""),222.43)</f>
        <v>222.43</v>
      </c>
      <c r="L1281" s="1">
        <f ca="1">IFERROR(__xludf.DUMMYFUNCTION("""COMPUTED_VALUE"""),440.23)</f>
        <v>440.23</v>
      </c>
      <c r="M1281" s="1">
        <f ca="1">IFERROR(__xludf.DUMMYFUNCTION("""COMPUTED_VALUE"""),994.87)</f>
        <v>994.87</v>
      </c>
    </row>
    <row r="1282" spans="1:13" x14ac:dyDescent="0.25">
      <c r="A1282" s="2">
        <f ca="1">IFERROR(__xludf.DUMMYFUNCTION("""COMPUTED_VALUE"""),45695.6666666666)</f>
        <v>45695.666666666599</v>
      </c>
      <c r="B1282" s="1">
        <f ca="1">IFERROR(__xludf.DUMMYFUNCTION("""COMPUTED_VALUE"""),227.63)</f>
        <v>227.63</v>
      </c>
      <c r="C1282" s="1">
        <f ca="1">IFERROR(__xludf.DUMMYFUNCTION("""COMPUTED_VALUE"""),413.29)</f>
        <v>413.29</v>
      </c>
      <c r="D1282" s="1">
        <f ca="1">IFERROR(__xludf.DUMMYFUNCTION("""COMPUTED_VALUE"""),236.17)</f>
        <v>236.17</v>
      </c>
      <c r="E1282" s="1">
        <f ca="1">IFERROR(__xludf.DUMMYFUNCTION("""COMPUTED_VALUE"""),124.83)</f>
        <v>124.83</v>
      </c>
      <c r="F1282" s="1">
        <f ca="1">IFERROR(__xludf.DUMMYFUNCTION("""COMPUTED_VALUE"""),704.87)</f>
        <v>704.87</v>
      </c>
      <c r="G1282" s="1">
        <f ca="1">IFERROR(__xludf.DUMMYFUNCTION("""COMPUTED_VALUE"""),193.3)</f>
        <v>193.3</v>
      </c>
      <c r="H1282" s="1">
        <f ca="1">IFERROR(__xludf.DUMMYFUNCTION("""COMPUTED_VALUE"""),378.17)</f>
        <v>378.17</v>
      </c>
      <c r="I1282" s="1">
        <f ca="1">IFERROR(__xludf.DUMMYFUNCTION("""COMPUTED_VALUE"""),145.66)</f>
        <v>145.66</v>
      </c>
      <c r="J1282" s="1">
        <f ca="1">IFERROR(__xludf.DUMMYFUNCTION("""COMPUTED_VALUE"""),1042.88)</f>
        <v>1042.8800000000001</v>
      </c>
      <c r="K1282" s="1">
        <f ca="1">IFERROR(__xludf.DUMMYFUNCTION("""COMPUTED_VALUE"""),232)</f>
        <v>232</v>
      </c>
      <c r="L1282" s="1">
        <f ca="1">IFERROR(__xludf.DUMMYFUNCTION("""COMPUTED_VALUE"""),437.63)</f>
        <v>437.63</v>
      </c>
      <c r="M1282" s="1">
        <f ca="1">IFERROR(__xludf.DUMMYFUNCTION("""COMPUTED_VALUE"""),1011.11)</f>
        <v>1011.11</v>
      </c>
    </row>
    <row r="1283" spans="1:13" x14ac:dyDescent="0.25">
      <c r="A1283" s="2">
        <f ca="1">IFERROR(__xludf.DUMMYFUNCTION("""COMPUTED_VALUE"""),45698.6666666666)</f>
        <v>45698.666666666599</v>
      </c>
      <c r="B1283" s="1">
        <f ca="1">IFERROR(__xludf.DUMMYFUNCTION("""COMPUTED_VALUE"""),227.65)</f>
        <v>227.65</v>
      </c>
      <c r="C1283" s="1">
        <f ca="1">IFERROR(__xludf.DUMMYFUNCTION("""COMPUTED_VALUE"""),415.82)</f>
        <v>415.82</v>
      </c>
      <c r="D1283" s="1">
        <f ca="1">IFERROR(__xludf.DUMMYFUNCTION("""COMPUTED_VALUE"""),238.83)</f>
        <v>238.83</v>
      </c>
      <c r="E1283" s="1">
        <f ca="1">IFERROR(__xludf.DUMMYFUNCTION("""COMPUTED_VALUE"""),128.68)</f>
        <v>128.68</v>
      </c>
      <c r="F1283" s="1">
        <f ca="1">IFERROR(__xludf.DUMMYFUNCTION("""COMPUTED_VALUE"""),711.99)</f>
        <v>711.99</v>
      </c>
      <c r="G1283" s="1">
        <f ca="1">IFERROR(__xludf.DUMMYFUNCTION("""COMPUTED_VALUE"""),193.31)</f>
        <v>193.31</v>
      </c>
      <c r="H1283" s="1">
        <f ca="1">IFERROR(__xludf.DUMMYFUNCTION("""COMPUTED_VALUE"""),374.32)</f>
        <v>374.32</v>
      </c>
      <c r="I1283" s="1">
        <f ca="1">IFERROR(__xludf.DUMMYFUNCTION("""COMPUTED_VALUE"""),145.35)</f>
        <v>145.35</v>
      </c>
      <c r="J1283" s="1">
        <f ca="1">IFERROR(__xludf.DUMMYFUNCTION("""COMPUTED_VALUE"""),1050.99)</f>
        <v>1050.99</v>
      </c>
      <c r="K1283" s="1">
        <f ca="1">IFERROR(__xludf.DUMMYFUNCTION("""COMPUTED_VALUE"""),231.36)</f>
        <v>231.36</v>
      </c>
      <c r="L1283" s="1">
        <f ca="1">IFERROR(__xludf.DUMMYFUNCTION("""COMPUTED_VALUE"""),435.4)</f>
        <v>435.4</v>
      </c>
      <c r="M1283" s="1">
        <f ca="1">IFERROR(__xludf.DUMMYFUNCTION("""COMPUTED_VALUE"""),1015.68)</f>
        <v>1015.68</v>
      </c>
    </row>
    <row r="1284" spans="1:13" x14ac:dyDescent="0.25">
      <c r="A1284" s="2">
        <f ca="1">IFERROR(__xludf.DUMMYFUNCTION("""COMPUTED_VALUE"""),45699.6666666666)</f>
        <v>45699.666666666599</v>
      </c>
      <c r="B1284" s="1">
        <f ca="1">IFERROR(__xludf.DUMMYFUNCTION("""COMPUTED_VALUE"""),232.62)</f>
        <v>232.62</v>
      </c>
      <c r="C1284" s="1">
        <f ca="1">IFERROR(__xludf.DUMMYFUNCTION("""COMPUTED_VALUE"""),409.75)</f>
        <v>409.75</v>
      </c>
      <c r="D1284" s="1">
        <f ca="1">IFERROR(__xludf.DUMMYFUNCTION("""COMPUTED_VALUE"""),229.15)</f>
        <v>229.15</v>
      </c>
      <c r="E1284" s="1">
        <f ca="1">IFERROR(__xludf.DUMMYFUNCTION("""COMPUTED_VALUE"""),129.84)</f>
        <v>129.84</v>
      </c>
      <c r="F1284" s="1">
        <f ca="1">IFERROR(__xludf.DUMMYFUNCTION("""COMPUTED_VALUE"""),714.52)</f>
        <v>714.52</v>
      </c>
      <c r="G1284" s="1">
        <f ca="1">IFERROR(__xludf.DUMMYFUNCTION("""COMPUTED_VALUE"""),187.14)</f>
        <v>187.14</v>
      </c>
      <c r="H1284" s="1">
        <f ca="1">IFERROR(__xludf.DUMMYFUNCTION("""COMPUTED_VALUE"""),361.62)</f>
        <v>361.62</v>
      </c>
      <c r="I1284" s="1">
        <f ca="1">IFERROR(__xludf.DUMMYFUNCTION("""COMPUTED_VALUE"""),144.58)</f>
        <v>144.58000000000001</v>
      </c>
      <c r="J1284" s="1">
        <f ca="1">IFERROR(__xludf.DUMMYFUNCTION("""COMPUTED_VALUE"""),1043.81)</f>
        <v>1043.81</v>
      </c>
      <c r="K1284" s="1">
        <f ca="1">IFERROR(__xludf.DUMMYFUNCTION("""COMPUTED_VALUE"""),224.87)</f>
        <v>224.87</v>
      </c>
      <c r="L1284" s="1">
        <f ca="1">IFERROR(__xludf.DUMMYFUNCTION("""COMPUTED_VALUE"""),433.07)</f>
        <v>433.07</v>
      </c>
      <c r="M1284" s="1">
        <f ca="1">IFERROR(__xludf.DUMMYFUNCTION("""COMPUTED_VALUE"""),1013.93)</f>
        <v>1013.93</v>
      </c>
    </row>
    <row r="1285" spans="1:13" x14ac:dyDescent="0.25">
      <c r="A1285" s="2">
        <f ca="1">IFERROR(__xludf.DUMMYFUNCTION("""COMPUTED_VALUE"""),45700.6666666666)</f>
        <v>45700.666666666599</v>
      </c>
      <c r="B1285" s="1">
        <f ca="1">IFERROR(__xludf.DUMMYFUNCTION("""COMPUTED_VALUE"""),236.87)</f>
        <v>236.87</v>
      </c>
      <c r="C1285" s="1">
        <f ca="1">IFERROR(__xludf.DUMMYFUNCTION("""COMPUTED_VALUE"""),412.22)</f>
        <v>412.22</v>
      </c>
      <c r="D1285" s="1">
        <f ca="1">IFERROR(__xludf.DUMMYFUNCTION("""COMPUTED_VALUE"""),233.14)</f>
        <v>233.14</v>
      </c>
      <c r="E1285" s="1">
        <f ca="1">IFERROR(__xludf.DUMMYFUNCTION("""COMPUTED_VALUE"""),133.57)</f>
        <v>133.57</v>
      </c>
      <c r="F1285" s="1">
        <f ca="1">IFERROR(__xludf.DUMMYFUNCTION("""COMPUTED_VALUE"""),717.4)</f>
        <v>717.4</v>
      </c>
      <c r="G1285" s="1">
        <f ca="1">IFERROR(__xludf.DUMMYFUNCTION("""COMPUTED_VALUE"""),188.2)</f>
        <v>188.2</v>
      </c>
      <c r="H1285" s="1">
        <f ca="1">IFERROR(__xludf.DUMMYFUNCTION("""COMPUTED_VALUE"""),350.73)</f>
        <v>350.73</v>
      </c>
      <c r="I1285" s="1">
        <f ca="1">IFERROR(__xludf.DUMMYFUNCTION("""COMPUTED_VALUE"""),144.35)</f>
        <v>144.35</v>
      </c>
      <c r="J1285" s="1">
        <f ca="1">IFERROR(__xludf.DUMMYFUNCTION("""COMPUTED_VALUE"""),1061.92)</f>
        <v>1061.92</v>
      </c>
      <c r="K1285" s="1">
        <f ca="1">IFERROR(__xludf.DUMMYFUNCTION("""COMPUTED_VALUE"""),235.04)</f>
        <v>235.04</v>
      </c>
      <c r="L1285" s="1">
        <f ca="1">IFERROR(__xludf.DUMMYFUNCTION("""COMPUTED_VALUE"""),451.1)</f>
        <v>451.1</v>
      </c>
      <c r="M1285" s="1">
        <f ca="1">IFERROR(__xludf.DUMMYFUNCTION("""COMPUTED_VALUE"""),1027.6)</f>
        <v>1027.5999999999999</v>
      </c>
    </row>
    <row r="1286" spans="1:13" x14ac:dyDescent="0.25">
      <c r="A1286" s="2">
        <f ca="1">IFERROR(__xludf.DUMMYFUNCTION("""COMPUTED_VALUE"""),45701.6666666666)</f>
        <v>45701.666666666599</v>
      </c>
      <c r="B1286" s="1">
        <f ca="1">IFERROR(__xludf.DUMMYFUNCTION("""COMPUTED_VALUE"""),241.53)</f>
        <v>241.53</v>
      </c>
      <c r="C1286" s="1">
        <f ca="1">IFERROR(__xludf.DUMMYFUNCTION("""COMPUTED_VALUE"""),411.44)</f>
        <v>411.44</v>
      </c>
      <c r="D1286" s="1">
        <f ca="1">IFERROR(__xludf.DUMMYFUNCTION("""COMPUTED_VALUE"""),232.76)</f>
        <v>232.76</v>
      </c>
      <c r="E1286" s="1">
        <f ca="1">IFERROR(__xludf.DUMMYFUNCTION("""COMPUTED_VALUE"""),132.8)</f>
        <v>132.80000000000001</v>
      </c>
      <c r="F1286" s="1">
        <f ca="1">IFERROR(__xludf.DUMMYFUNCTION("""COMPUTED_VALUE"""),719.8)</f>
        <v>719.8</v>
      </c>
      <c r="G1286" s="1">
        <f ca="1">IFERROR(__xludf.DUMMYFUNCTION("""COMPUTED_VALUE"""),187.07)</f>
        <v>187.07</v>
      </c>
      <c r="H1286" s="1">
        <f ca="1">IFERROR(__xludf.DUMMYFUNCTION("""COMPUTED_VALUE"""),328.5)</f>
        <v>328.5</v>
      </c>
      <c r="I1286" s="1">
        <f ca="1">IFERROR(__xludf.DUMMYFUNCTION("""COMPUTED_VALUE"""),145.64)</f>
        <v>145.63999999999999</v>
      </c>
      <c r="J1286" s="1">
        <f ca="1">IFERROR(__xludf.DUMMYFUNCTION("""COMPUTED_VALUE"""),1058.34)</f>
        <v>1058.3399999999999</v>
      </c>
      <c r="K1286" s="1">
        <f ca="1">IFERROR(__xludf.DUMMYFUNCTION("""COMPUTED_VALUE"""),235.04)</f>
        <v>235.04</v>
      </c>
      <c r="L1286" s="1">
        <f ca="1">IFERROR(__xludf.DUMMYFUNCTION("""COMPUTED_VALUE"""),458.82)</f>
        <v>458.82</v>
      </c>
      <c r="M1286" s="1">
        <f ca="1">IFERROR(__xludf.DUMMYFUNCTION("""COMPUTED_VALUE"""),1008.08)</f>
        <v>1008.08</v>
      </c>
    </row>
    <row r="1287" spans="1:13" x14ac:dyDescent="0.25">
      <c r="A1287" s="2">
        <f ca="1">IFERROR(__xludf.DUMMYFUNCTION("""COMPUTED_VALUE"""),45702.6666666666)</f>
        <v>45702.666666666599</v>
      </c>
      <c r="B1287" s="1">
        <f ca="1">IFERROR(__xludf.DUMMYFUNCTION("""COMPUTED_VALUE"""),244.6)</f>
        <v>244.6</v>
      </c>
      <c r="C1287" s="1">
        <f ca="1">IFERROR(__xludf.DUMMYFUNCTION("""COMPUTED_VALUE"""),409.04)</f>
        <v>409.04</v>
      </c>
      <c r="D1287" s="1">
        <f ca="1">IFERROR(__xludf.DUMMYFUNCTION("""COMPUTED_VALUE"""),228.93)</f>
        <v>228.93</v>
      </c>
      <c r="E1287" s="1">
        <f ca="1">IFERROR(__xludf.DUMMYFUNCTION("""COMPUTED_VALUE"""),131.14)</f>
        <v>131.13999999999999</v>
      </c>
      <c r="F1287" s="1">
        <f ca="1">IFERROR(__xludf.DUMMYFUNCTION("""COMPUTED_VALUE"""),725.38)</f>
        <v>725.38</v>
      </c>
      <c r="G1287" s="1">
        <f ca="1">IFERROR(__xludf.DUMMYFUNCTION("""COMPUTED_VALUE"""),185.43)</f>
        <v>185.43</v>
      </c>
      <c r="H1287" s="1">
        <f ca="1">IFERROR(__xludf.DUMMYFUNCTION("""COMPUTED_VALUE"""),336.51)</f>
        <v>336.51</v>
      </c>
      <c r="I1287" s="1">
        <f ca="1">IFERROR(__xludf.DUMMYFUNCTION("""COMPUTED_VALUE"""),143.99)</f>
        <v>143.99</v>
      </c>
      <c r="J1287" s="1">
        <f ca="1">IFERROR(__xludf.DUMMYFUNCTION("""COMPUTED_VALUE"""),1065.12)</f>
        <v>1065.1199999999999</v>
      </c>
      <c r="K1287" s="1">
        <f ca="1">IFERROR(__xludf.DUMMYFUNCTION("""COMPUTED_VALUE"""),236.35)</f>
        <v>236.35</v>
      </c>
      <c r="L1287" s="1">
        <f ca="1">IFERROR(__xludf.DUMMYFUNCTION("""COMPUTED_VALUE"""),462.76)</f>
        <v>462.76</v>
      </c>
      <c r="M1287" s="1">
        <f ca="1">IFERROR(__xludf.DUMMYFUNCTION("""COMPUTED_VALUE"""),1027.31)</f>
        <v>1027.31</v>
      </c>
    </row>
    <row r="1288" spans="1:13" x14ac:dyDescent="0.25">
      <c r="A1288" s="2">
        <f ca="1">IFERROR(__xludf.DUMMYFUNCTION("""COMPUTED_VALUE"""),45706.6666666666)</f>
        <v>45706.666666666599</v>
      </c>
      <c r="B1288" s="1">
        <f ca="1">IFERROR(__xludf.DUMMYFUNCTION("""COMPUTED_VALUE"""),244.47)</f>
        <v>244.47</v>
      </c>
      <c r="C1288" s="1">
        <f ca="1">IFERROR(__xludf.DUMMYFUNCTION("""COMPUTED_VALUE"""),410.54)</f>
        <v>410.54</v>
      </c>
      <c r="D1288" s="1">
        <f ca="1">IFERROR(__xludf.DUMMYFUNCTION("""COMPUTED_VALUE"""),230.37)</f>
        <v>230.37</v>
      </c>
      <c r="E1288" s="1">
        <f ca="1">IFERROR(__xludf.DUMMYFUNCTION("""COMPUTED_VALUE"""),135.29)</f>
        <v>135.29</v>
      </c>
      <c r="F1288" s="1">
        <f ca="1">IFERROR(__xludf.DUMMYFUNCTION("""COMPUTED_VALUE"""),728.56)</f>
        <v>728.56</v>
      </c>
      <c r="G1288" s="1">
        <f ca="1">IFERROR(__xludf.DUMMYFUNCTION("""COMPUTED_VALUE"""),187.88)</f>
        <v>187.88</v>
      </c>
      <c r="H1288" s="1">
        <f ca="1">IFERROR(__xludf.DUMMYFUNCTION("""COMPUTED_VALUE"""),355.94)</f>
        <v>355.94</v>
      </c>
      <c r="I1288" s="1">
        <f ca="1">IFERROR(__xludf.DUMMYFUNCTION("""COMPUTED_VALUE"""),144.58)</f>
        <v>144.58000000000001</v>
      </c>
      <c r="J1288" s="1">
        <f ca="1">IFERROR(__xludf.DUMMYFUNCTION("""COMPUTED_VALUE"""),1076.86)</f>
        <v>1076.8599999999999</v>
      </c>
      <c r="K1288" s="1">
        <f ca="1">IFERROR(__xludf.DUMMYFUNCTION("""COMPUTED_VALUE"""),235.8)</f>
        <v>235.8</v>
      </c>
      <c r="L1288" s="1">
        <f ca="1">IFERROR(__xludf.DUMMYFUNCTION("""COMPUTED_VALUE"""),459.22)</f>
        <v>459.22</v>
      </c>
      <c r="M1288" s="1">
        <f ca="1">IFERROR(__xludf.DUMMYFUNCTION("""COMPUTED_VALUE"""),1043.69)</f>
        <v>1043.69</v>
      </c>
    </row>
    <row r="1289" spans="1:13" x14ac:dyDescent="0.25">
      <c r="A1289" s="2">
        <f ca="1">IFERROR(__xludf.DUMMYFUNCTION("""COMPUTED_VALUE"""),45707.6666666666)</f>
        <v>45707.666666666599</v>
      </c>
      <c r="B1289" s="1">
        <f ca="1">IFERROR(__xludf.DUMMYFUNCTION("""COMPUTED_VALUE"""),244.87)</f>
        <v>244.87</v>
      </c>
      <c r="C1289" s="1">
        <f ca="1">IFERROR(__xludf.DUMMYFUNCTION("""COMPUTED_VALUE"""),408.43)</f>
        <v>408.43</v>
      </c>
      <c r="D1289" s="1">
        <f ca="1">IFERROR(__xludf.DUMMYFUNCTION("""COMPUTED_VALUE"""),228.68)</f>
        <v>228.68</v>
      </c>
      <c r="E1289" s="1">
        <f ca="1">IFERROR(__xludf.DUMMYFUNCTION("""COMPUTED_VALUE"""),138.85)</f>
        <v>138.85</v>
      </c>
      <c r="F1289" s="1">
        <f ca="1">IFERROR(__xludf.DUMMYFUNCTION("""COMPUTED_VALUE"""),736.67)</f>
        <v>736.67</v>
      </c>
      <c r="G1289" s="1">
        <f ca="1">IFERROR(__xludf.DUMMYFUNCTION("""COMPUTED_VALUE"""),186.87)</f>
        <v>186.87</v>
      </c>
      <c r="H1289" s="1">
        <f ca="1">IFERROR(__xludf.DUMMYFUNCTION("""COMPUTED_VALUE"""),355.84)</f>
        <v>355.84</v>
      </c>
      <c r="I1289" s="1">
        <f ca="1">IFERROR(__xludf.DUMMYFUNCTION("""COMPUTED_VALUE"""),143.39)</f>
        <v>143.38999999999999</v>
      </c>
      <c r="J1289" s="1">
        <f ca="1">IFERROR(__xludf.DUMMYFUNCTION("""COMPUTED_VALUE"""),1071.85)</f>
        <v>1071.8499999999999</v>
      </c>
      <c r="K1289" s="1">
        <f ca="1">IFERROR(__xludf.DUMMYFUNCTION("""COMPUTED_VALUE"""),233.04)</f>
        <v>233.04</v>
      </c>
      <c r="L1289" s="1">
        <f ca="1">IFERROR(__xludf.DUMMYFUNCTION("""COMPUTED_VALUE"""),460.16)</f>
        <v>460.16</v>
      </c>
      <c r="M1289" s="1">
        <f ca="1">IFERROR(__xludf.DUMMYFUNCTION("""COMPUTED_VALUE"""),1058.6)</f>
        <v>1058.5999999999999</v>
      </c>
    </row>
    <row r="1290" spans="1:13" x14ac:dyDescent="0.25">
      <c r="A1290" s="2">
        <f ca="1">IFERROR(__xludf.DUMMYFUNCTION("""COMPUTED_VALUE"""),45708.6666666666)</f>
        <v>45708.666666666599</v>
      </c>
      <c r="B1290" s="1">
        <f ca="1">IFERROR(__xludf.DUMMYFUNCTION("""COMPUTED_VALUE"""),245.83)</f>
        <v>245.83</v>
      </c>
      <c r="C1290" s="1">
        <f ca="1">IFERROR(__xludf.DUMMYFUNCTION("""COMPUTED_VALUE"""),409.64)</f>
        <v>409.64</v>
      </c>
      <c r="D1290" s="1">
        <f ca="1">IFERROR(__xludf.DUMMYFUNCTION("""COMPUTED_VALUE"""),226.65)</f>
        <v>226.65</v>
      </c>
      <c r="E1290" s="1">
        <f ca="1">IFERROR(__xludf.DUMMYFUNCTION("""COMPUTED_VALUE"""),139.4)</f>
        <v>139.4</v>
      </c>
      <c r="F1290" s="1">
        <f ca="1">IFERROR(__xludf.DUMMYFUNCTION("""COMPUTED_VALUE"""),716.37)</f>
        <v>716.37</v>
      </c>
      <c r="G1290" s="1">
        <f ca="1">IFERROR(__xludf.DUMMYFUNCTION("""COMPUTED_VALUE"""),185.8)</f>
        <v>185.8</v>
      </c>
      <c r="H1290" s="1">
        <f ca="1">IFERROR(__xludf.DUMMYFUNCTION("""COMPUTED_VALUE"""),354.11)</f>
        <v>354.11</v>
      </c>
      <c r="I1290" s="1">
        <f ca="1">IFERROR(__xludf.DUMMYFUNCTION("""COMPUTED_VALUE"""),144.1)</f>
        <v>144.1</v>
      </c>
      <c r="J1290" s="1">
        <f ca="1">IFERROR(__xludf.DUMMYFUNCTION("""COMPUTED_VALUE"""),1056.03)</f>
        <v>1056.03</v>
      </c>
      <c r="K1290" s="1">
        <f ca="1">IFERROR(__xludf.DUMMYFUNCTION("""COMPUTED_VALUE"""),228.53)</f>
        <v>228.53</v>
      </c>
      <c r="L1290" s="1">
        <f ca="1">IFERROR(__xludf.DUMMYFUNCTION("""COMPUTED_VALUE"""),464.11)</f>
        <v>464.11</v>
      </c>
      <c r="M1290" s="1">
        <f ca="1">IFERROR(__xludf.DUMMYFUNCTION("""COMPUTED_VALUE"""),1035.85)</f>
        <v>1035.8499999999999</v>
      </c>
    </row>
    <row r="1291" spans="1:13" x14ac:dyDescent="0.25">
      <c r="A1291" s="2">
        <f ca="1">IFERROR(__xludf.DUMMYFUNCTION("""COMPUTED_VALUE"""),45709.6666666666)</f>
        <v>45709.666666666599</v>
      </c>
      <c r="B1291" s="1">
        <f ca="1">IFERROR(__xludf.DUMMYFUNCTION("""COMPUTED_VALUE"""),245.55)</f>
        <v>245.55</v>
      </c>
      <c r="C1291" s="1">
        <f ca="1">IFERROR(__xludf.DUMMYFUNCTION("""COMPUTED_VALUE"""),414.77)</f>
        <v>414.77</v>
      </c>
      <c r="D1291" s="1">
        <f ca="1">IFERROR(__xludf.DUMMYFUNCTION("""COMPUTED_VALUE"""),226.63)</f>
        <v>226.63</v>
      </c>
      <c r="E1291" s="1">
        <f ca="1">IFERROR(__xludf.DUMMYFUNCTION("""COMPUTED_VALUE"""),139.23)</f>
        <v>139.22999999999999</v>
      </c>
      <c r="F1291" s="1">
        <f ca="1">IFERROR(__xludf.DUMMYFUNCTION("""COMPUTED_VALUE"""),703.77)</f>
        <v>703.77</v>
      </c>
      <c r="G1291" s="1">
        <f ca="1">IFERROR(__xludf.DUMMYFUNCTION("""COMPUTED_VALUE"""),187.13)</f>
        <v>187.13</v>
      </c>
      <c r="H1291" s="1">
        <f ca="1">IFERROR(__xludf.DUMMYFUNCTION("""COMPUTED_VALUE"""),360.56)</f>
        <v>360.56</v>
      </c>
      <c r="I1291" s="1">
        <f ca="1">IFERROR(__xludf.DUMMYFUNCTION("""COMPUTED_VALUE"""),145.81)</f>
        <v>145.81</v>
      </c>
      <c r="J1291" s="1">
        <f ca="1">IFERROR(__xludf.DUMMYFUNCTION("""COMPUTED_VALUE"""),1062.54)</f>
        <v>1062.54</v>
      </c>
      <c r="K1291" s="1">
        <f ca="1">IFERROR(__xludf.DUMMYFUNCTION("""COMPUTED_VALUE"""),228.73)</f>
        <v>228.73</v>
      </c>
      <c r="L1291" s="1">
        <f ca="1">IFERROR(__xludf.DUMMYFUNCTION("""COMPUTED_VALUE"""),456.99)</f>
        <v>456.99</v>
      </c>
      <c r="M1291" s="1">
        <f ca="1">IFERROR(__xludf.DUMMYFUNCTION("""COMPUTED_VALUE"""),1043.33)</f>
        <v>1043.33</v>
      </c>
    </row>
    <row r="1292" spans="1:13" x14ac:dyDescent="0.25">
      <c r="A1292" s="2">
        <f ca="1">IFERROR(__xludf.DUMMYFUNCTION("""COMPUTED_VALUE"""),45712.6666666666)</f>
        <v>45712.666666666599</v>
      </c>
      <c r="B1292" s="1">
        <f ca="1">IFERROR(__xludf.DUMMYFUNCTION("""COMPUTED_VALUE"""),247.1)</f>
        <v>247.1</v>
      </c>
      <c r="C1292" s="1">
        <f ca="1">IFERROR(__xludf.DUMMYFUNCTION("""COMPUTED_VALUE"""),416.13)</f>
        <v>416.13</v>
      </c>
      <c r="D1292" s="1">
        <f ca="1">IFERROR(__xludf.DUMMYFUNCTION("""COMPUTED_VALUE"""),222.88)</f>
        <v>222.88</v>
      </c>
      <c r="E1292" s="1">
        <f ca="1">IFERROR(__xludf.DUMMYFUNCTION("""COMPUTED_VALUE"""),140.11)</f>
        <v>140.11000000000001</v>
      </c>
      <c r="F1292" s="1">
        <f ca="1">IFERROR(__xludf.DUMMYFUNCTION("""COMPUTED_VALUE"""),694.84)</f>
        <v>694.84</v>
      </c>
      <c r="G1292" s="1">
        <f ca="1">IFERROR(__xludf.DUMMYFUNCTION("""COMPUTED_VALUE"""),186.64)</f>
        <v>186.64</v>
      </c>
      <c r="H1292" s="1">
        <f ca="1">IFERROR(__xludf.DUMMYFUNCTION("""COMPUTED_VALUE"""),354.4)</f>
        <v>354.4</v>
      </c>
      <c r="I1292" s="1">
        <f ca="1">IFERROR(__xludf.DUMMYFUNCTION("""COMPUTED_VALUE"""),149.1)</f>
        <v>149.1</v>
      </c>
      <c r="J1292" s="1">
        <f ca="1">IFERROR(__xludf.DUMMYFUNCTION("""COMPUTED_VALUE"""),1034.83)</f>
        <v>1034.83</v>
      </c>
      <c r="K1292" s="1">
        <f ca="1">IFERROR(__xludf.DUMMYFUNCTION("""COMPUTED_VALUE"""),226.74)</f>
        <v>226.74</v>
      </c>
      <c r="L1292" s="1">
        <f ca="1">IFERROR(__xludf.DUMMYFUNCTION("""COMPUTED_VALUE"""),454.69)</f>
        <v>454.69</v>
      </c>
      <c r="M1292" s="1">
        <f ca="1">IFERROR(__xludf.DUMMYFUNCTION("""COMPUTED_VALUE"""),1024.54)</f>
        <v>1024.54</v>
      </c>
    </row>
    <row r="1293" spans="1:13" x14ac:dyDescent="0.25">
      <c r="A1293" s="2">
        <f ca="1">IFERROR(__xludf.DUMMYFUNCTION("""COMPUTED_VALUE"""),45713.6666666666)</f>
        <v>45713.666666666599</v>
      </c>
      <c r="B1293" s="1">
        <f ca="1">IFERROR(__xludf.DUMMYFUNCTION("""COMPUTED_VALUE"""),247.04)</f>
        <v>247.04</v>
      </c>
      <c r="C1293" s="1">
        <f ca="1">IFERROR(__xludf.DUMMYFUNCTION("""COMPUTED_VALUE"""),408.21)</f>
        <v>408.21</v>
      </c>
      <c r="D1293" s="1">
        <f ca="1">IFERROR(__xludf.DUMMYFUNCTION("""COMPUTED_VALUE"""),216.58)</f>
        <v>216.58</v>
      </c>
      <c r="E1293" s="1">
        <f ca="1">IFERROR(__xludf.DUMMYFUNCTION("""COMPUTED_VALUE"""),134.43)</f>
        <v>134.43</v>
      </c>
      <c r="F1293" s="1">
        <f ca="1">IFERROR(__xludf.DUMMYFUNCTION("""COMPUTED_VALUE"""),683.55)</f>
        <v>683.55</v>
      </c>
      <c r="G1293" s="1">
        <f ca="1">IFERROR(__xludf.DUMMYFUNCTION("""COMPUTED_VALUE"""),181.58)</f>
        <v>181.58</v>
      </c>
      <c r="H1293" s="1">
        <f ca="1">IFERROR(__xludf.DUMMYFUNCTION("""COMPUTED_VALUE"""),337.8)</f>
        <v>337.8</v>
      </c>
      <c r="I1293" s="1">
        <f ca="1">IFERROR(__xludf.DUMMYFUNCTION("""COMPUTED_VALUE"""),153.5)</f>
        <v>153.5</v>
      </c>
      <c r="J1293" s="1">
        <f ca="1">IFERROR(__xludf.DUMMYFUNCTION("""COMPUTED_VALUE"""),1035.03)</f>
        <v>1035.03</v>
      </c>
      <c r="K1293" s="1">
        <f ca="1">IFERROR(__xludf.DUMMYFUNCTION("""COMPUTED_VALUE"""),218.66)</f>
        <v>218.66</v>
      </c>
      <c r="L1293" s="1">
        <f ca="1">IFERROR(__xludf.DUMMYFUNCTION("""COMPUTED_VALUE"""),444.32)</f>
        <v>444.32</v>
      </c>
      <c r="M1293" s="1">
        <f ca="1">IFERROR(__xludf.DUMMYFUNCTION("""COMPUTED_VALUE"""),1003.15)</f>
        <v>1003.15</v>
      </c>
    </row>
    <row r="1294" spans="1:13" x14ac:dyDescent="0.25">
      <c r="A1294" s="2">
        <f ca="1">IFERROR(__xludf.DUMMYFUNCTION("""COMPUTED_VALUE"""),45714.6666666666)</f>
        <v>45714.666666666599</v>
      </c>
      <c r="B1294" s="1">
        <f ca="1">IFERROR(__xludf.DUMMYFUNCTION("""COMPUTED_VALUE"""),240.36)</f>
        <v>240.36</v>
      </c>
      <c r="C1294" s="1">
        <f ca="1">IFERROR(__xludf.DUMMYFUNCTION("""COMPUTED_VALUE"""),404)</f>
        <v>404</v>
      </c>
      <c r="D1294" s="1">
        <f ca="1">IFERROR(__xludf.DUMMYFUNCTION("""COMPUTED_VALUE"""),212.71)</f>
        <v>212.71</v>
      </c>
      <c r="E1294" s="1">
        <f ca="1">IFERROR(__xludf.DUMMYFUNCTION("""COMPUTED_VALUE"""),130.28)</f>
        <v>130.28</v>
      </c>
      <c r="F1294" s="1">
        <f ca="1">IFERROR(__xludf.DUMMYFUNCTION("""COMPUTED_VALUE"""),668.13)</f>
        <v>668.13</v>
      </c>
      <c r="G1294" s="1">
        <f ca="1">IFERROR(__xludf.DUMMYFUNCTION("""COMPUTED_VALUE"""),181.19)</f>
        <v>181.19</v>
      </c>
      <c r="H1294" s="1">
        <f ca="1">IFERROR(__xludf.DUMMYFUNCTION("""COMPUTED_VALUE"""),330.53)</f>
        <v>330.53</v>
      </c>
      <c r="I1294" s="1">
        <f ca="1">IFERROR(__xludf.DUMMYFUNCTION("""COMPUTED_VALUE"""),153.85)</f>
        <v>153.85</v>
      </c>
      <c r="J1294" s="1">
        <f ca="1">IFERROR(__xludf.DUMMYFUNCTION("""COMPUTED_VALUE"""),1035.6)</f>
        <v>1035.5999999999999</v>
      </c>
      <c r="K1294" s="1">
        <f ca="1">IFERROR(__xludf.DUMMYFUNCTION("""COMPUTED_VALUE"""),207.93)</f>
        <v>207.93</v>
      </c>
      <c r="L1294" s="1">
        <f ca="1">IFERROR(__xludf.DUMMYFUNCTION("""COMPUTED_VALUE"""),444.42)</f>
        <v>444.42</v>
      </c>
      <c r="M1294" s="1">
        <f ca="1">IFERROR(__xludf.DUMMYFUNCTION("""COMPUTED_VALUE"""),988.47)</f>
        <v>988.47</v>
      </c>
    </row>
    <row r="1295" spans="1:13" x14ac:dyDescent="0.25">
      <c r="A1295" s="2">
        <f ca="1">IFERROR(__xludf.DUMMYFUNCTION("""COMPUTED_VALUE"""),45715.6666666666)</f>
        <v>45715.666666666599</v>
      </c>
      <c r="B1295" s="1">
        <f ca="1">IFERROR(__xludf.DUMMYFUNCTION("""COMPUTED_VALUE"""),237.3)</f>
        <v>237.3</v>
      </c>
      <c r="C1295" s="1">
        <f ca="1">IFERROR(__xludf.DUMMYFUNCTION("""COMPUTED_VALUE"""),397.9)</f>
        <v>397.9</v>
      </c>
      <c r="D1295" s="1">
        <f ca="1">IFERROR(__xludf.DUMMYFUNCTION("""COMPUTED_VALUE"""),212.8)</f>
        <v>212.8</v>
      </c>
      <c r="E1295" s="1">
        <f ca="1">IFERROR(__xludf.DUMMYFUNCTION("""COMPUTED_VALUE"""),126.63)</f>
        <v>126.63</v>
      </c>
      <c r="F1295" s="1">
        <f ca="1">IFERROR(__xludf.DUMMYFUNCTION("""COMPUTED_VALUE"""),657.5)</f>
        <v>657.5</v>
      </c>
      <c r="G1295" s="1">
        <f ca="1">IFERROR(__xludf.DUMMYFUNCTION("""COMPUTED_VALUE"""),177.37)</f>
        <v>177.37</v>
      </c>
      <c r="H1295" s="1">
        <f ca="1">IFERROR(__xludf.DUMMYFUNCTION("""COMPUTED_VALUE"""),302.8)</f>
        <v>302.8</v>
      </c>
      <c r="I1295" s="1">
        <f ca="1">IFERROR(__xludf.DUMMYFUNCTION("""COMPUTED_VALUE"""),156.42)</f>
        <v>156.41999999999999</v>
      </c>
      <c r="J1295" s="1">
        <f ca="1">IFERROR(__xludf.DUMMYFUNCTION("""COMPUTED_VALUE"""),1055.66)</f>
        <v>1055.6600000000001</v>
      </c>
      <c r="K1295" s="1">
        <f ca="1">IFERROR(__xludf.DUMMYFUNCTION("""COMPUTED_VALUE"""),202.54)</f>
        <v>202.54</v>
      </c>
      <c r="L1295" s="1">
        <f ca="1">IFERROR(__xludf.DUMMYFUNCTION("""COMPUTED_VALUE"""),443.41)</f>
        <v>443.41</v>
      </c>
      <c r="M1295" s="1">
        <f ca="1">IFERROR(__xludf.DUMMYFUNCTION("""COMPUTED_VALUE"""),977.24)</f>
        <v>977.24</v>
      </c>
    </row>
    <row r="1296" spans="1:13" x14ac:dyDescent="0.25">
      <c r="A1296" s="2">
        <f ca="1">IFERROR(__xludf.DUMMYFUNCTION("""COMPUTED_VALUE"""),45716.6666666666)</f>
        <v>45716.666666666599</v>
      </c>
      <c r="B1296" s="1">
        <f ca="1">IFERROR(__xludf.DUMMYFUNCTION("""COMPUTED_VALUE"""),241.84)</f>
        <v>241.84</v>
      </c>
      <c r="C1296" s="1">
        <f ca="1">IFERROR(__xludf.DUMMYFUNCTION("""COMPUTED_VALUE"""),399.73)</f>
        <v>399.73</v>
      </c>
      <c r="D1296" s="1">
        <f ca="1">IFERROR(__xludf.DUMMYFUNCTION("""COMPUTED_VALUE"""),214.35)</f>
        <v>214.35</v>
      </c>
      <c r="E1296" s="1">
        <f ca="1">IFERROR(__xludf.DUMMYFUNCTION("""COMPUTED_VALUE"""),131.28)</f>
        <v>131.28</v>
      </c>
      <c r="F1296" s="1">
        <f ca="1">IFERROR(__xludf.DUMMYFUNCTION("""COMPUTED_VALUE"""),673.7)</f>
        <v>673.7</v>
      </c>
      <c r="G1296" s="1">
        <f ca="1">IFERROR(__xludf.DUMMYFUNCTION("""COMPUTED_VALUE"""),174.7)</f>
        <v>174.7</v>
      </c>
      <c r="H1296" s="1">
        <f ca="1">IFERROR(__xludf.DUMMYFUNCTION("""COMPUTED_VALUE"""),290.8)</f>
        <v>290.8</v>
      </c>
      <c r="I1296" s="1">
        <f ca="1">IFERROR(__xludf.DUMMYFUNCTION("""COMPUTED_VALUE"""),151.51)</f>
        <v>151.51</v>
      </c>
      <c r="J1296" s="1">
        <f ca="1">IFERROR(__xludf.DUMMYFUNCTION("""COMPUTED_VALUE"""),1031.97)</f>
        <v>1031.97</v>
      </c>
      <c r="K1296" s="1">
        <f ca="1">IFERROR(__xludf.DUMMYFUNCTION("""COMPUTED_VALUE"""),212.94)</f>
        <v>212.94</v>
      </c>
      <c r="L1296" s="1">
        <f ca="1">IFERROR(__xludf.DUMMYFUNCTION("""COMPUTED_VALUE"""),441.5)</f>
        <v>441.5</v>
      </c>
      <c r="M1296" s="1">
        <f ca="1">IFERROR(__xludf.DUMMYFUNCTION("""COMPUTED_VALUE"""),990.06)</f>
        <v>990.06</v>
      </c>
    </row>
    <row r="1297" spans="1:13" x14ac:dyDescent="0.25">
      <c r="A1297" s="2">
        <f ca="1">IFERROR(__xludf.DUMMYFUNCTION("""COMPUTED_VALUE"""),45719.6666666666)</f>
        <v>45719.666666666599</v>
      </c>
      <c r="B1297" s="1">
        <f ca="1">IFERROR(__xludf.DUMMYFUNCTION("""COMPUTED_VALUE"""),238.03)</f>
        <v>238.03</v>
      </c>
      <c r="C1297" s="1">
        <f ca="1">IFERROR(__xludf.DUMMYFUNCTION("""COMPUTED_VALUE"""),392.53)</f>
        <v>392.53</v>
      </c>
      <c r="D1297" s="1">
        <f ca="1">IFERROR(__xludf.DUMMYFUNCTION("""COMPUTED_VALUE"""),208.74)</f>
        <v>208.74</v>
      </c>
      <c r="E1297" s="1">
        <f ca="1">IFERROR(__xludf.DUMMYFUNCTION("""COMPUTED_VALUE"""),120.15)</f>
        <v>120.15</v>
      </c>
      <c r="F1297" s="1">
        <f ca="1">IFERROR(__xludf.DUMMYFUNCTION("""COMPUTED_VALUE"""),658.24)</f>
        <v>658.24</v>
      </c>
      <c r="G1297" s="1">
        <f ca="1">IFERROR(__xludf.DUMMYFUNCTION("""COMPUTED_VALUE"""),170.21)</f>
        <v>170.21</v>
      </c>
      <c r="H1297" s="1">
        <f ca="1">IFERROR(__xludf.DUMMYFUNCTION("""COMPUTED_VALUE"""),281.95)</f>
        <v>281.95</v>
      </c>
      <c r="I1297" s="1">
        <f ca="1">IFERROR(__xludf.DUMMYFUNCTION("""COMPUTED_VALUE"""),152.02)</f>
        <v>152.02000000000001</v>
      </c>
      <c r="J1297" s="1">
        <f ca="1">IFERROR(__xludf.DUMMYFUNCTION("""COMPUTED_VALUE"""),1021.71)</f>
        <v>1021.71</v>
      </c>
      <c r="K1297" s="1">
        <f ca="1">IFERROR(__xludf.DUMMYFUNCTION("""COMPUTED_VALUE"""),197.8)</f>
        <v>197.8</v>
      </c>
      <c r="L1297" s="1">
        <f ca="1">IFERROR(__xludf.DUMMYFUNCTION("""COMPUTED_VALUE"""),437.19)</f>
        <v>437.19</v>
      </c>
      <c r="M1297" s="1">
        <f ca="1">IFERROR(__xludf.DUMMYFUNCTION("""COMPUTED_VALUE"""),963.07)</f>
        <v>963.07</v>
      </c>
    </row>
    <row r="1298" spans="1:13" x14ac:dyDescent="0.25">
      <c r="A1298" s="2">
        <f ca="1">IFERROR(__xludf.DUMMYFUNCTION("""COMPUTED_VALUE"""),45720.6666666666)</f>
        <v>45720.666666666599</v>
      </c>
      <c r="B1298" s="1">
        <f ca="1">IFERROR(__xludf.DUMMYFUNCTION("""COMPUTED_VALUE"""),235.93)</f>
        <v>235.93</v>
      </c>
      <c r="C1298" s="1">
        <f ca="1">IFERROR(__xludf.DUMMYFUNCTION("""COMPUTED_VALUE"""),396.99)</f>
        <v>396.99</v>
      </c>
      <c r="D1298" s="1">
        <f ca="1">IFERROR(__xludf.DUMMYFUNCTION("""COMPUTED_VALUE"""),212.28)</f>
        <v>212.28</v>
      </c>
      <c r="E1298" s="1">
        <f ca="1">IFERROR(__xludf.DUMMYFUNCTION("""COMPUTED_VALUE"""),124.92)</f>
        <v>124.92</v>
      </c>
      <c r="F1298" s="1">
        <f ca="1">IFERROR(__xludf.DUMMYFUNCTION("""COMPUTED_VALUE"""),668.2)</f>
        <v>668.2</v>
      </c>
      <c r="G1298" s="1">
        <f ca="1">IFERROR(__xludf.DUMMYFUNCTION("""COMPUTED_VALUE"""),172.22)</f>
        <v>172.22</v>
      </c>
      <c r="H1298" s="1">
        <f ca="1">IFERROR(__xludf.DUMMYFUNCTION("""COMPUTED_VALUE"""),292.98)</f>
        <v>292.98</v>
      </c>
      <c r="I1298" s="1">
        <f ca="1">IFERROR(__xludf.DUMMYFUNCTION("""COMPUTED_VALUE"""),153.47)</f>
        <v>153.47</v>
      </c>
      <c r="J1298" s="1">
        <f ca="1">IFERROR(__xludf.DUMMYFUNCTION("""COMPUTED_VALUE"""),1048.61)</f>
        <v>1048.6099999999999</v>
      </c>
      <c r="K1298" s="1">
        <f ca="1">IFERROR(__xludf.DUMMYFUNCTION("""COMPUTED_VALUE"""),199.43)</f>
        <v>199.43</v>
      </c>
      <c r="L1298" s="1">
        <f ca="1">IFERROR(__xludf.DUMMYFUNCTION("""COMPUTED_VALUE"""),438.56)</f>
        <v>438.56</v>
      </c>
      <c r="M1298" s="1">
        <f ca="1">IFERROR(__xludf.DUMMYFUNCTION("""COMPUTED_VALUE"""),980.56)</f>
        <v>980.56</v>
      </c>
    </row>
    <row r="1299" spans="1:13" x14ac:dyDescent="0.25">
      <c r="A1299" s="2">
        <f ca="1">IFERROR(__xludf.DUMMYFUNCTION("""COMPUTED_VALUE"""),45721.6666666666)</f>
        <v>45721.666666666599</v>
      </c>
      <c r="B1299" s="1">
        <f ca="1">IFERROR(__xludf.DUMMYFUNCTION("""COMPUTED_VALUE"""),235.74)</f>
        <v>235.74</v>
      </c>
      <c r="C1299" s="1">
        <f ca="1">IFERROR(__xludf.DUMMYFUNCTION("""COMPUTED_VALUE"""),388.49)</f>
        <v>388.49</v>
      </c>
      <c r="D1299" s="1">
        <f ca="1">IFERROR(__xludf.DUMMYFUNCTION("""COMPUTED_VALUE"""),205.02)</f>
        <v>205.02</v>
      </c>
      <c r="E1299" s="1">
        <f ca="1">IFERROR(__xludf.DUMMYFUNCTION("""COMPUTED_VALUE"""),114.06)</f>
        <v>114.06</v>
      </c>
      <c r="F1299" s="1">
        <f ca="1">IFERROR(__xludf.DUMMYFUNCTION("""COMPUTED_VALUE"""),655.05)</f>
        <v>655.04999999999995</v>
      </c>
      <c r="G1299" s="1">
        <f ca="1">IFERROR(__xludf.DUMMYFUNCTION("""COMPUTED_VALUE"""),168.66)</f>
        <v>168.66</v>
      </c>
      <c r="H1299" s="1">
        <f ca="1">IFERROR(__xludf.DUMMYFUNCTION("""COMPUTED_VALUE"""),284.65)</f>
        <v>284.64999999999998</v>
      </c>
      <c r="I1299" s="1">
        <f ca="1">IFERROR(__xludf.DUMMYFUNCTION("""COMPUTED_VALUE"""),155.99)</f>
        <v>155.99</v>
      </c>
      <c r="J1299" s="1">
        <f ca="1">IFERROR(__xludf.DUMMYFUNCTION("""COMPUTED_VALUE"""),1046.85)</f>
        <v>1046.8499999999999</v>
      </c>
      <c r="K1299" s="1">
        <f ca="1">IFERROR(__xludf.DUMMYFUNCTION("""COMPUTED_VALUE"""),187.37)</f>
        <v>187.37</v>
      </c>
      <c r="L1299" s="1">
        <f ca="1">IFERROR(__xludf.DUMMYFUNCTION("""COMPUTED_VALUE"""),440.72)</f>
        <v>440.72</v>
      </c>
      <c r="M1299" s="1">
        <f ca="1">IFERROR(__xludf.DUMMYFUNCTION("""COMPUTED_VALUE"""),973.7)</f>
        <v>973.7</v>
      </c>
    </row>
    <row r="1300" spans="1:13" x14ac:dyDescent="0.25">
      <c r="A1300" s="2">
        <f ca="1">IFERROR(__xludf.DUMMYFUNCTION("""COMPUTED_VALUE"""),45722.6666666666)</f>
        <v>45722.666666666599</v>
      </c>
      <c r="B1300" s="1">
        <f ca="1">IFERROR(__xludf.DUMMYFUNCTION("""COMPUTED_VALUE"""),235.33)</f>
        <v>235.33</v>
      </c>
      <c r="C1300" s="1">
        <f ca="1">IFERROR(__xludf.DUMMYFUNCTION("""COMPUTED_VALUE"""),388.61)</f>
        <v>388.61</v>
      </c>
      <c r="D1300" s="1">
        <f ca="1">IFERROR(__xludf.DUMMYFUNCTION("""COMPUTED_VALUE"""),203.8)</f>
        <v>203.8</v>
      </c>
      <c r="E1300" s="1">
        <f ca="1">IFERROR(__xludf.DUMMYFUNCTION("""COMPUTED_VALUE"""),115.99)</f>
        <v>115.99</v>
      </c>
      <c r="F1300" s="1">
        <f ca="1">IFERROR(__xludf.DUMMYFUNCTION("""COMPUTED_VALUE"""),640)</f>
        <v>640</v>
      </c>
      <c r="G1300" s="1">
        <f ca="1">IFERROR(__xludf.DUMMYFUNCTION("""COMPUTED_VALUE"""),172.61)</f>
        <v>172.61</v>
      </c>
      <c r="H1300" s="1">
        <f ca="1">IFERROR(__xludf.DUMMYFUNCTION("""COMPUTED_VALUE"""),272.04)</f>
        <v>272.04000000000002</v>
      </c>
      <c r="I1300" s="1">
        <f ca="1">IFERROR(__xludf.DUMMYFUNCTION("""COMPUTED_VALUE"""),154.19)</f>
        <v>154.19</v>
      </c>
      <c r="J1300" s="1">
        <f ca="1">IFERROR(__xludf.DUMMYFUNCTION("""COMPUTED_VALUE"""),1036.87)</f>
        <v>1036.8699999999999</v>
      </c>
      <c r="K1300" s="1">
        <f ca="1">IFERROR(__xludf.DUMMYFUNCTION("""COMPUTED_VALUE"""),187.48)</f>
        <v>187.48</v>
      </c>
      <c r="L1300" s="1">
        <f ca="1">IFERROR(__xludf.DUMMYFUNCTION("""COMPUTED_VALUE"""),446.03)</f>
        <v>446.03</v>
      </c>
      <c r="M1300" s="1">
        <f ca="1">IFERROR(__xludf.DUMMYFUNCTION("""COMPUTED_VALUE"""),972.58)</f>
        <v>972.58</v>
      </c>
    </row>
    <row r="1301" spans="1:13" x14ac:dyDescent="0.25">
      <c r="A1301" s="2">
        <f ca="1">IFERROR(__xludf.DUMMYFUNCTION("""COMPUTED_VALUE"""),45723.6666666666)</f>
        <v>45723.666666666599</v>
      </c>
      <c r="B1301" s="1">
        <f ca="1">IFERROR(__xludf.DUMMYFUNCTION("""COMPUTED_VALUE"""),239.07)</f>
        <v>239.07</v>
      </c>
      <c r="C1301" s="1">
        <f ca="1">IFERROR(__xludf.DUMMYFUNCTION("""COMPUTED_VALUE"""),401.02)</f>
        <v>401.02</v>
      </c>
      <c r="D1301" s="1">
        <f ca="1">IFERROR(__xludf.DUMMYFUNCTION("""COMPUTED_VALUE"""),208.36)</f>
        <v>208.36</v>
      </c>
      <c r="E1301" s="1">
        <f ca="1">IFERROR(__xludf.DUMMYFUNCTION("""COMPUTED_VALUE"""),117.3)</f>
        <v>117.3</v>
      </c>
      <c r="F1301" s="1">
        <f ca="1">IFERROR(__xludf.DUMMYFUNCTION("""COMPUTED_VALUE"""),656.47)</f>
        <v>656.47</v>
      </c>
      <c r="G1301" s="1">
        <f ca="1">IFERROR(__xludf.DUMMYFUNCTION("""COMPUTED_VALUE"""),174.99)</f>
        <v>174.99</v>
      </c>
      <c r="H1301" s="1">
        <f ca="1">IFERROR(__xludf.DUMMYFUNCTION("""COMPUTED_VALUE"""),279.1)</f>
        <v>279.10000000000002</v>
      </c>
      <c r="I1301" s="1">
        <f ca="1">IFERROR(__xludf.DUMMYFUNCTION("""COMPUTED_VALUE"""),153.88)</f>
        <v>153.88</v>
      </c>
      <c r="J1301" s="1">
        <f ca="1">IFERROR(__xludf.DUMMYFUNCTION("""COMPUTED_VALUE"""),1047.75)</f>
        <v>1047.75</v>
      </c>
      <c r="K1301" s="1">
        <f ca="1">IFERROR(__xludf.DUMMYFUNCTION("""COMPUTED_VALUE"""),191.58)</f>
        <v>191.58</v>
      </c>
      <c r="L1301" s="1">
        <f ca="1">IFERROR(__xludf.DUMMYFUNCTION("""COMPUTED_VALUE"""),451.24)</f>
        <v>451.24</v>
      </c>
      <c r="M1301" s="1">
        <f ca="1">IFERROR(__xludf.DUMMYFUNCTION("""COMPUTED_VALUE"""),990.92)</f>
        <v>990.92</v>
      </c>
    </row>
    <row r="1302" spans="1:13" x14ac:dyDescent="0.25">
      <c r="A1302" s="2">
        <f ca="1">IFERROR(__xludf.DUMMYFUNCTION("""COMPUTED_VALUE"""),45726.6666666666)</f>
        <v>45726.666666666599</v>
      </c>
      <c r="B1302" s="1">
        <f ca="1">IFERROR(__xludf.DUMMYFUNCTION("""COMPUTED_VALUE"""),227.48)</f>
        <v>227.48</v>
      </c>
      <c r="C1302" s="1">
        <f ca="1">IFERROR(__xludf.DUMMYFUNCTION("""COMPUTED_VALUE"""),396.89)</f>
        <v>396.89</v>
      </c>
      <c r="D1302" s="1">
        <f ca="1">IFERROR(__xludf.DUMMYFUNCTION("""COMPUTED_VALUE"""),200.7)</f>
        <v>200.7</v>
      </c>
      <c r="E1302" s="1">
        <f ca="1">IFERROR(__xludf.DUMMYFUNCTION("""COMPUTED_VALUE"""),110.57)</f>
        <v>110.57</v>
      </c>
      <c r="F1302" s="1">
        <f ca="1">IFERROR(__xludf.DUMMYFUNCTION("""COMPUTED_VALUE"""),627.93)</f>
        <v>627.92999999999995</v>
      </c>
      <c r="G1302" s="1">
        <f ca="1">IFERROR(__xludf.DUMMYFUNCTION("""COMPUTED_VALUE"""),174.21)</f>
        <v>174.21</v>
      </c>
      <c r="H1302" s="1">
        <f ca="1">IFERROR(__xludf.DUMMYFUNCTION("""COMPUTED_VALUE"""),263.45)</f>
        <v>263.45</v>
      </c>
      <c r="I1302" s="1">
        <f ca="1">IFERROR(__xludf.DUMMYFUNCTION("""COMPUTED_VALUE"""),154.61)</f>
        <v>154.61000000000001</v>
      </c>
      <c r="J1302" s="1">
        <f ca="1">IFERROR(__xludf.DUMMYFUNCTION("""COMPUTED_VALUE"""),1026.62)</f>
        <v>1026.6199999999999</v>
      </c>
      <c r="K1302" s="1">
        <f ca="1">IFERROR(__xludf.DUMMYFUNCTION("""COMPUTED_VALUE"""),179.45)</f>
        <v>179.45</v>
      </c>
      <c r="L1302" s="1">
        <f ca="1">IFERROR(__xludf.DUMMYFUNCTION("""COMPUTED_VALUE"""),444.78)</f>
        <v>444.78</v>
      </c>
      <c r="M1302" s="1">
        <f ca="1">IFERROR(__xludf.DUMMYFUNCTION("""COMPUTED_VALUE"""),906.36)</f>
        <v>906.36</v>
      </c>
    </row>
    <row r="1303" spans="1:13" x14ac:dyDescent="0.25">
      <c r="A1303" s="2">
        <f ca="1">IFERROR(__xludf.DUMMYFUNCTION("""COMPUTED_VALUE"""),45727.6666666666)</f>
        <v>45727.666666666599</v>
      </c>
      <c r="B1303" s="1">
        <f ca="1">IFERROR(__xludf.DUMMYFUNCTION("""COMPUTED_VALUE"""),220.84)</f>
        <v>220.84</v>
      </c>
      <c r="C1303" s="1">
        <f ca="1">IFERROR(__xludf.DUMMYFUNCTION("""COMPUTED_VALUE"""),393.31)</f>
        <v>393.31</v>
      </c>
      <c r="D1303" s="1">
        <f ca="1">IFERROR(__xludf.DUMMYFUNCTION("""COMPUTED_VALUE"""),199.25)</f>
        <v>199.25</v>
      </c>
      <c r="E1303" s="1">
        <f ca="1">IFERROR(__xludf.DUMMYFUNCTION("""COMPUTED_VALUE"""),112.69)</f>
        <v>112.69</v>
      </c>
      <c r="F1303" s="1">
        <f ca="1">IFERROR(__xludf.DUMMYFUNCTION("""COMPUTED_VALUE"""),625.66)</f>
        <v>625.66</v>
      </c>
      <c r="G1303" s="1">
        <f ca="1">IFERROR(__xludf.DUMMYFUNCTION("""COMPUTED_VALUE"""),175.75)</f>
        <v>175.75</v>
      </c>
      <c r="H1303" s="1">
        <f ca="1">IFERROR(__xludf.DUMMYFUNCTION("""COMPUTED_VALUE"""),262.67)</f>
        <v>262.67</v>
      </c>
      <c r="I1303" s="1">
        <f ca="1">IFERROR(__xludf.DUMMYFUNCTION("""COMPUTED_VALUE"""),154.44)</f>
        <v>154.44</v>
      </c>
      <c r="J1303" s="1">
        <f ca="1">IFERROR(__xludf.DUMMYFUNCTION("""COMPUTED_VALUE"""),964.31)</f>
        <v>964.31</v>
      </c>
      <c r="K1303" s="1">
        <f ca="1">IFERROR(__xludf.DUMMYFUNCTION("""COMPUTED_VALUE"""),194.96)</f>
        <v>194.96</v>
      </c>
      <c r="L1303" s="1">
        <f ca="1">IFERROR(__xludf.DUMMYFUNCTION("""COMPUTED_VALUE"""),449.4)</f>
        <v>449.4</v>
      </c>
      <c r="M1303" s="1">
        <f ca="1">IFERROR(__xludf.DUMMYFUNCTION("""COMPUTED_VALUE"""),891.11)</f>
        <v>891.11</v>
      </c>
    </row>
    <row r="1304" spans="1:13" x14ac:dyDescent="0.25">
      <c r="A1304" s="2">
        <f ca="1">IFERROR(__xludf.DUMMYFUNCTION("""COMPUTED_VALUE"""),45728.6666666666)</f>
        <v>45728.666666666599</v>
      </c>
      <c r="B1304" s="1">
        <f ca="1">IFERROR(__xludf.DUMMYFUNCTION("""COMPUTED_VALUE"""),216.98)</f>
        <v>216.98</v>
      </c>
      <c r="C1304" s="1">
        <f ca="1">IFERROR(__xludf.DUMMYFUNCTION("""COMPUTED_VALUE"""),380.16)</f>
        <v>380.16</v>
      </c>
      <c r="D1304" s="1">
        <f ca="1">IFERROR(__xludf.DUMMYFUNCTION("""COMPUTED_VALUE"""),194.54)</f>
        <v>194.54</v>
      </c>
      <c r="E1304" s="1">
        <f ca="1">IFERROR(__xludf.DUMMYFUNCTION("""COMPUTED_VALUE"""),106.98)</f>
        <v>106.98</v>
      </c>
      <c r="F1304" s="1">
        <f ca="1">IFERROR(__xludf.DUMMYFUNCTION("""COMPUTED_VALUE"""),597.99)</f>
        <v>597.99</v>
      </c>
      <c r="G1304" s="1">
        <f ca="1">IFERROR(__xludf.DUMMYFUNCTION("""COMPUTED_VALUE"""),167.81)</f>
        <v>167.81</v>
      </c>
      <c r="H1304" s="1">
        <f ca="1">IFERROR(__xludf.DUMMYFUNCTION("""COMPUTED_VALUE"""),222.15)</f>
        <v>222.15</v>
      </c>
      <c r="I1304" s="1">
        <f ca="1">IFERROR(__xludf.DUMMYFUNCTION("""COMPUTED_VALUE"""),156.25)</f>
        <v>156.25</v>
      </c>
      <c r="J1304" s="1">
        <f ca="1">IFERROR(__xludf.DUMMYFUNCTION("""COMPUTED_VALUE"""),934.41)</f>
        <v>934.41</v>
      </c>
      <c r="K1304" s="1">
        <f ca="1">IFERROR(__xludf.DUMMYFUNCTION("""COMPUTED_VALUE"""),184.45)</f>
        <v>184.45</v>
      </c>
      <c r="L1304" s="1">
        <f ca="1">IFERROR(__xludf.DUMMYFUNCTION("""COMPUTED_VALUE"""),435.08)</f>
        <v>435.08</v>
      </c>
      <c r="M1304" s="1">
        <f ca="1">IFERROR(__xludf.DUMMYFUNCTION("""COMPUTED_VALUE"""),866.68)</f>
        <v>866.68</v>
      </c>
    </row>
    <row r="1305" spans="1:13" x14ac:dyDescent="0.25">
      <c r="A1305" s="2">
        <f ca="1">IFERROR(__xludf.DUMMYFUNCTION("""COMPUTED_VALUE"""),45729.6666666666)</f>
        <v>45729.666666666599</v>
      </c>
      <c r="B1305" s="1">
        <f ca="1">IFERROR(__xludf.DUMMYFUNCTION("""COMPUTED_VALUE"""),209.68)</f>
        <v>209.68</v>
      </c>
      <c r="C1305" s="1">
        <f ca="1">IFERROR(__xludf.DUMMYFUNCTION("""COMPUTED_VALUE"""),380.45)</f>
        <v>380.45</v>
      </c>
      <c r="D1305" s="1">
        <f ca="1">IFERROR(__xludf.DUMMYFUNCTION("""COMPUTED_VALUE"""),196.59)</f>
        <v>196.59</v>
      </c>
      <c r="E1305" s="1">
        <f ca="1">IFERROR(__xludf.DUMMYFUNCTION("""COMPUTED_VALUE"""),108.76)</f>
        <v>108.76</v>
      </c>
      <c r="F1305" s="1">
        <f ca="1">IFERROR(__xludf.DUMMYFUNCTION("""COMPUTED_VALUE"""),605.71)</f>
        <v>605.71</v>
      </c>
      <c r="G1305" s="1">
        <f ca="1">IFERROR(__xludf.DUMMYFUNCTION("""COMPUTED_VALUE"""),165.98)</f>
        <v>165.98</v>
      </c>
      <c r="H1305" s="1">
        <f ca="1">IFERROR(__xludf.DUMMYFUNCTION("""COMPUTED_VALUE"""),230.58)</f>
        <v>230.58</v>
      </c>
      <c r="I1305" s="1">
        <f ca="1">IFERROR(__xludf.DUMMYFUNCTION("""COMPUTED_VALUE"""),152.33)</f>
        <v>152.33000000000001</v>
      </c>
      <c r="J1305" s="1">
        <f ca="1">IFERROR(__xludf.DUMMYFUNCTION("""COMPUTED_VALUE"""),930.49)</f>
        <v>930.49</v>
      </c>
      <c r="K1305" s="1">
        <f ca="1">IFERROR(__xludf.DUMMYFUNCTION("""COMPUTED_VALUE"""),190.09)</f>
        <v>190.09</v>
      </c>
      <c r="L1305" s="1">
        <f ca="1">IFERROR(__xludf.DUMMYFUNCTION("""COMPUTED_VALUE"""),433.66)</f>
        <v>433.66</v>
      </c>
      <c r="M1305" s="1">
        <f ca="1">IFERROR(__xludf.DUMMYFUNCTION("""COMPUTED_VALUE"""),895.1)</f>
        <v>895.1</v>
      </c>
    </row>
    <row r="1306" spans="1:13" x14ac:dyDescent="0.25">
      <c r="A1306" s="2">
        <f ca="1">IFERROR(__xludf.DUMMYFUNCTION("""COMPUTED_VALUE"""),45730.6666666666)</f>
        <v>45730.666666666599</v>
      </c>
      <c r="B1306" s="1">
        <f ca="1">IFERROR(__xludf.DUMMYFUNCTION("""COMPUTED_VALUE"""),213.49)</f>
        <v>213.49</v>
      </c>
      <c r="C1306" s="1">
        <f ca="1">IFERROR(__xludf.DUMMYFUNCTION("""COMPUTED_VALUE"""),383.27)</f>
        <v>383.27</v>
      </c>
      <c r="D1306" s="1">
        <f ca="1">IFERROR(__xludf.DUMMYFUNCTION("""COMPUTED_VALUE"""),198.89)</f>
        <v>198.89</v>
      </c>
      <c r="E1306" s="1">
        <f ca="1">IFERROR(__xludf.DUMMYFUNCTION("""COMPUTED_VALUE"""),115.74)</f>
        <v>115.74</v>
      </c>
      <c r="F1306" s="1">
        <f ca="1">IFERROR(__xludf.DUMMYFUNCTION("""COMPUTED_VALUE"""),619.56)</f>
        <v>619.55999999999995</v>
      </c>
      <c r="G1306" s="1">
        <f ca="1">IFERROR(__xludf.DUMMYFUNCTION("""COMPUTED_VALUE"""),169)</f>
        <v>169</v>
      </c>
      <c r="H1306" s="1">
        <f ca="1">IFERROR(__xludf.DUMMYFUNCTION("""COMPUTED_VALUE"""),248.09)</f>
        <v>248.09</v>
      </c>
      <c r="I1306" s="1">
        <f ca="1">IFERROR(__xludf.DUMMYFUNCTION("""COMPUTED_VALUE"""),148.17)</f>
        <v>148.16999999999999</v>
      </c>
      <c r="J1306" s="1">
        <f ca="1">IFERROR(__xludf.DUMMYFUNCTION("""COMPUTED_VALUE"""),927.08)</f>
        <v>927.08</v>
      </c>
      <c r="K1306" s="1">
        <f ca="1">IFERROR(__xludf.DUMMYFUNCTION("""COMPUTED_VALUE"""),194.23)</f>
        <v>194.23</v>
      </c>
      <c r="L1306" s="1">
        <f ca="1">IFERROR(__xludf.DUMMYFUNCTION("""COMPUTED_VALUE"""),438.6)</f>
        <v>438.6</v>
      </c>
      <c r="M1306" s="1">
        <f ca="1">IFERROR(__xludf.DUMMYFUNCTION("""COMPUTED_VALUE"""),919.68)</f>
        <v>919.68</v>
      </c>
    </row>
    <row r="1307" spans="1:13" x14ac:dyDescent="0.25">
      <c r="A1307" s="2">
        <f ca="1">IFERROR(__xludf.DUMMYFUNCTION("""COMPUTED_VALUE"""),45733.6666666666)</f>
        <v>45733.666666666599</v>
      </c>
      <c r="B1307" s="1">
        <f ca="1">IFERROR(__xludf.DUMMYFUNCTION("""COMPUTED_VALUE"""),214)</f>
        <v>214</v>
      </c>
      <c r="C1307" s="1">
        <f ca="1">IFERROR(__xludf.DUMMYFUNCTION("""COMPUTED_VALUE"""),378.77)</f>
        <v>378.77</v>
      </c>
      <c r="D1307" s="1">
        <f ca="1">IFERROR(__xludf.DUMMYFUNCTION("""COMPUTED_VALUE"""),193.89)</f>
        <v>193.89</v>
      </c>
      <c r="E1307" s="1">
        <f ca="1">IFERROR(__xludf.DUMMYFUNCTION("""COMPUTED_VALUE"""),115.58)</f>
        <v>115.58</v>
      </c>
      <c r="F1307" s="1">
        <f ca="1">IFERROR(__xludf.DUMMYFUNCTION("""COMPUTED_VALUE"""),590.64)</f>
        <v>590.64</v>
      </c>
      <c r="G1307" s="1">
        <f ca="1">IFERROR(__xludf.DUMMYFUNCTION("""COMPUTED_VALUE"""),164.73)</f>
        <v>164.73</v>
      </c>
      <c r="H1307" s="1">
        <f ca="1">IFERROR(__xludf.DUMMYFUNCTION("""COMPUTED_VALUE"""),240.68)</f>
        <v>240.68</v>
      </c>
      <c r="I1307" s="1">
        <f ca="1">IFERROR(__xludf.DUMMYFUNCTION("""COMPUTED_VALUE"""),148.34)</f>
        <v>148.34</v>
      </c>
      <c r="J1307" s="1">
        <f ca="1">IFERROR(__xludf.DUMMYFUNCTION("""COMPUTED_VALUE"""),890.62)</f>
        <v>890.62</v>
      </c>
      <c r="K1307" s="1">
        <f ca="1">IFERROR(__xludf.DUMMYFUNCTION("""COMPUTED_VALUE"""),191.36)</f>
        <v>191.36</v>
      </c>
      <c r="L1307" s="1">
        <f ca="1">IFERROR(__xludf.DUMMYFUNCTION("""COMPUTED_VALUE"""),377.84)</f>
        <v>377.84</v>
      </c>
      <c r="M1307" s="1">
        <f ca="1">IFERROR(__xludf.DUMMYFUNCTION("""COMPUTED_VALUE"""),890.17)</f>
        <v>890.17</v>
      </c>
    </row>
    <row r="1308" spans="1:13" x14ac:dyDescent="0.25">
      <c r="A1308" s="2">
        <f ca="1">IFERROR(__xludf.DUMMYFUNCTION("""COMPUTED_VALUE"""),45734.6666666666)</f>
        <v>45734.666666666599</v>
      </c>
      <c r="B1308" s="1">
        <f ca="1">IFERROR(__xludf.DUMMYFUNCTION("""COMPUTED_VALUE"""),212.69)</f>
        <v>212.69</v>
      </c>
      <c r="C1308" s="1">
        <f ca="1">IFERROR(__xludf.DUMMYFUNCTION("""COMPUTED_VALUE"""),388.56)</f>
        <v>388.56</v>
      </c>
      <c r="D1308" s="1">
        <f ca="1">IFERROR(__xludf.DUMMYFUNCTION("""COMPUTED_VALUE"""),197.95)</f>
        <v>197.95</v>
      </c>
      <c r="E1308" s="1">
        <f ca="1">IFERROR(__xludf.DUMMYFUNCTION("""COMPUTED_VALUE"""),121.67)</f>
        <v>121.67</v>
      </c>
      <c r="F1308" s="1">
        <f ca="1">IFERROR(__xludf.DUMMYFUNCTION("""COMPUTED_VALUE"""),607.6)</f>
        <v>607.6</v>
      </c>
      <c r="G1308" s="1">
        <f ca="1">IFERROR(__xludf.DUMMYFUNCTION("""COMPUTED_VALUE"""),167.62)</f>
        <v>167.62</v>
      </c>
      <c r="H1308" s="1">
        <f ca="1">IFERROR(__xludf.DUMMYFUNCTION("""COMPUTED_VALUE"""),249.98)</f>
        <v>249.98</v>
      </c>
      <c r="I1308" s="1">
        <f ca="1">IFERROR(__xludf.DUMMYFUNCTION("""COMPUTED_VALUE"""),148.59)</f>
        <v>148.59</v>
      </c>
      <c r="J1308" s="1">
        <f ca="1">IFERROR(__xludf.DUMMYFUNCTION("""COMPUTED_VALUE"""),903.92)</f>
        <v>903.92</v>
      </c>
      <c r="K1308" s="1">
        <f ca="1">IFERROR(__xludf.DUMMYFUNCTION("""COMPUTED_VALUE"""),195.54)</f>
        <v>195.54</v>
      </c>
      <c r="L1308" s="1">
        <f ca="1">IFERROR(__xludf.DUMMYFUNCTION("""COMPUTED_VALUE"""),394.74)</f>
        <v>394.74</v>
      </c>
      <c r="M1308" s="1">
        <f ca="1">IFERROR(__xludf.DUMMYFUNCTION("""COMPUTED_VALUE"""),918)</f>
        <v>918</v>
      </c>
    </row>
    <row r="1309" spans="1:13" x14ac:dyDescent="0.25">
      <c r="A1309" s="2">
        <f ca="1">IFERROR(__xludf.DUMMYFUNCTION("""COMPUTED_VALUE"""),45735.6666666666)</f>
        <v>45735.666666666599</v>
      </c>
      <c r="B1309" s="1">
        <f ca="1">IFERROR(__xludf.DUMMYFUNCTION("""COMPUTED_VALUE"""),215.24)</f>
        <v>215.24</v>
      </c>
      <c r="C1309" s="1">
        <f ca="1">IFERROR(__xludf.DUMMYFUNCTION("""COMPUTED_VALUE"""),388.7)</f>
        <v>388.7</v>
      </c>
      <c r="D1309" s="1">
        <f ca="1">IFERROR(__xludf.DUMMYFUNCTION("""COMPUTED_VALUE"""),195.74)</f>
        <v>195.74</v>
      </c>
      <c r="E1309" s="1">
        <f ca="1">IFERROR(__xludf.DUMMYFUNCTION("""COMPUTED_VALUE"""),119.53)</f>
        <v>119.53</v>
      </c>
      <c r="F1309" s="1">
        <f ca="1">IFERROR(__xludf.DUMMYFUNCTION("""COMPUTED_VALUE"""),604.9)</f>
        <v>604.9</v>
      </c>
      <c r="G1309" s="1">
        <f ca="1">IFERROR(__xludf.DUMMYFUNCTION("""COMPUTED_VALUE"""),166.57)</f>
        <v>166.57</v>
      </c>
      <c r="H1309" s="1">
        <f ca="1">IFERROR(__xludf.DUMMYFUNCTION("""COMPUTED_VALUE"""),238.01)</f>
        <v>238.01</v>
      </c>
      <c r="I1309" s="1">
        <f ca="1">IFERROR(__xludf.DUMMYFUNCTION("""COMPUTED_VALUE"""),151.34)</f>
        <v>151.34</v>
      </c>
      <c r="J1309" s="1">
        <f ca="1">IFERROR(__xludf.DUMMYFUNCTION("""COMPUTED_VALUE"""),916.61)</f>
        <v>916.61</v>
      </c>
      <c r="K1309" s="1">
        <f ca="1">IFERROR(__xludf.DUMMYFUNCTION("""COMPUTED_VALUE"""),194.5)</f>
        <v>194.5</v>
      </c>
      <c r="L1309" s="1">
        <f ca="1">IFERROR(__xludf.DUMMYFUNCTION("""COMPUTED_VALUE"""),399.34)</f>
        <v>399.34</v>
      </c>
      <c r="M1309" s="1">
        <f ca="1">IFERROR(__xludf.DUMMYFUNCTION("""COMPUTED_VALUE"""),950.02)</f>
        <v>950.02</v>
      </c>
    </row>
    <row r="1310" spans="1:13" x14ac:dyDescent="0.25">
      <c r="A1310" s="2">
        <f ca="1">IFERROR(__xludf.DUMMYFUNCTION("""COMPUTED_VALUE"""),45736.6666666666)</f>
        <v>45736.666666666599</v>
      </c>
      <c r="B1310" s="1">
        <f ca="1">IFERROR(__xludf.DUMMYFUNCTION("""COMPUTED_VALUE"""),214.1)</f>
        <v>214.1</v>
      </c>
      <c r="C1310" s="1">
        <f ca="1">IFERROR(__xludf.DUMMYFUNCTION("""COMPUTED_VALUE"""),383.52)</f>
        <v>383.52</v>
      </c>
      <c r="D1310" s="1">
        <f ca="1">IFERROR(__xludf.DUMMYFUNCTION("""COMPUTED_VALUE"""),192.82)</f>
        <v>192.82</v>
      </c>
      <c r="E1310" s="1">
        <f ca="1">IFERROR(__xludf.DUMMYFUNCTION("""COMPUTED_VALUE"""),115.43)</f>
        <v>115.43</v>
      </c>
      <c r="F1310" s="1">
        <f ca="1">IFERROR(__xludf.DUMMYFUNCTION("""COMPUTED_VALUE"""),582.36)</f>
        <v>582.36</v>
      </c>
      <c r="G1310" s="1">
        <f ca="1">IFERROR(__xludf.DUMMYFUNCTION("""COMPUTED_VALUE"""),162.67)</f>
        <v>162.66999999999999</v>
      </c>
      <c r="H1310" s="1">
        <f ca="1">IFERROR(__xludf.DUMMYFUNCTION("""COMPUTED_VALUE"""),225.31)</f>
        <v>225.31</v>
      </c>
      <c r="I1310" s="1">
        <f ca="1">IFERROR(__xludf.DUMMYFUNCTION("""COMPUTED_VALUE"""),148.99)</f>
        <v>148.99</v>
      </c>
      <c r="J1310" s="1">
        <f ca="1">IFERROR(__xludf.DUMMYFUNCTION("""COMPUTED_VALUE"""),898.05)</f>
        <v>898.05</v>
      </c>
      <c r="K1310" s="1">
        <f ca="1">IFERROR(__xludf.DUMMYFUNCTION("""COMPUTED_VALUE"""),188.67)</f>
        <v>188.67</v>
      </c>
      <c r="L1310" s="1">
        <f ca="1">IFERROR(__xludf.DUMMYFUNCTION("""COMPUTED_VALUE"""),391.37)</f>
        <v>391.37</v>
      </c>
      <c r="M1310" s="1">
        <f ca="1">IFERROR(__xludf.DUMMYFUNCTION("""COMPUTED_VALUE"""),929.98)</f>
        <v>929.98</v>
      </c>
    </row>
    <row r="1311" spans="1:13" x14ac:dyDescent="0.25">
      <c r="A1311" s="2">
        <f ca="1">IFERROR(__xludf.DUMMYFUNCTION("""COMPUTED_VALUE"""),45737.6666666666)</f>
        <v>45737.666666666599</v>
      </c>
      <c r="B1311" s="1">
        <f ca="1">IFERROR(__xludf.DUMMYFUNCTION("""COMPUTED_VALUE"""),218.27)</f>
        <v>218.27</v>
      </c>
      <c r="C1311" s="1">
        <f ca="1">IFERROR(__xludf.DUMMYFUNCTION("""COMPUTED_VALUE"""),387.82)</f>
        <v>387.82</v>
      </c>
      <c r="D1311" s="1">
        <f ca="1">IFERROR(__xludf.DUMMYFUNCTION("""COMPUTED_VALUE"""),195.54)</f>
        <v>195.54</v>
      </c>
      <c r="E1311" s="1">
        <f ca="1">IFERROR(__xludf.DUMMYFUNCTION("""COMPUTED_VALUE"""),117.52)</f>
        <v>117.52</v>
      </c>
      <c r="F1311" s="1">
        <f ca="1">IFERROR(__xludf.DUMMYFUNCTION("""COMPUTED_VALUE"""),584.06)</f>
        <v>584.05999999999995</v>
      </c>
      <c r="G1311" s="1">
        <f ca="1">IFERROR(__xludf.DUMMYFUNCTION("""COMPUTED_VALUE"""),166.28)</f>
        <v>166.28</v>
      </c>
      <c r="H1311" s="1">
        <f ca="1">IFERROR(__xludf.DUMMYFUNCTION("""COMPUTED_VALUE"""),235.86)</f>
        <v>235.86</v>
      </c>
      <c r="I1311" s="1">
        <f ca="1">IFERROR(__xludf.DUMMYFUNCTION("""COMPUTED_VALUE"""),148.11)</f>
        <v>148.11000000000001</v>
      </c>
      <c r="J1311" s="1">
        <f ca="1">IFERROR(__xludf.DUMMYFUNCTION("""COMPUTED_VALUE"""),904.05)</f>
        <v>904.05</v>
      </c>
      <c r="K1311" s="1">
        <f ca="1">IFERROR(__xludf.DUMMYFUNCTION("""COMPUTED_VALUE"""),195.57)</f>
        <v>195.57</v>
      </c>
      <c r="L1311" s="1">
        <f ca="1">IFERROR(__xludf.DUMMYFUNCTION("""COMPUTED_VALUE"""),387.89)</f>
        <v>387.89</v>
      </c>
      <c r="M1311" s="1">
        <f ca="1">IFERROR(__xludf.DUMMYFUNCTION("""COMPUTED_VALUE"""),959.49)</f>
        <v>959.49</v>
      </c>
    </row>
    <row r="1312" spans="1:13" x14ac:dyDescent="0.25">
      <c r="A1312" s="2">
        <f ca="1">IFERROR(__xludf.DUMMYFUNCTION("""COMPUTED_VALUE"""),45740.6666666666)</f>
        <v>45740.666666666599</v>
      </c>
      <c r="B1312" s="1">
        <f ca="1">IFERROR(__xludf.DUMMYFUNCTION("""COMPUTED_VALUE"""),220.73)</f>
        <v>220.73</v>
      </c>
      <c r="C1312" s="1">
        <f ca="1">IFERROR(__xludf.DUMMYFUNCTION("""COMPUTED_VALUE"""),386.84)</f>
        <v>386.84</v>
      </c>
      <c r="D1312" s="1">
        <f ca="1">IFERROR(__xludf.DUMMYFUNCTION("""COMPUTED_VALUE"""),194.95)</f>
        <v>194.95</v>
      </c>
      <c r="E1312" s="1">
        <f ca="1">IFERROR(__xludf.DUMMYFUNCTION("""COMPUTED_VALUE"""),118.53)</f>
        <v>118.53</v>
      </c>
      <c r="F1312" s="1">
        <f ca="1">IFERROR(__xludf.DUMMYFUNCTION("""COMPUTED_VALUE"""),586)</f>
        <v>586</v>
      </c>
      <c r="G1312" s="1">
        <f ca="1">IFERROR(__xludf.DUMMYFUNCTION("""COMPUTED_VALUE"""),165.05)</f>
        <v>165.05</v>
      </c>
      <c r="H1312" s="1">
        <f ca="1">IFERROR(__xludf.DUMMYFUNCTION("""COMPUTED_VALUE"""),236.26)</f>
        <v>236.26</v>
      </c>
      <c r="I1312" s="1">
        <f ca="1">IFERROR(__xludf.DUMMYFUNCTION("""COMPUTED_VALUE"""),147.15)</f>
        <v>147.15</v>
      </c>
      <c r="J1312" s="1">
        <f ca="1">IFERROR(__xludf.DUMMYFUNCTION("""COMPUTED_VALUE"""),895.4)</f>
        <v>895.4</v>
      </c>
      <c r="K1312" s="1">
        <f ca="1">IFERROR(__xludf.DUMMYFUNCTION("""COMPUTED_VALUE"""),190.54)</f>
        <v>190.54</v>
      </c>
      <c r="L1312" s="1">
        <f ca="1">IFERROR(__xludf.DUMMYFUNCTION("""COMPUTED_VALUE"""),389.61)</f>
        <v>389.61</v>
      </c>
      <c r="M1312" s="1">
        <f ca="1">IFERROR(__xludf.DUMMYFUNCTION("""COMPUTED_VALUE"""),950.84)</f>
        <v>950.84</v>
      </c>
    </row>
    <row r="1313" spans="1:13" x14ac:dyDescent="0.25">
      <c r="A1313" s="2">
        <f ca="1">IFERROR(__xludf.DUMMYFUNCTION("""COMPUTED_VALUE"""),45741.6666666666)</f>
        <v>45741.666666666599</v>
      </c>
      <c r="B1313" s="1">
        <f ca="1">IFERROR(__xludf.DUMMYFUNCTION("""COMPUTED_VALUE"""),223.75)</f>
        <v>223.75</v>
      </c>
      <c r="C1313" s="1">
        <f ca="1">IFERROR(__xludf.DUMMYFUNCTION("""COMPUTED_VALUE"""),391.26)</f>
        <v>391.26</v>
      </c>
      <c r="D1313" s="1">
        <f ca="1">IFERROR(__xludf.DUMMYFUNCTION("""COMPUTED_VALUE"""),196.21)</f>
        <v>196.21</v>
      </c>
      <c r="E1313" s="1">
        <f ca="1">IFERROR(__xludf.DUMMYFUNCTION("""COMPUTED_VALUE"""),117.7)</f>
        <v>117.7</v>
      </c>
      <c r="F1313" s="1">
        <f ca="1">IFERROR(__xludf.DUMMYFUNCTION("""COMPUTED_VALUE"""),596.25)</f>
        <v>596.25</v>
      </c>
      <c r="G1313" s="1">
        <f ca="1">IFERROR(__xludf.DUMMYFUNCTION("""COMPUTED_VALUE"""),166.25)</f>
        <v>166.25</v>
      </c>
      <c r="H1313" s="1">
        <f ca="1">IFERROR(__xludf.DUMMYFUNCTION("""COMPUTED_VALUE"""),248.71)</f>
        <v>248.71</v>
      </c>
      <c r="I1313" s="1">
        <f ca="1">IFERROR(__xludf.DUMMYFUNCTION("""COMPUTED_VALUE"""),145.45)</f>
        <v>145.44999999999999</v>
      </c>
      <c r="J1313" s="1">
        <f ca="1">IFERROR(__xludf.DUMMYFUNCTION("""COMPUTED_VALUE"""),909.26)</f>
        <v>909.26</v>
      </c>
      <c r="K1313" s="1">
        <f ca="1">IFERROR(__xludf.DUMMYFUNCTION("""COMPUTED_VALUE"""),191.66)</f>
        <v>191.66</v>
      </c>
      <c r="L1313" s="1">
        <f ca="1">IFERROR(__xludf.DUMMYFUNCTION("""COMPUTED_VALUE"""),387.26)</f>
        <v>387.26</v>
      </c>
      <c r="M1313" s="1">
        <f ca="1">IFERROR(__xludf.DUMMYFUNCTION("""COMPUTED_VALUE"""),960.29)</f>
        <v>960.29</v>
      </c>
    </row>
    <row r="1314" spans="1:13" x14ac:dyDescent="0.25">
      <c r="A1314" s="2">
        <f ca="1">IFERROR(__xludf.DUMMYFUNCTION("""COMPUTED_VALUE"""),45742.6666666666)</f>
        <v>45742.666666666599</v>
      </c>
      <c r="B1314" s="1">
        <f ca="1">IFERROR(__xludf.DUMMYFUNCTION("""COMPUTED_VALUE"""),221.53)</f>
        <v>221.53</v>
      </c>
      <c r="C1314" s="1">
        <f ca="1">IFERROR(__xludf.DUMMYFUNCTION("""COMPUTED_VALUE"""),393.08)</f>
        <v>393.08</v>
      </c>
      <c r="D1314" s="1">
        <f ca="1">IFERROR(__xludf.DUMMYFUNCTION("""COMPUTED_VALUE"""),203.26)</f>
        <v>203.26</v>
      </c>
      <c r="E1314" s="1">
        <f ca="1">IFERROR(__xludf.DUMMYFUNCTION("""COMPUTED_VALUE"""),121.41)</f>
        <v>121.41</v>
      </c>
      <c r="F1314" s="1">
        <f ca="1">IFERROR(__xludf.DUMMYFUNCTION("""COMPUTED_VALUE"""),618.85)</f>
        <v>618.85</v>
      </c>
      <c r="G1314" s="1">
        <f ca="1">IFERROR(__xludf.DUMMYFUNCTION("""COMPUTED_VALUE"""),169.93)</f>
        <v>169.93</v>
      </c>
      <c r="H1314" s="1">
        <f ca="1">IFERROR(__xludf.DUMMYFUNCTION("""COMPUTED_VALUE"""),278.39)</f>
        <v>278.39</v>
      </c>
      <c r="I1314" s="1">
        <f ca="1">IFERROR(__xludf.DUMMYFUNCTION("""COMPUTED_VALUE"""),146.45)</f>
        <v>146.44999999999999</v>
      </c>
      <c r="J1314" s="1">
        <f ca="1">IFERROR(__xludf.DUMMYFUNCTION("""COMPUTED_VALUE"""),926.04)</f>
        <v>926.04</v>
      </c>
      <c r="K1314" s="1">
        <f ca="1">IFERROR(__xludf.DUMMYFUNCTION("""COMPUTED_VALUE"""),191.25)</f>
        <v>191.25</v>
      </c>
      <c r="L1314" s="1">
        <f ca="1">IFERROR(__xludf.DUMMYFUNCTION("""COMPUTED_VALUE"""),394.47)</f>
        <v>394.47</v>
      </c>
      <c r="M1314" s="1">
        <f ca="1">IFERROR(__xludf.DUMMYFUNCTION("""COMPUTED_VALUE"""),971.99)</f>
        <v>971.99</v>
      </c>
    </row>
    <row r="1315" spans="1:13" x14ac:dyDescent="0.25">
      <c r="A1315" s="2">
        <f ca="1">IFERROR(__xludf.DUMMYFUNCTION("""COMPUTED_VALUE"""),45743.6666666666)</f>
        <v>45743.666666666599</v>
      </c>
      <c r="B1315" s="1">
        <f ca="1">IFERROR(__xludf.DUMMYFUNCTION("""COMPUTED_VALUE"""),223.85)</f>
        <v>223.85</v>
      </c>
      <c r="C1315" s="1">
        <f ca="1">IFERROR(__xludf.DUMMYFUNCTION("""COMPUTED_VALUE"""),395.16)</f>
        <v>395.16</v>
      </c>
      <c r="D1315" s="1">
        <f ca="1">IFERROR(__xludf.DUMMYFUNCTION("""COMPUTED_VALUE"""),205.71)</f>
        <v>205.71</v>
      </c>
      <c r="E1315" s="1">
        <f ca="1">IFERROR(__xludf.DUMMYFUNCTION("""COMPUTED_VALUE"""),120.69)</f>
        <v>120.69</v>
      </c>
      <c r="F1315" s="1">
        <f ca="1">IFERROR(__xludf.DUMMYFUNCTION("""COMPUTED_VALUE"""),626.31)</f>
        <v>626.30999999999995</v>
      </c>
      <c r="G1315" s="1">
        <f ca="1">IFERROR(__xludf.DUMMYFUNCTION("""COMPUTED_VALUE"""),172.79)</f>
        <v>172.79</v>
      </c>
      <c r="H1315" s="1">
        <f ca="1">IFERROR(__xludf.DUMMYFUNCTION("""COMPUTED_VALUE"""),288.14)</f>
        <v>288.14</v>
      </c>
      <c r="I1315" s="1">
        <f ca="1">IFERROR(__xludf.DUMMYFUNCTION("""COMPUTED_VALUE"""),145.54)</f>
        <v>145.54</v>
      </c>
      <c r="J1315" s="1">
        <f ca="1">IFERROR(__xludf.DUMMYFUNCTION("""COMPUTED_VALUE"""),930.26)</f>
        <v>930.26</v>
      </c>
      <c r="K1315" s="1">
        <f ca="1">IFERROR(__xludf.DUMMYFUNCTION("""COMPUTED_VALUE"""),188.26)</f>
        <v>188.26</v>
      </c>
      <c r="L1315" s="1">
        <f ca="1">IFERROR(__xludf.DUMMYFUNCTION("""COMPUTED_VALUE"""),403.64)</f>
        <v>403.64</v>
      </c>
      <c r="M1315" s="1">
        <f ca="1">IFERROR(__xludf.DUMMYFUNCTION("""COMPUTED_VALUE"""),997.28)</f>
        <v>997.28</v>
      </c>
    </row>
    <row r="1316" spans="1:13" x14ac:dyDescent="0.25">
      <c r="A1316" s="2">
        <f ca="1">IFERROR(__xludf.DUMMYFUNCTION("""COMPUTED_VALUE"""),45744.6666666666)</f>
        <v>45744.666666666599</v>
      </c>
      <c r="B1316" s="1">
        <f ca="1">IFERROR(__xludf.DUMMYFUNCTION("""COMPUTED_VALUE"""),217.9)</f>
        <v>217.9</v>
      </c>
      <c r="C1316" s="1">
        <f ca="1">IFERROR(__xludf.DUMMYFUNCTION("""COMPUTED_VALUE"""),389.97)</f>
        <v>389.97</v>
      </c>
      <c r="D1316" s="1">
        <f ca="1">IFERROR(__xludf.DUMMYFUNCTION("""COMPUTED_VALUE"""),201.13)</f>
        <v>201.13</v>
      </c>
      <c r="E1316" s="1">
        <f ca="1">IFERROR(__xludf.DUMMYFUNCTION("""COMPUTED_VALUE"""),113.76)</f>
        <v>113.76</v>
      </c>
      <c r="F1316" s="1">
        <f ca="1">IFERROR(__xludf.DUMMYFUNCTION("""COMPUTED_VALUE"""),610.98)</f>
        <v>610.98</v>
      </c>
      <c r="G1316" s="1">
        <f ca="1">IFERROR(__xludf.DUMMYFUNCTION("""COMPUTED_VALUE"""),167.14)</f>
        <v>167.14</v>
      </c>
      <c r="H1316" s="1">
        <f ca="1">IFERROR(__xludf.DUMMYFUNCTION("""COMPUTED_VALUE"""),272.06)</f>
        <v>272.06</v>
      </c>
      <c r="I1316" s="1">
        <f ca="1">IFERROR(__xludf.DUMMYFUNCTION("""COMPUTED_VALUE"""),148.64)</f>
        <v>148.63999999999999</v>
      </c>
      <c r="J1316" s="1">
        <f ca="1">IFERROR(__xludf.DUMMYFUNCTION("""COMPUTED_VALUE"""),929.75)</f>
        <v>929.75</v>
      </c>
      <c r="K1316" s="1">
        <f ca="1">IFERROR(__xludf.DUMMYFUNCTION("""COMPUTED_VALUE"""),179.27)</f>
        <v>179.27</v>
      </c>
      <c r="L1316" s="1">
        <f ca="1">IFERROR(__xludf.DUMMYFUNCTION("""COMPUTED_VALUE"""),397.81)</f>
        <v>397.81</v>
      </c>
      <c r="M1316" s="1">
        <f ca="1">IFERROR(__xludf.DUMMYFUNCTION("""COMPUTED_VALUE"""),970.65)</f>
        <v>970.65</v>
      </c>
    </row>
    <row r="1317" spans="1:13" x14ac:dyDescent="0.25">
      <c r="A1317" s="2">
        <f ca="1">IFERROR(__xludf.DUMMYFUNCTION("""COMPUTED_VALUE"""),45747.6666666666)</f>
        <v>45747.666666666599</v>
      </c>
      <c r="B1317" s="1">
        <f ca="1">IFERROR(__xludf.DUMMYFUNCTION("""COMPUTED_VALUE"""),222.13)</f>
        <v>222.13</v>
      </c>
      <c r="C1317" s="1">
        <f ca="1">IFERROR(__xludf.DUMMYFUNCTION("""COMPUTED_VALUE"""),390.58)</f>
        <v>390.58</v>
      </c>
      <c r="D1317" s="1">
        <f ca="1">IFERROR(__xludf.DUMMYFUNCTION("""COMPUTED_VALUE"""),201.36)</f>
        <v>201.36</v>
      </c>
      <c r="E1317" s="1">
        <f ca="1">IFERROR(__xludf.DUMMYFUNCTION("""COMPUTED_VALUE"""),111.43)</f>
        <v>111.43</v>
      </c>
      <c r="F1317" s="1">
        <f ca="1">IFERROR(__xludf.DUMMYFUNCTION("""COMPUTED_VALUE"""),602.58)</f>
        <v>602.58000000000004</v>
      </c>
      <c r="G1317" s="1">
        <f ca="1">IFERROR(__xludf.DUMMYFUNCTION("""COMPUTED_VALUE"""),164.08)</f>
        <v>164.08</v>
      </c>
      <c r="H1317" s="1">
        <f ca="1">IFERROR(__xludf.DUMMYFUNCTION("""COMPUTED_VALUE"""),273.13)</f>
        <v>273.13</v>
      </c>
      <c r="I1317" s="1">
        <f ca="1">IFERROR(__xludf.DUMMYFUNCTION("""COMPUTED_VALUE"""),149.67)</f>
        <v>149.66999999999999</v>
      </c>
      <c r="J1317" s="1">
        <f ca="1">IFERROR(__xludf.DUMMYFUNCTION("""COMPUTED_VALUE"""),938.75)</f>
        <v>938.75</v>
      </c>
      <c r="K1317" s="1">
        <f ca="1">IFERROR(__xludf.DUMMYFUNCTION("""COMPUTED_VALUE"""),171.99)</f>
        <v>171.99</v>
      </c>
      <c r="L1317" s="1">
        <f ca="1">IFERROR(__xludf.DUMMYFUNCTION("""COMPUTED_VALUE"""),396.15)</f>
        <v>396.15</v>
      </c>
      <c r="M1317" s="1">
        <f ca="1">IFERROR(__xludf.DUMMYFUNCTION("""COMPUTED_VALUE"""),976.72)</f>
        <v>976.72</v>
      </c>
    </row>
    <row r="1318" spans="1:13" x14ac:dyDescent="0.25">
      <c r="A1318" s="2">
        <f ca="1">IFERROR(__xludf.DUMMYFUNCTION("""COMPUTED_VALUE"""),45748.6666666666)</f>
        <v>45748.666666666599</v>
      </c>
      <c r="B1318" s="1">
        <f ca="1">IFERROR(__xludf.DUMMYFUNCTION("""COMPUTED_VALUE"""),223.19)</f>
        <v>223.19</v>
      </c>
      <c r="C1318" s="1">
        <f ca="1">IFERROR(__xludf.DUMMYFUNCTION("""COMPUTED_VALUE"""),378.8)</f>
        <v>378.8</v>
      </c>
      <c r="D1318" s="1">
        <f ca="1">IFERROR(__xludf.DUMMYFUNCTION("""COMPUTED_VALUE"""),192.72)</f>
        <v>192.72</v>
      </c>
      <c r="E1318" s="1">
        <f ca="1">IFERROR(__xludf.DUMMYFUNCTION("""COMPUTED_VALUE"""),109.67)</f>
        <v>109.67</v>
      </c>
      <c r="F1318" s="1">
        <f ca="1">IFERROR(__xludf.DUMMYFUNCTION("""COMPUTED_VALUE"""),576.74)</f>
        <v>576.74</v>
      </c>
      <c r="G1318" s="1">
        <f ca="1">IFERROR(__xludf.DUMMYFUNCTION("""COMPUTED_VALUE"""),156.06)</f>
        <v>156.06</v>
      </c>
      <c r="H1318" s="1">
        <f ca="1">IFERROR(__xludf.DUMMYFUNCTION("""COMPUTED_VALUE"""),263.55)</f>
        <v>263.55</v>
      </c>
      <c r="I1318" s="1">
        <f ca="1">IFERROR(__xludf.DUMMYFUNCTION("""COMPUTED_VALUE"""),149.27)</f>
        <v>149.27000000000001</v>
      </c>
      <c r="J1318" s="1">
        <f ca="1">IFERROR(__xludf.DUMMYFUNCTION("""COMPUTED_VALUE"""),929.66)</f>
        <v>929.66</v>
      </c>
      <c r="K1318" s="1">
        <f ca="1">IFERROR(__xludf.DUMMYFUNCTION("""COMPUTED_VALUE"""),169.12)</f>
        <v>169.12</v>
      </c>
      <c r="L1318" s="1">
        <f ca="1">IFERROR(__xludf.DUMMYFUNCTION("""COMPUTED_VALUE"""),385.71)</f>
        <v>385.71</v>
      </c>
      <c r="M1318" s="1">
        <f ca="1">IFERROR(__xludf.DUMMYFUNCTION("""COMPUTED_VALUE"""),933.85)</f>
        <v>933.85</v>
      </c>
    </row>
    <row r="1319" spans="1:13" x14ac:dyDescent="0.25">
      <c r="A1319" s="2">
        <f ca="1">IFERROR(__xludf.DUMMYFUNCTION("""COMPUTED_VALUE"""),45749.6666666666)</f>
        <v>45749.666666666599</v>
      </c>
      <c r="B1319" s="1">
        <f ca="1">IFERROR(__xludf.DUMMYFUNCTION("""COMPUTED_VALUE"""),223.89)</f>
        <v>223.89</v>
      </c>
      <c r="C1319" s="1">
        <f ca="1">IFERROR(__xludf.DUMMYFUNCTION("""COMPUTED_VALUE"""),375.39)</f>
        <v>375.39</v>
      </c>
      <c r="D1319" s="1">
        <f ca="1">IFERROR(__xludf.DUMMYFUNCTION("""COMPUTED_VALUE"""),190.26)</f>
        <v>190.26</v>
      </c>
      <c r="E1319" s="1">
        <f ca="1">IFERROR(__xludf.DUMMYFUNCTION("""COMPUTED_VALUE"""),108.38)</f>
        <v>108.38</v>
      </c>
      <c r="F1319" s="1">
        <f ca="1">IFERROR(__xludf.DUMMYFUNCTION("""COMPUTED_VALUE"""),576.36)</f>
        <v>576.36</v>
      </c>
      <c r="G1319" s="1">
        <f ca="1">IFERROR(__xludf.DUMMYFUNCTION("""COMPUTED_VALUE"""),156.23)</f>
        <v>156.22999999999999</v>
      </c>
      <c r="H1319" s="1">
        <f ca="1">IFERROR(__xludf.DUMMYFUNCTION("""COMPUTED_VALUE"""),259.16)</f>
        <v>259.16000000000003</v>
      </c>
      <c r="I1319" s="1">
        <f ca="1">IFERROR(__xludf.DUMMYFUNCTION("""COMPUTED_VALUE"""),149.94)</f>
        <v>149.94</v>
      </c>
      <c r="J1319" s="1">
        <f ca="1">IFERROR(__xludf.DUMMYFUNCTION("""COMPUTED_VALUE"""),945.78)</f>
        <v>945.78</v>
      </c>
      <c r="K1319" s="1">
        <f ca="1">IFERROR(__xludf.DUMMYFUNCTION("""COMPUTED_VALUE"""),167.43)</f>
        <v>167.43</v>
      </c>
      <c r="L1319" s="1">
        <f ca="1">IFERROR(__xludf.DUMMYFUNCTION("""COMPUTED_VALUE"""),383.53)</f>
        <v>383.53</v>
      </c>
      <c r="M1319" s="1">
        <f ca="1">IFERROR(__xludf.DUMMYFUNCTION("""COMPUTED_VALUE"""),932.53)</f>
        <v>932.53</v>
      </c>
    </row>
    <row r="1320" spans="1:13" x14ac:dyDescent="0.25">
      <c r="A1320" s="2">
        <f ca="1">IFERROR(__xludf.DUMMYFUNCTION("""COMPUTED_VALUE"""),45750.6666666666)</f>
        <v>45750.666666666599</v>
      </c>
      <c r="B1320" s="1">
        <f ca="1">IFERROR(__xludf.DUMMYFUNCTION("""COMPUTED_VALUE"""),203.19)</f>
        <v>203.19</v>
      </c>
      <c r="C1320" s="1">
        <f ca="1">IFERROR(__xludf.DUMMYFUNCTION("""COMPUTED_VALUE"""),382.19)</f>
        <v>382.19</v>
      </c>
      <c r="D1320" s="1">
        <f ca="1">IFERROR(__xludf.DUMMYFUNCTION("""COMPUTED_VALUE"""),192.17)</f>
        <v>192.17</v>
      </c>
      <c r="E1320" s="1">
        <f ca="1">IFERROR(__xludf.DUMMYFUNCTION("""COMPUTED_VALUE"""),110.15)</f>
        <v>110.15</v>
      </c>
      <c r="F1320" s="1">
        <f ca="1">IFERROR(__xludf.DUMMYFUNCTION("""COMPUTED_VALUE"""),586)</f>
        <v>586</v>
      </c>
      <c r="G1320" s="1">
        <f ca="1">IFERROR(__xludf.DUMMYFUNCTION("""COMPUTED_VALUE"""),158.88)</f>
        <v>158.88</v>
      </c>
      <c r="H1320" s="1">
        <f ca="1">IFERROR(__xludf.DUMMYFUNCTION("""COMPUTED_VALUE"""),268.46)</f>
        <v>268.45999999999998</v>
      </c>
      <c r="I1320" s="1">
        <f ca="1">IFERROR(__xludf.DUMMYFUNCTION("""COMPUTED_VALUE"""),149.67)</f>
        <v>149.66999999999999</v>
      </c>
      <c r="J1320" s="1">
        <f ca="1">IFERROR(__xludf.DUMMYFUNCTION("""COMPUTED_VALUE"""),954.4)</f>
        <v>954.4</v>
      </c>
      <c r="K1320" s="1">
        <f ca="1">IFERROR(__xludf.DUMMYFUNCTION("""COMPUTED_VALUE"""),168.52)</f>
        <v>168.52</v>
      </c>
      <c r="L1320" s="1">
        <f ca="1">IFERROR(__xludf.DUMMYFUNCTION("""COMPUTED_VALUE"""),383.2)</f>
        <v>383.2</v>
      </c>
      <c r="M1320" s="1">
        <f ca="1">IFERROR(__xludf.DUMMYFUNCTION("""COMPUTED_VALUE"""),928.38)</f>
        <v>928.38</v>
      </c>
    </row>
    <row r="1321" spans="1:13" x14ac:dyDescent="0.25">
      <c r="A1321" s="2">
        <f ca="1">IFERROR(__xludf.DUMMYFUNCTION("""COMPUTED_VALUE"""),45751.6666666666)</f>
        <v>45751.666666666599</v>
      </c>
      <c r="B1321" s="1">
        <f ca="1">IFERROR(__xludf.DUMMYFUNCTION("""COMPUTED_VALUE"""),188.38)</f>
        <v>188.38</v>
      </c>
      <c r="C1321" s="1">
        <f ca="1">IFERROR(__xludf.DUMMYFUNCTION("""COMPUTED_VALUE"""),382.14)</f>
        <v>382.14</v>
      </c>
      <c r="D1321" s="1">
        <f ca="1">IFERROR(__xludf.DUMMYFUNCTION("""COMPUTED_VALUE"""),196.01)</f>
        <v>196.01</v>
      </c>
      <c r="E1321" s="1">
        <f ca="1">IFERROR(__xludf.DUMMYFUNCTION("""COMPUTED_VALUE"""),110.42)</f>
        <v>110.42</v>
      </c>
      <c r="F1321" s="1">
        <f ca="1">IFERROR(__xludf.DUMMYFUNCTION("""COMPUTED_VALUE"""),583.93)</f>
        <v>583.92999999999995</v>
      </c>
      <c r="G1321" s="1">
        <f ca="1">IFERROR(__xludf.DUMMYFUNCTION("""COMPUTED_VALUE"""),158.86)</f>
        <v>158.86000000000001</v>
      </c>
      <c r="H1321" s="1">
        <f ca="1">IFERROR(__xludf.DUMMYFUNCTION("""COMPUTED_VALUE"""),282.76)</f>
        <v>282.76</v>
      </c>
      <c r="I1321" s="1">
        <f ca="1">IFERROR(__xludf.DUMMYFUNCTION("""COMPUTED_VALUE"""),149.12)</f>
        <v>149.12</v>
      </c>
      <c r="J1321" s="1">
        <f ca="1">IFERROR(__xludf.DUMMYFUNCTION("""COMPUTED_VALUE"""),965.08)</f>
        <v>965.08</v>
      </c>
      <c r="K1321" s="1">
        <f ca="1">IFERROR(__xludf.DUMMYFUNCTION("""COMPUTED_VALUE"""),172.09)</f>
        <v>172.09</v>
      </c>
      <c r="L1321" s="1">
        <f ca="1">IFERROR(__xludf.DUMMYFUNCTION("""COMPUTED_VALUE"""),385.78)</f>
        <v>385.78</v>
      </c>
      <c r="M1321" s="1">
        <f ca="1">IFERROR(__xludf.DUMMYFUNCTION("""COMPUTED_VALUE"""),935.52)</f>
        <v>935.52</v>
      </c>
    </row>
    <row r="1322" spans="1:13" x14ac:dyDescent="0.25">
      <c r="A1322" s="2">
        <f ca="1">IFERROR(__xludf.DUMMYFUNCTION("""COMPUTED_VALUE"""),45754.6666666666)</f>
        <v>45754.666666666599</v>
      </c>
      <c r="B1322" s="1">
        <f ca="1">IFERROR(__xludf.DUMMYFUNCTION("""COMPUTED_VALUE"""),181.46)</f>
        <v>181.46</v>
      </c>
      <c r="C1322" s="1">
        <f ca="1">IFERROR(__xludf.DUMMYFUNCTION("""COMPUTED_VALUE"""),373.11)</f>
        <v>373.11</v>
      </c>
      <c r="D1322" s="1">
        <f ca="1">IFERROR(__xludf.DUMMYFUNCTION("""COMPUTED_VALUE"""),178.41)</f>
        <v>178.41</v>
      </c>
      <c r="E1322" s="1">
        <f ca="1">IFERROR(__xludf.DUMMYFUNCTION("""COMPUTED_VALUE"""),101.8)</f>
        <v>101.8</v>
      </c>
      <c r="F1322" s="1">
        <f ca="1">IFERROR(__xludf.DUMMYFUNCTION("""COMPUTED_VALUE"""),531.62)</f>
        <v>531.62</v>
      </c>
      <c r="G1322" s="1">
        <f ca="1">IFERROR(__xludf.DUMMYFUNCTION("""COMPUTED_VALUE"""),152.63)</f>
        <v>152.63</v>
      </c>
      <c r="H1322" s="1">
        <f ca="1">IFERROR(__xludf.DUMMYFUNCTION("""COMPUTED_VALUE"""),267.28)</f>
        <v>267.27999999999997</v>
      </c>
      <c r="I1322" s="1">
        <f ca="1">IFERROR(__xludf.DUMMYFUNCTION("""COMPUTED_VALUE"""),151.37)</f>
        <v>151.37</v>
      </c>
      <c r="J1322" s="1">
        <f ca="1">IFERROR(__xludf.DUMMYFUNCTION("""COMPUTED_VALUE"""),967.08)</f>
        <v>967.08</v>
      </c>
      <c r="K1322" s="1">
        <f ca="1">IFERROR(__xludf.DUMMYFUNCTION("""COMPUTED_VALUE"""),154.01)</f>
        <v>154.01</v>
      </c>
      <c r="L1322" s="1">
        <f ca="1">IFERROR(__xludf.DUMMYFUNCTION("""COMPUTED_VALUE"""),367.25)</f>
        <v>367.25</v>
      </c>
      <c r="M1322" s="1">
        <f ca="1">IFERROR(__xludf.DUMMYFUNCTION("""COMPUTED_VALUE"""),917.05)</f>
        <v>917.05</v>
      </c>
    </row>
    <row r="1323" spans="1:13" x14ac:dyDescent="0.25">
      <c r="A1323" s="2">
        <f ca="1">IFERROR(__xludf.DUMMYFUNCTION("""COMPUTED_VALUE"""),45755.6666666666)</f>
        <v>45755.666666666599</v>
      </c>
      <c r="B1323" s="1">
        <f ca="1">IFERROR(__xludf.DUMMYFUNCTION("""COMPUTED_VALUE"""),172.42)</f>
        <v>172.42</v>
      </c>
      <c r="C1323" s="1">
        <f ca="1">IFERROR(__xludf.DUMMYFUNCTION("""COMPUTED_VALUE"""),359.84)</f>
        <v>359.84</v>
      </c>
      <c r="D1323" s="1">
        <f ca="1">IFERROR(__xludf.DUMMYFUNCTION("""COMPUTED_VALUE"""),171)</f>
        <v>171</v>
      </c>
      <c r="E1323" s="1">
        <f ca="1">IFERROR(__xludf.DUMMYFUNCTION("""COMPUTED_VALUE"""),94.31)</f>
        <v>94.31</v>
      </c>
      <c r="F1323" s="1">
        <f ca="1">IFERROR(__xludf.DUMMYFUNCTION("""COMPUTED_VALUE"""),504.73)</f>
        <v>504.73</v>
      </c>
      <c r="G1323" s="1">
        <f ca="1">IFERROR(__xludf.DUMMYFUNCTION("""COMPUTED_VALUE"""),147.74)</f>
        <v>147.74</v>
      </c>
      <c r="H1323" s="1">
        <f ca="1">IFERROR(__xludf.DUMMYFUNCTION("""COMPUTED_VALUE"""),239.43)</f>
        <v>239.43</v>
      </c>
      <c r="I1323" s="1">
        <f ca="1">IFERROR(__xludf.DUMMYFUNCTION("""COMPUTED_VALUE"""),146.61)</f>
        <v>146.61000000000001</v>
      </c>
      <c r="J1323" s="1">
        <f ca="1">IFERROR(__xludf.DUMMYFUNCTION("""COMPUTED_VALUE"""),916.48)</f>
        <v>916.48</v>
      </c>
      <c r="K1323" s="1">
        <f ca="1">IFERROR(__xludf.DUMMYFUNCTION("""COMPUTED_VALUE"""),146.29)</f>
        <v>146.29</v>
      </c>
      <c r="L1323" s="1">
        <f ca="1">IFERROR(__xludf.DUMMYFUNCTION("""COMPUTED_VALUE"""),349.07)</f>
        <v>349.07</v>
      </c>
      <c r="M1323" s="1">
        <f ca="1">IFERROR(__xludf.DUMMYFUNCTION("""COMPUTED_VALUE"""),855.86)</f>
        <v>855.86</v>
      </c>
    </row>
    <row r="1324" spans="1:13" x14ac:dyDescent="0.25">
      <c r="A1324" s="2">
        <f ca="1">IFERROR(__xludf.DUMMYFUNCTION("""COMPUTED_VALUE"""),45756.6666666666)</f>
        <v>45756.666666666599</v>
      </c>
      <c r="B1324" s="1">
        <f ca="1">IFERROR(__xludf.DUMMYFUNCTION("""COMPUTED_VALUE"""),198.85)</f>
        <v>198.85</v>
      </c>
      <c r="C1324" s="1">
        <f ca="1">IFERROR(__xludf.DUMMYFUNCTION("""COMPUTED_VALUE"""),357.86)</f>
        <v>357.86</v>
      </c>
      <c r="D1324" s="1">
        <f ca="1">IFERROR(__xludf.DUMMYFUNCTION("""COMPUTED_VALUE"""),175.26)</f>
        <v>175.26</v>
      </c>
      <c r="E1324" s="1">
        <f ca="1">IFERROR(__xludf.DUMMYFUNCTION("""COMPUTED_VALUE"""),97.64)</f>
        <v>97.64</v>
      </c>
      <c r="F1324" s="1">
        <f ca="1">IFERROR(__xludf.DUMMYFUNCTION("""COMPUTED_VALUE"""),516.25)</f>
        <v>516.25</v>
      </c>
      <c r="G1324" s="1">
        <f ca="1">IFERROR(__xludf.DUMMYFUNCTION("""COMPUTED_VALUE"""),149.24)</f>
        <v>149.24</v>
      </c>
      <c r="H1324" s="1">
        <f ca="1">IFERROR(__xludf.DUMMYFUNCTION("""COMPUTED_VALUE"""),233.29)</f>
        <v>233.29</v>
      </c>
      <c r="I1324" s="1">
        <f ca="1">IFERROR(__xludf.DUMMYFUNCTION("""COMPUTED_VALUE"""),143.19)</f>
        <v>143.19</v>
      </c>
      <c r="J1324" s="1">
        <f ca="1">IFERROR(__xludf.DUMMYFUNCTION("""COMPUTED_VALUE"""),908.13)</f>
        <v>908.13</v>
      </c>
      <c r="K1324" s="1">
        <f ca="1">IFERROR(__xludf.DUMMYFUNCTION("""COMPUTED_VALUE"""),154.14)</f>
        <v>154.13999999999999</v>
      </c>
      <c r="L1324" s="1">
        <f ca="1">IFERROR(__xludf.DUMMYFUNCTION("""COMPUTED_VALUE"""),340.7)</f>
        <v>340.7</v>
      </c>
      <c r="M1324" s="1">
        <f ca="1">IFERROR(__xludf.DUMMYFUNCTION("""COMPUTED_VALUE"""),867.83)</f>
        <v>867.83</v>
      </c>
    </row>
    <row r="1325" spans="1:13" x14ac:dyDescent="0.25">
      <c r="A1325" s="2">
        <f ca="1">IFERROR(__xludf.DUMMYFUNCTION("""COMPUTED_VALUE"""),45757.6666666666)</f>
        <v>45757.666666666599</v>
      </c>
      <c r="B1325" s="1">
        <f ca="1">IFERROR(__xludf.DUMMYFUNCTION("""COMPUTED_VALUE"""),190.42)</f>
        <v>190.42</v>
      </c>
      <c r="C1325" s="1">
        <f ca="1">IFERROR(__xludf.DUMMYFUNCTION("""COMPUTED_VALUE"""),354.56)</f>
        <v>354.56</v>
      </c>
      <c r="D1325" s="1">
        <f ca="1">IFERROR(__xludf.DUMMYFUNCTION("""COMPUTED_VALUE"""),170.66)</f>
        <v>170.66</v>
      </c>
      <c r="E1325" s="1">
        <f ca="1">IFERROR(__xludf.DUMMYFUNCTION("""COMPUTED_VALUE"""),96.3)</f>
        <v>96.3</v>
      </c>
      <c r="F1325" s="1">
        <f ca="1">IFERROR(__xludf.DUMMYFUNCTION("""COMPUTED_VALUE"""),510.45)</f>
        <v>510.45</v>
      </c>
      <c r="G1325" s="1">
        <f ca="1">IFERROR(__xludf.DUMMYFUNCTION("""COMPUTED_VALUE"""),146.58)</f>
        <v>146.58000000000001</v>
      </c>
      <c r="H1325" s="1">
        <f ca="1">IFERROR(__xludf.DUMMYFUNCTION("""COMPUTED_VALUE"""),221.86)</f>
        <v>221.86</v>
      </c>
      <c r="I1325" s="1">
        <f ca="1">IFERROR(__xludf.DUMMYFUNCTION("""COMPUTED_VALUE"""),140.3)</f>
        <v>140.30000000000001</v>
      </c>
      <c r="J1325" s="1">
        <f ca="1">IFERROR(__xludf.DUMMYFUNCTION("""COMPUTED_VALUE"""),908.75)</f>
        <v>908.75</v>
      </c>
      <c r="K1325" s="1">
        <f ca="1">IFERROR(__xludf.DUMMYFUNCTION("""COMPUTED_VALUE"""),156.03)</f>
        <v>156.03</v>
      </c>
      <c r="L1325" s="1">
        <f ca="1">IFERROR(__xludf.DUMMYFUNCTION("""COMPUTED_VALUE"""),340)</f>
        <v>340</v>
      </c>
      <c r="M1325" s="1">
        <f ca="1">IFERROR(__xludf.DUMMYFUNCTION("""COMPUTED_VALUE"""),870.4)</f>
        <v>870.4</v>
      </c>
    </row>
    <row r="1326" spans="1:13" x14ac:dyDescent="0.25">
      <c r="A1326" s="2">
        <f ca="1">IFERROR(__xludf.DUMMYFUNCTION("""COMPUTED_VALUE"""),45758.6666666666)</f>
        <v>45758.666666666599</v>
      </c>
      <c r="B1326" s="1">
        <f ca="1">IFERROR(__xludf.DUMMYFUNCTION("""COMPUTED_VALUE"""),198.15)</f>
        <v>198.15</v>
      </c>
      <c r="C1326" s="1">
        <f ca="1">IFERROR(__xludf.DUMMYFUNCTION("""COMPUTED_VALUE"""),390.49)</f>
        <v>390.49</v>
      </c>
      <c r="D1326" s="1">
        <f ca="1">IFERROR(__xludf.DUMMYFUNCTION("""COMPUTED_VALUE"""),191.1)</f>
        <v>191.1</v>
      </c>
      <c r="E1326" s="1">
        <f ca="1">IFERROR(__xludf.DUMMYFUNCTION("""COMPUTED_VALUE"""),114.33)</f>
        <v>114.33</v>
      </c>
      <c r="F1326" s="1">
        <f ca="1">IFERROR(__xludf.DUMMYFUNCTION("""COMPUTED_VALUE"""),585.77)</f>
        <v>585.77</v>
      </c>
      <c r="G1326" s="1">
        <f ca="1">IFERROR(__xludf.DUMMYFUNCTION("""COMPUTED_VALUE"""),161.06)</f>
        <v>161.06</v>
      </c>
      <c r="H1326" s="1">
        <f ca="1">IFERROR(__xludf.DUMMYFUNCTION("""COMPUTED_VALUE"""),272.2)</f>
        <v>272.2</v>
      </c>
      <c r="I1326" s="1">
        <f ca="1">IFERROR(__xludf.DUMMYFUNCTION("""COMPUTED_VALUE"""),145.59)</f>
        <v>145.59</v>
      </c>
      <c r="J1326" s="1">
        <f ca="1">IFERROR(__xludf.DUMMYFUNCTION("""COMPUTED_VALUE"""),965.19)</f>
        <v>965.19</v>
      </c>
      <c r="K1326" s="1">
        <f ca="1">IFERROR(__xludf.DUMMYFUNCTION("""COMPUTED_VALUE"""),185.15)</f>
        <v>185.15</v>
      </c>
      <c r="L1326" s="1">
        <f ca="1">IFERROR(__xludf.DUMMYFUNCTION("""COMPUTED_VALUE"""),364.64)</f>
        <v>364.64</v>
      </c>
      <c r="M1326" s="1">
        <f ca="1">IFERROR(__xludf.DUMMYFUNCTION("""COMPUTED_VALUE"""),945.47)</f>
        <v>945.47</v>
      </c>
    </row>
    <row r="1327" spans="1:13" x14ac:dyDescent="0.25">
      <c r="A1327" s="2">
        <f ca="1">IFERROR(__xludf.DUMMYFUNCTION("""COMPUTED_VALUE"""),45761.6666666666)</f>
        <v>45761.666666666599</v>
      </c>
      <c r="B1327" s="1">
        <f ca="1">IFERROR(__xludf.DUMMYFUNCTION("""COMPUTED_VALUE"""),202.52)</f>
        <v>202.52</v>
      </c>
      <c r="C1327" s="1">
        <f ca="1">IFERROR(__xludf.DUMMYFUNCTION("""COMPUTED_VALUE"""),381.35)</f>
        <v>381.35</v>
      </c>
      <c r="D1327" s="1">
        <f ca="1">IFERROR(__xludf.DUMMYFUNCTION("""COMPUTED_VALUE"""),181.22)</f>
        <v>181.22</v>
      </c>
      <c r="E1327" s="1">
        <f ca="1">IFERROR(__xludf.DUMMYFUNCTION("""COMPUTED_VALUE"""),107.57)</f>
        <v>107.57</v>
      </c>
      <c r="F1327" s="1">
        <f ca="1">IFERROR(__xludf.DUMMYFUNCTION("""COMPUTED_VALUE"""),546.29)</f>
        <v>546.29</v>
      </c>
      <c r="G1327" s="1">
        <f ca="1">IFERROR(__xludf.DUMMYFUNCTION("""COMPUTED_VALUE"""),155.37)</f>
        <v>155.37</v>
      </c>
      <c r="H1327" s="1">
        <f ca="1">IFERROR(__xludf.DUMMYFUNCTION("""COMPUTED_VALUE"""),252.4)</f>
        <v>252.4</v>
      </c>
      <c r="I1327" s="1">
        <f ca="1">IFERROR(__xludf.DUMMYFUNCTION("""COMPUTED_VALUE"""),144.14)</f>
        <v>144.13999999999999</v>
      </c>
      <c r="J1327" s="1">
        <f ca="1">IFERROR(__xludf.DUMMYFUNCTION("""COMPUTED_VALUE"""),964.31)</f>
        <v>964.31</v>
      </c>
      <c r="K1327" s="1">
        <f ca="1">IFERROR(__xludf.DUMMYFUNCTION("""COMPUTED_VALUE"""),172.3)</f>
        <v>172.3</v>
      </c>
      <c r="L1327" s="1">
        <f ca="1">IFERROR(__xludf.DUMMYFUNCTION("""COMPUTED_VALUE"""),350.05)</f>
        <v>350.05</v>
      </c>
      <c r="M1327" s="1">
        <f ca="1">IFERROR(__xludf.DUMMYFUNCTION("""COMPUTED_VALUE"""),921.17)</f>
        <v>921.17</v>
      </c>
    </row>
    <row r="1328" spans="1:13" x14ac:dyDescent="0.25">
      <c r="A1328" s="2">
        <f ca="1">IFERROR(__xludf.DUMMYFUNCTION("""COMPUTED_VALUE"""),45762.6666666666)</f>
        <v>45762.666666666599</v>
      </c>
      <c r="B1328" s="1">
        <f ca="1">IFERROR(__xludf.DUMMYFUNCTION("""COMPUTED_VALUE"""),202.14)</f>
        <v>202.14</v>
      </c>
      <c r="C1328" s="1">
        <f ca="1">IFERROR(__xludf.DUMMYFUNCTION("""COMPUTED_VALUE"""),388.45)</f>
        <v>388.45</v>
      </c>
      <c r="D1328" s="1">
        <f ca="1">IFERROR(__xludf.DUMMYFUNCTION("""COMPUTED_VALUE"""),184.87)</f>
        <v>184.87</v>
      </c>
      <c r="E1328" s="1">
        <f ca="1">IFERROR(__xludf.DUMMYFUNCTION("""COMPUTED_VALUE"""),110.93)</f>
        <v>110.93</v>
      </c>
      <c r="F1328" s="1">
        <f ca="1">IFERROR(__xludf.DUMMYFUNCTION("""COMPUTED_VALUE"""),543.57)</f>
        <v>543.57000000000005</v>
      </c>
      <c r="G1328" s="1">
        <f ca="1">IFERROR(__xludf.DUMMYFUNCTION("""COMPUTED_VALUE"""),159.4)</f>
        <v>159.4</v>
      </c>
      <c r="H1328" s="1">
        <f ca="1">IFERROR(__xludf.DUMMYFUNCTION("""COMPUTED_VALUE"""),252.31)</f>
        <v>252.31</v>
      </c>
      <c r="I1328" s="1">
        <f ca="1">IFERROR(__xludf.DUMMYFUNCTION("""COMPUTED_VALUE"""),144.43)</f>
        <v>144.43</v>
      </c>
      <c r="J1328" s="1">
        <f ca="1">IFERROR(__xludf.DUMMYFUNCTION("""COMPUTED_VALUE"""),963.41)</f>
        <v>963.41</v>
      </c>
      <c r="K1328" s="1">
        <f ca="1">IFERROR(__xludf.DUMMYFUNCTION("""COMPUTED_VALUE"""),181.94)</f>
        <v>181.94</v>
      </c>
      <c r="L1328" s="1">
        <f ca="1">IFERROR(__xludf.DUMMYFUNCTION("""COMPUTED_VALUE"""),352.47)</f>
        <v>352.47</v>
      </c>
      <c r="M1328" s="1">
        <f ca="1">IFERROR(__xludf.DUMMYFUNCTION("""COMPUTED_VALUE"""),918.29)</f>
        <v>918.29</v>
      </c>
    </row>
    <row r="1329" spans="1:13" x14ac:dyDescent="0.25">
      <c r="A1329" s="2">
        <f ca="1">IFERROR(__xludf.DUMMYFUNCTION("""COMPUTED_VALUE"""),45763.6666666666)</f>
        <v>45763.666666666599</v>
      </c>
      <c r="B1329" s="1">
        <f ca="1">IFERROR(__xludf.DUMMYFUNCTION("""COMPUTED_VALUE"""),194.27)</f>
        <v>194.27</v>
      </c>
      <c r="C1329" s="1">
        <f ca="1">IFERROR(__xludf.DUMMYFUNCTION("""COMPUTED_VALUE"""),387.81)</f>
        <v>387.81</v>
      </c>
      <c r="D1329" s="1">
        <f ca="1">IFERROR(__xludf.DUMMYFUNCTION("""COMPUTED_VALUE"""),182.12)</f>
        <v>182.12</v>
      </c>
      <c r="E1329" s="1">
        <f ca="1">IFERROR(__xludf.DUMMYFUNCTION("""COMPUTED_VALUE"""),110.71)</f>
        <v>110.71</v>
      </c>
      <c r="F1329" s="1">
        <f ca="1">IFERROR(__xludf.DUMMYFUNCTION("""COMPUTED_VALUE"""),531.48)</f>
        <v>531.48</v>
      </c>
      <c r="G1329" s="1">
        <f ca="1">IFERROR(__xludf.DUMMYFUNCTION("""COMPUTED_VALUE"""),161.47)</f>
        <v>161.47</v>
      </c>
      <c r="H1329" s="1">
        <f ca="1">IFERROR(__xludf.DUMMYFUNCTION("""COMPUTED_VALUE"""),252.35)</f>
        <v>252.35</v>
      </c>
      <c r="I1329" s="1">
        <f ca="1">IFERROR(__xludf.DUMMYFUNCTION("""COMPUTED_VALUE"""),146.75)</f>
        <v>146.75</v>
      </c>
      <c r="J1329" s="1">
        <f ca="1">IFERROR(__xludf.DUMMYFUNCTION("""COMPUTED_VALUE"""),979.32)</f>
        <v>979.32</v>
      </c>
      <c r="K1329" s="1">
        <f ca="1">IFERROR(__xludf.DUMMYFUNCTION("""COMPUTED_VALUE"""),178.36)</f>
        <v>178.36</v>
      </c>
      <c r="L1329" s="1">
        <f ca="1">IFERROR(__xludf.DUMMYFUNCTION("""COMPUTED_VALUE"""),350.91)</f>
        <v>350.91</v>
      </c>
      <c r="M1329" s="1">
        <f ca="1">IFERROR(__xludf.DUMMYFUNCTION("""COMPUTED_VALUE"""),931.28)</f>
        <v>931.28</v>
      </c>
    </row>
    <row r="1330" spans="1:13" x14ac:dyDescent="0.25">
      <c r="A1330" s="2">
        <f ca="1">IFERROR(__xludf.DUMMYFUNCTION("""COMPUTED_VALUE"""),45764.6666666666)</f>
        <v>45764.666666666599</v>
      </c>
      <c r="B1330" s="1">
        <f ca="1">IFERROR(__xludf.DUMMYFUNCTION("""COMPUTED_VALUE"""),196.98)</f>
        <v>196.98</v>
      </c>
      <c r="C1330" s="1">
        <f ca="1">IFERROR(__xludf.DUMMYFUNCTION("""COMPUTED_VALUE"""),385.73)</f>
        <v>385.73</v>
      </c>
      <c r="D1330" s="1">
        <f ca="1">IFERROR(__xludf.DUMMYFUNCTION("""COMPUTED_VALUE"""),179.59)</f>
        <v>179.59</v>
      </c>
      <c r="E1330" s="1">
        <f ca="1">IFERROR(__xludf.DUMMYFUNCTION("""COMPUTED_VALUE"""),112.2)</f>
        <v>112.2</v>
      </c>
      <c r="F1330" s="1">
        <f ca="1">IFERROR(__xludf.DUMMYFUNCTION("""COMPUTED_VALUE"""),521.52)</f>
        <v>521.52</v>
      </c>
      <c r="G1330" s="1">
        <f ca="1">IFERROR(__xludf.DUMMYFUNCTION("""COMPUTED_VALUE"""),158.68)</f>
        <v>158.68</v>
      </c>
      <c r="H1330" s="1">
        <f ca="1">IFERROR(__xludf.DUMMYFUNCTION("""COMPUTED_VALUE"""),254.11)</f>
        <v>254.11</v>
      </c>
      <c r="I1330" s="1">
        <f ca="1">IFERROR(__xludf.DUMMYFUNCTION("""COMPUTED_VALUE"""),142.84)</f>
        <v>142.84</v>
      </c>
      <c r="J1330" s="1">
        <f ca="1">IFERROR(__xludf.DUMMYFUNCTION("""COMPUTED_VALUE"""),976.92)</f>
        <v>976.92</v>
      </c>
      <c r="K1330" s="1">
        <f ca="1">IFERROR(__xludf.DUMMYFUNCTION("""COMPUTED_VALUE"""),178.95)</f>
        <v>178.95</v>
      </c>
      <c r="L1330" s="1">
        <f ca="1">IFERROR(__xludf.DUMMYFUNCTION("""COMPUTED_VALUE"""),350.38)</f>
        <v>350.38</v>
      </c>
      <c r="M1330" s="1">
        <f ca="1">IFERROR(__xludf.DUMMYFUNCTION("""COMPUTED_VALUE"""),976.28)</f>
        <v>976.28</v>
      </c>
    </row>
    <row r="1331" spans="1:13" x14ac:dyDescent="0.25">
      <c r="A1331" s="2">
        <f ca="1">IFERROR(__xludf.DUMMYFUNCTION("""COMPUTED_VALUE"""),45768.6666666666)</f>
        <v>45768.666666666599</v>
      </c>
      <c r="B1331" s="1">
        <f ca="1">IFERROR(__xludf.DUMMYFUNCTION("""COMPUTED_VALUE"""),193.16)</f>
        <v>193.16</v>
      </c>
      <c r="C1331" s="1">
        <f ca="1">IFERROR(__xludf.DUMMYFUNCTION("""COMPUTED_VALUE"""),371.61)</f>
        <v>371.61</v>
      </c>
      <c r="D1331" s="1">
        <f ca="1">IFERROR(__xludf.DUMMYFUNCTION("""COMPUTED_VALUE"""),174.33)</f>
        <v>174.33</v>
      </c>
      <c r="E1331" s="1">
        <f ca="1">IFERROR(__xludf.DUMMYFUNCTION("""COMPUTED_VALUE"""),104.49)</f>
        <v>104.49</v>
      </c>
      <c r="F1331" s="1">
        <f ca="1">IFERROR(__xludf.DUMMYFUNCTION("""COMPUTED_VALUE"""),502.31)</f>
        <v>502.31</v>
      </c>
      <c r="G1331" s="1">
        <f ca="1">IFERROR(__xludf.DUMMYFUNCTION("""COMPUTED_VALUE"""),155.5)</f>
        <v>155.5</v>
      </c>
      <c r="H1331" s="1">
        <f ca="1">IFERROR(__xludf.DUMMYFUNCTION("""COMPUTED_VALUE"""),241.55)</f>
        <v>241.55</v>
      </c>
      <c r="I1331" s="1">
        <f ca="1">IFERROR(__xludf.DUMMYFUNCTION("""COMPUTED_VALUE"""),140.09)</f>
        <v>140.09</v>
      </c>
      <c r="J1331" s="1">
        <f ca="1">IFERROR(__xludf.DUMMYFUNCTION("""COMPUTED_VALUE"""),967.75)</f>
        <v>967.75</v>
      </c>
      <c r="K1331" s="1">
        <f ca="1">IFERROR(__xludf.DUMMYFUNCTION("""COMPUTED_VALUE"""),174.61)</f>
        <v>174.61</v>
      </c>
      <c r="L1331" s="1">
        <f ca="1">IFERROR(__xludf.DUMMYFUNCTION("""COMPUTED_VALUE"""),344.19)</f>
        <v>344.19</v>
      </c>
      <c r="M1331" s="1">
        <f ca="1">IFERROR(__xludf.DUMMYFUNCTION("""COMPUTED_VALUE"""),961.63)</f>
        <v>961.63</v>
      </c>
    </row>
    <row r="1332" spans="1:13" x14ac:dyDescent="0.25">
      <c r="A1332" s="2">
        <f ca="1">IFERROR(__xludf.DUMMYFUNCTION("""COMPUTED_VALUE"""),45769.6666666666)</f>
        <v>45769.666666666599</v>
      </c>
      <c r="B1332" s="1">
        <f ca="1">IFERROR(__xludf.DUMMYFUNCTION("""COMPUTED_VALUE"""),199.74)</f>
        <v>199.74</v>
      </c>
      <c r="C1332" s="1">
        <f ca="1">IFERROR(__xludf.DUMMYFUNCTION("""COMPUTED_VALUE"""),367.78)</f>
        <v>367.78</v>
      </c>
      <c r="D1332" s="1">
        <f ca="1">IFERROR(__xludf.DUMMYFUNCTION("""COMPUTED_VALUE"""),172.61)</f>
        <v>172.61</v>
      </c>
      <c r="E1332" s="1">
        <f ca="1">IFERROR(__xludf.DUMMYFUNCTION("""COMPUTED_VALUE"""),101.49)</f>
        <v>101.49</v>
      </c>
      <c r="F1332" s="1">
        <f ca="1">IFERROR(__xludf.DUMMYFUNCTION("""COMPUTED_VALUE"""),501.48)</f>
        <v>501.48</v>
      </c>
      <c r="G1332" s="1">
        <f ca="1">IFERROR(__xludf.DUMMYFUNCTION("""COMPUTED_VALUE"""),153.36)</f>
        <v>153.36000000000001</v>
      </c>
      <c r="H1332" s="1">
        <f ca="1">IFERROR(__xludf.DUMMYFUNCTION("""COMPUTED_VALUE"""),241.37)</f>
        <v>241.37</v>
      </c>
      <c r="I1332" s="1">
        <f ca="1">IFERROR(__xludf.DUMMYFUNCTION("""COMPUTED_VALUE"""),142.84)</f>
        <v>142.84</v>
      </c>
      <c r="J1332" s="1">
        <f ca="1">IFERROR(__xludf.DUMMYFUNCTION("""COMPUTED_VALUE"""),994.5)</f>
        <v>994.5</v>
      </c>
      <c r="K1332" s="1">
        <f ca="1">IFERROR(__xludf.DUMMYFUNCTION("""COMPUTED_VALUE"""),170.99)</f>
        <v>170.99</v>
      </c>
      <c r="L1332" s="1">
        <f ca="1">IFERROR(__xludf.DUMMYFUNCTION("""COMPUTED_VALUE"""),348.8)</f>
        <v>348.8</v>
      </c>
      <c r="M1332" s="1">
        <f ca="1">IFERROR(__xludf.DUMMYFUNCTION("""COMPUTED_VALUE"""),973.03)</f>
        <v>973.03</v>
      </c>
    </row>
    <row r="1333" spans="1:13" x14ac:dyDescent="0.25">
      <c r="A1333" s="2">
        <f ca="1">IFERROR(__xludf.DUMMYFUNCTION("""COMPUTED_VALUE"""),45770.6666666666)</f>
        <v>45770.666666666599</v>
      </c>
      <c r="B1333" s="1">
        <f ca="1">IFERROR(__xludf.DUMMYFUNCTION("""COMPUTED_VALUE"""),204.6)</f>
        <v>204.6</v>
      </c>
      <c r="C1333" s="1">
        <f ca="1">IFERROR(__xludf.DUMMYFUNCTION("""COMPUTED_VALUE"""),359.12)</f>
        <v>359.12</v>
      </c>
      <c r="D1333" s="1">
        <f ca="1">IFERROR(__xludf.DUMMYFUNCTION("""COMPUTED_VALUE"""),167.32)</f>
        <v>167.32</v>
      </c>
      <c r="E1333" s="1">
        <f ca="1">IFERROR(__xludf.DUMMYFUNCTION("""COMPUTED_VALUE"""),96.91)</f>
        <v>96.91</v>
      </c>
      <c r="F1333" s="1">
        <f ca="1">IFERROR(__xludf.DUMMYFUNCTION("""COMPUTED_VALUE"""),484.66)</f>
        <v>484.66</v>
      </c>
      <c r="G1333" s="1">
        <f ca="1">IFERROR(__xludf.DUMMYFUNCTION("""COMPUTED_VALUE"""),149.86)</f>
        <v>149.86000000000001</v>
      </c>
      <c r="H1333" s="1">
        <f ca="1">IFERROR(__xludf.DUMMYFUNCTION("""COMPUTED_VALUE"""),227.5)</f>
        <v>227.5</v>
      </c>
      <c r="I1333" s="1">
        <f ca="1">IFERROR(__xludf.DUMMYFUNCTION("""COMPUTED_VALUE"""),141.73)</f>
        <v>141.72999999999999</v>
      </c>
      <c r="J1333" s="1">
        <f ca="1">IFERROR(__xludf.DUMMYFUNCTION("""COMPUTED_VALUE"""),957.77)</f>
        <v>957.77</v>
      </c>
      <c r="K1333" s="1">
        <f ca="1">IFERROR(__xludf.DUMMYFUNCTION("""COMPUTED_VALUE"""),166.21)</f>
        <v>166.21</v>
      </c>
      <c r="L1333" s="1">
        <f ca="1">IFERROR(__xludf.DUMMYFUNCTION("""COMPUTED_VALUE"""),343.22)</f>
        <v>343.22</v>
      </c>
      <c r="M1333" s="1">
        <f ca="1">IFERROR(__xludf.DUMMYFUNCTION("""COMPUTED_VALUE"""),987.91)</f>
        <v>987.91</v>
      </c>
    </row>
    <row r="1334" spans="1:13" x14ac:dyDescent="0.25">
      <c r="A1334" s="2">
        <f ca="1">IFERROR(__xludf.DUMMYFUNCTION("""COMPUTED_VALUE"""),45771.6666666666)</f>
        <v>45771.666666666599</v>
      </c>
      <c r="B1334" s="1">
        <f ca="1">IFERROR(__xludf.DUMMYFUNCTION("""COMPUTED_VALUE"""),208.37)</f>
        <v>208.37</v>
      </c>
      <c r="C1334" s="1">
        <f ca="1">IFERROR(__xludf.DUMMYFUNCTION("""COMPUTED_VALUE"""),366.82)</f>
        <v>366.82</v>
      </c>
      <c r="D1334" s="1">
        <f ca="1">IFERROR(__xludf.DUMMYFUNCTION("""COMPUTED_VALUE"""),173.18)</f>
        <v>173.18</v>
      </c>
      <c r="E1334" s="1">
        <f ca="1">IFERROR(__xludf.DUMMYFUNCTION("""COMPUTED_VALUE"""),98.89)</f>
        <v>98.89</v>
      </c>
      <c r="F1334" s="1">
        <f ca="1">IFERROR(__xludf.DUMMYFUNCTION("""COMPUTED_VALUE"""),500.28)</f>
        <v>500.28</v>
      </c>
      <c r="G1334" s="1">
        <f ca="1">IFERROR(__xludf.DUMMYFUNCTION("""COMPUTED_VALUE"""),153.9)</f>
        <v>153.9</v>
      </c>
      <c r="H1334" s="1">
        <f ca="1">IFERROR(__xludf.DUMMYFUNCTION("""COMPUTED_VALUE"""),237.97)</f>
        <v>237.97</v>
      </c>
      <c r="I1334" s="1">
        <f ca="1">IFERROR(__xludf.DUMMYFUNCTION("""COMPUTED_VALUE"""),143.46)</f>
        <v>143.46</v>
      </c>
      <c r="J1334" s="1">
        <f ca="1">IFERROR(__xludf.DUMMYFUNCTION("""COMPUTED_VALUE"""),979.23)</f>
        <v>979.23</v>
      </c>
      <c r="K1334" s="1">
        <f ca="1">IFERROR(__xludf.DUMMYFUNCTION("""COMPUTED_VALUE"""),169.58)</f>
        <v>169.58</v>
      </c>
      <c r="L1334" s="1">
        <f ca="1">IFERROR(__xludf.DUMMYFUNCTION("""COMPUTED_VALUE"""),349.91)</f>
        <v>349.91</v>
      </c>
      <c r="M1334" s="1">
        <f ca="1">IFERROR(__xludf.DUMMYFUNCTION("""COMPUTED_VALUE"""),1040.34)</f>
        <v>1040.3399999999999</v>
      </c>
    </row>
    <row r="1335" spans="1:13" x14ac:dyDescent="0.25">
      <c r="A1335" s="2">
        <f ca="1">IFERROR(__xludf.DUMMYFUNCTION("""COMPUTED_VALUE"""),45772.6666666666)</f>
        <v>45772.666666666599</v>
      </c>
      <c r="B1335" s="1">
        <f ca="1">IFERROR(__xludf.DUMMYFUNCTION("""COMPUTED_VALUE"""),209.28)</f>
        <v>209.28</v>
      </c>
      <c r="C1335" s="1">
        <f ca="1">IFERROR(__xludf.DUMMYFUNCTION("""COMPUTED_VALUE"""),374.39)</f>
        <v>374.39</v>
      </c>
      <c r="D1335" s="1">
        <f ca="1">IFERROR(__xludf.DUMMYFUNCTION("""COMPUTED_VALUE"""),180.6)</f>
        <v>180.6</v>
      </c>
      <c r="E1335" s="1">
        <f ca="1">IFERROR(__xludf.DUMMYFUNCTION("""COMPUTED_VALUE"""),102.71)</f>
        <v>102.71</v>
      </c>
      <c r="F1335" s="1">
        <f ca="1">IFERROR(__xludf.DUMMYFUNCTION("""COMPUTED_VALUE"""),520.27)</f>
        <v>520.27</v>
      </c>
      <c r="G1335" s="1">
        <f ca="1">IFERROR(__xludf.DUMMYFUNCTION("""COMPUTED_VALUE"""),157.72)</f>
        <v>157.72</v>
      </c>
      <c r="H1335" s="1">
        <f ca="1">IFERROR(__xludf.DUMMYFUNCTION("""COMPUTED_VALUE"""),250.74)</f>
        <v>250.74</v>
      </c>
      <c r="I1335" s="1">
        <f ca="1">IFERROR(__xludf.DUMMYFUNCTION("""COMPUTED_VALUE"""),142.26)</f>
        <v>142.26</v>
      </c>
      <c r="J1335" s="1">
        <f ca="1">IFERROR(__xludf.DUMMYFUNCTION("""COMPUTED_VALUE"""),975.84)</f>
        <v>975.84</v>
      </c>
      <c r="K1335" s="1">
        <f ca="1">IFERROR(__xludf.DUMMYFUNCTION("""COMPUTED_VALUE"""),176.91)</f>
        <v>176.91</v>
      </c>
      <c r="L1335" s="1">
        <f ca="1">IFERROR(__xludf.DUMMYFUNCTION("""COMPUTED_VALUE"""),351.96)</f>
        <v>351.96</v>
      </c>
      <c r="M1335" s="1">
        <f ca="1">IFERROR(__xludf.DUMMYFUNCTION("""COMPUTED_VALUE"""),1049.59)</f>
        <v>1049.5899999999999</v>
      </c>
    </row>
    <row r="1336" spans="1:13" x14ac:dyDescent="0.25">
      <c r="A1336" s="2">
        <f ca="1">IFERROR(__xludf.DUMMYFUNCTION("""COMPUTED_VALUE"""),45775.6666666666)</f>
        <v>45775.666666666599</v>
      </c>
      <c r="B1336" s="1">
        <f ca="1">IFERROR(__xludf.DUMMYFUNCTION("""COMPUTED_VALUE"""),210.14)</f>
        <v>210.14</v>
      </c>
      <c r="C1336" s="1">
        <f ca="1">IFERROR(__xludf.DUMMYFUNCTION("""COMPUTED_VALUE"""),387.3)</f>
        <v>387.3</v>
      </c>
      <c r="D1336" s="1">
        <f ca="1">IFERROR(__xludf.DUMMYFUNCTION("""COMPUTED_VALUE"""),186.54)</f>
        <v>186.54</v>
      </c>
      <c r="E1336" s="1">
        <f ca="1">IFERROR(__xludf.DUMMYFUNCTION("""COMPUTED_VALUE"""),106.43)</f>
        <v>106.43</v>
      </c>
      <c r="F1336" s="1">
        <f ca="1">IFERROR(__xludf.DUMMYFUNCTION("""COMPUTED_VALUE"""),533.15)</f>
        <v>533.15</v>
      </c>
      <c r="G1336" s="1">
        <f ca="1">IFERROR(__xludf.DUMMYFUNCTION("""COMPUTED_VALUE"""),161.47)</f>
        <v>161.47</v>
      </c>
      <c r="H1336" s="1">
        <f ca="1">IFERROR(__xludf.DUMMYFUNCTION("""COMPUTED_VALUE"""),259.51)</f>
        <v>259.51</v>
      </c>
      <c r="I1336" s="1">
        <f ca="1">IFERROR(__xludf.DUMMYFUNCTION("""COMPUTED_VALUE"""),135.31)</f>
        <v>135.31</v>
      </c>
      <c r="J1336" s="1">
        <f ca="1">IFERROR(__xludf.DUMMYFUNCTION("""COMPUTED_VALUE"""),975.48)</f>
        <v>975.48</v>
      </c>
      <c r="K1336" s="1">
        <f ca="1">IFERROR(__xludf.DUMMYFUNCTION("""COMPUTED_VALUE"""),188.15)</f>
        <v>188.15</v>
      </c>
      <c r="L1336" s="1">
        <f ca="1">IFERROR(__xludf.DUMMYFUNCTION("""COMPUTED_VALUE"""),360.91)</f>
        <v>360.91</v>
      </c>
      <c r="M1336" s="1">
        <f ca="1">IFERROR(__xludf.DUMMYFUNCTION("""COMPUTED_VALUE"""),1096.87)</f>
        <v>1096.8699999999999</v>
      </c>
    </row>
    <row r="1337" spans="1:13" x14ac:dyDescent="0.25">
      <c r="A1337" s="2">
        <f ca="1">IFERROR(__xludf.DUMMYFUNCTION("""COMPUTED_VALUE"""),45776.6666666666)</f>
        <v>45776.666666666599</v>
      </c>
      <c r="B1337" s="1">
        <f ca="1">IFERROR(__xludf.DUMMYFUNCTION("""COMPUTED_VALUE"""),211.21)</f>
        <v>211.21</v>
      </c>
      <c r="C1337" s="1">
        <f ca="1">IFERROR(__xludf.DUMMYFUNCTION("""COMPUTED_VALUE"""),391.85)</f>
        <v>391.85</v>
      </c>
      <c r="D1337" s="1">
        <f ca="1">IFERROR(__xludf.DUMMYFUNCTION("""COMPUTED_VALUE"""),188.99)</f>
        <v>188.99</v>
      </c>
      <c r="E1337" s="1">
        <f ca="1">IFERROR(__xludf.DUMMYFUNCTION("""COMPUTED_VALUE"""),111.01)</f>
        <v>111.01</v>
      </c>
      <c r="F1337" s="1">
        <f ca="1">IFERROR(__xludf.DUMMYFUNCTION("""COMPUTED_VALUE"""),547.27)</f>
        <v>547.27</v>
      </c>
      <c r="G1337" s="1">
        <f ca="1">IFERROR(__xludf.DUMMYFUNCTION("""COMPUTED_VALUE"""),163.85)</f>
        <v>163.85</v>
      </c>
      <c r="H1337" s="1">
        <f ca="1">IFERROR(__xludf.DUMMYFUNCTION("""COMPUTED_VALUE"""),284.95)</f>
        <v>284.95</v>
      </c>
      <c r="I1337" s="1">
        <f ca="1">IFERROR(__xludf.DUMMYFUNCTION("""COMPUTED_VALUE"""),133.38)</f>
        <v>133.38</v>
      </c>
      <c r="J1337" s="1">
        <f ca="1">IFERROR(__xludf.DUMMYFUNCTION("""COMPUTED_VALUE"""),977.16)</f>
        <v>977.16</v>
      </c>
      <c r="K1337" s="1">
        <f ca="1">IFERROR(__xludf.DUMMYFUNCTION("""COMPUTED_VALUE"""),192.31)</f>
        <v>192.31</v>
      </c>
      <c r="L1337" s="1">
        <f ca="1">IFERROR(__xludf.DUMMYFUNCTION("""COMPUTED_VALUE"""),367.72)</f>
        <v>367.72</v>
      </c>
      <c r="M1337" s="1">
        <f ca="1">IFERROR(__xludf.DUMMYFUNCTION("""COMPUTED_VALUE"""),1101.53)</f>
        <v>1101.53</v>
      </c>
    </row>
    <row r="1338" spans="1:13" x14ac:dyDescent="0.25">
      <c r="A1338" s="2">
        <f ca="1">IFERROR(__xludf.DUMMYFUNCTION("""COMPUTED_VALUE"""),45777.6666666666)</f>
        <v>45777.666666666599</v>
      </c>
      <c r="B1338" s="1">
        <f ca="1">IFERROR(__xludf.DUMMYFUNCTION("""COMPUTED_VALUE"""),212.5)</f>
        <v>212.5</v>
      </c>
      <c r="C1338" s="1">
        <f ca="1">IFERROR(__xludf.DUMMYFUNCTION("""COMPUTED_VALUE"""),391.16)</f>
        <v>391.16</v>
      </c>
      <c r="D1338" s="1">
        <f ca="1">IFERROR(__xludf.DUMMYFUNCTION("""COMPUTED_VALUE"""),187.7)</f>
        <v>187.7</v>
      </c>
      <c r="E1338" s="1">
        <f ca="1">IFERROR(__xludf.DUMMYFUNCTION("""COMPUTED_VALUE"""),108.73)</f>
        <v>108.73</v>
      </c>
      <c r="F1338" s="1">
        <f ca="1">IFERROR(__xludf.DUMMYFUNCTION("""COMPUTED_VALUE"""),549.74)</f>
        <v>549.74</v>
      </c>
      <c r="G1338" s="1">
        <f ca="1">IFERROR(__xludf.DUMMYFUNCTION("""COMPUTED_VALUE"""),162.42)</f>
        <v>162.41999999999999</v>
      </c>
      <c r="H1338" s="1">
        <f ca="1">IFERROR(__xludf.DUMMYFUNCTION("""COMPUTED_VALUE"""),285.88)</f>
        <v>285.88</v>
      </c>
      <c r="I1338" s="1">
        <f ca="1">IFERROR(__xludf.DUMMYFUNCTION("""COMPUTED_VALUE"""),133.76)</f>
        <v>133.76</v>
      </c>
      <c r="J1338" s="1">
        <f ca="1">IFERROR(__xludf.DUMMYFUNCTION("""COMPUTED_VALUE"""),978.54)</f>
        <v>978.54</v>
      </c>
      <c r="K1338" s="1">
        <f ca="1">IFERROR(__xludf.DUMMYFUNCTION("""COMPUTED_VALUE"""),192.47)</f>
        <v>192.47</v>
      </c>
      <c r="L1338" s="1">
        <f ca="1">IFERROR(__xludf.DUMMYFUNCTION("""COMPUTED_VALUE"""),368.62)</f>
        <v>368.62</v>
      </c>
      <c r="M1338" s="1">
        <f ca="1">IFERROR(__xludf.DUMMYFUNCTION("""COMPUTED_VALUE"""),1110.38)</f>
        <v>1110.3800000000001</v>
      </c>
    </row>
    <row r="1339" spans="1:13" x14ac:dyDescent="0.25">
      <c r="A1339" s="2">
        <f ca="1">IFERROR(__xludf.DUMMYFUNCTION("""COMPUTED_VALUE"""),45778.6666666666)</f>
        <v>45778.666666666599</v>
      </c>
      <c r="B1339" s="1">
        <f ca="1">IFERROR(__xludf.DUMMYFUNCTION("""COMPUTED_VALUE"""),213.32)</f>
        <v>213.32</v>
      </c>
      <c r="C1339" s="1">
        <f ca="1">IFERROR(__xludf.DUMMYFUNCTION("""COMPUTED_VALUE"""),394.04)</f>
        <v>394.04</v>
      </c>
      <c r="D1339" s="1">
        <f ca="1">IFERROR(__xludf.DUMMYFUNCTION("""COMPUTED_VALUE"""),187.39)</f>
        <v>187.39</v>
      </c>
      <c r="E1339" s="1">
        <f ca="1">IFERROR(__xludf.DUMMYFUNCTION("""COMPUTED_VALUE"""),109.02)</f>
        <v>109.02</v>
      </c>
      <c r="F1339" s="1">
        <f ca="1">IFERROR(__xludf.DUMMYFUNCTION("""COMPUTED_VALUE"""),554.44)</f>
        <v>554.44000000000005</v>
      </c>
      <c r="G1339" s="1">
        <f ca="1">IFERROR(__xludf.DUMMYFUNCTION("""COMPUTED_VALUE"""),162.06)</f>
        <v>162.06</v>
      </c>
      <c r="H1339" s="1">
        <f ca="1">IFERROR(__xludf.DUMMYFUNCTION("""COMPUTED_VALUE"""),292.03)</f>
        <v>292.02999999999997</v>
      </c>
      <c r="I1339" s="1">
        <f ca="1">IFERROR(__xludf.DUMMYFUNCTION("""COMPUTED_VALUE"""),134.31)</f>
        <v>134.31</v>
      </c>
      <c r="J1339" s="1">
        <f ca="1">IFERROR(__xludf.DUMMYFUNCTION("""COMPUTED_VALUE"""),991.7)</f>
        <v>991.7</v>
      </c>
      <c r="K1339" s="1">
        <f ca="1">IFERROR(__xludf.DUMMYFUNCTION("""COMPUTED_VALUE"""),191.17)</f>
        <v>191.17</v>
      </c>
      <c r="L1339" s="1">
        <f ca="1">IFERROR(__xludf.DUMMYFUNCTION("""COMPUTED_VALUE"""),370.98)</f>
        <v>370.98</v>
      </c>
      <c r="M1339" s="1">
        <f ca="1">IFERROR(__xludf.DUMMYFUNCTION("""COMPUTED_VALUE"""),1125.64)</f>
        <v>1125.6400000000001</v>
      </c>
    </row>
    <row r="1340" spans="1:13" x14ac:dyDescent="0.25">
      <c r="A1340" s="2">
        <f ca="1">IFERROR(__xludf.DUMMYFUNCTION("""COMPUTED_VALUE"""),45779.6666666666)</f>
        <v>45779.666666666599</v>
      </c>
      <c r="B1340" s="1">
        <f ca="1">IFERROR(__xludf.DUMMYFUNCTION("""COMPUTED_VALUE"""),205.35)</f>
        <v>205.35</v>
      </c>
      <c r="C1340" s="1">
        <f ca="1">IFERROR(__xludf.DUMMYFUNCTION("""COMPUTED_VALUE"""),395.26)</f>
        <v>395.26</v>
      </c>
      <c r="D1340" s="1">
        <f ca="1">IFERROR(__xludf.DUMMYFUNCTION("""COMPUTED_VALUE"""),184.42)</f>
        <v>184.42</v>
      </c>
      <c r="E1340" s="1">
        <f ca="1">IFERROR(__xludf.DUMMYFUNCTION("""COMPUTED_VALUE"""),108.92)</f>
        <v>108.92</v>
      </c>
      <c r="F1340" s="1">
        <f ca="1">IFERROR(__xludf.DUMMYFUNCTION("""COMPUTED_VALUE"""),549)</f>
        <v>549</v>
      </c>
      <c r="G1340" s="1">
        <f ca="1">IFERROR(__xludf.DUMMYFUNCTION("""COMPUTED_VALUE"""),160.89)</f>
        <v>160.88999999999999</v>
      </c>
      <c r="H1340" s="1">
        <f ca="1">IFERROR(__xludf.DUMMYFUNCTION("""COMPUTED_VALUE"""),282.16)</f>
        <v>282.16000000000003</v>
      </c>
      <c r="I1340" s="1">
        <f ca="1">IFERROR(__xludf.DUMMYFUNCTION("""COMPUTED_VALUE"""),135.58)</f>
        <v>135.58000000000001</v>
      </c>
      <c r="J1340" s="1">
        <f ca="1">IFERROR(__xludf.DUMMYFUNCTION("""COMPUTED_VALUE"""),994.5)</f>
        <v>994.5</v>
      </c>
      <c r="K1340" s="1">
        <f ca="1">IFERROR(__xludf.DUMMYFUNCTION("""COMPUTED_VALUE"""),192.47)</f>
        <v>192.47</v>
      </c>
      <c r="L1340" s="1">
        <f ca="1">IFERROR(__xludf.DUMMYFUNCTION("""COMPUTED_VALUE"""),374.98)</f>
        <v>374.98</v>
      </c>
      <c r="M1340" s="1">
        <f ca="1">IFERROR(__xludf.DUMMYFUNCTION("""COMPUTED_VALUE"""),1131.72)</f>
        <v>1131.72</v>
      </c>
    </row>
    <row r="1341" spans="1:13" x14ac:dyDescent="0.25">
      <c r="A1341" s="2">
        <f ca="1">IFERROR(__xludf.DUMMYFUNCTION("""COMPUTED_VALUE"""),45782.6666666666)</f>
        <v>45782.666666666599</v>
      </c>
      <c r="B1341" s="1">
        <f ca="1">IFERROR(__xludf.DUMMYFUNCTION("""COMPUTED_VALUE"""),198.89)</f>
        <v>198.89</v>
      </c>
      <c r="C1341" s="1">
        <f ca="1">IFERROR(__xludf.DUMMYFUNCTION("""COMPUTED_VALUE"""),425.4)</f>
        <v>425.4</v>
      </c>
      <c r="D1341" s="1">
        <f ca="1">IFERROR(__xludf.DUMMYFUNCTION("""COMPUTED_VALUE"""),190.2)</f>
        <v>190.2</v>
      </c>
      <c r="E1341" s="1">
        <f ca="1">IFERROR(__xludf.DUMMYFUNCTION("""COMPUTED_VALUE"""),111.61)</f>
        <v>111.61</v>
      </c>
      <c r="F1341" s="1">
        <f ca="1">IFERROR(__xludf.DUMMYFUNCTION("""COMPUTED_VALUE"""),572.21)</f>
        <v>572.21</v>
      </c>
      <c r="G1341" s="1">
        <f ca="1">IFERROR(__xludf.DUMMYFUNCTION("""COMPUTED_VALUE"""),162.79)</f>
        <v>162.79</v>
      </c>
      <c r="H1341" s="1">
        <f ca="1">IFERROR(__xludf.DUMMYFUNCTION("""COMPUTED_VALUE"""),280.52)</f>
        <v>280.52</v>
      </c>
      <c r="I1341" s="1">
        <f ca="1">IFERROR(__xludf.DUMMYFUNCTION("""COMPUTED_VALUE"""),133.55)</f>
        <v>133.55000000000001</v>
      </c>
      <c r="J1341" s="1">
        <f ca="1">IFERROR(__xludf.DUMMYFUNCTION("""COMPUTED_VALUE"""),999.04)</f>
        <v>999.04</v>
      </c>
      <c r="K1341" s="1">
        <f ca="1">IFERROR(__xludf.DUMMYFUNCTION("""COMPUTED_VALUE"""),197.33)</f>
        <v>197.33</v>
      </c>
      <c r="L1341" s="1">
        <f ca="1">IFERROR(__xludf.DUMMYFUNCTION("""COMPUTED_VALUE"""),374.63)</f>
        <v>374.63</v>
      </c>
      <c r="M1341" s="1">
        <f ca="1">IFERROR(__xludf.DUMMYFUNCTION("""COMPUTED_VALUE"""),1133.47)</f>
        <v>1133.47</v>
      </c>
    </row>
    <row r="1342" spans="1:13" x14ac:dyDescent="0.25">
      <c r="A1342" s="2">
        <f ca="1">IFERROR(__xludf.DUMMYFUNCTION("""COMPUTED_VALUE"""),45783.6666666666)</f>
        <v>45783.666666666599</v>
      </c>
      <c r="B1342" s="1">
        <f ca="1">IFERROR(__xludf.DUMMYFUNCTION("""COMPUTED_VALUE"""),198.51)</f>
        <v>198.51</v>
      </c>
      <c r="C1342" s="1">
        <f ca="1">IFERROR(__xludf.DUMMYFUNCTION("""COMPUTED_VALUE"""),435.28)</f>
        <v>435.28</v>
      </c>
      <c r="D1342" s="1">
        <f ca="1">IFERROR(__xludf.DUMMYFUNCTION("""COMPUTED_VALUE"""),189.98)</f>
        <v>189.98</v>
      </c>
      <c r="E1342" s="1">
        <f ca="1">IFERROR(__xludf.DUMMYFUNCTION("""COMPUTED_VALUE"""),114.5)</f>
        <v>114.5</v>
      </c>
      <c r="F1342" s="1">
        <f ca="1">IFERROR(__xludf.DUMMYFUNCTION("""COMPUTED_VALUE"""),597.02)</f>
        <v>597.02</v>
      </c>
      <c r="G1342" s="1">
        <f ca="1">IFERROR(__xludf.DUMMYFUNCTION("""COMPUTED_VALUE"""),165.81)</f>
        <v>165.81</v>
      </c>
      <c r="H1342" s="1">
        <f ca="1">IFERROR(__xludf.DUMMYFUNCTION("""COMPUTED_VALUE"""),287.21)</f>
        <v>287.20999999999998</v>
      </c>
      <c r="I1342" s="1">
        <f ca="1">IFERROR(__xludf.DUMMYFUNCTION("""COMPUTED_VALUE"""),133.75)</f>
        <v>133.75</v>
      </c>
      <c r="J1342" s="1">
        <f ca="1">IFERROR(__xludf.DUMMYFUNCTION("""COMPUTED_VALUE"""),1008.3)</f>
        <v>1008.3</v>
      </c>
      <c r="K1342" s="1">
        <f ca="1">IFERROR(__xludf.DUMMYFUNCTION("""COMPUTED_VALUE"""),203.64)</f>
        <v>203.64</v>
      </c>
      <c r="L1342" s="1">
        <f ca="1">IFERROR(__xludf.DUMMYFUNCTION("""COMPUTED_VALUE"""),380.87)</f>
        <v>380.87</v>
      </c>
      <c r="M1342" s="1">
        <f ca="1">IFERROR(__xludf.DUMMYFUNCTION("""COMPUTED_VALUE"""),1156.49)</f>
        <v>1156.49</v>
      </c>
    </row>
    <row r="1343" spans="1:13" x14ac:dyDescent="0.25">
      <c r="A1343" s="2">
        <f ca="1">IFERROR(__xludf.DUMMYFUNCTION("""COMPUTED_VALUE"""),45784.6666666666)</f>
        <v>45784.666666666599</v>
      </c>
      <c r="B1343" s="1">
        <f ca="1">IFERROR(__xludf.DUMMYFUNCTION("""COMPUTED_VALUE"""),196.25)</f>
        <v>196.25</v>
      </c>
      <c r="C1343" s="1">
        <f ca="1">IFERROR(__xludf.DUMMYFUNCTION("""COMPUTED_VALUE"""),436.17)</f>
        <v>436.17</v>
      </c>
      <c r="D1343" s="1">
        <f ca="1">IFERROR(__xludf.DUMMYFUNCTION("""COMPUTED_VALUE"""),186.35)</f>
        <v>186.35</v>
      </c>
      <c r="E1343" s="1">
        <f ca="1">IFERROR(__xludf.DUMMYFUNCTION("""COMPUTED_VALUE"""),113.82)</f>
        <v>113.82</v>
      </c>
      <c r="F1343" s="1">
        <f ca="1">IFERROR(__xludf.DUMMYFUNCTION("""COMPUTED_VALUE"""),599.27)</f>
        <v>599.27</v>
      </c>
      <c r="G1343" s="1">
        <f ca="1">IFERROR(__xludf.DUMMYFUNCTION("""COMPUTED_VALUE"""),166.05)</f>
        <v>166.05</v>
      </c>
      <c r="H1343" s="1">
        <f ca="1">IFERROR(__xludf.DUMMYFUNCTION("""COMPUTED_VALUE"""),280.26)</f>
        <v>280.26</v>
      </c>
      <c r="I1343" s="1">
        <f ca="1">IFERROR(__xludf.DUMMYFUNCTION("""COMPUTED_VALUE"""),131.99)</f>
        <v>131.99</v>
      </c>
      <c r="J1343" s="1">
        <f ca="1">IFERROR(__xludf.DUMMYFUNCTION("""COMPUTED_VALUE"""),1014.89)</f>
        <v>1014.89</v>
      </c>
      <c r="K1343" s="1">
        <f ca="1">IFERROR(__xludf.DUMMYFUNCTION("""COMPUTED_VALUE"""),200.72)</f>
        <v>200.72</v>
      </c>
      <c r="L1343" s="1">
        <f ca="1">IFERROR(__xludf.DUMMYFUNCTION("""COMPUTED_VALUE"""),381.06)</f>
        <v>381.06</v>
      </c>
      <c r="M1343" s="1">
        <f ca="1">IFERROR(__xludf.DUMMYFUNCTION("""COMPUTED_VALUE"""),1134.06)</f>
        <v>1134.06</v>
      </c>
    </row>
    <row r="1344" spans="1:13" x14ac:dyDescent="0.25">
      <c r="A1344" s="2">
        <f ca="1">IFERROR(__xludf.DUMMYFUNCTION("""COMPUTED_VALUE"""),45785.6666666666)</f>
        <v>45785.666666666599</v>
      </c>
      <c r="B1344" s="1">
        <f ca="1">IFERROR(__xludf.DUMMYFUNCTION("""COMPUTED_VALUE"""),197.49)</f>
        <v>197.49</v>
      </c>
      <c r="C1344" s="1">
        <f ca="1">IFERROR(__xludf.DUMMYFUNCTION("""COMPUTED_VALUE"""),433.31)</f>
        <v>433.31</v>
      </c>
      <c r="D1344" s="1">
        <f ca="1">IFERROR(__xludf.DUMMYFUNCTION("""COMPUTED_VALUE"""),185.01)</f>
        <v>185.01</v>
      </c>
      <c r="E1344" s="1">
        <f ca="1">IFERROR(__xludf.DUMMYFUNCTION("""COMPUTED_VALUE"""),113.54)</f>
        <v>113.54</v>
      </c>
      <c r="F1344" s="1">
        <f ca="1">IFERROR(__xludf.DUMMYFUNCTION("""COMPUTED_VALUE"""),587.31)</f>
        <v>587.30999999999995</v>
      </c>
      <c r="G1344" s="1">
        <f ca="1">IFERROR(__xludf.DUMMYFUNCTION("""COMPUTED_VALUE"""),165.2)</f>
        <v>165.2</v>
      </c>
      <c r="H1344" s="1">
        <f ca="1">IFERROR(__xludf.DUMMYFUNCTION("""COMPUTED_VALUE"""),275.35)</f>
        <v>275.35000000000002</v>
      </c>
      <c r="I1344" s="1">
        <f ca="1">IFERROR(__xludf.DUMMYFUNCTION("""COMPUTED_VALUE"""),130.74)</f>
        <v>130.74</v>
      </c>
      <c r="J1344" s="1">
        <f ca="1">IFERROR(__xludf.DUMMYFUNCTION("""COMPUTED_VALUE"""),1010.5)</f>
        <v>1010.5</v>
      </c>
      <c r="K1344" s="1">
        <f ca="1">IFERROR(__xludf.DUMMYFUNCTION("""COMPUTED_VALUE"""),200.09)</f>
        <v>200.09</v>
      </c>
      <c r="L1344" s="1">
        <f ca="1">IFERROR(__xludf.DUMMYFUNCTION("""COMPUTED_VALUE"""),382.98)</f>
        <v>382.98</v>
      </c>
      <c r="M1344" s="1">
        <f ca="1">IFERROR(__xludf.DUMMYFUNCTION("""COMPUTED_VALUE"""),1137.69)</f>
        <v>1137.69</v>
      </c>
    </row>
    <row r="1345" spans="1:13" x14ac:dyDescent="0.25">
      <c r="A1345" s="2">
        <f ca="1">IFERROR(__xludf.DUMMYFUNCTION("""COMPUTED_VALUE"""),45786.6666666666)</f>
        <v>45786.666666666599</v>
      </c>
      <c r="B1345" s="1">
        <f ca="1">IFERROR(__xludf.DUMMYFUNCTION("""COMPUTED_VALUE"""),198.53)</f>
        <v>198.53</v>
      </c>
      <c r="C1345" s="1">
        <f ca="1">IFERROR(__xludf.DUMMYFUNCTION("""COMPUTED_VALUE"""),433.35)</f>
        <v>433.35</v>
      </c>
      <c r="D1345" s="1">
        <f ca="1">IFERROR(__xludf.DUMMYFUNCTION("""COMPUTED_VALUE"""),188.71)</f>
        <v>188.71</v>
      </c>
      <c r="E1345" s="1">
        <f ca="1">IFERROR(__xludf.DUMMYFUNCTION("""COMPUTED_VALUE"""),117.06)</f>
        <v>117.06</v>
      </c>
      <c r="F1345" s="1">
        <f ca="1">IFERROR(__xludf.DUMMYFUNCTION("""COMPUTED_VALUE"""),596.81)</f>
        <v>596.80999999999995</v>
      </c>
      <c r="G1345" s="1">
        <f ca="1">IFERROR(__xludf.DUMMYFUNCTION("""COMPUTED_VALUE"""),152.8)</f>
        <v>152.80000000000001</v>
      </c>
      <c r="H1345" s="1">
        <f ca="1">IFERROR(__xludf.DUMMYFUNCTION("""COMPUTED_VALUE"""),276.22)</f>
        <v>276.22000000000003</v>
      </c>
      <c r="I1345" s="1">
        <f ca="1">IFERROR(__xludf.DUMMYFUNCTION("""COMPUTED_VALUE"""),131.92)</f>
        <v>131.91999999999999</v>
      </c>
      <c r="J1345" s="1">
        <f ca="1">IFERROR(__xludf.DUMMYFUNCTION("""COMPUTED_VALUE"""),1007.15)</f>
        <v>1007.15</v>
      </c>
      <c r="K1345" s="1">
        <f ca="1">IFERROR(__xludf.DUMMYFUNCTION("""COMPUTED_VALUE"""),204.81)</f>
        <v>204.81</v>
      </c>
      <c r="L1345" s="1">
        <f ca="1">IFERROR(__xludf.DUMMYFUNCTION("""COMPUTED_VALUE"""),384.97)</f>
        <v>384.97</v>
      </c>
      <c r="M1345" s="1">
        <f ca="1">IFERROR(__xludf.DUMMYFUNCTION("""COMPUTED_VALUE"""),1155.41)</f>
        <v>1155.4100000000001</v>
      </c>
    </row>
    <row r="1346" spans="1:13" x14ac:dyDescent="0.25">
      <c r="A1346" s="2">
        <f ca="1">IFERROR(__xludf.DUMMYFUNCTION("""COMPUTED_VALUE"""),45789.6666666666)</f>
        <v>45789.666666666599</v>
      </c>
      <c r="B1346" s="1">
        <f ca="1">IFERROR(__xludf.DUMMYFUNCTION("""COMPUTED_VALUE"""),210.79)</f>
        <v>210.79</v>
      </c>
      <c r="C1346" s="1">
        <f ca="1">IFERROR(__xludf.DUMMYFUNCTION("""COMPUTED_VALUE"""),438.17)</f>
        <v>438.17</v>
      </c>
      <c r="D1346" s="1">
        <f ca="1">IFERROR(__xludf.DUMMYFUNCTION("""COMPUTED_VALUE"""),192.08)</f>
        <v>192.08</v>
      </c>
      <c r="E1346" s="1">
        <f ca="1">IFERROR(__xludf.DUMMYFUNCTION("""COMPUTED_VALUE"""),117.37)</f>
        <v>117.37</v>
      </c>
      <c r="F1346" s="1">
        <f ca="1">IFERROR(__xludf.DUMMYFUNCTION("""COMPUTED_VALUE"""),598.01)</f>
        <v>598.01</v>
      </c>
      <c r="G1346" s="1">
        <f ca="1">IFERROR(__xludf.DUMMYFUNCTION("""COMPUTED_VALUE"""),155.75)</f>
        <v>155.75</v>
      </c>
      <c r="H1346" s="1">
        <f ca="1">IFERROR(__xludf.DUMMYFUNCTION("""COMPUTED_VALUE"""),284.82)</f>
        <v>284.82</v>
      </c>
      <c r="I1346" s="1">
        <f ca="1">IFERROR(__xludf.DUMMYFUNCTION("""COMPUTED_VALUE"""),131.43)</f>
        <v>131.43</v>
      </c>
      <c r="J1346" s="1">
        <f ca="1">IFERROR(__xludf.DUMMYFUNCTION("""COMPUTED_VALUE"""),1007.71)</f>
        <v>1007.71</v>
      </c>
      <c r="K1346" s="1">
        <f ca="1">IFERROR(__xludf.DUMMYFUNCTION("""COMPUTED_VALUE"""),207.77)</f>
        <v>207.77</v>
      </c>
      <c r="L1346" s="1">
        <f ca="1">IFERROR(__xludf.DUMMYFUNCTION("""COMPUTED_VALUE"""),383.99)</f>
        <v>383.99</v>
      </c>
      <c r="M1346" s="1">
        <f ca="1">IFERROR(__xludf.DUMMYFUNCTION("""COMPUTED_VALUE"""),1144.43)</f>
        <v>1144.43</v>
      </c>
    </row>
    <row r="1347" spans="1:13" x14ac:dyDescent="0.25">
      <c r="A1347" s="2">
        <f ca="1">IFERROR(__xludf.DUMMYFUNCTION("""COMPUTED_VALUE"""),45790.6666666666)</f>
        <v>45790.666666666599</v>
      </c>
      <c r="B1347" s="1">
        <f ca="1">IFERROR(__xludf.DUMMYFUNCTION("""COMPUTED_VALUE"""),212.93)</f>
        <v>212.93</v>
      </c>
      <c r="C1347" s="1">
        <f ca="1">IFERROR(__xludf.DUMMYFUNCTION("""COMPUTED_VALUE"""),438.73)</f>
        <v>438.73</v>
      </c>
      <c r="D1347" s="1">
        <f ca="1">IFERROR(__xludf.DUMMYFUNCTION("""COMPUTED_VALUE"""),193.06)</f>
        <v>193.06</v>
      </c>
      <c r="E1347" s="1">
        <f ca="1">IFERROR(__xludf.DUMMYFUNCTION("""COMPUTED_VALUE"""),116.65)</f>
        <v>116.65</v>
      </c>
      <c r="F1347" s="1">
        <f ca="1">IFERROR(__xludf.DUMMYFUNCTION("""COMPUTED_VALUE"""),592.49)</f>
        <v>592.49</v>
      </c>
      <c r="G1347" s="1">
        <f ca="1">IFERROR(__xludf.DUMMYFUNCTION("""COMPUTED_VALUE"""),154.38)</f>
        <v>154.38</v>
      </c>
      <c r="H1347" s="1">
        <f ca="1">IFERROR(__xludf.DUMMYFUNCTION("""COMPUTED_VALUE"""),298.26)</f>
        <v>298.26</v>
      </c>
      <c r="I1347" s="1">
        <f ca="1">IFERROR(__xludf.DUMMYFUNCTION("""COMPUTED_VALUE"""),130.44)</f>
        <v>130.44</v>
      </c>
      <c r="J1347" s="1">
        <f ca="1">IFERROR(__xludf.DUMMYFUNCTION("""COMPUTED_VALUE"""),1008.09)</f>
        <v>1008.09</v>
      </c>
      <c r="K1347" s="1">
        <f ca="1">IFERROR(__xludf.DUMMYFUNCTION("""COMPUTED_VALUE"""),208.2)</f>
        <v>208.2</v>
      </c>
      <c r="L1347" s="1">
        <f ca="1">IFERROR(__xludf.DUMMYFUNCTION("""COMPUTED_VALUE"""),383.28)</f>
        <v>383.28</v>
      </c>
      <c r="M1347" s="1">
        <f ca="1">IFERROR(__xludf.DUMMYFUNCTION("""COMPUTED_VALUE"""),1140.22)</f>
        <v>1140.22</v>
      </c>
    </row>
    <row r="1348" spans="1:13" x14ac:dyDescent="0.25">
      <c r="A1348" s="2">
        <f ca="1">IFERROR(__xludf.DUMMYFUNCTION("""COMPUTED_VALUE"""),45791.6666666666)</f>
        <v>45791.666666666599</v>
      </c>
      <c r="B1348" s="1">
        <f ca="1">IFERROR(__xludf.DUMMYFUNCTION("""COMPUTED_VALUE"""),212.33)</f>
        <v>212.33</v>
      </c>
      <c r="C1348" s="1">
        <f ca="1">IFERROR(__xludf.DUMMYFUNCTION("""COMPUTED_VALUE"""),449.26)</f>
        <v>449.26</v>
      </c>
      <c r="D1348" s="1">
        <f ca="1">IFERROR(__xludf.DUMMYFUNCTION("""COMPUTED_VALUE"""),208.64)</f>
        <v>208.64</v>
      </c>
      <c r="E1348" s="1">
        <f ca="1">IFERROR(__xludf.DUMMYFUNCTION("""COMPUTED_VALUE"""),123)</f>
        <v>123</v>
      </c>
      <c r="F1348" s="1">
        <f ca="1">IFERROR(__xludf.DUMMYFUNCTION("""COMPUTED_VALUE"""),639.43)</f>
        <v>639.42999999999995</v>
      </c>
      <c r="G1348" s="1">
        <f ca="1">IFERROR(__xludf.DUMMYFUNCTION("""COMPUTED_VALUE"""),159.58)</f>
        <v>159.58000000000001</v>
      </c>
      <c r="H1348" s="1">
        <f ca="1">IFERROR(__xludf.DUMMYFUNCTION("""COMPUTED_VALUE"""),318.38)</f>
        <v>318.38</v>
      </c>
      <c r="I1348" s="1">
        <f ca="1">IFERROR(__xludf.DUMMYFUNCTION("""COMPUTED_VALUE"""),131.68)</f>
        <v>131.68</v>
      </c>
      <c r="J1348" s="1">
        <f ca="1">IFERROR(__xludf.DUMMYFUNCTION("""COMPUTED_VALUE"""),1016.15)</f>
        <v>1016.15</v>
      </c>
      <c r="K1348" s="1">
        <f ca="1">IFERROR(__xludf.DUMMYFUNCTION("""COMPUTED_VALUE"""),221.58)</f>
        <v>221.58</v>
      </c>
      <c r="L1348" s="1">
        <f ca="1">IFERROR(__xludf.DUMMYFUNCTION("""COMPUTED_VALUE"""),395.94)</f>
        <v>395.94</v>
      </c>
      <c r="M1348" s="1">
        <f ca="1">IFERROR(__xludf.DUMMYFUNCTION("""COMPUTED_VALUE"""),1110)</f>
        <v>1110</v>
      </c>
    </row>
    <row r="1349" spans="1:13" x14ac:dyDescent="0.25">
      <c r="A1349" s="2">
        <f ca="1">IFERROR(__xludf.DUMMYFUNCTION("""COMPUTED_VALUE"""),45792.6666666666)</f>
        <v>45792.666666666599</v>
      </c>
      <c r="B1349" s="1">
        <f ca="1">IFERROR(__xludf.DUMMYFUNCTION("""COMPUTED_VALUE"""),211.45)</f>
        <v>211.45</v>
      </c>
      <c r="C1349" s="1">
        <f ca="1">IFERROR(__xludf.DUMMYFUNCTION("""COMPUTED_VALUE"""),449.14)</f>
        <v>449.14</v>
      </c>
      <c r="D1349" s="1">
        <f ca="1">IFERROR(__xludf.DUMMYFUNCTION("""COMPUTED_VALUE"""),211.37)</f>
        <v>211.37</v>
      </c>
      <c r="E1349" s="1">
        <f ca="1">IFERROR(__xludf.DUMMYFUNCTION("""COMPUTED_VALUE"""),129.93)</f>
        <v>129.93</v>
      </c>
      <c r="F1349" s="1">
        <f ca="1">IFERROR(__xludf.DUMMYFUNCTION("""COMPUTED_VALUE"""),656.03)</f>
        <v>656.03</v>
      </c>
      <c r="G1349" s="1">
        <f ca="1">IFERROR(__xludf.DUMMYFUNCTION("""COMPUTED_VALUE"""),160.89)</f>
        <v>160.88999999999999</v>
      </c>
      <c r="H1349" s="1">
        <f ca="1">IFERROR(__xludf.DUMMYFUNCTION("""COMPUTED_VALUE"""),334.07)</f>
        <v>334.07</v>
      </c>
      <c r="I1349" s="1">
        <f ca="1">IFERROR(__xludf.DUMMYFUNCTION("""COMPUTED_VALUE"""),130.31)</f>
        <v>130.31</v>
      </c>
      <c r="J1349" s="1">
        <f ca="1">IFERROR(__xludf.DUMMYFUNCTION("""COMPUTED_VALUE"""),999.03)</f>
        <v>999.03</v>
      </c>
      <c r="K1349" s="1">
        <f ca="1">IFERROR(__xludf.DUMMYFUNCTION("""COMPUTED_VALUE"""),232.42)</f>
        <v>232.42</v>
      </c>
      <c r="L1349" s="1">
        <f ca="1">IFERROR(__xludf.DUMMYFUNCTION("""COMPUTED_VALUE"""),397.4)</f>
        <v>397.4</v>
      </c>
      <c r="M1349" s="1">
        <f ca="1">IFERROR(__xludf.DUMMYFUNCTION("""COMPUTED_VALUE"""),1138.44)</f>
        <v>1138.44</v>
      </c>
    </row>
    <row r="1350" spans="1:13" x14ac:dyDescent="0.25">
      <c r="A1350" s="2">
        <f ca="1">IFERROR(__xludf.DUMMYFUNCTION("""COMPUTED_VALUE"""),45793.6666666666)</f>
        <v>45793.666666666599</v>
      </c>
      <c r="B1350" s="1">
        <f ca="1">IFERROR(__xludf.DUMMYFUNCTION("""COMPUTED_VALUE"""),211.26)</f>
        <v>211.26</v>
      </c>
      <c r="C1350" s="1">
        <f ca="1">IFERROR(__xludf.DUMMYFUNCTION("""COMPUTED_VALUE"""),452.94)</f>
        <v>452.94</v>
      </c>
      <c r="D1350" s="1">
        <f ca="1">IFERROR(__xludf.DUMMYFUNCTION("""COMPUTED_VALUE"""),210.25)</f>
        <v>210.25</v>
      </c>
      <c r="E1350" s="1">
        <f ca="1">IFERROR(__xludf.DUMMYFUNCTION("""COMPUTED_VALUE"""),135.34)</f>
        <v>135.34</v>
      </c>
      <c r="F1350" s="1">
        <f ca="1">IFERROR(__xludf.DUMMYFUNCTION("""COMPUTED_VALUE"""),659.36)</f>
        <v>659.36</v>
      </c>
      <c r="G1350" s="1">
        <f ca="1">IFERROR(__xludf.DUMMYFUNCTION("""COMPUTED_VALUE"""),166.81)</f>
        <v>166.81</v>
      </c>
      <c r="H1350" s="1">
        <f ca="1">IFERROR(__xludf.DUMMYFUNCTION("""COMPUTED_VALUE"""),347.68)</f>
        <v>347.68</v>
      </c>
      <c r="I1350" s="1">
        <f ca="1">IFERROR(__xludf.DUMMYFUNCTION("""COMPUTED_VALUE"""),128.45)</f>
        <v>128.44999999999999</v>
      </c>
      <c r="J1350" s="1">
        <f ca="1">IFERROR(__xludf.DUMMYFUNCTION("""COMPUTED_VALUE"""),991.54)</f>
        <v>991.54</v>
      </c>
      <c r="K1350" s="1">
        <f ca="1">IFERROR(__xludf.DUMMYFUNCTION("""COMPUTED_VALUE"""),232.12)</f>
        <v>232.12</v>
      </c>
      <c r="L1350" s="1">
        <f ca="1">IFERROR(__xludf.DUMMYFUNCTION("""COMPUTED_VALUE"""),399.47)</f>
        <v>399.47</v>
      </c>
      <c r="M1350" s="1">
        <f ca="1">IFERROR(__xludf.DUMMYFUNCTION("""COMPUTED_VALUE"""),1150.99)</f>
        <v>1150.99</v>
      </c>
    </row>
    <row r="1351" spans="1:13" x14ac:dyDescent="0.25">
      <c r="A1351" s="2">
        <f ca="1">IFERROR(__xludf.DUMMYFUNCTION("""COMPUTED_VALUE"""),45796.6666666666)</f>
        <v>45796.666666666599</v>
      </c>
      <c r="B1351" s="1">
        <f ca="1">IFERROR(__xludf.DUMMYFUNCTION("""COMPUTED_VALUE"""),208.78)</f>
        <v>208.78</v>
      </c>
      <c r="C1351" s="1">
        <f ca="1">IFERROR(__xludf.DUMMYFUNCTION("""COMPUTED_VALUE"""),453.13)</f>
        <v>453.13</v>
      </c>
      <c r="D1351" s="1">
        <f ca="1">IFERROR(__xludf.DUMMYFUNCTION("""COMPUTED_VALUE"""),205.17)</f>
        <v>205.17</v>
      </c>
      <c r="E1351" s="1">
        <f ca="1">IFERROR(__xludf.DUMMYFUNCTION("""COMPUTED_VALUE"""),134.83)</f>
        <v>134.83000000000001</v>
      </c>
      <c r="F1351" s="1">
        <f ca="1">IFERROR(__xludf.DUMMYFUNCTION("""COMPUTED_VALUE"""),643.88)</f>
        <v>643.88</v>
      </c>
      <c r="G1351" s="1">
        <f ca="1">IFERROR(__xludf.DUMMYFUNCTION("""COMPUTED_VALUE"""),165.4)</f>
        <v>165.4</v>
      </c>
      <c r="H1351" s="1">
        <f ca="1">IFERROR(__xludf.DUMMYFUNCTION("""COMPUTED_VALUE"""),342.82)</f>
        <v>342.82</v>
      </c>
      <c r="I1351" s="1">
        <f ca="1">IFERROR(__xludf.DUMMYFUNCTION("""COMPUTED_VALUE"""),131.5)</f>
        <v>131.5</v>
      </c>
      <c r="J1351" s="1">
        <f ca="1">IFERROR(__xludf.DUMMYFUNCTION("""COMPUTED_VALUE"""),1010.47)</f>
        <v>1010.47</v>
      </c>
      <c r="K1351" s="1">
        <f ca="1">IFERROR(__xludf.DUMMYFUNCTION("""COMPUTED_VALUE"""),232.64)</f>
        <v>232.64</v>
      </c>
      <c r="L1351" s="1">
        <f ca="1">IFERROR(__xludf.DUMMYFUNCTION("""COMPUTED_VALUE"""),404.69)</f>
        <v>404.69</v>
      </c>
      <c r="M1351" s="1">
        <f ca="1">IFERROR(__xludf.DUMMYFUNCTION("""COMPUTED_VALUE"""),1177.98)</f>
        <v>1177.98</v>
      </c>
    </row>
    <row r="1352" spans="1:13" x14ac:dyDescent="0.25">
      <c r="A1352" s="2">
        <f ca="1">IFERROR(__xludf.DUMMYFUNCTION("""COMPUTED_VALUE"""),45797.6666666666)</f>
        <v>45797.666666666599</v>
      </c>
      <c r="B1352" s="1">
        <f ca="1">IFERROR(__xludf.DUMMYFUNCTION("""COMPUTED_VALUE"""),206.86)</f>
        <v>206.86</v>
      </c>
      <c r="C1352" s="1">
        <f ca="1">IFERROR(__xludf.DUMMYFUNCTION("""COMPUTED_VALUE"""),454.27)</f>
        <v>454.27</v>
      </c>
      <c r="D1352" s="1">
        <f ca="1">IFERROR(__xludf.DUMMYFUNCTION("""COMPUTED_VALUE"""),205.59)</f>
        <v>205.59</v>
      </c>
      <c r="E1352" s="1">
        <f ca="1">IFERROR(__xludf.DUMMYFUNCTION("""COMPUTED_VALUE"""),135.4)</f>
        <v>135.4</v>
      </c>
      <c r="F1352" s="1">
        <f ca="1">IFERROR(__xludf.DUMMYFUNCTION("""COMPUTED_VALUE"""),640.34)</f>
        <v>640.34</v>
      </c>
      <c r="G1352" s="1">
        <f ca="1">IFERROR(__xludf.DUMMYFUNCTION("""COMPUTED_VALUE"""),167.43)</f>
        <v>167.43</v>
      </c>
      <c r="H1352" s="1">
        <f ca="1">IFERROR(__xludf.DUMMYFUNCTION("""COMPUTED_VALUE"""),349.98)</f>
        <v>349.98</v>
      </c>
      <c r="I1352" s="1">
        <f ca="1">IFERROR(__xludf.DUMMYFUNCTION("""COMPUTED_VALUE"""),131.98)</f>
        <v>131.97999999999999</v>
      </c>
      <c r="J1352" s="1">
        <f ca="1">IFERROR(__xludf.DUMMYFUNCTION("""COMPUTED_VALUE"""),1025.83)</f>
        <v>1025.83</v>
      </c>
      <c r="K1352" s="1">
        <f ca="1">IFERROR(__xludf.DUMMYFUNCTION("""COMPUTED_VALUE"""),228.61)</f>
        <v>228.61</v>
      </c>
      <c r="L1352" s="1">
        <f ca="1">IFERROR(__xludf.DUMMYFUNCTION("""COMPUTED_VALUE"""),417.13)</f>
        <v>417.13</v>
      </c>
      <c r="M1352" s="1">
        <f ca="1">IFERROR(__xludf.DUMMYFUNCTION("""COMPUTED_VALUE"""),1191.53)</f>
        <v>1191.53</v>
      </c>
    </row>
    <row r="1353" spans="1:13" x14ac:dyDescent="0.25">
      <c r="A1353" s="2">
        <f ca="1">IFERROR(__xludf.DUMMYFUNCTION("""COMPUTED_VALUE"""),45798.6666666666)</f>
        <v>45798.666666666599</v>
      </c>
      <c r="B1353" s="1">
        <f ca="1">IFERROR(__xludf.DUMMYFUNCTION("""COMPUTED_VALUE"""),202.09)</f>
        <v>202.09</v>
      </c>
      <c r="C1353" s="1">
        <f ca="1">IFERROR(__xludf.DUMMYFUNCTION("""COMPUTED_VALUE"""),458.87)</f>
        <v>458.87</v>
      </c>
      <c r="D1353" s="1">
        <f ca="1">IFERROR(__xludf.DUMMYFUNCTION("""COMPUTED_VALUE"""),206.16)</f>
        <v>206.16</v>
      </c>
      <c r="E1353" s="1">
        <f ca="1">IFERROR(__xludf.DUMMYFUNCTION("""COMPUTED_VALUE"""),135.57)</f>
        <v>135.57</v>
      </c>
      <c r="F1353" s="1">
        <f ca="1">IFERROR(__xludf.DUMMYFUNCTION("""COMPUTED_VALUE"""),640.43)</f>
        <v>640.42999999999995</v>
      </c>
      <c r="G1353" s="1">
        <f ca="1">IFERROR(__xludf.DUMMYFUNCTION("""COMPUTED_VALUE"""),167.87)</f>
        <v>167.87</v>
      </c>
      <c r="H1353" s="1">
        <f ca="1">IFERROR(__xludf.DUMMYFUNCTION("""COMPUTED_VALUE"""),342.09)</f>
        <v>342.09</v>
      </c>
      <c r="I1353" s="1">
        <f ca="1">IFERROR(__xludf.DUMMYFUNCTION("""COMPUTED_VALUE"""),131.79)</f>
        <v>131.79</v>
      </c>
      <c r="J1353" s="1">
        <f ca="1">IFERROR(__xludf.DUMMYFUNCTION("""COMPUTED_VALUE"""),1034.34)</f>
        <v>1034.3399999999999</v>
      </c>
      <c r="K1353" s="1">
        <f ca="1">IFERROR(__xludf.DUMMYFUNCTION("""COMPUTED_VALUE"""),230.63)</f>
        <v>230.63</v>
      </c>
      <c r="L1353" s="1">
        <f ca="1">IFERROR(__xludf.DUMMYFUNCTION("""COMPUTED_VALUE"""),420.68)</f>
        <v>420.68</v>
      </c>
      <c r="M1353" s="1">
        <f ca="1">IFERROR(__xludf.DUMMYFUNCTION("""COMPUTED_VALUE"""),1191.64)</f>
        <v>1191.6400000000001</v>
      </c>
    </row>
    <row r="1354" spans="1:13" x14ac:dyDescent="0.25">
      <c r="A1354" s="2">
        <f ca="1">IFERROR(__xludf.DUMMYFUNCTION("""COMPUTED_VALUE"""),45799.6666666666)</f>
        <v>45799.666666666599</v>
      </c>
      <c r="B1354" s="1">
        <f ca="1">IFERROR(__xludf.DUMMYFUNCTION("""COMPUTED_VALUE"""),202.09)</f>
        <v>202.09</v>
      </c>
      <c r="C1354" s="1">
        <f ca="1">IFERROR(__xludf.DUMMYFUNCTION("""COMPUTED_VALUE"""),458.17)</f>
        <v>458.17</v>
      </c>
      <c r="D1354" s="1">
        <f ca="1">IFERROR(__xludf.DUMMYFUNCTION("""COMPUTED_VALUE"""),204.07)</f>
        <v>204.07</v>
      </c>
      <c r="E1354" s="1">
        <f ca="1">IFERROR(__xludf.DUMMYFUNCTION("""COMPUTED_VALUE"""),134.38)</f>
        <v>134.38</v>
      </c>
      <c r="F1354" s="1">
        <f ca="1">IFERROR(__xludf.DUMMYFUNCTION("""COMPUTED_VALUE"""),637.1)</f>
        <v>637.1</v>
      </c>
      <c r="G1354" s="1">
        <f ca="1">IFERROR(__xludf.DUMMYFUNCTION("""COMPUTED_VALUE"""),165.32)</f>
        <v>165.32</v>
      </c>
      <c r="H1354" s="1">
        <f ca="1">IFERROR(__xludf.DUMMYFUNCTION("""COMPUTED_VALUE"""),343.82)</f>
        <v>343.82</v>
      </c>
      <c r="I1354" s="1">
        <f ca="1">IFERROR(__xludf.DUMMYFUNCTION("""COMPUTED_VALUE"""),131.8)</f>
        <v>131.80000000000001</v>
      </c>
      <c r="J1354" s="1">
        <f ca="1">IFERROR(__xludf.DUMMYFUNCTION("""COMPUTED_VALUE"""),1036.82)</f>
        <v>1036.82</v>
      </c>
      <c r="K1354" s="1">
        <f ca="1">IFERROR(__xludf.DUMMYFUNCTION("""COMPUTED_VALUE"""),231.68)</f>
        <v>231.68</v>
      </c>
      <c r="L1354" s="1">
        <f ca="1">IFERROR(__xludf.DUMMYFUNCTION("""COMPUTED_VALUE"""),417.61)</f>
        <v>417.61</v>
      </c>
      <c r="M1354" s="1">
        <f ca="1">IFERROR(__xludf.DUMMYFUNCTION("""COMPUTED_VALUE"""),1192.02)</f>
        <v>1192.02</v>
      </c>
    </row>
    <row r="1355" spans="1:13" x14ac:dyDescent="0.25">
      <c r="A1355" s="2">
        <f ca="1">IFERROR(__xludf.DUMMYFUNCTION("""COMPUTED_VALUE"""),45800.6666666666)</f>
        <v>45800.666666666599</v>
      </c>
      <c r="B1355" s="1">
        <f ca="1">IFERROR(__xludf.DUMMYFUNCTION("""COMPUTED_VALUE"""),195.27)</f>
        <v>195.27</v>
      </c>
      <c r="C1355" s="1">
        <f ca="1">IFERROR(__xludf.DUMMYFUNCTION("""COMPUTED_VALUE"""),452.57)</f>
        <v>452.57</v>
      </c>
      <c r="D1355" s="1">
        <f ca="1">IFERROR(__xludf.DUMMYFUNCTION("""COMPUTED_VALUE"""),201.12)</f>
        <v>201.12</v>
      </c>
      <c r="E1355" s="1">
        <f ca="1">IFERROR(__xludf.DUMMYFUNCTION("""COMPUTED_VALUE"""),131.8)</f>
        <v>131.80000000000001</v>
      </c>
      <c r="F1355" s="1">
        <f ca="1">IFERROR(__xludf.DUMMYFUNCTION("""COMPUTED_VALUE"""),635.5)</f>
        <v>635.5</v>
      </c>
      <c r="G1355" s="1">
        <f ca="1">IFERROR(__xludf.DUMMYFUNCTION("""COMPUTED_VALUE"""),170.06)</f>
        <v>170.06</v>
      </c>
      <c r="H1355" s="1">
        <f ca="1">IFERROR(__xludf.DUMMYFUNCTION("""COMPUTED_VALUE"""),334.62)</f>
        <v>334.62</v>
      </c>
      <c r="I1355" s="1">
        <f ca="1">IFERROR(__xludf.DUMMYFUNCTION("""COMPUTED_VALUE"""),130.15)</f>
        <v>130.15</v>
      </c>
      <c r="J1355" s="1">
        <f ca="1">IFERROR(__xludf.DUMMYFUNCTION("""COMPUTED_VALUE"""),1025.3)</f>
        <v>1025.3</v>
      </c>
      <c r="K1355" s="1">
        <f ca="1">IFERROR(__xludf.DUMMYFUNCTION("""COMPUTED_VALUE"""),229.73)</f>
        <v>229.73</v>
      </c>
      <c r="L1355" s="1">
        <f ca="1">IFERROR(__xludf.DUMMYFUNCTION("""COMPUTED_VALUE"""),414.03)</f>
        <v>414.03</v>
      </c>
      <c r="M1355" s="1">
        <f ca="1">IFERROR(__xludf.DUMMYFUNCTION("""COMPUTED_VALUE"""),1194.63)</f>
        <v>1194.6300000000001</v>
      </c>
    </row>
    <row r="1356" spans="1:13" x14ac:dyDescent="0.25">
      <c r="A1356" s="2">
        <f ca="1">IFERROR(__xludf.DUMMYFUNCTION("""COMPUTED_VALUE"""),45804.6666666666)</f>
        <v>45804.666666666599</v>
      </c>
      <c r="B1356" s="1">
        <f ca="1">IFERROR(__xludf.DUMMYFUNCTION("""COMPUTED_VALUE"""),200.21)</f>
        <v>200.21</v>
      </c>
      <c r="C1356" s="1">
        <f ca="1">IFERROR(__xludf.DUMMYFUNCTION("""COMPUTED_VALUE"""),454.86)</f>
        <v>454.86</v>
      </c>
      <c r="D1356" s="1">
        <f ca="1">IFERROR(__xludf.DUMMYFUNCTION("""COMPUTED_VALUE"""),201.12)</f>
        <v>201.12</v>
      </c>
      <c r="E1356" s="1">
        <f ca="1">IFERROR(__xludf.DUMMYFUNCTION("""COMPUTED_VALUE"""),131.8)</f>
        <v>131.80000000000001</v>
      </c>
      <c r="F1356" s="1">
        <f ca="1">IFERROR(__xludf.DUMMYFUNCTION("""COMPUTED_VALUE"""),636.57)</f>
        <v>636.57000000000005</v>
      </c>
      <c r="G1356" s="1">
        <f ca="1">IFERROR(__xludf.DUMMYFUNCTION("""COMPUTED_VALUE"""),170.06)</f>
        <v>170.06</v>
      </c>
      <c r="H1356" s="1">
        <f ca="1">IFERROR(__xludf.DUMMYFUNCTION("""COMPUTED_VALUE"""),334.62)</f>
        <v>334.62</v>
      </c>
      <c r="I1356" s="1">
        <f ca="1">IFERROR(__xludf.DUMMYFUNCTION("""COMPUTED_VALUE"""),130.12)</f>
        <v>130.12</v>
      </c>
      <c r="J1356" s="1">
        <f ca="1">IFERROR(__xludf.DUMMYFUNCTION("""COMPUTED_VALUE"""),1018.13)</f>
        <v>1018.13</v>
      </c>
      <c r="K1356" s="1">
        <f ca="1">IFERROR(__xludf.DUMMYFUNCTION("""COMPUTED_VALUE"""),230.53)</f>
        <v>230.53</v>
      </c>
      <c r="L1356" s="1">
        <f ca="1">IFERROR(__xludf.DUMMYFUNCTION("""COMPUTED_VALUE"""),414.03)</f>
        <v>414.03</v>
      </c>
      <c r="M1356" s="1">
        <f ca="1">IFERROR(__xludf.DUMMYFUNCTION("""COMPUTED_VALUE"""),1187.97)</f>
        <v>1187.97</v>
      </c>
    </row>
    <row r="1357" spans="1:13" x14ac:dyDescent="0.25">
      <c r="A1357" s="2">
        <f ca="1">IFERROR(__xludf.DUMMYFUNCTION("""COMPUTED_VALUE"""),45805.6666666666)</f>
        <v>45805.666666666599</v>
      </c>
      <c r="B1357" s="1">
        <f ca="1">IFERROR(__xludf.DUMMYFUNCTION("""COMPUTED_VALUE"""),200.42)</f>
        <v>200.42</v>
      </c>
      <c r="C1357" s="1">
        <f ca="1">IFERROR(__xludf.DUMMYFUNCTION("""COMPUTED_VALUE"""),450.18)</f>
        <v>450.18</v>
      </c>
      <c r="D1357" s="1">
        <f ca="1">IFERROR(__xludf.DUMMYFUNCTION("""COMPUTED_VALUE"""),200.99)</f>
        <v>200.99</v>
      </c>
      <c r="E1357" s="1">
        <f ca="1">IFERROR(__xludf.DUMMYFUNCTION("""COMPUTED_VALUE"""),131.29)</f>
        <v>131.29</v>
      </c>
      <c r="F1357" s="1">
        <f ca="1">IFERROR(__xludf.DUMMYFUNCTION("""COMPUTED_VALUE"""),627.06)</f>
        <v>627.05999999999995</v>
      </c>
      <c r="G1357" s="1">
        <f ca="1">IFERROR(__xludf.DUMMYFUNCTION("""COMPUTED_VALUE"""),169.59)</f>
        <v>169.59</v>
      </c>
      <c r="H1357" s="1">
        <f ca="1">IFERROR(__xludf.DUMMYFUNCTION("""COMPUTED_VALUE"""),339.34)</f>
        <v>339.34</v>
      </c>
      <c r="I1357" s="1">
        <f ca="1">IFERROR(__xludf.DUMMYFUNCTION("""COMPUTED_VALUE"""),129.34)</f>
        <v>129.34</v>
      </c>
      <c r="J1357" s="1">
        <f ca="1">IFERROR(__xludf.DUMMYFUNCTION("""COMPUTED_VALUE"""),1008.5)</f>
        <v>1008.5</v>
      </c>
      <c r="K1357" s="1">
        <f ca="1">IFERROR(__xludf.DUMMYFUNCTION("""COMPUTED_VALUE"""),228.72)</f>
        <v>228.72</v>
      </c>
      <c r="L1357" s="1">
        <f ca="1">IFERROR(__xludf.DUMMYFUNCTION("""COMPUTED_VALUE"""),407.69)</f>
        <v>407.69</v>
      </c>
      <c r="M1357" s="1">
        <f ca="1">IFERROR(__xludf.DUMMYFUNCTION("""COMPUTED_VALUE"""),1185.39)</f>
        <v>1185.3900000000001</v>
      </c>
    </row>
    <row r="1358" spans="1:13" x14ac:dyDescent="0.25">
      <c r="A1358" s="2">
        <f ca="1">IFERROR(__xludf.DUMMYFUNCTION("""COMPUTED_VALUE"""),45806.6666666666)</f>
        <v>45806.666666666599</v>
      </c>
      <c r="B1358" s="1">
        <f ca="1">IFERROR(__xludf.DUMMYFUNCTION("""COMPUTED_VALUE"""),199.95)</f>
        <v>199.95</v>
      </c>
      <c r="C1358" s="1">
        <f ca="1">IFERROR(__xludf.DUMMYFUNCTION("""COMPUTED_VALUE"""),460.69)</f>
        <v>460.69</v>
      </c>
      <c r="D1358" s="1">
        <f ca="1">IFERROR(__xludf.DUMMYFUNCTION("""COMPUTED_VALUE"""),206.02)</f>
        <v>206.02</v>
      </c>
      <c r="E1358" s="1">
        <f ca="1">IFERROR(__xludf.DUMMYFUNCTION("""COMPUTED_VALUE"""),135.5)</f>
        <v>135.5</v>
      </c>
      <c r="F1358" s="1">
        <f ca="1">IFERROR(__xludf.DUMMYFUNCTION("""COMPUTED_VALUE"""),642.32)</f>
        <v>642.32000000000005</v>
      </c>
      <c r="G1358" s="1">
        <f ca="1">IFERROR(__xludf.DUMMYFUNCTION("""COMPUTED_VALUE"""),173.98)</f>
        <v>173.98</v>
      </c>
      <c r="H1358" s="1">
        <f ca="1">IFERROR(__xludf.DUMMYFUNCTION("""COMPUTED_VALUE"""),362.89)</f>
        <v>362.89</v>
      </c>
      <c r="I1358" s="1">
        <f ca="1">IFERROR(__xludf.DUMMYFUNCTION("""COMPUTED_VALUE"""),131.37)</f>
        <v>131.37</v>
      </c>
      <c r="J1358" s="1">
        <f ca="1">IFERROR(__xludf.DUMMYFUNCTION("""COMPUTED_VALUE"""),1017.79)</f>
        <v>1017.79</v>
      </c>
      <c r="K1358" s="1">
        <f ca="1">IFERROR(__xludf.DUMMYFUNCTION("""COMPUTED_VALUE"""),235.65)</f>
        <v>235.65</v>
      </c>
      <c r="L1358" s="1">
        <f ca="1">IFERROR(__xludf.DUMMYFUNCTION("""COMPUTED_VALUE"""),413.1)</f>
        <v>413.1</v>
      </c>
      <c r="M1358" s="1">
        <f ca="1">IFERROR(__xludf.DUMMYFUNCTION("""COMPUTED_VALUE"""),1211.57)</f>
        <v>1211.57</v>
      </c>
    </row>
    <row r="1359" spans="1:13" x14ac:dyDescent="0.25">
      <c r="A1359" s="2">
        <f ca="1">IFERROR(__xludf.DUMMYFUNCTION("""COMPUTED_VALUE"""),45807.6666666666)</f>
        <v>45807.666666666599</v>
      </c>
      <c r="B1359" s="1">
        <f ca="1">IFERROR(__xludf.DUMMYFUNCTION("""COMPUTED_VALUE"""),200.85)</f>
        <v>200.85</v>
      </c>
      <c r="C1359" s="1">
        <f ca="1">IFERROR(__xludf.DUMMYFUNCTION("""COMPUTED_VALUE"""),457.36)</f>
        <v>457.36</v>
      </c>
      <c r="D1359" s="1">
        <f ca="1">IFERROR(__xludf.DUMMYFUNCTION("""COMPUTED_VALUE"""),204.72)</f>
        <v>204.72</v>
      </c>
      <c r="E1359" s="1">
        <f ca="1">IFERROR(__xludf.DUMMYFUNCTION("""COMPUTED_VALUE"""),134.81)</f>
        <v>134.81</v>
      </c>
      <c r="F1359" s="1">
        <f ca="1">IFERROR(__xludf.DUMMYFUNCTION("""COMPUTED_VALUE"""),643.58)</f>
        <v>643.58000000000004</v>
      </c>
      <c r="G1359" s="1">
        <f ca="1">IFERROR(__xludf.DUMMYFUNCTION("""COMPUTED_VALUE"""),173.38)</f>
        <v>173.38</v>
      </c>
      <c r="H1359" s="1">
        <f ca="1">IFERROR(__xludf.DUMMYFUNCTION("""COMPUTED_VALUE"""),356.9)</f>
        <v>356.9</v>
      </c>
      <c r="I1359" s="1">
        <f ca="1">IFERROR(__xludf.DUMMYFUNCTION("""COMPUTED_VALUE"""),130.67)</f>
        <v>130.66999999999999</v>
      </c>
      <c r="J1359" s="1">
        <f ca="1">IFERROR(__xludf.DUMMYFUNCTION("""COMPUTED_VALUE"""),1013.14)</f>
        <v>1013.14</v>
      </c>
      <c r="K1359" s="1">
        <f ca="1">IFERROR(__xludf.DUMMYFUNCTION("""COMPUTED_VALUE"""),239.43)</f>
        <v>239.43</v>
      </c>
      <c r="L1359" s="1">
        <f ca="1">IFERROR(__xludf.DUMMYFUNCTION("""COMPUTED_VALUE"""),412.23)</f>
        <v>412.23</v>
      </c>
      <c r="M1359" s="1">
        <f ca="1">IFERROR(__xludf.DUMMYFUNCTION("""COMPUTED_VALUE"""),1208.55)</f>
        <v>1208.55</v>
      </c>
    </row>
    <row r="1360" spans="1:13" x14ac:dyDescent="0.25">
      <c r="A1360" s="2">
        <f ca="1">IFERROR(__xludf.DUMMYFUNCTION("""COMPUTED_VALUE"""),45810.6666666666)</f>
        <v>45810.666666666599</v>
      </c>
      <c r="B1360" s="1">
        <f ca="1">IFERROR(__xludf.DUMMYFUNCTION("""COMPUTED_VALUE"""),201.7)</f>
        <v>201.7</v>
      </c>
      <c r="C1360" s="1">
        <f ca="1">IFERROR(__xludf.DUMMYFUNCTION("""COMPUTED_VALUE"""),458.68)</f>
        <v>458.68</v>
      </c>
      <c r="D1360" s="1">
        <f ca="1">IFERROR(__xludf.DUMMYFUNCTION("""COMPUTED_VALUE"""),205.7)</f>
        <v>205.7</v>
      </c>
      <c r="E1360" s="1">
        <f ca="1">IFERROR(__xludf.DUMMYFUNCTION("""COMPUTED_VALUE"""),139.19)</f>
        <v>139.19</v>
      </c>
      <c r="F1360" s="1">
        <f ca="1">IFERROR(__xludf.DUMMYFUNCTION("""COMPUTED_VALUE"""),645.05)</f>
        <v>645.04999999999995</v>
      </c>
      <c r="G1360" s="1">
        <f ca="1">IFERROR(__xludf.DUMMYFUNCTION("""COMPUTED_VALUE"""),172.96)</f>
        <v>172.96</v>
      </c>
      <c r="H1360" s="1">
        <f ca="1">IFERROR(__xludf.DUMMYFUNCTION("""COMPUTED_VALUE"""),358.43)</f>
        <v>358.43</v>
      </c>
      <c r="I1360" s="1">
        <f ca="1">IFERROR(__xludf.DUMMYFUNCTION("""COMPUTED_VALUE"""),131.92)</f>
        <v>131.91999999999999</v>
      </c>
      <c r="J1360" s="1">
        <f ca="1">IFERROR(__xludf.DUMMYFUNCTION("""COMPUTED_VALUE"""),1008.74)</f>
        <v>1008.74</v>
      </c>
      <c r="K1360" s="1">
        <f ca="1">IFERROR(__xludf.DUMMYFUNCTION("""COMPUTED_VALUE"""),241.97)</f>
        <v>241.97</v>
      </c>
      <c r="L1360" s="1">
        <f ca="1">IFERROR(__xludf.DUMMYFUNCTION("""COMPUTED_VALUE"""),413.36)</f>
        <v>413.36</v>
      </c>
      <c r="M1360" s="1">
        <f ca="1">IFERROR(__xludf.DUMMYFUNCTION("""COMPUTED_VALUE"""),1184.86)</f>
        <v>1184.8599999999999</v>
      </c>
    </row>
    <row r="1361" spans="1:13" x14ac:dyDescent="0.25">
      <c r="A1361" s="2">
        <f ca="1">IFERROR(__xludf.DUMMYFUNCTION("""COMPUTED_VALUE"""),45811.6666666666)</f>
        <v>45811.666666666599</v>
      </c>
      <c r="B1361" s="1">
        <f ca="1">IFERROR(__xludf.DUMMYFUNCTION("""COMPUTED_VALUE"""),203.27)</f>
        <v>203.27</v>
      </c>
      <c r="C1361" s="1">
        <f ca="1">IFERROR(__xludf.DUMMYFUNCTION("""COMPUTED_VALUE"""),460.36)</f>
        <v>460.36</v>
      </c>
      <c r="D1361" s="1">
        <f ca="1">IFERROR(__xludf.DUMMYFUNCTION("""COMPUTED_VALUE"""),205.01)</f>
        <v>205.01</v>
      </c>
      <c r="E1361" s="1">
        <f ca="1">IFERROR(__xludf.DUMMYFUNCTION("""COMPUTED_VALUE"""),135.13)</f>
        <v>135.13</v>
      </c>
      <c r="F1361" s="1">
        <f ca="1">IFERROR(__xludf.DUMMYFUNCTION("""COMPUTED_VALUE"""),647.49)</f>
        <v>647.49</v>
      </c>
      <c r="G1361" s="1">
        <f ca="1">IFERROR(__xludf.DUMMYFUNCTION("""COMPUTED_VALUE"""),172.85)</f>
        <v>172.85</v>
      </c>
      <c r="H1361" s="1">
        <f ca="1">IFERROR(__xludf.DUMMYFUNCTION("""COMPUTED_VALUE"""),346.46)</f>
        <v>346.46</v>
      </c>
      <c r="I1361" s="1">
        <f ca="1">IFERROR(__xludf.DUMMYFUNCTION("""COMPUTED_VALUE"""),131.45)</f>
        <v>131.44999999999999</v>
      </c>
      <c r="J1361" s="1">
        <f ca="1">IFERROR(__xludf.DUMMYFUNCTION("""COMPUTED_VALUE"""),1040.18)</f>
        <v>1040.18</v>
      </c>
      <c r="K1361" s="1">
        <f ca="1">IFERROR(__xludf.DUMMYFUNCTION("""COMPUTED_VALUE"""),242.07)</f>
        <v>242.07</v>
      </c>
      <c r="L1361" s="1">
        <f ca="1">IFERROR(__xludf.DUMMYFUNCTION("""COMPUTED_VALUE"""),415.09)</f>
        <v>415.09</v>
      </c>
      <c r="M1361" s="1">
        <f ca="1">IFERROR(__xludf.DUMMYFUNCTION("""COMPUTED_VALUE"""),1207.23)</f>
        <v>1207.23</v>
      </c>
    </row>
    <row r="1362" spans="1:13" x14ac:dyDescent="0.25">
      <c r="A1362" s="2">
        <f ca="1">IFERROR(__xludf.DUMMYFUNCTION("""COMPUTED_VALUE"""),45812.6666666666)</f>
        <v>45812.666666666599</v>
      </c>
      <c r="B1362" s="1">
        <f ca="1">IFERROR(__xludf.DUMMYFUNCTION("""COMPUTED_VALUE"""),202.82)</f>
        <v>202.82</v>
      </c>
      <c r="C1362" s="1">
        <f ca="1">IFERROR(__xludf.DUMMYFUNCTION("""COMPUTED_VALUE"""),461.97)</f>
        <v>461.97</v>
      </c>
      <c r="D1362" s="1">
        <f ca="1">IFERROR(__xludf.DUMMYFUNCTION("""COMPUTED_VALUE"""),206.65)</f>
        <v>206.65</v>
      </c>
      <c r="E1362" s="1">
        <f ca="1">IFERROR(__xludf.DUMMYFUNCTION("""COMPUTED_VALUE"""),137.38)</f>
        <v>137.38</v>
      </c>
      <c r="F1362" s="1">
        <f ca="1">IFERROR(__xludf.DUMMYFUNCTION("""COMPUTED_VALUE"""),670.9)</f>
        <v>670.9</v>
      </c>
      <c r="G1362" s="1">
        <f ca="1">IFERROR(__xludf.DUMMYFUNCTION("""COMPUTED_VALUE"""),170.37)</f>
        <v>170.37</v>
      </c>
      <c r="H1362" s="1">
        <f ca="1">IFERROR(__xludf.DUMMYFUNCTION("""COMPUTED_VALUE"""),342.69)</f>
        <v>342.69</v>
      </c>
      <c r="I1362" s="1">
        <f ca="1">IFERROR(__xludf.DUMMYFUNCTION("""COMPUTED_VALUE"""),130.91)</f>
        <v>130.91</v>
      </c>
      <c r="J1362" s="1">
        <f ca="1">IFERROR(__xludf.DUMMYFUNCTION("""COMPUTED_VALUE"""),1056.85)</f>
        <v>1056.8499999999999</v>
      </c>
      <c r="K1362" s="1">
        <f ca="1">IFERROR(__xludf.DUMMYFUNCTION("""COMPUTED_VALUE"""),248.71)</f>
        <v>248.71</v>
      </c>
      <c r="L1362" s="1">
        <f ca="1">IFERROR(__xludf.DUMMYFUNCTION("""COMPUTED_VALUE"""),403.4)</f>
        <v>403.4</v>
      </c>
      <c r="M1362" s="1">
        <f ca="1">IFERROR(__xludf.DUMMYFUNCTION("""COMPUTED_VALUE"""),1218.98)</f>
        <v>1218.98</v>
      </c>
    </row>
    <row r="1363" spans="1:13" x14ac:dyDescent="0.25">
      <c r="A1363" s="2">
        <f ca="1">IFERROR(__xludf.DUMMYFUNCTION("""COMPUTED_VALUE"""),45813.6666666666)</f>
        <v>45813.666666666599</v>
      </c>
      <c r="B1363" s="1">
        <f ca="1">IFERROR(__xludf.DUMMYFUNCTION("""COMPUTED_VALUE"""),200.63)</f>
        <v>200.63</v>
      </c>
      <c r="C1363" s="1">
        <f ca="1">IFERROR(__xludf.DUMMYFUNCTION("""COMPUTED_VALUE"""),462.97)</f>
        <v>462.97</v>
      </c>
      <c r="D1363" s="1">
        <f ca="1">IFERROR(__xludf.DUMMYFUNCTION("""COMPUTED_VALUE"""),205.71)</f>
        <v>205.71</v>
      </c>
      <c r="E1363" s="1">
        <f ca="1">IFERROR(__xludf.DUMMYFUNCTION("""COMPUTED_VALUE"""),141.22)</f>
        <v>141.22</v>
      </c>
      <c r="F1363" s="1">
        <f ca="1">IFERROR(__xludf.DUMMYFUNCTION("""COMPUTED_VALUE"""),666.85)</f>
        <v>666.85</v>
      </c>
      <c r="G1363" s="1">
        <f ca="1">IFERROR(__xludf.DUMMYFUNCTION("""COMPUTED_VALUE"""),167.71)</f>
        <v>167.71</v>
      </c>
      <c r="H1363" s="1">
        <f ca="1">IFERROR(__xludf.DUMMYFUNCTION("""COMPUTED_VALUE"""),344.27)</f>
        <v>344.27</v>
      </c>
      <c r="I1363" s="1">
        <f ca="1">IFERROR(__xludf.DUMMYFUNCTION("""COMPUTED_VALUE"""),131.85)</f>
        <v>131.85</v>
      </c>
      <c r="J1363" s="1">
        <f ca="1">IFERROR(__xludf.DUMMYFUNCTION("""COMPUTED_VALUE"""),1055.59)</f>
        <v>1055.5899999999999</v>
      </c>
      <c r="K1363" s="1">
        <f ca="1">IFERROR(__xludf.DUMMYFUNCTION("""COMPUTED_VALUE"""),256.85)</f>
        <v>256.85000000000002</v>
      </c>
      <c r="L1363" s="1">
        <f ca="1">IFERROR(__xludf.DUMMYFUNCTION("""COMPUTED_VALUE"""),412.49)</f>
        <v>412.49</v>
      </c>
      <c r="M1363" s="1">
        <f ca="1">IFERROR(__xludf.DUMMYFUNCTION("""COMPUTED_VALUE"""),1217.94)</f>
        <v>1217.94</v>
      </c>
    </row>
    <row r="1364" spans="1:13" x14ac:dyDescent="0.25">
      <c r="A1364" s="2">
        <f ca="1">IFERROR(__xludf.DUMMYFUNCTION("""COMPUTED_VALUE"""),45814.6666666666)</f>
        <v>45814.666666666599</v>
      </c>
      <c r="B1364" s="1">
        <f ca="1">IFERROR(__xludf.DUMMYFUNCTION("""COMPUTED_VALUE"""),203.92)</f>
        <v>203.92</v>
      </c>
      <c r="C1364" s="1">
        <f ca="1">IFERROR(__xludf.DUMMYFUNCTION("""COMPUTED_VALUE"""),463.87)</f>
        <v>463.87</v>
      </c>
      <c r="D1364" s="1">
        <f ca="1">IFERROR(__xludf.DUMMYFUNCTION("""COMPUTED_VALUE"""),207.23)</f>
        <v>207.23</v>
      </c>
      <c r="E1364" s="1">
        <f ca="1">IFERROR(__xludf.DUMMYFUNCTION("""COMPUTED_VALUE"""),141.92)</f>
        <v>141.91999999999999</v>
      </c>
      <c r="F1364" s="1">
        <f ca="1">IFERROR(__xludf.DUMMYFUNCTION("""COMPUTED_VALUE"""),687.95)</f>
        <v>687.95</v>
      </c>
      <c r="G1364" s="1">
        <f ca="1">IFERROR(__xludf.DUMMYFUNCTION("""COMPUTED_VALUE"""),169.39)</f>
        <v>169.39</v>
      </c>
      <c r="H1364" s="1">
        <f ca="1">IFERROR(__xludf.DUMMYFUNCTION("""COMPUTED_VALUE"""),332.05)</f>
        <v>332.05</v>
      </c>
      <c r="I1364" s="1">
        <f ca="1">IFERROR(__xludf.DUMMYFUNCTION("""COMPUTED_VALUE"""),131.74)</f>
        <v>131.74</v>
      </c>
      <c r="J1364" s="1">
        <f ca="1">IFERROR(__xludf.DUMMYFUNCTION("""COMPUTED_VALUE"""),1051.69)</f>
        <v>1051.69</v>
      </c>
      <c r="K1364" s="1">
        <f ca="1">IFERROR(__xludf.DUMMYFUNCTION("""COMPUTED_VALUE"""),261.08)</f>
        <v>261.08</v>
      </c>
      <c r="L1364" s="1">
        <f ca="1">IFERROR(__xludf.DUMMYFUNCTION("""COMPUTED_VALUE"""),413.91)</f>
        <v>413.91</v>
      </c>
      <c r="M1364" s="1">
        <f ca="1">IFERROR(__xludf.DUMMYFUNCTION("""COMPUTED_VALUE"""),1239.66)</f>
        <v>1239.6600000000001</v>
      </c>
    </row>
    <row r="1365" spans="1:13" x14ac:dyDescent="0.25">
      <c r="A1365" s="2">
        <f ca="1">IFERROR(__xludf.DUMMYFUNCTION("""COMPUTED_VALUE"""),45817.6666666666)</f>
        <v>45817.666666666599</v>
      </c>
      <c r="B1365" s="1">
        <f ca="1">IFERROR(__xludf.DUMMYFUNCTION("""COMPUTED_VALUE"""),201.45)</f>
        <v>201.45</v>
      </c>
      <c r="C1365" s="1">
        <f ca="1">IFERROR(__xludf.DUMMYFUNCTION("""COMPUTED_VALUE"""),467.68)</f>
        <v>467.68</v>
      </c>
      <c r="D1365" s="1">
        <f ca="1">IFERROR(__xludf.DUMMYFUNCTION("""COMPUTED_VALUE"""),207.91)</f>
        <v>207.91</v>
      </c>
      <c r="E1365" s="1">
        <f ca="1">IFERROR(__xludf.DUMMYFUNCTION("""COMPUTED_VALUE"""),139.99)</f>
        <v>139.99</v>
      </c>
      <c r="F1365" s="1">
        <f ca="1">IFERROR(__xludf.DUMMYFUNCTION("""COMPUTED_VALUE"""),684.62)</f>
        <v>684.62</v>
      </c>
      <c r="G1365" s="1">
        <f ca="1">IFERROR(__xludf.DUMMYFUNCTION("""COMPUTED_VALUE"""),169.81)</f>
        <v>169.81</v>
      </c>
      <c r="H1365" s="1">
        <f ca="1">IFERROR(__xludf.DUMMYFUNCTION("""COMPUTED_VALUE"""),284.7)</f>
        <v>284.7</v>
      </c>
      <c r="I1365" s="1">
        <f ca="1">IFERROR(__xludf.DUMMYFUNCTION("""COMPUTED_VALUE"""),131.11)</f>
        <v>131.11000000000001</v>
      </c>
      <c r="J1365" s="1">
        <f ca="1">IFERROR(__xludf.DUMMYFUNCTION("""COMPUTED_VALUE"""),1010.81)</f>
        <v>1010.81</v>
      </c>
      <c r="K1365" s="1">
        <f ca="1">IFERROR(__xludf.DUMMYFUNCTION("""COMPUTED_VALUE"""),259.93)</f>
        <v>259.93</v>
      </c>
      <c r="L1365" s="1">
        <f ca="1">IFERROR(__xludf.DUMMYFUNCTION("""COMPUTED_VALUE"""),415.2)</f>
        <v>415.2</v>
      </c>
      <c r="M1365" s="1">
        <f ca="1">IFERROR(__xludf.DUMMYFUNCTION("""COMPUTED_VALUE"""),1250.52)</f>
        <v>1250.52</v>
      </c>
    </row>
    <row r="1366" spans="1:13" x14ac:dyDescent="0.25">
      <c r="A1366" s="2">
        <f ca="1">IFERROR(__xludf.DUMMYFUNCTION("""COMPUTED_VALUE"""),45818.6666666666)</f>
        <v>45818.666666666599</v>
      </c>
      <c r="B1366" s="1">
        <f ca="1">IFERROR(__xludf.DUMMYFUNCTION("""COMPUTED_VALUE"""),202.67)</f>
        <v>202.67</v>
      </c>
      <c r="C1366" s="1">
        <f ca="1">IFERROR(__xludf.DUMMYFUNCTION("""COMPUTED_VALUE"""),470.38)</f>
        <v>470.38</v>
      </c>
      <c r="D1366" s="1">
        <f ca="1">IFERROR(__xludf.DUMMYFUNCTION("""COMPUTED_VALUE"""),213.57)</f>
        <v>213.57</v>
      </c>
      <c r="E1366" s="1">
        <f ca="1">IFERROR(__xludf.DUMMYFUNCTION("""COMPUTED_VALUE"""),141.72)</f>
        <v>141.72</v>
      </c>
      <c r="F1366" s="1">
        <f ca="1">IFERROR(__xludf.DUMMYFUNCTION("""COMPUTED_VALUE"""),697.71)</f>
        <v>697.71</v>
      </c>
      <c r="G1366" s="1">
        <f ca="1">IFERROR(__xludf.DUMMYFUNCTION("""COMPUTED_VALUE"""),174.92)</f>
        <v>174.92</v>
      </c>
      <c r="H1366" s="1">
        <f ca="1">IFERROR(__xludf.DUMMYFUNCTION("""COMPUTED_VALUE"""),295.14)</f>
        <v>295.14</v>
      </c>
      <c r="I1366" s="1">
        <f ca="1">IFERROR(__xludf.DUMMYFUNCTION("""COMPUTED_VALUE"""),130.03)</f>
        <v>130.03</v>
      </c>
      <c r="J1366" s="1">
        <f ca="1">IFERROR(__xludf.DUMMYFUNCTION("""COMPUTED_VALUE"""),1014.94)</f>
        <v>1014.94</v>
      </c>
      <c r="K1366" s="1">
        <f ca="1">IFERROR(__xludf.DUMMYFUNCTION("""COMPUTED_VALUE"""),246.93)</f>
        <v>246.93</v>
      </c>
      <c r="L1366" s="1">
        <f ca="1">IFERROR(__xludf.DUMMYFUNCTION("""COMPUTED_VALUE"""),416.92)</f>
        <v>416.92</v>
      </c>
      <c r="M1366" s="1">
        <f ca="1">IFERROR(__xludf.DUMMYFUNCTION("""COMPUTED_VALUE"""),1241.47)</f>
        <v>1241.47</v>
      </c>
    </row>
    <row r="1367" spans="1:13" x14ac:dyDescent="0.25">
      <c r="A1367" s="2">
        <f ca="1">IFERROR(__xludf.DUMMYFUNCTION("""COMPUTED_VALUE"""),45819.6666666666)</f>
        <v>45819.666666666599</v>
      </c>
      <c r="B1367" s="1">
        <f ca="1">IFERROR(__xludf.DUMMYFUNCTION("""COMPUTED_VALUE"""),198.78)</f>
        <v>198.78</v>
      </c>
      <c r="C1367" s="1">
        <f ca="1">IFERROR(__xludf.DUMMYFUNCTION("""COMPUTED_VALUE"""),472.75)</f>
        <v>472.75</v>
      </c>
      <c r="D1367" s="1">
        <f ca="1">IFERROR(__xludf.DUMMYFUNCTION("""COMPUTED_VALUE"""),216.98)</f>
        <v>216.98</v>
      </c>
      <c r="E1367" s="1">
        <f ca="1">IFERROR(__xludf.DUMMYFUNCTION("""COMPUTED_VALUE"""),142.63)</f>
        <v>142.63</v>
      </c>
      <c r="F1367" s="1">
        <f ca="1">IFERROR(__xludf.DUMMYFUNCTION("""COMPUTED_VALUE"""),694.06)</f>
        <v>694.06</v>
      </c>
      <c r="G1367" s="1">
        <f ca="1">IFERROR(__xludf.DUMMYFUNCTION("""COMPUTED_VALUE"""),177.63)</f>
        <v>177.63</v>
      </c>
      <c r="H1367" s="1">
        <f ca="1">IFERROR(__xludf.DUMMYFUNCTION("""COMPUTED_VALUE"""),308.58)</f>
        <v>308.58</v>
      </c>
      <c r="I1367" s="1">
        <f ca="1">IFERROR(__xludf.DUMMYFUNCTION("""COMPUTED_VALUE"""),129.96)</f>
        <v>129.96</v>
      </c>
      <c r="J1367" s="1">
        <f ca="1">IFERROR(__xludf.DUMMYFUNCTION("""COMPUTED_VALUE"""),1006.18)</f>
        <v>1006.18</v>
      </c>
      <c r="K1367" s="1">
        <f ca="1">IFERROR(__xludf.DUMMYFUNCTION("""COMPUTED_VALUE"""),244.28)</f>
        <v>244.28</v>
      </c>
      <c r="L1367" s="1">
        <f ca="1">IFERROR(__xludf.DUMMYFUNCTION("""COMPUTED_VALUE"""),416.26)</f>
        <v>416.26</v>
      </c>
      <c r="M1367" s="1">
        <f ca="1">IFERROR(__xludf.DUMMYFUNCTION("""COMPUTED_VALUE"""),1224.46)</f>
        <v>1224.46</v>
      </c>
    </row>
    <row r="1368" spans="1:13" x14ac:dyDescent="0.25">
      <c r="A1368" s="2">
        <f ca="1">IFERROR(__xludf.DUMMYFUNCTION("""COMPUTED_VALUE"""),45820.6666666666)</f>
        <v>45820.666666666599</v>
      </c>
      <c r="B1368" s="1">
        <f ca="1">IFERROR(__xludf.DUMMYFUNCTION("""COMPUTED_VALUE"""),199.2)</f>
        <v>199.2</v>
      </c>
      <c r="C1368" s="1">
        <f ca="1">IFERROR(__xludf.DUMMYFUNCTION("""COMPUTED_VALUE"""),470.92)</f>
        <v>470.92</v>
      </c>
      <c r="D1368" s="1">
        <f ca="1">IFERROR(__xludf.DUMMYFUNCTION("""COMPUTED_VALUE"""),217.61)</f>
        <v>217.61</v>
      </c>
      <c r="E1368" s="1">
        <f ca="1">IFERROR(__xludf.DUMMYFUNCTION("""COMPUTED_VALUE"""),143.96)</f>
        <v>143.96</v>
      </c>
      <c r="F1368" s="1">
        <f ca="1">IFERROR(__xludf.DUMMYFUNCTION("""COMPUTED_VALUE"""),702.4)</f>
        <v>702.4</v>
      </c>
      <c r="G1368" s="1">
        <f ca="1">IFERROR(__xludf.DUMMYFUNCTION("""COMPUTED_VALUE"""),180.01)</f>
        <v>180.01</v>
      </c>
      <c r="H1368" s="1">
        <f ca="1">IFERROR(__xludf.DUMMYFUNCTION("""COMPUTED_VALUE"""),326.09)</f>
        <v>326.08999999999997</v>
      </c>
      <c r="I1368" s="1">
        <f ca="1">IFERROR(__xludf.DUMMYFUNCTION("""COMPUTED_VALUE"""),131.83)</f>
        <v>131.83000000000001</v>
      </c>
      <c r="J1368" s="1">
        <f ca="1">IFERROR(__xludf.DUMMYFUNCTION("""COMPUTED_VALUE"""),1007.27)</f>
        <v>1007.27</v>
      </c>
      <c r="K1368" s="1">
        <f ca="1">IFERROR(__xludf.DUMMYFUNCTION("""COMPUTED_VALUE"""),244.63)</f>
        <v>244.63</v>
      </c>
      <c r="L1368" s="1">
        <f ca="1">IFERROR(__xludf.DUMMYFUNCTION("""COMPUTED_VALUE"""),416.06)</f>
        <v>416.06</v>
      </c>
      <c r="M1368" s="1">
        <f ca="1">IFERROR(__xludf.DUMMYFUNCTION("""COMPUTED_VALUE"""),1203.62)</f>
        <v>1203.6199999999999</v>
      </c>
    </row>
    <row r="1369" spans="1:13" x14ac:dyDescent="0.25">
      <c r="A1369" s="2">
        <f ca="1">IFERROR(__xludf.DUMMYFUNCTION("""COMPUTED_VALUE"""),45821.6666666666)</f>
        <v>45821.666666666599</v>
      </c>
      <c r="B1369" s="1">
        <f ca="1">IFERROR(__xludf.DUMMYFUNCTION("""COMPUTED_VALUE"""),196.45)</f>
        <v>196.45</v>
      </c>
      <c r="C1369" s="1">
        <f ca="1">IFERROR(__xludf.DUMMYFUNCTION("""COMPUTED_VALUE"""),472.62)</f>
        <v>472.62</v>
      </c>
      <c r="D1369" s="1">
        <f ca="1">IFERROR(__xludf.DUMMYFUNCTION("""COMPUTED_VALUE"""),213.2)</f>
        <v>213.2</v>
      </c>
      <c r="E1369" s="1">
        <f ca="1">IFERROR(__xludf.DUMMYFUNCTION("""COMPUTED_VALUE"""),142.83)</f>
        <v>142.83000000000001</v>
      </c>
      <c r="F1369" s="1">
        <f ca="1">IFERROR(__xludf.DUMMYFUNCTION("""COMPUTED_VALUE"""),694.14)</f>
        <v>694.14</v>
      </c>
      <c r="G1369" s="1">
        <f ca="1">IFERROR(__xludf.DUMMYFUNCTION("""COMPUTED_VALUE"""),178.79)</f>
        <v>178.79</v>
      </c>
      <c r="H1369" s="1">
        <f ca="1">IFERROR(__xludf.DUMMYFUNCTION("""COMPUTED_VALUE"""),326.43)</f>
        <v>326.43</v>
      </c>
      <c r="I1369" s="1">
        <f ca="1">IFERROR(__xludf.DUMMYFUNCTION("""COMPUTED_VALUE"""),129.9)</f>
        <v>129.9</v>
      </c>
      <c r="J1369" s="1">
        <f ca="1">IFERROR(__xludf.DUMMYFUNCTION("""COMPUTED_VALUE"""),996.78)</f>
        <v>996.78</v>
      </c>
      <c r="K1369" s="1">
        <f ca="1">IFERROR(__xludf.DUMMYFUNCTION("""COMPUTED_VALUE"""),252.91)</f>
        <v>252.91</v>
      </c>
      <c r="L1369" s="1">
        <f ca="1">IFERROR(__xludf.DUMMYFUNCTION("""COMPUTED_VALUE"""),412.84)</f>
        <v>412.84</v>
      </c>
      <c r="M1369" s="1">
        <f ca="1">IFERROR(__xludf.DUMMYFUNCTION("""COMPUTED_VALUE"""),1219.88)</f>
        <v>1219.8800000000001</v>
      </c>
    </row>
    <row r="1370" spans="1:13" x14ac:dyDescent="0.25">
      <c r="A1370" s="2">
        <f ca="1">IFERROR(__xludf.DUMMYFUNCTION("""COMPUTED_VALUE"""),45824.6666666666)</f>
        <v>45824.666666666599</v>
      </c>
      <c r="B1370" s="1">
        <f ca="1">IFERROR(__xludf.DUMMYFUNCTION("""COMPUTED_VALUE"""),198.42)</f>
        <v>198.42</v>
      </c>
      <c r="C1370" s="1">
        <f ca="1">IFERROR(__xludf.DUMMYFUNCTION("""COMPUTED_VALUE"""),478.87)</f>
        <v>478.87</v>
      </c>
      <c r="D1370" s="1">
        <f ca="1">IFERROR(__xludf.DUMMYFUNCTION("""COMPUTED_VALUE"""),213.24)</f>
        <v>213.24</v>
      </c>
      <c r="E1370" s="1">
        <f ca="1">IFERROR(__xludf.DUMMYFUNCTION("""COMPUTED_VALUE"""),145)</f>
        <v>145</v>
      </c>
      <c r="F1370" s="1">
        <f ca="1">IFERROR(__xludf.DUMMYFUNCTION("""COMPUTED_VALUE"""),693.36)</f>
        <v>693.36</v>
      </c>
      <c r="G1370" s="1">
        <f ca="1">IFERROR(__xludf.DUMMYFUNCTION("""COMPUTED_VALUE"""),176.97)</f>
        <v>176.97</v>
      </c>
      <c r="H1370" s="1">
        <f ca="1">IFERROR(__xludf.DUMMYFUNCTION("""COMPUTED_VALUE"""),319.11)</f>
        <v>319.11</v>
      </c>
      <c r="I1370" s="1">
        <f ca="1">IFERROR(__xludf.DUMMYFUNCTION("""COMPUTED_VALUE"""),132.3)</f>
        <v>132.30000000000001</v>
      </c>
      <c r="J1370" s="1">
        <f ca="1">IFERROR(__xludf.DUMMYFUNCTION("""COMPUTED_VALUE"""),1002.71)</f>
        <v>1002.71</v>
      </c>
      <c r="K1370" s="1">
        <f ca="1">IFERROR(__xludf.DUMMYFUNCTION("""COMPUTED_VALUE"""),256.07)</f>
        <v>256.07</v>
      </c>
      <c r="L1370" s="1">
        <f ca="1">IFERROR(__xludf.DUMMYFUNCTION("""COMPUTED_VALUE"""),413.68)</f>
        <v>413.68</v>
      </c>
      <c r="M1370" s="1">
        <f ca="1">IFERROR(__xludf.DUMMYFUNCTION("""COMPUTED_VALUE"""),1215.03)</f>
        <v>1215.03</v>
      </c>
    </row>
    <row r="1371" spans="1:13" x14ac:dyDescent="0.25">
      <c r="A1371" s="2">
        <f ca="1">IFERROR(__xludf.DUMMYFUNCTION("""COMPUTED_VALUE"""),45825.6666666666)</f>
        <v>45825.666666666599</v>
      </c>
      <c r="B1371" s="1">
        <f ca="1">IFERROR(__xludf.DUMMYFUNCTION("""COMPUTED_VALUE"""),195.64)</f>
        <v>195.64</v>
      </c>
      <c r="C1371" s="1">
        <f ca="1">IFERROR(__xludf.DUMMYFUNCTION("""COMPUTED_VALUE"""),474.96)</f>
        <v>474.96</v>
      </c>
      <c r="D1371" s="1">
        <f ca="1">IFERROR(__xludf.DUMMYFUNCTION("""COMPUTED_VALUE"""),212.1)</f>
        <v>212.1</v>
      </c>
      <c r="E1371" s="1">
        <f ca="1">IFERROR(__xludf.DUMMYFUNCTION("""COMPUTED_VALUE"""),141.97)</f>
        <v>141.97</v>
      </c>
      <c r="F1371" s="1">
        <f ca="1">IFERROR(__xludf.DUMMYFUNCTION("""COMPUTED_VALUE"""),682.87)</f>
        <v>682.87</v>
      </c>
      <c r="G1371" s="1">
        <f ca="1">IFERROR(__xludf.DUMMYFUNCTION("""COMPUTED_VALUE"""),175.88)</f>
        <v>175.88</v>
      </c>
      <c r="H1371" s="1">
        <f ca="1">IFERROR(__xludf.DUMMYFUNCTION("""COMPUTED_VALUE"""),325.31)</f>
        <v>325.31</v>
      </c>
      <c r="I1371" s="1">
        <f ca="1">IFERROR(__xludf.DUMMYFUNCTION("""COMPUTED_VALUE"""),130.85)</f>
        <v>130.85</v>
      </c>
      <c r="J1371" s="1">
        <f ca="1">IFERROR(__xludf.DUMMYFUNCTION("""COMPUTED_VALUE"""),990.21)</f>
        <v>990.21</v>
      </c>
      <c r="K1371" s="1">
        <f ca="1">IFERROR(__xludf.DUMMYFUNCTION("""COMPUTED_VALUE"""),248.7)</f>
        <v>248.7</v>
      </c>
      <c r="L1371" s="1">
        <f ca="1">IFERROR(__xludf.DUMMYFUNCTION("""COMPUTED_VALUE"""),391.68)</f>
        <v>391.68</v>
      </c>
      <c r="M1371" s="1">
        <f ca="1">IFERROR(__xludf.DUMMYFUNCTION("""COMPUTED_VALUE"""),1212.15)</f>
        <v>1212.1500000000001</v>
      </c>
    </row>
    <row r="1372" spans="1:13" x14ac:dyDescent="0.25">
      <c r="A1372" s="2">
        <f ca="1">IFERROR(__xludf.DUMMYFUNCTION("""COMPUTED_VALUE"""),45826.6666666666)</f>
        <v>45826.666666666599</v>
      </c>
      <c r="B1372" s="1">
        <f ca="1">IFERROR(__xludf.DUMMYFUNCTION("""COMPUTED_VALUE"""),196.58)</f>
        <v>196.58</v>
      </c>
      <c r="C1372" s="1">
        <f ca="1">IFERROR(__xludf.DUMMYFUNCTION("""COMPUTED_VALUE"""),479.14)</f>
        <v>479.14</v>
      </c>
      <c r="D1372" s="1">
        <f ca="1">IFERROR(__xludf.DUMMYFUNCTION("""COMPUTED_VALUE"""),216.1)</f>
        <v>216.1</v>
      </c>
      <c r="E1372" s="1">
        <f ca="1">IFERROR(__xludf.DUMMYFUNCTION("""COMPUTED_VALUE"""),144.69)</f>
        <v>144.69</v>
      </c>
      <c r="F1372" s="1">
        <f ca="1">IFERROR(__xludf.DUMMYFUNCTION("""COMPUTED_VALUE"""),702.12)</f>
        <v>702.12</v>
      </c>
      <c r="G1372" s="1">
        <f ca="1">IFERROR(__xludf.DUMMYFUNCTION("""COMPUTED_VALUE"""),177.94)</f>
        <v>177.94</v>
      </c>
      <c r="H1372" s="1">
        <f ca="1">IFERROR(__xludf.DUMMYFUNCTION("""COMPUTED_VALUE"""),329.13)</f>
        <v>329.13</v>
      </c>
      <c r="I1372" s="1">
        <f ca="1">IFERROR(__xludf.DUMMYFUNCTION("""COMPUTED_VALUE"""),131.41)</f>
        <v>131.41</v>
      </c>
      <c r="J1372" s="1">
        <f ca="1">IFERROR(__xludf.DUMMYFUNCTION("""COMPUTED_VALUE"""),984.36)</f>
        <v>984.36</v>
      </c>
      <c r="K1372" s="1">
        <f ca="1">IFERROR(__xludf.DUMMYFUNCTION("""COMPUTED_VALUE"""),252.1)</f>
        <v>252.1</v>
      </c>
      <c r="L1372" s="1">
        <f ca="1">IFERROR(__xludf.DUMMYFUNCTION("""COMPUTED_VALUE"""),401.73)</f>
        <v>401.73</v>
      </c>
      <c r="M1372" s="1">
        <f ca="1">IFERROR(__xludf.DUMMYFUNCTION("""COMPUTED_VALUE"""),1225.35)</f>
        <v>1225.3499999999999</v>
      </c>
    </row>
    <row r="1373" spans="1:13" x14ac:dyDescent="0.25">
      <c r="A1373" s="2">
        <f ca="1">IFERROR(__xludf.DUMMYFUNCTION("""COMPUTED_VALUE"""),45828.6666666666)</f>
        <v>45828.666666666599</v>
      </c>
      <c r="B1373" s="1">
        <f ca="1">IFERROR(__xludf.DUMMYFUNCTION("""COMPUTED_VALUE"""),201)</f>
        <v>201</v>
      </c>
      <c r="C1373" s="1">
        <f ca="1">IFERROR(__xludf.DUMMYFUNCTION("""COMPUTED_VALUE"""),478.04)</f>
        <v>478.04</v>
      </c>
      <c r="D1373" s="1">
        <f ca="1">IFERROR(__xludf.DUMMYFUNCTION("""COMPUTED_VALUE"""),214.82)</f>
        <v>214.82</v>
      </c>
      <c r="E1373" s="1">
        <f ca="1">IFERROR(__xludf.DUMMYFUNCTION("""COMPUTED_VALUE"""),144.12)</f>
        <v>144.12</v>
      </c>
      <c r="F1373" s="1">
        <f ca="1">IFERROR(__xludf.DUMMYFUNCTION("""COMPUTED_VALUE"""),697.23)</f>
        <v>697.23</v>
      </c>
      <c r="G1373" s="1">
        <f ca="1">IFERROR(__xludf.DUMMYFUNCTION("""COMPUTED_VALUE"""),177.23)</f>
        <v>177.23</v>
      </c>
      <c r="H1373" s="1">
        <f ca="1">IFERROR(__xludf.DUMMYFUNCTION("""COMPUTED_VALUE"""),316.35)</f>
        <v>316.35000000000002</v>
      </c>
      <c r="I1373" s="1">
        <f ca="1">IFERROR(__xludf.DUMMYFUNCTION("""COMPUTED_VALUE"""),129.29)</f>
        <v>129.29</v>
      </c>
      <c r="J1373" s="1">
        <f ca="1">IFERROR(__xludf.DUMMYFUNCTION("""COMPUTED_VALUE"""),977.72)</f>
        <v>977.72</v>
      </c>
      <c r="K1373" s="1">
        <f ca="1">IFERROR(__xludf.DUMMYFUNCTION("""COMPUTED_VALUE"""),249.37)</f>
        <v>249.37</v>
      </c>
      <c r="L1373" s="1">
        <f ca="1">IFERROR(__xludf.DUMMYFUNCTION("""COMPUTED_VALUE"""),382.68)</f>
        <v>382.68</v>
      </c>
      <c r="M1373" s="1">
        <f ca="1">IFERROR(__xludf.DUMMYFUNCTION("""COMPUTED_VALUE"""),1220.67)</f>
        <v>1220.67</v>
      </c>
    </row>
    <row r="1374" spans="1:13" x14ac:dyDescent="0.25">
      <c r="A1374" s="2">
        <f ca="1">IFERROR(__xludf.DUMMYFUNCTION("""COMPUTED_VALUE"""),45831.6666666666)</f>
        <v>45831.666666666599</v>
      </c>
      <c r="B1374" s="1">
        <f ca="1">IFERROR(__xludf.DUMMYFUNCTION("""COMPUTED_VALUE"""),201.5)</f>
        <v>201.5</v>
      </c>
      <c r="C1374" s="1">
        <f ca="1">IFERROR(__xludf.DUMMYFUNCTION("""COMPUTED_VALUE"""),480.24)</f>
        <v>480.24</v>
      </c>
      <c r="D1374" s="1">
        <f ca="1">IFERROR(__xludf.DUMMYFUNCTION("""COMPUTED_VALUE"""),212.52)</f>
        <v>212.52</v>
      </c>
      <c r="E1374" s="1">
        <f ca="1">IFERROR(__xludf.DUMMYFUNCTION("""COMPUTED_VALUE"""),145.48)</f>
        <v>145.47999999999999</v>
      </c>
      <c r="F1374" s="1">
        <f ca="1">IFERROR(__xludf.DUMMYFUNCTION("""COMPUTED_VALUE"""),695.77)</f>
        <v>695.77</v>
      </c>
      <c r="G1374" s="1">
        <f ca="1">IFERROR(__xludf.DUMMYFUNCTION("""COMPUTED_VALUE"""),173.98)</f>
        <v>173.98</v>
      </c>
      <c r="H1374" s="1">
        <f ca="1">IFERROR(__xludf.DUMMYFUNCTION("""COMPUTED_VALUE"""),322.05)</f>
        <v>322.05</v>
      </c>
      <c r="I1374" s="1">
        <f ca="1">IFERROR(__xludf.DUMMYFUNCTION("""COMPUTED_VALUE"""),129.07)</f>
        <v>129.07</v>
      </c>
      <c r="J1374" s="1">
        <f ca="1">IFERROR(__xludf.DUMMYFUNCTION("""COMPUTED_VALUE"""),974.9)</f>
        <v>974.9</v>
      </c>
      <c r="K1374" s="1">
        <f ca="1">IFERROR(__xludf.DUMMYFUNCTION("""COMPUTED_VALUE"""),251.26)</f>
        <v>251.26</v>
      </c>
      <c r="L1374" s="1">
        <f ca="1">IFERROR(__xludf.DUMMYFUNCTION("""COMPUTED_VALUE"""),378.04)</f>
        <v>378.04</v>
      </c>
      <c r="M1374" s="1">
        <f ca="1">IFERROR(__xludf.DUMMYFUNCTION("""COMPUTED_VALUE"""),1222.29)</f>
        <v>1222.29</v>
      </c>
    </row>
    <row r="1375" spans="1:13" x14ac:dyDescent="0.25">
      <c r="A1375" s="2">
        <f ca="1">IFERROR(__xludf.DUMMYFUNCTION("""COMPUTED_VALUE"""),45832.6666666666)</f>
        <v>45832.666666666599</v>
      </c>
      <c r="B1375" s="1">
        <f ca="1">IFERROR(__xludf.DUMMYFUNCTION("""COMPUTED_VALUE"""),200.3)</f>
        <v>200.3</v>
      </c>
      <c r="C1375" s="1">
        <f ca="1">IFERROR(__xludf.DUMMYFUNCTION("""COMPUTED_VALUE"""),477.4)</f>
        <v>477.4</v>
      </c>
      <c r="D1375" s="1">
        <f ca="1">IFERROR(__xludf.DUMMYFUNCTION("""COMPUTED_VALUE"""),209.69)</f>
        <v>209.69</v>
      </c>
      <c r="E1375" s="1">
        <f ca="1">IFERROR(__xludf.DUMMYFUNCTION("""COMPUTED_VALUE"""),143.85)</f>
        <v>143.85</v>
      </c>
      <c r="F1375" s="1">
        <f ca="1">IFERROR(__xludf.DUMMYFUNCTION("""COMPUTED_VALUE"""),682.35)</f>
        <v>682.35</v>
      </c>
      <c r="G1375" s="1">
        <f ca="1">IFERROR(__xludf.DUMMYFUNCTION("""COMPUTED_VALUE"""),167.73)</f>
        <v>167.73</v>
      </c>
      <c r="H1375" s="1">
        <f ca="1">IFERROR(__xludf.DUMMYFUNCTION("""COMPUTED_VALUE"""),322.16)</f>
        <v>322.16000000000003</v>
      </c>
      <c r="I1375" s="1">
        <f ca="1">IFERROR(__xludf.DUMMYFUNCTION("""COMPUTED_VALUE"""),129.07)</f>
        <v>129.07</v>
      </c>
      <c r="J1375" s="1">
        <f ca="1">IFERROR(__xludf.DUMMYFUNCTION("""COMPUTED_VALUE"""),980.29)</f>
        <v>980.29</v>
      </c>
      <c r="K1375" s="1">
        <f ca="1">IFERROR(__xludf.DUMMYFUNCTION("""COMPUTED_VALUE"""),249.99)</f>
        <v>249.99</v>
      </c>
      <c r="L1375" s="1">
        <f ca="1">IFERROR(__xludf.DUMMYFUNCTION("""COMPUTED_VALUE"""),376.92)</f>
        <v>376.92</v>
      </c>
      <c r="M1375" s="1">
        <f ca="1">IFERROR(__xludf.DUMMYFUNCTION("""COMPUTED_VALUE"""),1231.41)</f>
        <v>1231.4100000000001</v>
      </c>
    </row>
    <row r="1376" spans="1:13" x14ac:dyDescent="0.25">
      <c r="A1376" s="2">
        <f ca="1">IFERROR(__xludf.DUMMYFUNCTION("""COMPUTED_VALUE"""),45833.6666666666)</f>
        <v>45833.666666666599</v>
      </c>
      <c r="B1376" s="1">
        <f ca="1">IFERROR(__xludf.DUMMYFUNCTION("""COMPUTED_VALUE"""),201.56)</f>
        <v>201.56</v>
      </c>
      <c r="C1376" s="1">
        <f ca="1">IFERROR(__xludf.DUMMYFUNCTION("""COMPUTED_VALUE"""),486)</f>
        <v>486</v>
      </c>
      <c r="D1376" s="1">
        <f ca="1">IFERROR(__xludf.DUMMYFUNCTION("""COMPUTED_VALUE"""),208.47)</f>
        <v>208.47</v>
      </c>
      <c r="E1376" s="1">
        <f ca="1">IFERROR(__xludf.DUMMYFUNCTION("""COMPUTED_VALUE"""),144.17)</f>
        <v>144.16999999999999</v>
      </c>
      <c r="F1376" s="1">
        <f ca="1">IFERROR(__xludf.DUMMYFUNCTION("""COMPUTED_VALUE"""),698.53)</f>
        <v>698.53</v>
      </c>
      <c r="G1376" s="1">
        <f ca="1">IFERROR(__xludf.DUMMYFUNCTION("""COMPUTED_VALUE"""),166.01)</f>
        <v>166.01</v>
      </c>
      <c r="H1376" s="1">
        <f ca="1">IFERROR(__xludf.DUMMYFUNCTION("""COMPUTED_VALUE"""),348.68)</f>
        <v>348.68</v>
      </c>
      <c r="I1376" s="1">
        <f ca="1">IFERROR(__xludf.DUMMYFUNCTION("""COMPUTED_VALUE"""),129.09)</f>
        <v>129.09</v>
      </c>
      <c r="J1376" s="1">
        <f ca="1">IFERROR(__xludf.DUMMYFUNCTION("""COMPUTED_VALUE"""),1004.48)</f>
        <v>1004.48</v>
      </c>
      <c r="K1376" s="1">
        <f ca="1">IFERROR(__xludf.DUMMYFUNCTION("""COMPUTED_VALUE"""),253.77)</f>
        <v>253.77</v>
      </c>
      <c r="L1376" s="1">
        <f ca="1">IFERROR(__xludf.DUMMYFUNCTION("""COMPUTED_VALUE"""),380.12)</f>
        <v>380.12</v>
      </c>
      <c r="M1376" s="1">
        <f ca="1">IFERROR(__xludf.DUMMYFUNCTION("""COMPUTED_VALUE"""),1253.54)</f>
        <v>1253.54</v>
      </c>
    </row>
    <row r="1377" spans="1:13" x14ac:dyDescent="0.25">
      <c r="A1377" s="2">
        <f ca="1">IFERROR(__xludf.DUMMYFUNCTION("""COMPUTED_VALUE"""),45834.6666666666)</f>
        <v>45834.666666666599</v>
      </c>
      <c r="B1377" s="1">
        <f ca="1">IFERROR(__xludf.DUMMYFUNCTION("""COMPUTED_VALUE"""),201)</f>
        <v>201</v>
      </c>
      <c r="C1377" s="1">
        <f ca="1">IFERROR(__xludf.DUMMYFUNCTION("""COMPUTED_VALUE"""),490.11)</f>
        <v>490.11</v>
      </c>
      <c r="D1377" s="1">
        <f ca="1">IFERROR(__xludf.DUMMYFUNCTION("""COMPUTED_VALUE"""),212.77)</f>
        <v>212.77</v>
      </c>
      <c r="E1377" s="1">
        <f ca="1">IFERROR(__xludf.DUMMYFUNCTION("""COMPUTED_VALUE"""),147.9)</f>
        <v>147.9</v>
      </c>
      <c r="F1377" s="1">
        <f ca="1">IFERROR(__xludf.DUMMYFUNCTION("""COMPUTED_VALUE"""),712.2)</f>
        <v>712.2</v>
      </c>
      <c r="G1377" s="1">
        <f ca="1">IFERROR(__xludf.DUMMYFUNCTION("""COMPUTED_VALUE"""),167.74)</f>
        <v>167.74</v>
      </c>
      <c r="H1377" s="1">
        <f ca="1">IFERROR(__xludf.DUMMYFUNCTION("""COMPUTED_VALUE"""),340.47)</f>
        <v>340.47</v>
      </c>
      <c r="I1377" s="1">
        <f ca="1">IFERROR(__xludf.DUMMYFUNCTION("""COMPUTED_VALUE"""),131.05)</f>
        <v>131.05000000000001</v>
      </c>
      <c r="J1377" s="1">
        <f ca="1">IFERROR(__xludf.DUMMYFUNCTION("""COMPUTED_VALUE"""),1001.92)</f>
        <v>1001.92</v>
      </c>
      <c r="K1377" s="1">
        <f ca="1">IFERROR(__xludf.DUMMYFUNCTION("""COMPUTED_VALUE"""),263.77)</f>
        <v>263.77</v>
      </c>
      <c r="L1377" s="1">
        <f ca="1">IFERROR(__xludf.DUMMYFUNCTION("""COMPUTED_VALUE"""),382.34)</f>
        <v>382.34</v>
      </c>
      <c r="M1377" s="1">
        <f ca="1">IFERROR(__xludf.DUMMYFUNCTION("""COMPUTED_VALUE"""),1279.11)</f>
        <v>1279.1099999999999</v>
      </c>
    </row>
    <row r="1378" spans="1:13" x14ac:dyDescent="0.25">
      <c r="A1378" s="2">
        <f ca="1">IFERROR(__xludf.DUMMYFUNCTION("""COMPUTED_VALUE"""),45835.6666666666)</f>
        <v>45835.666666666599</v>
      </c>
      <c r="B1378" s="1">
        <f ca="1">IFERROR(__xludf.DUMMYFUNCTION("""COMPUTED_VALUE"""),201.08)</f>
        <v>201.08</v>
      </c>
      <c r="C1378" s="1">
        <f ca="1">IFERROR(__xludf.DUMMYFUNCTION("""COMPUTED_VALUE"""),492.27)</f>
        <v>492.27</v>
      </c>
      <c r="D1378" s="1">
        <f ca="1">IFERROR(__xludf.DUMMYFUNCTION("""COMPUTED_VALUE"""),211.99)</f>
        <v>211.99</v>
      </c>
      <c r="E1378" s="1">
        <f ca="1">IFERROR(__xludf.DUMMYFUNCTION("""COMPUTED_VALUE"""),154.31)</f>
        <v>154.31</v>
      </c>
      <c r="F1378" s="1">
        <f ca="1">IFERROR(__xludf.DUMMYFUNCTION("""COMPUTED_VALUE"""),708.68)</f>
        <v>708.68</v>
      </c>
      <c r="G1378" s="1">
        <f ca="1">IFERROR(__xludf.DUMMYFUNCTION("""COMPUTED_VALUE"""),171.49)</f>
        <v>171.49</v>
      </c>
      <c r="H1378" s="1">
        <f ca="1">IFERROR(__xludf.DUMMYFUNCTION("""COMPUTED_VALUE"""),327.55)</f>
        <v>327.55</v>
      </c>
      <c r="I1378" s="1">
        <f ca="1">IFERROR(__xludf.DUMMYFUNCTION("""COMPUTED_VALUE"""),128.02)</f>
        <v>128.02000000000001</v>
      </c>
      <c r="J1378" s="1">
        <f ca="1">IFERROR(__xludf.DUMMYFUNCTION("""COMPUTED_VALUE"""),986.54)</f>
        <v>986.54</v>
      </c>
      <c r="K1378" s="1">
        <f ca="1">IFERROR(__xludf.DUMMYFUNCTION("""COMPUTED_VALUE"""),264.65)</f>
        <v>264.64999999999998</v>
      </c>
      <c r="L1378" s="1">
        <f ca="1">IFERROR(__xludf.DUMMYFUNCTION("""COMPUTED_VALUE"""),387.55)</f>
        <v>387.55</v>
      </c>
      <c r="M1378" s="1">
        <f ca="1">IFERROR(__xludf.DUMMYFUNCTION("""COMPUTED_VALUE"""),1275.25)</f>
        <v>1275.25</v>
      </c>
    </row>
    <row r="1379" spans="1:13" x14ac:dyDescent="0.25">
      <c r="A1379" s="2">
        <f ca="1">IFERROR(__xludf.DUMMYFUNCTION("""COMPUTED_VALUE"""),45838.6666666666)</f>
        <v>45838.666666666599</v>
      </c>
      <c r="B1379" s="1">
        <f ca="1">IFERROR(__xludf.DUMMYFUNCTION("""COMPUTED_VALUE"""),205.17)</f>
        <v>205.17</v>
      </c>
      <c r="C1379" s="1">
        <f ca="1">IFERROR(__xludf.DUMMYFUNCTION("""COMPUTED_VALUE"""),497.45)</f>
        <v>497.45</v>
      </c>
      <c r="D1379" s="1">
        <f ca="1">IFERROR(__xludf.DUMMYFUNCTION("""COMPUTED_VALUE"""),217.12)</f>
        <v>217.12</v>
      </c>
      <c r="E1379" s="1">
        <f ca="1">IFERROR(__xludf.DUMMYFUNCTION("""COMPUTED_VALUE"""),155.02)</f>
        <v>155.02000000000001</v>
      </c>
      <c r="F1379" s="1">
        <f ca="1">IFERROR(__xludf.DUMMYFUNCTION("""COMPUTED_VALUE"""),726.09)</f>
        <v>726.09</v>
      </c>
      <c r="G1379" s="1">
        <f ca="1">IFERROR(__xludf.DUMMYFUNCTION("""COMPUTED_VALUE"""),174.43)</f>
        <v>174.43</v>
      </c>
      <c r="H1379" s="1">
        <f ca="1">IFERROR(__xludf.DUMMYFUNCTION("""COMPUTED_VALUE"""),325.78)</f>
        <v>325.77999999999997</v>
      </c>
      <c r="I1379" s="1">
        <f ca="1">IFERROR(__xludf.DUMMYFUNCTION("""COMPUTED_VALUE"""),128.22)</f>
        <v>128.22</v>
      </c>
      <c r="J1379" s="1">
        <f ca="1">IFERROR(__xludf.DUMMYFUNCTION("""COMPUTED_VALUE"""),982.91)</f>
        <v>982.91</v>
      </c>
      <c r="K1379" s="1">
        <f ca="1">IFERROR(__xludf.DUMMYFUNCTION("""COMPUTED_VALUE"""),270.17)</f>
        <v>270.17</v>
      </c>
      <c r="L1379" s="1">
        <f ca="1">IFERROR(__xludf.DUMMYFUNCTION("""COMPUTED_VALUE"""),384.95)</f>
        <v>384.95</v>
      </c>
      <c r="M1379" s="1">
        <f ca="1">IFERROR(__xludf.DUMMYFUNCTION("""COMPUTED_VALUE"""),1306.67)</f>
        <v>1306.67</v>
      </c>
    </row>
    <row r="1380" spans="1:13" x14ac:dyDescent="0.25">
      <c r="A1380" s="2">
        <f ca="1">IFERROR(__xludf.DUMMYFUNCTION("""COMPUTED_VALUE"""),45839.6666666666)</f>
        <v>45839.666666666599</v>
      </c>
      <c r="B1380" s="1">
        <f ca="1">IFERROR(__xludf.DUMMYFUNCTION("""COMPUTED_VALUE"""),207.82)</f>
        <v>207.82</v>
      </c>
      <c r="C1380" s="1">
        <f ca="1">IFERROR(__xludf.DUMMYFUNCTION("""COMPUTED_VALUE"""),495.94)</f>
        <v>495.94</v>
      </c>
      <c r="D1380" s="1">
        <f ca="1">IFERROR(__xludf.DUMMYFUNCTION("""COMPUTED_VALUE"""),223.3)</f>
        <v>223.3</v>
      </c>
      <c r="E1380" s="1">
        <f ca="1">IFERROR(__xludf.DUMMYFUNCTION("""COMPUTED_VALUE"""),157.75)</f>
        <v>157.75</v>
      </c>
      <c r="F1380" s="1">
        <f ca="1">IFERROR(__xludf.DUMMYFUNCTION("""COMPUTED_VALUE"""),733.63)</f>
        <v>733.63</v>
      </c>
      <c r="G1380" s="1">
        <f ca="1">IFERROR(__xludf.DUMMYFUNCTION("""COMPUTED_VALUE"""),178.27)</f>
        <v>178.27</v>
      </c>
      <c r="H1380" s="1">
        <f ca="1">IFERROR(__xludf.DUMMYFUNCTION("""COMPUTED_VALUE"""),323.63)</f>
        <v>323.63</v>
      </c>
      <c r="I1380" s="1">
        <f ca="1">IFERROR(__xludf.DUMMYFUNCTION("""COMPUTED_VALUE"""),131.04)</f>
        <v>131.04</v>
      </c>
      <c r="J1380" s="1">
        <f ca="1">IFERROR(__xludf.DUMMYFUNCTION("""COMPUTED_VALUE"""),985.14)</f>
        <v>985.14</v>
      </c>
      <c r="K1380" s="1">
        <f ca="1">IFERROR(__xludf.DUMMYFUNCTION("""COMPUTED_VALUE"""),269.35)</f>
        <v>269.35000000000002</v>
      </c>
      <c r="L1380" s="1">
        <f ca="1">IFERROR(__xludf.DUMMYFUNCTION("""COMPUTED_VALUE"""),385.83)</f>
        <v>385.83</v>
      </c>
      <c r="M1380" s="1">
        <f ca="1">IFERROR(__xludf.DUMMYFUNCTION("""COMPUTED_VALUE"""),1323.12)</f>
        <v>1323.12</v>
      </c>
    </row>
    <row r="1381" spans="1:13" x14ac:dyDescent="0.25">
      <c r="A1381" s="2">
        <f ca="1">IFERROR(__xludf.DUMMYFUNCTION("""COMPUTED_VALUE"""),45840.6666666666)</f>
        <v>45840.666666666599</v>
      </c>
      <c r="B1381" s="1">
        <f ca="1">IFERROR(__xludf.DUMMYFUNCTION("""COMPUTED_VALUE"""),212.44)</f>
        <v>212.44</v>
      </c>
      <c r="C1381" s="1">
        <f ca="1">IFERROR(__xludf.DUMMYFUNCTION("""COMPUTED_VALUE"""),497.41)</f>
        <v>497.41</v>
      </c>
      <c r="D1381" s="1">
        <f ca="1">IFERROR(__xludf.DUMMYFUNCTION("""COMPUTED_VALUE"""),219.39)</f>
        <v>219.39</v>
      </c>
      <c r="E1381" s="1">
        <f ca="1">IFERROR(__xludf.DUMMYFUNCTION("""COMPUTED_VALUE"""),157.99)</f>
        <v>157.99</v>
      </c>
      <c r="F1381" s="1">
        <f ca="1">IFERROR(__xludf.DUMMYFUNCTION("""COMPUTED_VALUE"""),738.09)</f>
        <v>738.09</v>
      </c>
      <c r="G1381" s="1">
        <f ca="1">IFERROR(__xludf.DUMMYFUNCTION("""COMPUTED_VALUE"""),177.39)</f>
        <v>177.39</v>
      </c>
      <c r="H1381" s="1">
        <f ca="1">IFERROR(__xludf.DUMMYFUNCTION("""COMPUTED_VALUE"""),317.66)</f>
        <v>317.66000000000003</v>
      </c>
      <c r="I1381" s="1">
        <f ca="1">IFERROR(__xludf.DUMMYFUNCTION("""COMPUTED_VALUE"""),132.04)</f>
        <v>132.04</v>
      </c>
      <c r="J1381" s="1">
        <f ca="1">IFERROR(__xludf.DUMMYFUNCTION("""COMPUTED_VALUE"""),989.94)</f>
        <v>989.94</v>
      </c>
      <c r="K1381" s="1">
        <f ca="1">IFERROR(__xludf.DUMMYFUNCTION("""COMPUTED_VALUE"""),275.65)</f>
        <v>275.64999999999998</v>
      </c>
      <c r="L1381" s="1">
        <f ca="1">IFERROR(__xludf.DUMMYFUNCTION("""COMPUTED_VALUE"""),386.88)</f>
        <v>386.88</v>
      </c>
      <c r="M1381" s="1">
        <f ca="1">IFERROR(__xludf.DUMMYFUNCTION("""COMPUTED_VALUE"""),1339.13)</f>
        <v>1339.13</v>
      </c>
    </row>
    <row r="1382" spans="1:13" x14ac:dyDescent="0.25">
      <c r="A1382" s="2">
        <f ca="1">IFERROR(__xludf.DUMMYFUNCTION("""COMPUTED_VALUE"""),45841.5451388888)</f>
        <v>45841.545138888803</v>
      </c>
      <c r="B1382" s="1">
        <f ca="1">IFERROR(__xludf.DUMMYFUNCTION("""COMPUTED_VALUE"""),213.55)</f>
        <v>213.55</v>
      </c>
      <c r="C1382" s="1">
        <f ca="1">IFERROR(__xludf.DUMMYFUNCTION("""COMPUTED_VALUE"""),492.05)</f>
        <v>492.05</v>
      </c>
      <c r="D1382" s="1">
        <f ca="1">IFERROR(__xludf.DUMMYFUNCTION("""COMPUTED_VALUE"""),220.46)</f>
        <v>220.46</v>
      </c>
      <c r="E1382" s="1">
        <f ca="1">IFERROR(__xludf.DUMMYFUNCTION("""COMPUTED_VALUE"""),153.3)</f>
        <v>153.30000000000001</v>
      </c>
      <c r="F1382" s="1">
        <f ca="1">IFERROR(__xludf.DUMMYFUNCTION("""COMPUTED_VALUE"""),719.22)</f>
        <v>719.22</v>
      </c>
      <c r="G1382" s="1">
        <f ca="1">IFERROR(__xludf.DUMMYFUNCTION("""COMPUTED_VALUE"""),176.91)</f>
        <v>176.91</v>
      </c>
      <c r="H1382" s="1">
        <f ca="1">IFERROR(__xludf.DUMMYFUNCTION("""COMPUTED_VALUE"""),300.71)</f>
        <v>300.70999999999998</v>
      </c>
      <c r="I1382" s="1">
        <f ca="1">IFERROR(__xludf.DUMMYFUNCTION("""COMPUTED_VALUE"""),135.26)</f>
        <v>135.26</v>
      </c>
      <c r="J1382" s="1">
        <f ca="1">IFERROR(__xludf.DUMMYFUNCTION("""COMPUTED_VALUE"""),985.96)</f>
        <v>985.96</v>
      </c>
      <c r="K1382" s="1">
        <f ca="1">IFERROR(__xludf.DUMMYFUNCTION("""COMPUTED_VALUE"""),264.74)</f>
        <v>264.74</v>
      </c>
      <c r="L1382" s="1">
        <f ca="1">IFERROR(__xludf.DUMMYFUNCTION("""COMPUTED_VALUE"""),392.1)</f>
        <v>392.1</v>
      </c>
      <c r="M1382" s="1">
        <f ca="1">IFERROR(__xludf.DUMMYFUNCTION("""COMPUTED_VALUE"""),1293.6)</f>
        <v>1293.5999999999999</v>
      </c>
    </row>
    <row r="1383" spans="1:13" x14ac:dyDescent="0.25">
      <c r="A1383" s="2">
        <f ca="1">IFERROR(__xludf.DUMMYFUNCTION("""COMPUTED_VALUE"""),45845.6666666666)</f>
        <v>45845.666666666599</v>
      </c>
      <c r="B1383" s="1">
        <f ca="1">IFERROR(__xludf.DUMMYFUNCTION("""COMPUTED_VALUE"""),209.95)</f>
        <v>209.95</v>
      </c>
      <c r="C1383" s="1">
        <f ca="1">IFERROR(__xludf.DUMMYFUNCTION("""COMPUTED_VALUE"""),491.09)</f>
        <v>491.09</v>
      </c>
      <c r="D1383" s="1">
        <f ca="1">IFERROR(__xludf.DUMMYFUNCTION("""COMPUTED_VALUE"""),219.92)</f>
        <v>219.92</v>
      </c>
      <c r="E1383" s="1">
        <f ca="1">IFERROR(__xludf.DUMMYFUNCTION("""COMPUTED_VALUE"""),157.25)</f>
        <v>157.25</v>
      </c>
      <c r="F1383" s="1">
        <f ca="1">IFERROR(__xludf.DUMMYFUNCTION("""COMPUTED_VALUE"""),713.57)</f>
        <v>713.57</v>
      </c>
      <c r="G1383" s="1">
        <f ca="1">IFERROR(__xludf.DUMMYFUNCTION("""COMPUTED_VALUE"""),179.76)</f>
        <v>179.76</v>
      </c>
      <c r="H1383" s="1">
        <f ca="1">IFERROR(__xludf.DUMMYFUNCTION("""COMPUTED_VALUE"""),315.65)</f>
        <v>315.64999999999998</v>
      </c>
      <c r="I1383" s="1">
        <f ca="1">IFERROR(__xludf.DUMMYFUNCTION("""COMPUTED_VALUE"""),136.48)</f>
        <v>136.47999999999999</v>
      </c>
      <c r="J1383" s="1">
        <f ca="1">IFERROR(__xludf.DUMMYFUNCTION("""COMPUTED_VALUE"""),982.36)</f>
        <v>982.36</v>
      </c>
      <c r="K1383" s="1">
        <f ca="1">IFERROR(__xludf.DUMMYFUNCTION("""COMPUTED_VALUE"""),269.9)</f>
        <v>269.89999999999998</v>
      </c>
      <c r="L1383" s="1">
        <f ca="1">IFERROR(__xludf.DUMMYFUNCTION("""COMPUTED_VALUE"""),378.47)</f>
        <v>378.47</v>
      </c>
      <c r="M1383" s="1">
        <f ca="1">IFERROR(__xludf.DUMMYFUNCTION("""COMPUTED_VALUE"""),1284.86)</f>
        <v>1284.8599999999999</v>
      </c>
    </row>
    <row r="1384" spans="1:13" x14ac:dyDescent="0.25">
      <c r="A1384" s="2">
        <f ca="1">IFERROR(__xludf.DUMMYFUNCTION("""COMPUTED_VALUE"""),45846.6666666666)</f>
        <v>45846.666666666599</v>
      </c>
      <c r="B1384" s="1">
        <f ca="1">IFERROR(__xludf.DUMMYFUNCTION("""COMPUTED_VALUE"""),210.01)</f>
        <v>210.01</v>
      </c>
      <c r="C1384" s="1">
        <f ca="1">IFERROR(__xludf.DUMMYFUNCTION("""COMPUTED_VALUE"""),498.84)</f>
        <v>498.84</v>
      </c>
      <c r="D1384" s="1">
        <f ca="1">IFERROR(__xludf.DUMMYFUNCTION("""COMPUTED_VALUE"""),223.41)</f>
        <v>223.41</v>
      </c>
      <c r="E1384" s="1">
        <f ca="1">IFERROR(__xludf.DUMMYFUNCTION("""COMPUTED_VALUE"""),159.34)</f>
        <v>159.34</v>
      </c>
      <c r="F1384" s="1">
        <f ca="1">IFERROR(__xludf.DUMMYFUNCTION("""COMPUTED_VALUE"""),719.01)</f>
        <v>719.01</v>
      </c>
      <c r="G1384" s="1">
        <f ca="1">IFERROR(__xludf.DUMMYFUNCTION("""COMPUTED_VALUE"""),180.55)</f>
        <v>180.55</v>
      </c>
      <c r="H1384" s="1">
        <f ca="1">IFERROR(__xludf.DUMMYFUNCTION("""COMPUTED_VALUE"""),315.35)</f>
        <v>315.35000000000002</v>
      </c>
      <c r="I1384" s="1">
        <f ca="1">IFERROR(__xludf.DUMMYFUNCTION("""COMPUTED_VALUE"""),135.38)</f>
        <v>135.38</v>
      </c>
      <c r="J1384" s="1">
        <f ca="1">IFERROR(__xludf.DUMMYFUNCTION("""COMPUTED_VALUE"""),987.02)</f>
        <v>987.02</v>
      </c>
      <c r="K1384" s="1">
        <f ca="1">IFERROR(__xludf.DUMMYFUNCTION("""COMPUTED_VALUE"""),275.18)</f>
        <v>275.18</v>
      </c>
      <c r="L1384" s="1">
        <f ca="1">IFERROR(__xludf.DUMMYFUNCTION("""COMPUTED_VALUE"""),379.31)</f>
        <v>379.31</v>
      </c>
      <c r="M1384" s="1">
        <f ca="1">IFERROR(__xludf.DUMMYFUNCTION("""COMPUTED_VALUE"""),1297.18)</f>
        <v>1297.18</v>
      </c>
    </row>
    <row r="1385" spans="1:13" x14ac:dyDescent="0.25">
      <c r="A1385" s="2">
        <f ca="1">IFERROR(__xludf.DUMMYFUNCTION("""COMPUTED_VALUE"""),45847.6666666666)</f>
        <v>45847.666666666599</v>
      </c>
      <c r="B1385" s="1">
        <f ca="1">IFERROR(__xludf.DUMMYFUNCTION("""COMPUTED_VALUE"""),211.14)</f>
        <v>211.14</v>
      </c>
      <c r="C1385" s="1">
        <f ca="1">IFERROR(__xludf.DUMMYFUNCTION("""COMPUTED_VALUE"""),497.72)</f>
        <v>497.72</v>
      </c>
      <c r="D1385" s="1">
        <f ca="1">IFERROR(__xludf.DUMMYFUNCTION("""COMPUTED_VALUE"""),223.47)</f>
        <v>223.47</v>
      </c>
      <c r="E1385" s="1">
        <f ca="1">IFERROR(__xludf.DUMMYFUNCTION("""COMPUTED_VALUE"""),158.24)</f>
        <v>158.24</v>
      </c>
      <c r="F1385" s="1">
        <f ca="1">IFERROR(__xludf.DUMMYFUNCTION("""COMPUTED_VALUE"""),718.35)</f>
        <v>718.35</v>
      </c>
      <c r="G1385" s="1">
        <f ca="1">IFERROR(__xludf.DUMMYFUNCTION("""COMPUTED_VALUE"""),177.56)</f>
        <v>177.56</v>
      </c>
      <c r="H1385" s="1">
        <f ca="1">IFERROR(__xludf.DUMMYFUNCTION("""COMPUTED_VALUE"""),293.94)</f>
        <v>293.94</v>
      </c>
      <c r="I1385" s="1">
        <f ca="1">IFERROR(__xludf.DUMMYFUNCTION("""COMPUTED_VALUE"""),134.45)</f>
        <v>134.44999999999999</v>
      </c>
      <c r="J1385" s="1">
        <f ca="1">IFERROR(__xludf.DUMMYFUNCTION("""COMPUTED_VALUE"""),992.18)</f>
        <v>992.18</v>
      </c>
      <c r="K1385" s="1">
        <f ca="1">IFERROR(__xludf.DUMMYFUNCTION("""COMPUTED_VALUE"""),274.18)</f>
        <v>274.18</v>
      </c>
      <c r="L1385" s="1">
        <f ca="1">IFERROR(__xludf.DUMMYFUNCTION("""COMPUTED_VALUE"""),376.93)</f>
        <v>376.93</v>
      </c>
      <c r="M1385" s="1">
        <f ca="1">IFERROR(__xludf.DUMMYFUNCTION("""COMPUTED_VALUE"""),1289.62)</f>
        <v>1289.6199999999999</v>
      </c>
    </row>
    <row r="1386" spans="1:13" x14ac:dyDescent="0.25">
      <c r="A1386" s="2">
        <f ca="1">IFERROR(__xludf.DUMMYFUNCTION("""COMPUTED_VALUE"""),45848.6666666666)</f>
        <v>45848.666666666599</v>
      </c>
      <c r="B1386" s="1">
        <f ca="1">IFERROR(__xludf.DUMMYFUNCTION("""COMPUTED_VALUE"""),212.41)</f>
        <v>212.41</v>
      </c>
      <c r="C1386" s="1">
        <f ca="1">IFERROR(__xludf.DUMMYFUNCTION("""COMPUTED_VALUE"""),496.62)</f>
        <v>496.62</v>
      </c>
      <c r="D1386" s="1">
        <f ca="1">IFERROR(__xludf.DUMMYFUNCTION("""COMPUTED_VALUE"""),219.36)</f>
        <v>219.36</v>
      </c>
      <c r="E1386" s="1">
        <f ca="1">IFERROR(__xludf.DUMMYFUNCTION("""COMPUTED_VALUE"""),160)</f>
        <v>160</v>
      </c>
      <c r="F1386" s="1">
        <f ca="1">IFERROR(__xludf.DUMMYFUNCTION("""COMPUTED_VALUE"""),720.67)</f>
        <v>720.67</v>
      </c>
      <c r="G1386" s="1">
        <f ca="1">IFERROR(__xludf.DUMMYFUNCTION("""COMPUTED_VALUE"""),175.16)</f>
        <v>175.16</v>
      </c>
      <c r="H1386" s="1">
        <f ca="1">IFERROR(__xludf.DUMMYFUNCTION("""COMPUTED_VALUE"""),297.81)</f>
        <v>297.81</v>
      </c>
      <c r="I1386" s="1">
        <f ca="1">IFERROR(__xludf.DUMMYFUNCTION("""COMPUTED_VALUE"""),135.04)</f>
        <v>135.04</v>
      </c>
      <c r="J1386" s="1">
        <f ca="1">IFERROR(__xludf.DUMMYFUNCTION("""COMPUTED_VALUE"""),985.84)</f>
        <v>985.84</v>
      </c>
      <c r="K1386" s="1">
        <f ca="1">IFERROR(__xludf.DUMMYFUNCTION("""COMPUTED_VALUE"""),271.8)</f>
        <v>271.8</v>
      </c>
      <c r="L1386" s="1">
        <f ca="1">IFERROR(__xludf.DUMMYFUNCTION("""COMPUTED_VALUE"""),382.24)</f>
        <v>382.24</v>
      </c>
      <c r="M1386" s="1">
        <f ca="1">IFERROR(__xludf.DUMMYFUNCTION("""COMPUTED_VALUE"""),1275.31)</f>
        <v>1275.31</v>
      </c>
    </row>
    <row r="1387" spans="1:13" x14ac:dyDescent="0.25">
      <c r="A1387" s="2">
        <f ca="1">IFERROR(__xludf.DUMMYFUNCTION("""COMPUTED_VALUE"""),45849.6666666666)</f>
        <v>45849.666666666599</v>
      </c>
      <c r="B1387" s="1">
        <f ca="1">IFERROR(__xludf.DUMMYFUNCTION("""COMPUTED_VALUE"""),211.16)</f>
        <v>211.16</v>
      </c>
      <c r="C1387" s="1">
        <f ca="1">IFERROR(__xludf.DUMMYFUNCTION("""COMPUTED_VALUE"""),503.51)</f>
        <v>503.51</v>
      </c>
      <c r="D1387" s="1">
        <f ca="1">IFERROR(__xludf.DUMMYFUNCTION("""COMPUTED_VALUE"""),222.54)</f>
        <v>222.54</v>
      </c>
      <c r="E1387" s="1">
        <f ca="1">IFERROR(__xludf.DUMMYFUNCTION("""COMPUTED_VALUE"""),162.88)</f>
        <v>162.88</v>
      </c>
      <c r="F1387" s="1">
        <f ca="1">IFERROR(__xludf.DUMMYFUNCTION("""COMPUTED_VALUE"""),732.78)</f>
        <v>732.78</v>
      </c>
      <c r="G1387" s="1">
        <f ca="1">IFERROR(__xludf.DUMMYFUNCTION("""COMPUTED_VALUE"""),177.66)</f>
        <v>177.66</v>
      </c>
      <c r="H1387" s="1">
        <f ca="1">IFERROR(__xludf.DUMMYFUNCTION("""COMPUTED_VALUE"""),295.88)</f>
        <v>295.88</v>
      </c>
      <c r="I1387" s="1">
        <f ca="1">IFERROR(__xludf.DUMMYFUNCTION("""COMPUTED_VALUE"""),134.48)</f>
        <v>134.47999999999999</v>
      </c>
      <c r="J1387" s="1">
        <f ca="1">IFERROR(__xludf.DUMMYFUNCTION("""COMPUTED_VALUE"""),982.09)</f>
        <v>982.09</v>
      </c>
      <c r="K1387" s="1">
        <f ca="1">IFERROR(__xludf.DUMMYFUNCTION("""COMPUTED_VALUE"""),277.9)</f>
        <v>277.89999999999998</v>
      </c>
      <c r="L1387" s="1">
        <f ca="1">IFERROR(__xludf.DUMMYFUNCTION("""COMPUTED_VALUE"""),373.38)</f>
        <v>373.38</v>
      </c>
      <c r="M1387" s="1">
        <f ca="1">IFERROR(__xludf.DUMMYFUNCTION("""COMPUTED_VALUE"""),1288.28)</f>
        <v>1288.28</v>
      </c>
    </row>
    <row r="1388" spans="1:13" x14ac:dyDescent="0.25">
      <c r="A1388" s="2">
        <f ca="1">IFERROR(__xludf.DUMMYFUNCTION("""COMPUTED_VALUE"""),45852.6666666666)</f>
        <v>45852.666666666599</v>
      </c>
      <c r="B1388" s="1">
        <f ca="1">IFERROR(__xludf.DUMMYFUNCTION("""COMPUTED_VALUE"""),208.62)</f>
        <v>208.62</v>
      </c>
      <c r="C1388" s="1">
        <f ca="1">IFERROR(__xludf.DUMMYFUNCTION("""COMPUTED_VALUE"""),501.48)</f>
        <v>501.48</v>
      </c>
      <c r="D1388" s="1">
        <f ca="1">IFERROR(__xludf.DUMMYFUNCTION("""COMPUTED_VALUE"""),222.26)</f>
        <v>222.26</v>
      </c>
      <c r="E1388" s="1">
        <f ca="1">IFERROR(__xludf.DUMMYFUNCTION("""COMPUTED_VALUE"""),164.1)</f>
        <v>164.1</v>
      </c>
      <c r="F1388" s="1">
        <f ca="1">IFERROR(__xludf.DUMMYFUNCTION("""COMPUTED_VALUE"""),727.24)</f>
        <v>727.24</v>
      </c>
      <c r="G1388" s="1">
        <f ca="1">IFERROR(__xludf.DUMMYFUNCTION("""COMPUTED_VALUE"""),178.7)</f>
        <v>178.7</v>
      </c>
      <c r="H1388" s="1">
        <f ca="1">IFERROR(__xludf.DUMMYFUNCTION("""COMPUTED_VALUE"""),309.87)</f>
        <v>309.87</v>
      </c>
      <c r="I1388" s="1">
        <f ca="1">IFERROR(__xludf.DUMMYFUNCTION("""COMPUTED_VALUE"""),136.08)</f>
        <v>136.08000000000001</v>
      </c>
      <c r="J1388" s="1">
        <f ca="1">IFERROR(__xludf.DUMMYFUNCTION("""COMPUTED_VALUE"""),970.17)</f>
        <v>970.17</v>
      </c>
      <c r="K1388" s="1">
        <f ca="1">IFERROR(__xludf.DUMMYFUNCTION("""COMPUTED_VALUE"""),275.4)</f>
        <v>275.39999999999998</v>
      </c>
      <c r="L1388" s="1">
        <f ca="1">IFERROR(__xludf.DUMMYFUNCTION("""COMPUTED_VALUE"""),371.43)</f>
        <v>371.43</v>
      </c>
      <c r="M1388" s="1">
        <f ca="1">IFERROR(__xludf.DUMMYFUNCTION("""COMPUTED_VALUE"""),1250.59)</f>
        <v>1250.5899999999999</v>
      </c>
    </row>
    <row r="1389" spans="1:13" x14ac:dyDescent="0.25">
      <c r="A1389" s="2">
        <f ca="1">IFERROR(__xludf.DUMMYFUNCTION("""COMPUTED_VALUE"""),45853.6666666666)</f>
        <v>45853.666666666599</v>
      </c>
      <c r="B1389" s="1">
        <f ca="1">IFERROR(__xludf.DUMMYFUNCTION("""COMPUTED_VALUE"""),209.11)</f>
        <v>209.11</v>
      </c>
      <c r="C1389" s="1">
        <f ca="1">IFERROR(__xludf.DUMMYFUNCTION("""COMPUTED_VALUE"""),503.32)</f>
        <v>503.32</v>
      </c>
      <c r="D1389" s="1">
        <f ca="1">IFERROR(__xludf.DUMMYFUNCTION("""COMPUTED_VALUE"""),225.02)</f>
        <v>225.02</v>
      </c>
      <c r="E1389" s="1">
        <f ca="1">IFERROR(__xludf.DUMMYFUNCTION("""COMPUTED_VALUE"""),164.92)</f>
        <v>164.92</v>
      </c>
      <c r="F1389" s="1">
        <f ca="1">IFERROR(__xludf.DUMMYFUNCTION("""COMPUTED_VALUE"""),717.51)</f>
        <v>717.51</v>
      </c>
      <c r="G1389" s="1">
        <f ca="1">IFERROR(__xludf.DUMMYFUNCTION("""COMPUTED_VALUE"""),181.31)</f>
        <v>181.31</v>
      </c>
      <c r="H1389" s="1">
        <f ca="1">IFERROR(__xludf.DUMMYFUNCTION("""COMPUTED_VALUE"""),313.51)</f>
        <v>313.51</v>
      </c>
      <c r="I1389" s="1">
        <f ca="1">IFERROR(__xludf.DUMMYFUNCTION("""COMPUTED_VALUE"""),135.26)</f>
        <v>135.26</v>
      </c>
      <c r="J1389" s="1">
        <f ca="1">IFERROR(__xludf.DUMMYFUNCTION("""COMPUTED_VALUE"""),970.33)</f>
        <v>970.33</v>
      </c>
      <c r="K1389" s="1">
        <f ca="1">IFERROR(__xludf.DUMMYFUNCTION("""COMPUTED_VALUE"""),274.38)</f>
        <v>274.38</v>
      </c>
      <c r="L1389" s="1">
        <f ca="1">IFERROR(__xludf.DUMMYFUNCTION("""COMPUTED_VALUE"""),363.35)</f>
        <v>363.35</v>
      </c>
      <c r="M1389" s="1">
        <f ca="1">IFERROR(__xludf.DUMMYFUNCTION("""COMPUTED_VALUE"""),1245.11)</f>
        <v>1245.1099999999999</v>
      </c>
    </row>
    <row r="1390" spans="1:13" x14ac:dyDescent="0.25">
      <c r="A1390" s="2">
        <f ca="1">IFERROR(__xludf.DUMMYFUNCTION("""COMPUTED_VALUE"""),45854.6666666666)</f>
        <v>45854.666666666599</v>
      </c>
      <c r="B1390" s="1">
        <f ca="1">IFERROR(__xludf.DUMMYFUNCTION("""COMPUTED_VALUE"""),210.16)</f>
        <v>210.16</v>
      </c>
      <c r="C1390" s="1">
        <f ca="1">IFERROR(__xludf.DUMMYFUNCTION("""COMPUTED_VALUE"""),503.02)</f>
        <v>503.02</v>
      </c>
      <c r="D1390" s="1">
        <f ca="1">IFERROR(__xludf.DUMMYFUNCTION("""COMPUTED_VALUE"""),225.69)</f>
        <v>225.69</v>
      </c>
      <c r="E1390" s="1">
        <f ca="1">IFERROR(__xludf.DUMMYFUNCTION("""COMPUTED_VALUE"""),164.07)</f>
        <v>164.07</v>
      </c>
      <c r="F1390" s="1">
        <f ca="1">IFERROR(__xludf.DUMMYFUNCTION("""COMPUTED_VALUE"""),720.92)</f>
        <v>720.92</v>
      </c>
      <c r="G1390" s="1">
        <f ca="1">IFERROR(__xludf.DUMMYFUNCTION("""COMPUTED_VALUE"""),182.81)</f>
        <v>182.81</v>
      </c>
      <c r="H1390" s="1">
        <f ca="1">IFERROR(__xludf.DUMMYFUNCTION("""COMPUTED_VALUE"""),316.9)</f>
        <v>316.89999999999998</v>
      </c>
      <c r="I1390" s="1">
        <f ca="1">IFERROR(__xludf.DUMMYFUNCTION("""COMPUTED_VALUE"""),135.57)</f>
        <v>135.57</v>
      </c>
      <c r="J1390" s="1">
        <f ca="1">IFERROR(__xludf.DUMMYFUNCTION("""COMPUTED_VALUE"""),980.91)</f>
        <v>980.91</v>
      </c>
      <c r="K1390" s="1">
        <f ca="1">IFERROR(__xludf.DUMMYFUNCTION("""COMPUTED_VALUE"""),275.6)</f>
        <v>275.60000000000002</v>
      </c>
      <c r="L1390" s="1">
        <f ca="1">IFERROR(__xludf.DUMMYFUNCTION("""COMPUTED_VALUE"""),366.99)</f>
        <v>366.99</v>
      </c>
      <c r="M1390" s="1">
        <f ca="1">IFERROR(__xludf.DUMMYFUNCTION("""COMPUTED_VALUE"""),1261.95)</f>
        <v>1261.95</v>
      </c>
    </row>
    <row r="1391" spans="1:13" x14ac:dyDescent="0.25">
      <c r="A1391" s="2">
        <f ca="1">IFERROR(__xludf.DUMMYFUNCTION("""COMPUTED_VALUE"""),45855.6666666666)</f>
        <v>45855.666666666599</v>
      </c>
      <c r="B1391" s="1">
        <f ca="1">IFERROR(__xludf.DUMMYFUNCTION("""COMPUTED_VALUE"""),210.02)</f>
        <v>210.02</v>
      </c>
      <c r="C1391" s="1">
        <f ca="1">IFERROR(__xludf.DUMMYFUNCTION("""COMPUTED_VALUE"""),505.82)</f>
        <v>505.82</v>
      </c>
      <c r="D1391" s="1">
        <f ca="1">IFERROR(__xludf.DUMMYFUNCTION("""COMPUTED_VALUE"""),226.35)</f>
        <v>226.35</v>
      </c>
      <c r="E1391" s="1">
        <f ca="1">IFERROR(__xludf.DUMMYFUNCTION("""COMPUTED_VALUE"""),170.7)</f>
        <v>170.7</v>
      </c>
      <c r="F1391" s="1">
        <f ca="1">IFERROR(__xludf.DUMMYFUNCTION("""COMPUTED_VALUE"""),710.39)</f>
        <v>710.39</v>
      </c>
      <c r="G1391" s="1">
        <f ca="1">IFERROR(__xludf.DUMMYFUNCTION("""COMPUTED_VALUE"""),183.1)</f>
        <v>183.1</v>
      </c>
      <c r="H1391" s="1">
        <f ca="1">IFERROR(__xludf.DUMMYFUNCTION("""COMPUTED_VALUE"""),310.78)</f>
        <v>310.77999999999997</v>
      </c>
      <c r="I1391" s="1">
        <f ca="1">IFERROR(__xludf.DUMMYFUNCTION("""COMPUTED_VALUE"""),133.81)</f>
        <v>133.81</v>
      </c>
      <c r="J1391" s="1">
        <f ca="1">IFERROR(__xludf.DUMMYFUNCTION("""COMPUTED_VALUE"""),967.68)</f>
        <v>967.68</v>
      </c>
      <c r="K1391" s="1">
        <f ca="1">IFERROR(__xludf.DUMMYFUNCTION("""COMPUTED_VALUE"""),280.94)</f>
        <v>280.94</v>
      </c>
      <c r="L1391" s="1">
        <f ca="1">IFERROR(__xludf.DUMMYFUNCTION("""COMPUTED_VALUE"""),364.18)</f>
        <v>364.18</v>
      </c>
      <c r="M1391" s="1">
        <f ca="1">IFERROR(__xludf.DUMMYFUNCTION("""COMPUTED_VALUE"""),1260.27)</f>
        <v>1260.27</v>
      </c>
    </row>
    <row r="1392" spans="1:13" x14ac:dyDescent="0.25">
      <c r="A1392" s="2">
        <f ca="1">IFERROR(__xludf.DUMMYFUNCTION("""COMPUTED_VALUE"""),45856.6666666666)</f>
        <v>45856.666666666599</v>
      </c>
      <c r="B1392" s="1">
        <f ca="1">IFERROR(__xludf.DUMMYFUNCTION("""COMPUTED_VALUE"""),211.18)</f>
        <v>211.18</v>
      </c>
      <c r="C1392" s="1">
        <f ca="1">IFERROR(__xludf.DUMMYFUNCTION("""COMPUTED_VALUE"""),505.62)</f>
        <v>505.62</v>
      </c>
      <c r="D1392" s="1">
        <f ca="1">IFERROR(__xludf.DUMMYFUNCTION("""COMPUTED_VALUE"""),223.19)</f>
        <v>223.19</v>
      </c>
      <c r="E1392" s="1">
        <f ca="1">IFERROR(__xludf.DUMMYFUNCTION("""COMPUTED_VALUE"""),171.37)</f>
        <v>171.37</v>
      </c>
      <c r="F1392" s="1">
        <f ca="1">IFERROR(__xludf.DUMMYFUNCTION("""COMPUTED_VALUE"""),702.91)</f>
        <v>702.91</v>
      </c>
      <c r="G1392" s="1">
        <f ca="1">IFERROR(__xludf.DUMMYFUNCTION("""COMPUTED_VALUE"""),183.77)</f>
        <v>183.77</v>
      </c>
      <c r="H1392" s="1">
        <f ca="1">IFERROR(__xludf.DUMMYFUNCTION("""COMPUTED_VALUE"""),321.67)</f>
        <v>321.67</v>
      </c>
      <c r="I1392" s="1">
        <f ca="1">IFERROR(__xludf.DUMMYFUNCTION("""COMPUTED_VALUE"""),135.35)</f>
        <v>135.35</v>
      </c>
      <c r="J1392" s="1">
        <f ca="1">IFERROR(__xludf.DUMMYFUNCTION("""COMPUTED_VALUE"""),951.37)</f>
        <v>951.37</v>
      </c>
      <c r="K1392" s="1">
        <f ca="1">IFERROR(__xludf.DUMMYFUNCTION("""COMPUTED_VALUE"""),280.81)</f>
        <v>280.81</v>
      </c>
      <c r="L1392" s="1">
        <f ca="1">IFERROR(__xludf.DUMMYFUNCTION("""COMPUTED_VALUE"""),361.77)</f>
        <v>361.77</v>
      </c>
      <c r="M1392" s="1">
        <f ca="1">IFERROR(__xludf.DUMMYFUNCTION("""COMPUTED_VALUE"""),1250.31)</f>
        <v>1250.31</v>
      </c>
    </row>
    <row r="1393" spans="1:13" x14ac:dyDescent="0.25">
      <c r="A1393" s="2">
        <f ca="1">IFERROR(__xludf.DUMMYFUNCTION("""COMPUTED_VALUE"""),45859.6666666666)</f>
        <v>45859.666666666599</v>
      </c>
      <c r="B1393" s="1">
        <f ca="1">IFERROR(__xludf.DUMMYFUNCTION("""COMPUTED_VALUE"""),212.48)</f>
        <v>212.48</v>
      </c>
      <c r="C1393" s="1">
        <f ca="1">IFERROR(__xludf.DUMMYFUNCTION("""COMPUTED_VALUE"""),511.7)</f>
        <v>511.7</v>
      </c>
      <c r="D1393" s="1">
        <f ca="1">IFERROR(__xludf.DUMMYFUNCTION("""COMPUTED_VALUE"""),223.88)</f>
        <v>223.88</v>
      </c>
      <c r="E1393" s="1">
        <f ca="1">IFERROR(__xludf.DUMMYFUNCTION("""COMPUTED_VALUE"""),173)</f>
        <v>173</v>
      </c>
      <c r="F1393" s="1">
        <f ca="1">IFERROR(__xludf.DUMMYFUNCTION("""COMPUTED_VALUE"""),701.41)</f>
        <v>701.41</v>
      </c>
      <c r="G1393" s="1">
        <f ca="1">IFERROR(__xludf.DUMMYFUNCTION("""COMPUTED_VALUE"""),184.7)</f>
        <v>184.7</v>
      </c>
      <c r="H1393" s="1">
        <f ca="1">IFERROR(__xludf.DUMMYFUNCTION("""COMPUTED_VALUE"""),319.41)</f>
        <v>319.41000000000003</v>
      </c>
      <c r="I1393" s="1">
        <f ca="1">IFERROR(__xludf.DUMMYFUNCTION("""COMPUTED_VALUE"""),145.44)</f>
        <v>145.44</v>
      </c>
      <c r="J1393" s="1">
        <f ca="1">IFERROR(__xludf.DUMMYFUNCTION("""COMPUTED_VALUE"""),953.91)</f>
        <v>953.91</v>
      </c>
      <c r="K1393" s="1">
        <f ca="1">IFERROR(__xludf.DUMMYFUNCTION("""COMPUTED_VALUE"""),286.45)</f>
        <v>286.45</v>
      </c>
      <c r="L1393" s="1">
        <f ca="1">IFERROR(__xludf.DUMMYFUNCTION("""COMPUTED_VALUE"""),366.45)</f>
        <v>366.45</v>
      </c>
      <c r="M1393" s="1">
        <f ca="1">IFERROR(__xludf.DUMMYFUNCTION("""COMPUTED_VALUE"""),1274.17)</f>
        <v>1274.17</v>
      </c>
    </row>
    <row r="1394" spans="1:13" x14ac:dyDescent="0.25">
      <c r="A1394" s="2">
        <f ca="1">IFERROR(__xludf.DUMMYFUNCTION("""COMPUTED_VALUE"""),45860.6666666666)</f>
        <v>45860.666666666599</v>
      </c>
      <c r="B1394" s="1">
        <f ca="1">IFERROR(__xludf.DUMMYFUNCTION("""COMPUTED_VALUE"""),214.4)</f>
        <v>214.4</v>
      </c>
      <c r="C1394" s="1">
        <f ca="1">IFERROR(__xludf.DUMMYFUNCTION("""COMPUTED_VALUE"""),510.05)</f>
        <v>510.05</v>
      </c>
      <c r="D1394" s="1">
        <f ca="1">IFERROR(__xludf.DUMMYFUNCTION("""COMPUTED_VALUE"""),226.13)</f>
        <v>226.13</v>
      </c>
      <c r="E1394" s="1">
        <f ca="1">IFERROR(__xludf.DUMMYFUNCTION("""COMPUTED_VALUE"""),172.41)</f>
        <v>172.41</v>
      </c>
      <c r="F1394" s="1">
        <f ca="1">IFERROR(__xludf.DUMMYFUNCTION("""COMPUTED_VALUE"""),704.28)</f>
        <v>704.28</v>
      </c>
      <c r="G1394" s="1">
        <f ca="1">IFERROR(__xludf.DUMMYFUNCTION("""COMPUTED_VALUE"""),185.94)</f>
        <v>185.94</v>
      </c>
      <c r="H1394" s="1">
        <f ca="1">IFERROR(__xludf.DUMMYFUNCTION("""COMPUTED_VALUE"""),329.65)</f>
        <v>329.65</v>
      </c>
      <c r="I1394" s="1">
        <f ca="1">IFERROR(__xludf.DUMMYFUNCTION("""COMPUTED_VALUE"""),143.24)</f>
        <v>143.24</v>
      </c>
      <c r="J1394" s="1">
        <f ca="1">IFERROR(__xludf.DUMMYFUNCTION("""COMPUTED_VALUE"""),950.95)</f>
        <v>950.95</v>
      </c>
      <c r="K1394" s="1">
        <f ca="1">IFERROR(__xludf.DUMMYFUNCTION("""COMPUTED_VALUE"""),283.34)</f>
        <v>283.33999999999997</v>
      </c>
      <c r="L1394" s="1">
        <f ca="1">IFERROR(__xludf.DUMMYFUNCTION("""COMPUTED_VALUE"""),365.79)</f>
        <v>365.79</v>
      </c>
      <c r="M1394" s="1">
        <f ca="1">IFERROR(__xludf.DUMMYFUNCTION("""COMPUTED_VALUE"""),1209.24)</f>
        <v>1209.24</v>
      </c>
    </row>
    <row r="1395" spans="1:13" x14ac:dyDescent="0.25">
      <c r="A1395" s="2">
        <f ca="1">IFERROR(__xludf.DUMMYFUNCTION("""COMPUTED_VALUE"""),45861.6666666666)</f>
        <v>45861.666666666599</v>
      </c>
      <c r="B1395" s="1">
        <f ca="1">IFERROR(__xludf.DUMMYFUNCTION("""COMPUTED_VALUE"""),214.15)</f>
        <v>214.15</v>
      </c>
      <c r="C1395" s="1">
        <f ca="1">IFERROR(__xludf.DUMMYFUNCTION("""COMPUTED_VALUE"""),510.06)</f>
        <v>510.06</v>
      </c>
      <c r="D1395" s="1">
        <f ca="1">IFERROR(__xludf.DUMMYFUNCTION("""COMPUTED_VALUE"""),229.3)</f>
        <v>229.3</v>
      </c>
      <c r="E1395" s="1">
        <f ca="1">IFERROR(__xludf.DUMMYFUNCTION("""COMPUTED_VALUE"""),171.38)</f>
        <v>171.38</v>
      </c>
      <c r="F1395" s="1">
        <f ca="1">IFERROR(__xludf.DUMMYFUNCTION("""COMPUTED_VALUE"""),712.97)</f>
        <v>712.97</v>
      </c>
      <c r="G1395" s="1">
        <f ca="1">IFERROR(__xludf.DUMMYFUNCTION("""COMPUTED_VALUE"""),191.15)</f>
        <v>191.15</v>
      </c>
      <c r="H1395" s="1">
        <f ca="1">IFERROR(__xludf.DUMMYFUNCTION("""COMPUTED_VALUE"""),328.49)</f>
        <v>328.49</v>
      </c>
      <c r="I1395" s="1">
        <f ca="1">IFERROR(__xludf.DUMMYFUNCTION("""COMPUTED_VALUE"""),141.7)</f>
        <v>141.69999999999999</v>
      </c>
      <c r="J1395" s="1">
        <f ca="1">IFERROR(__xludf.DUMMYFUNCTION("""COMPUTED_VALUE"""),947.56)</f>
        <v>947.56</v>
      </c>
      <c r="K1395" s="1">
        <f ca="1">IFERROR(__xludf.DUMMYFUNCTION("""COMPUTED_VALUE"""),288.21)</f>
        <v>288.20999999999998</v>
      </c>
      <c r="L1395" s="1">
        <f ca="1">IFERROR(__xludf.DUMMYFUNCTION("""COMPUTED_VALUE"""),367.68)</f>
        <v>367.68</v>
      </c>
      <c r="M1395" s="1">
        <f ca="1">IFERROR(__xludf.DUMMYFUNCTION("""COMPUTED_VALUE"""),1233.27)</f>
        <v>1233.27</v>
      </c>
    </row>
    <row r="1396" spans="1:13" x14ac:dyDescent="0.25">
      <c r="A1396" s="2">
        <f ca="1">IFERROR(__xludf.DUMMYFUNCTION("""COMPUTED_VALUE"""),45862.6666666666)</f>
        <v>45862.666666666599</v>
      </c>
      <c r="B1396" s="1">
        <f ca="1">IFERROR(__xludf.DUMMYFUNCTION("""COMPUTED_VALUE"""),213.76)</f>
        <v>213.76</v>
      </c>
      <c r="C1396" s="1">
        <f ca="1">IFERROR(__xludf.DUMMYFUNCTION("""COMPUTED_VALUE"""),505.27)</f>
        <v>505.27</v>
      </c>
      <c r="D1396" s="1">
        <f ca="1">IFERROR(__xludf.DUMMYFUNCTION("""COMPUTED_VALUE"""),227.47)</f>
        <v>227.47</v>
      </c>
      <c r="E1396" s="1">
        <f ca="1">IFERROR(__xludf.DUMMYFUNCTION("""COMPUTED_VALUE"""),167.03)</f>
        <v>167.03</v>
      </c>
      <c r="F1396" s="1">
        <f ca="1">IFERROR(__xludf.DUMMYFUNCTION("""COMPUTED_VALUE"""),704.81)</f>
        <v>704.81</v>
      </c>
      <c r="G1396" s="1">
        <f ca="1">IFERROR(__xludf.DUMMYFUNCTION("""COMPUTED_VALUE"""),192.11)</f>
        <v>192.11</v>
      </c>
      <c r="H1396" s="1">
        <f ca="1">IFERROR(__xludf.DUMMYFUNCTION("""COMPUTED_VALUE"""),332.11)</f>
        <v>332.11</v>
      </c>
      <c r="I1396" s="1">
        <f ca="1">IFERROR(__xludf.DUMMYFUNCTION("""COMPUTED_VALUE"""),146.04)</f>
        <v>146.04</v>
      </c>
      <c r="J1396" s="1">
        <f ca="1">IFERROR(__xludf.DUMMYFUNCTION("""COMPUTED_VALUE"""),941.61)</f>
        <v>941.61</v>
      </c>
      <c r="K1396" s="1">
        <f ca="1">IFERROR(__xludf.DUMMYFUNCTION("""COMPUTED_VALUE"""),278.59)</f>
        <v>278.58999999999997</v>
      </c>
      <c r="L1396" s="1">
        <f ca="1">IFERROR(__xludf.DUMMYFUNCTION("""COMPUTED_VALUE"""),372.87)</f>
        <v>372.87</v>
      </c>
      <c r="M1396" s="1">
        <f ca="1">IFERROR(__xludf.DUMMYFUNCTION("""COMPUTED_VALUE"""),1190.08)</f>
        <v>1190.08</v>
      </c>
    </row>
    <row r="1397" spans="1:13" x14ac:dyDescent="0.25">
      <c r="A1397" s="2">
        <f ca="1">IFERROR(__xludf.DUMMYFUNCTION("""COMPUTED_VALUE"""),45863.6666666666)</f>
        <v>45863.666666666599</v>
      </c>
      <c r="B1397" s="1">
        <f ca="1">IFERROR(__xludf.DUMMYFUNCTION("""COMPUTED_VALUE"""),213.88)</f>
        <v>213.88</v>
      </c>
      <c r="C1397" s="1">
        <f ca="1">IFERROR(__xludf.DUMMYFUNCTION("""COMPUTED_VALUE"""),505.87)</f>
        <v>505.87</v>
      </c>
      <c r="D1397" s="1">
        <f ca="1">IFERROR(__xludf.DUMMYFUNCTION("""COMPUTED_VALUE"""),228.29)</f>
        <v>228.29</v>
      </c>
      <c r="E1397" s="1">
        <f ca="1">IFERROR(__xludf.DUMMYFUNCTION("""COMPUTED_VALUE"""),170.78)</f>
        <v>170.78</v>
      </c>
      <c r="F1397" s="1">
        <f ca="1">IFERROR(__xludf.DUMMYFUNCTION("""COMPUTED_VALUE"""),713.58)</f>
        <v>713.58</v>
      </c>
      <c r="G1397" s="1">
        <f ca="1">IFERROR(__xludf.DUMMYFUNCTION("""COMPUTED_VALUE"""),191.51)</f>
        <v>191.51</v>
      </c>
      <c r="H1397" s="1">
        <f ca="1">IFERROR(__xludf.DUMMYFUNCTION("""COMPUTED_VALUE"""),332.56)</f>
        <v>332.56</v>
      </c>
      <c r="I1397" s="1">
        <f ca="1">IFERROR(__xludf.DUMMYFUNCTION("""COMPUTED_VALUE"""),145.66)</f>
        <v>145.66</v>
      </c>
      <c r="J1397" s="1">
        <f ca="1">IFERROR(__xludf.DUMMYFUNCTION("""COMPUTED_VALUE"""),941.19)</f>
        <v>941.19</v>
      </c>
      <c r="K1397" s="1">
        <f ca="1">IFERROR(__xludf.DUMMYFUNCTION("""COMPUTED_VALUE"""),283.69)</f>
        <v>283.69</v>
      </c>
      <c r="L1397" s="1">
        <f ca="1">IFERROR(__xludf.DUMMYFUNCTION("""COMPUTED_VALUE"""),372.46)</f>
        <v>372.46</v>
      </c>
      <c r="M1397" s="1">
        <f ca="1">IFERROR(__xludf.DUMMYFUNCTION("""COMPUTED_VALUE"""),1176.78)</f>
        <v>1176.78</v>
      </c>
    </row>
    <row r="1398" spans="1:13" x14ac:dyDescent="0.25">
      <c r="A1398" s="2">
        <f ca="1">IFERROR(__xludf.DUMMYFUNCTION("""COMPUTED_VALUE"""),45866.6666666666)</f>
        <v>45866.666666666599</v>
      </c>
      <c r="B1398" s="1">
        <f ca="1">IFERROR(__xludf.DUMMYFUNCTION("""COMPUTED_VALUE"""),214.05)</f>
        <v>214.05</v>
      </c>
      <c r="C1398" s="1">
        <f ca="1">IFERROR(__xludf.DUMMYFUNCTION("""COMPUTED_VALUE"""),510.88)</f>
        <v>510.88</v>
      </c>
      <c r="D1398" s="1">
        <f ca="1">IFERROR(__xludf.DUMMYFUNCTION("""COMPUTED_VALUE"""),232.23)</f>
        <v>232.23</v>
      </c>
      <c r="E1398" s="1">
        <f ca="1">IFERROR(__xludf.DUMMYFUNCTION("""COMPUTED_VALUE"""),173.74)</f>
        <v>173.74</v>
      </c>
      <c r="F1398" s="1">
        <f ca="1">IFERROR(__xludf.DUMMYFUNCTION("""COMPUTED_VALUE"""),714.8)</f>
        <v>714.8</v>
      </c>
      <c r="G1398" s="1">
        <f ca="1">IFERROR(__xludf.DUMMYFUNCTION("""COMPUTED_VALUE"""),193.2)</f>
        <v>193.2</v>
      </c>
      <c r="H1398" s="1">
        <f ca="1">IFERROR(__xludf.DUMMYFUNCTION("""COMPUTED_VALUE"""),305.3)</f>
        <v>305.3</v>
      </c>
      <c r="I1398" s="1">
        <f ca="1">IFERROR(__xludf.DUMMYFUNCTION("""COMPUTED_VALUE"""),144.51)</f>
        <v>144.51</v>
      </c>
      <c r="J1398" s="1">
        <f ca="1">IFERROR(__xludf.DUMMYFUNCTION("""COMPUTED_VALUE"""),933.8)</f>
        <v>933.8</v>
      </c>
      <c r="K1398" s="1">
        <f ca="1">IFERROR(__xludf.DUMMYFUNCTION("""COMPUTED_VALUE"""),288.71)</f>
        <v>288.70999999999998</v>
      </c>
      <c r="L1398" s="1">
        <f ca="1">IFERROR(__xludf.DUMMYFUNCTION("""COMPUTED_VALUE"""),371.69)</f>
        <v>371.69</v>
      </c>
      <c r="M1398" s="1">
        <f ca="1">IFERROR(__xludf.DUMMYFUNCTION("""COMPUTED_VALUE"""),1180.76)</f>
        <v>1180.76</v>
      </c>
    </row>
    <row r="1399" spans="1:13" x14ac:dyDescent="0.25">
      <c r="A1399" s="2">
        <f ca="1">IFERROR(__xludf.DUMMYFUNCTION("""COMPUTED_VALUE"""),45867.6666666666)</f>
        <v>45867.666666666599</v>
      </c>
      <c r="B1399" s="1">
        <f ca="1">IFERROR(__xludf.DUMMYFUNCTION("""COMPUTED_VALUE"""),211.27)</f>
        <v>211.27</v>
      </c>
      <c r="C1399" s="1">
        <f ca="1">IFERROR(__xludf.DUMMYFUNCTION("""COMPUTED_VALUE"""),513.71)</f>
        <v>513.71</v>
      </c>
      <c r="D1399" s="1">
        <f ca="1">IFERROR(__xludf.DUMMYFUNCTION("""COMPUTED_VALUE"""),231.44)</f>
        <v>231.44</v>
      </c>
      <c r="E1399" s="1">
        <f ca="1">IFERROR(__xludf.DUMMYFUNCTION("""COMPUTED_VALUE"""),173.5)</f>
        <v>173.5</v>
      </c>
      <c r="F1399" s="1">
        <f ca="1">IFERROR(__xludf.DUMMYFUNCTION("""COMPUTED_VALUE"""),712.68)</f>
        <v>712.68</v>
      </c>
      <c r="G1399" s="1">
        <f ca="1">IFERROR(__xludf.DUMMYFUNCTION("""COMPUTED_VALUE"""),194.08)</f>
        <v>194.08</v>
      </c>
      <c r="H1399" s="1">
        <f ca="1">IFERROR(__xludf.DUMMYFUNCTION("""COMPUTED_VALUE"""),316.06)</f>
        <v>316.06</v>
      </c>
      <c r="I1399" s="1">
        <f ca="1">IFERROR(__xludf.DUMMYFUNCTION("""COMPUTED_VALUE"""),143.45)</f>
        <v>143.44999999999999</v>
      </c>
      <c r="J1399" s="1">
        <f ca="1">IFERROR(__xludf.DUMMYFUNCTION("""COMPUTED_VALUE"""),935.48)</f>
        <v>935.48</v>
      </c>
      <c r="K1399" s="1">
        <f ca="1">IFERROR(__xludf.DUMMYFUNCTION("""COMPUTED_VALUE"""),290.18)</f>
        <v>290.18</v>
      </c>
      <c r="L1399" s="1">
        <f ca="1">IFERROR(__xludf.DUMMYFUNCTION("""COMPUTED_VALUE"""),370.74)</f>
        <v>370.74</v>
      </c>
      <c r="M1399" s="1">
        <f ca="1">IFERROR(__xludf.DUMMYFUNCTION("""COMPUTED_VALUE"""),1180.49)</f>
        <v>1180.49</v>
      </c>
    </row>
    <row r="1400" spans="1:13" x14ac:dyDescent="0.25">
      <c r="A1400" s="2">
        <f ca="1">IFERROR(__xludf.DUMMYFUNCTION("""COMPUTED_VALUE"""),45868.6666666666)</f>
        <v>45868.666666666599</v>
      </c>
      <c r="B1400" s="1">
        <f ca="1">IFERROR(__xludf.DUMMYFUNCTION("""COMPUTED_VALUE"""),209.05)</f>
        <v>209.05</v>
      </c>
      <c r="C1400" s="1">
        <f ca="1">IFERROR(__xludf.DUMMYFUNCTION("""COMPUTED_VALUE"""),512.5)</f>
        <v>512.5</v>
      </c>
      <c r="D1400" s="1">
        <f ca="1">IFERROR(__xludf.DUMMYFUNCTION("""COMPUTED_VALUE"""),232.79)</f>
        <v>232.79</v>
      </c>
      <c r="E1400" s="1">
        <f ca="1">IFERROR(__xludf.DUMMYFUNCTION("""COMPUTED_VALUE"""),176.75)</f>
        <v>176.75</v>
      </c>
      <c r="F1400" s="1">
        <f ca="1">IFERROR(__xludf.DUMMYFUNCTION("""COMPUTED_VALUE"""),717.63)</f>
        <v>717.63</v>
      </c>
      <c r="G1400" s="1">
        <f ca="1">IFERROR(__xludf.DUMMYFUNCTION("""COMPUTED_VALUE"""),193.42)</f>
        <v>193.42</v>
      </c>
      <c r="H1400" s="1">
        <f ca="1">IFERROR(__xludf.DUMMYFUNCTION("""COMPUTED_VALUE"""),325.59)</f>
        <v>325.58999999999997</v>
      </c>
      <c r="I1400" s="1">
        <f ca="1">IFERROR(__xludf.DUMMYFUNCTION("""COMPUTED_VALUE"""),141.57)</f>
        <v>141.57</v>
      </c>
      <c r="J1400" s="1">
        <f ca="1">IFERROR(__xludf.DUMMYFUNCTION("""COMPUTED_VALUE"""),933.99)</f>
        <v>933.99</v>
      </c>
      <c r="K1400" s="1">
        <f ca="1">IFERROR(__xludf.DUMMYFUNCTION("""COMPUTED_VALUE"""),294.3)</f>
        <v>294.3</v>
      </c>
      <c r="L1400" s="1">
        <f ca="1">IFERROR(__xludf.DUMMYFUNCTION("""COMPUTED_VALUE"""),369.47)</f>
        <v>369.47</v>
      </c>
      <c r="M1400" s="1">
        <f ca="1">IFERROR(__xludf.DUMMYFUNCTION("""COMPUTED_VALUE"""),1174.6)</f>
        <v>1174.5999999999999</v>
      </c>
    </row>
    <row r="1401" spans="1:13" x14ac:dyDescent="0.25">
      <c r="A1401" s="2">
        <f ca="1">IFERROR(__xludf.DUMMYFUNCTION("""COMPUTED_VALUE"""),45869.6666666666)</f>
        <v>45869.666666666599</v>
      </c>
      <c r="B1401" s="1">
        <f ca="1">IFERROR(__xludf.DUMMYFUNCTION("""COMPUTED_VALUE"""),207.57)</f>
        <v>207.57</v>
      </c>
      <c r="C1401" s="1">
        <f ca="1">IFERROR(__xludf.DUMMYFUNCTION("""COMPUTED_VALUE"""),512.57)</f>
        <v>512.57000000000005</v>
      </c>
      <c r="D1401" s="1">
        <f ca="1">IFERROR(__xludf.DUMMYFUNCTION("""COMPUTED_VALUE"""),231.01)</f>
        <v>231.01</v>
      </c>
      <c r="E1401" s="1">
        <f ca="1">IFERROR(__xludf.DUMMYFUNCTION("""COMPUTED_VALUE"""),175.51)</f>
        <v>175.51</v>
      </c>
      <c r="F1401" s="1">
        <f ca="1">IFERROR(__xludf.DUMMYFUNCTION("""COMPUTED_VALUE"""),700)</f>
        <v>700</v>
      </c>
      <c r="G1401" s="1">
        <f ca="1">IFERROR(__xludf.DUMMYFUNCTION("""COMPUTED_VALUE"""),196.43)</f>
        <v>196.43</v>
      </c>
      <c r="H1401" s="1">
        <f ca="1">IFERROR(__xludf.DUMMYFUNCTION("""COMPUTED_VALUE"""),321.2)</f>
        <v>321.2</v>
      </c>
      <c r="I1401" s="1">
        <f ca="1">IFERROR(__xludf.DUMMYFUNCTION("""COMPUTED_VALUE"""),143.89)</f>
        <v>143.88999999999999</v>
      </c>
      <c r="J1401" s="1">
        <f ca="1">IFERROR(__xludf.DUMMYFUNCTION("""COMPUTED_VALUE"""),934.57)</f>
        <v>934.57</v>
      </c>
      <c r="K1401" s="1">
        <f ca="1">IFERROR(__xludf.DUMMYFUNCTION("""COMPUTED_VALUE"""),297.42)</f>
        <v>297.42</v>
      </c>
      <c r="L1401" s="1">
        <f ca="1">IFERROR(__xludf.DUMMYFUNCTION("""COMPUTED_VALUE"""),370.7)</f>
        <v>370.7</v>
      </c>
      <c r="M1401" s="1">
        <f ca="1">IFERROR(__xludf.DUMMYFUNCTION("""COMPUTED_VALUE"""),1168.74)</f>
        <v>1168.74</v>
      </c>
    </row>
    <row r="1402" spans="1:13" x14ac:dyDescent="0.25">
      <c r="A1402" s="2">
        <f ca="1">IFERROR(__xludf.DUMMYFUNCTION("""COMPUTED_VALUE"""),45870.6666666666)</f>
        <v>45870.666666666599</v>
      </c>
      <c r="B1402" s="1">
        <f ca="1">IFERROR(__xludf.DUMMYFUNCTION("""COMPUTED_VALUE"""),202.38)</f>
        <v>202.38</v>
      </c>
      <c r="C1402" s="1">
        <f ca="1">IFERROR(__xludf.DUMMYFUNCTION("""COMPUTED_VALUE"""),513.24)</f>
        <v>513.24</v>
      </c>
      <c r="D1402" s="1">
        <f ca="1">IFERROR(__xludf.DUMMYFUNCTION("""COMPUTED_VALUE"""),230.19)</f>
        <v>230.19</v>
      </c>
      <c r="E1402" s="1">
        <f ca="1">IFERROR(__xludf.DUMMYFUNCTION("""COMPUTED_VALUE"""),179.27)</f>
        <v>179.27</v>
      </c>
      <c r="F1402" s="1">
        <f ca="1">IFERROR(__xludf.DUMMYFUNCTION("""COMPUTED_VALUE"""),695.21)</f>
        <v>695.21</v>
      </c>
      <c r="G1402" s="1">
        <f ca="1">IFERROR(__xludf.DUMMYFUNCTION("""COMPUTED_VALUE"""),197.44)</f>
        <v>197.44</v>
      </c>
      <c r="H1402" s="1">
        <f ca="1">IFERROR(__xludf.DUMMYFUNCTION("""COMPUTED_VALUE"""),319.04)</f>
        <v>319.04000000000002</v>
      </c>
      <c r="I1402" s="1">
        <f ca="1">IFERROR(__xludf.DUMMYFUNCTION("""COMPUTED_VALUE"""),142.86)</f>
        <v>142.86000000000001</v>
      </c>
      <c r="J1402" s="1">
        <f ca="1">IFERROR(__xludf.DUMMYFUNCTION("""COMPUTED_VALUE"""),927.51)</f>
        <v>927.51</v>
      </c>
      <c r="K1402" s="1">
        <f ca="1">IFERROR(__xludf.DUMMYFUNCTION("""COMPUTED_VALUE"""),302.62)</f>
        <v>302.62</v>
      </c>
      <c r="L1402" s="1">
        <f ca="1">IFERROR(__xludf.DUMMYFUNCTION("""COMPUTED_VALUE"""),364)</f>
        <v>364</v>
      </c>
      <c r="M1402" s="1">
        <f ca="1">IFERROR(__xludf.DUMMYFUNCTION("""COMPUTED_VALUE"""),1184.2)</f>
        <v>1184.2</v>
      </c>
    </row>
    <row r="1403" spans="1:13" x14ac:dyDescent="0.25">
      <c r="A1403" s="2">
        <f ca="1">IFERROR(__xludf.DUMMYFUNCTION("""COMPUTED_VALUE"""),45873.6666666666)</f>
        <v>45873.666666666599</v>
      </c>
      <c r="B1403" s="1">
        <f ca="1">IFERROR(__xludf.DUMMYFUNCTION("""COMPUTED_VALUE"""),203.35)</f>
        <v>203.35</v>
      </c>
      <c r="C1403" s="1">
        <f ca="1">IFERROR(__xludf.DUMMYFUNCTION("""COMPUTED_VALUE"""),533.5)</f>
        <v>533.5</v>
      </c>
      <c r="D1403" s="1">
        <f ca="1">IFERROR(__xludf.DUMMYFUNCTION("""COMPUTED_VALUE"""),234.11)</f>
        <v>234.11</v>
      </c>
      <c r="E1403" s="1">
        <f ca="1">IFERROR(__xludf.DUMMYFUNCTION("""COMPUTED_VALUE"""),177.87)</f>
        <v>177.87</v>
      </c>
      <c r="F1403" s="1">
        <f ca="1">IFERROR(__xludf.DUMMYFUNCTION("""COMPUTED_VALUE"""),773.44)</f>
        <v>773.44</v>
      </c>
      <c r="G1403" s="1">
        <f ca="1">IFERROR(__xludf.DUMMYFUNCTION("""COMPUTED_VALUE"""),192.86)</f>
        <v>192.86</v>
      </c>
      <c r="H1403" s="1">
        <f ca="1">IFERROR(__xludf.DUMMYFUNCTION("""COMPUTED_VALUE"""),308.27)</f>
        <v>308.27</v>
      </c>
      <c r="I1403" s="1">
        <f ca="1">IFERROR(__xludf.DUMMYFUNCTION("""COMPUTED_VALUE"""),137.92)</f>
        <v>137.91999999999999</v>
      </c>
      <c r="J1403" s="1">
        <f ca="1">IFERROR(__xludf.DUMMYFUNCTION("""COMPUTED_VALUE"""),939.64)</f>
        <v>939.64</v>
      </c>
      <c r="K1403" s="1">
        <f ca="1">IFERROR(__xludf.DUMMYFUNCTION("""COMPUTED_VALUE"""),293.7)</f>
        <v>293.7</v>
      </c>
      <c r="L1403" s="1">
        <f ca="1">IFERROR(__xludf.DUMMYFUNCTION("""COMPUTED_VALUE"""),357.69)</f>
        <v>357.69</v>
      </c>
      <c r="M1403" s="1">
        <f ca="1">IFERROR(__xludf.DUMMYFUNCTION("""COMPUTED_VALUE"""),1159.4)</f>
        <v>1159.4000000000001</v>
      </c>
    </row>
    <row r="1404" spans="1:13" x14ac:dyDescent="0.25">
      <c r="A1404" s="2">
        <f ca="1">IFERROR(__xludf.DUMMYFUNCTION("""COMPUTED_VALUE"""),45874.6666666666)</f>
        <v>45874.666666666599</v>
      </c>
      <c r="B1404" s="1">
        <f ca="1">IFERROR(__xludf.DUMMYFUNCTION("""COMPUTED_VALUE"""),202.92)</f>
        <v>202.92</v>
      </c>
      <c r="C1404" s="1">
        <f ca="1">IFERROR(__xludf.DUMMYFUNCTION("""COMPUTED_VALUE"""),524.11)</f>
        <v>524.11</v>
      </c>
      <c r="D1404" s="1">
        <f ca="1">IFERROR(__xludf.DUMMYFUNCTION("""COMPUTED_VALUE"""),214.75)</f>
        <v>214.75</v>
      </c>
      <c r="E1404" s="1">
        <f ca="1">IFERROR(__xludf.DUMMYFUNCTION("""COMPUTED_VALUE"""),173.72)</f>
        <v>173.72</v>
      </c>
      <c r="F1404" s="1">
        <f ca="1">IFERROR(__xludf.DUMMYFUNCTION("""COMPUTED_VALUE"""),750.01)</f>
        <v>750.01</v>
      </c>
      <c r="G1404" s="1">
        <f ca="1">IFERROR(__xludf.DUMMYFUNCTION("""COMPUTED_VALUE"""),189.95)</f>
        <v>189.95</v>
      </c>
      <c r="H1404" s="1">
        <f ca="1">IFERROR(__xludf.DUMMYFUNCTION("""COMPUTED_VALUE"""),302.63)</f>
        <v>302.63</v>
      </c>
      <c r="I1404" s="1">
        <f ca="1">IFERROR(__xludf.DUMMYFUNCTION("""COMPUTED_VALUE"""),139.28)</f>
        <v>139.28</v>
      </c>
      <c r="J1404" s="1">
        <f ca="1">IFERROR(__xludf.DUMMYFUNCTION("""COMPUTED_VALUE"""),952.52)</f>
        <v>952.52</v>
      </c>
      <c r="K1404" s="1">
        <f ca="1">IFERROR(__xludf.DUMMYFUNCTION("""COMPUTED_VALUE"""),288.64)</f>
        <v>288.64</v>
      </c>
      <c r="L1404" s="1">
        <f ca="1">IFERROR(__xludf.DUMMYFUNCTION("""COMPUTED_VALUE"""),347.8)</f>
        <v>347.8</v>
      </c>
      <c r="M1404" s="1">
        <f ca="1">IFERROR(__xludf.DUMMYFUNCTION("""COMPUTED_VALUE"""),1158.6)</f>
        <v>1158.5999999999999</v>
      </c>
    </row>
    <row r="1405" spans="1:13" x14ac:dyDescent="0.25">
      <c r="A1405" s="2">
        <f ca="1">IFERROR(__xludf.DUMMYFUNCTION("""COMPUTED_VALUE"""),45875.6666666666)</f>
        <v>45875.666666666599</v>
      </c>
      <c r="B1405" s="1">
        <f ca="1">IFERROR(__xludf.DUMMYFUNCTION("""COMPUTED_VALUE"""),213.25)</f>
        <v>213.25</v>
      </c>
      <c r="C1405" s="1">
        <f ca="1">IFERROR(__xludf.DUMMYFUNCTION("""COMPUTED_VALUE"""),535.64)</f>
        <v>535.64</v>
      </c>
      <c r="D1405" s="1">
        <f ca="1">IFERROR(__xludf.DUMMYFUNCTION("""COMPUTED_VALUE"""),211.65)</f>
        <v>211.65</v>
      </c>
      <c r="E1405" s="1">
        <f ca="1">IFERROR(__xludf.DUMMYFUNCTION("""COMPUTED_VALUE"""),180)</f>
        <v>180</v>
      </c>
      <c r="F1405" s="1">
        <f ca="1">IFERROR(__xludf.DUMMYFUNCTION("""COMPUTED_VALUE"""),776.37)</f>
        <v>776.37</v>
      </c>
      <c r="G1405" s="1">
        <f ca="1">IFERROR(__xludf.DUMMYFUNCTION("""COMPUTED_VALUE"""),195.75)</f>
        <v>195.75</v>
      </c>
      <c r="H1405" s="1">
        <f ca="1">IFERROR(__xludf.DUMMYFUNCTION("""COMPUTED_VALUE"""),309.26)</f>
        <v>309.26</v>
      </c>
      <c r="I1405" s="1">
        <f ca="1">IFERROR(__xludf.DUMMYFUNCTION("""COMPUTED_VALUE"""),139.56)</f>
        <v>139.56</v>
      </c>
      <c r="J1405" s="1">
        <f ca="1">IFERROR(__xludf.DUMMYFUNCTION("""COMPUTED_VALUE"""),955.37)</f>
        <v>955.37</v>
      </c>
      <c r="K1405" s="1">
        <f ca="1">IFERROR(__xludf.DUMMYFUNCTION("""COMPUTED_VALUE"""),297.72)</f>
        <v>297.72000000000003</v>
      </c>
      <c r="L1405" s="1">
        <f ca="1">IFERROR(__xludf.DUMMYFUNCTION("""COMPUTED_VALUE"""),338.85)</f>
        <v>338.85</v>
      </c>
      <c r="M1405" s="1">
        <f ca="1">IFERROR(__xludf.DUMMYFUNCTION("""COMPUTED_VALUE"""),1170.99)</f>
        <v>1170.99</v>
      </c>
    </row>
    <row r="1406" spans="1:13" x14ac:dyDescent="0.25">
      <c r="A1406" s="2">
        <f ca="1">IFERROR(__xludf.DUMMYFUNCTION("""COMPUTED_VALUE"""),45876.6666666666)</f>
        <v>45876.666666666599</v>
      </c>
      <c r="B1406" s="1">
        <f ca="1">IFERROR(__xludf.DUMMYFUNCTION("""COMPUTED_VALUE"""),220.03)</f>
        <v>220.03</v>
      </c>
      <c r="C1406" s="1">
        <f ca="1">IFERROR(__xludf.DUMMYFUNCTION("""COMPUTED_VALUE"""),527.75)</f>
        <v>527.75</v>
      </c>
      <c r="D1406" s="1">
        <f ca="1">IFERROR(__xludf.DUMMYFUNCTION("""COMPUTED_VALUE"""),213.75)</f>
        <v>213.75</v>
      </c>
      <c r="E1406" s="1">
        <f ca="1">IFERROR(__xludf.DUMMYFUNCTION("""COMPUTED_VALUE"""),178.26)</f>
        <v>178.26</v>
      </c>
      <c r="F1406" s="1">
        <f ca="1">IFERROR(__xludf.DUMMYFUNCTION("""COMPUTED_VALUE"""),763.46)</f>
        <v>763.46</v>
      </c>
      <c r="G1406" s="1">
        <f ca="1">IFERROR(__xludf.DUMMYFUNCTION("""COMPUTED_VALUE"""),195.32)</f>
        <v>195.32</v>
      </c>
      <c r="H1406" s="1">
        <f ca="1">IFERROR(__xludf.DUMMYFUNCTION("""COMPUTED_VALUE"""),308.72)</f>
        <v>308.72000000000003</v>
      </c>
      <c r="I1406" s="1">
        <f ca="1">IFERROR(__xludf.DUMMYFUNCTION("""COMPUTED_VALUE"""),139.45)</f>
        <v>139.44999999999999</v>
      </c>
      <c r="J1406" s="1">
        <f ca="1">IFERROR(__xludf.DUMMYFUNCTION("""COMPUTED_VALUE"""),943.63)</f>
        <v>943.63</v>
      </c>
      <c r="K1406" s="1">
        <f ca="1">IFERROR(__xludf.DUMMYFUNCTION("""COMPUTED_VALUE"""),292.93)</f>
        <v>292.93</v>
      </c>
      <c r="L1406" s="1">
        <f ca="1">IFERROR(__xludf.DUMMYFUNCTION("""COMPUTED_VALUE"""),338.74)</f>
        <v>338.74</v>
      </c>
      <c r="M1406" s="1">
        <f ca="1">IFERROR(__xludf.DUMMYFUNCTION("""COMPUTED_VALUE"""),1147.87)</f>
        <v>1147.8699999999999</v>
      </c>
    </row>
    <row r="1407" spans="1:13" x14ac:dyDescent="0.25">
      <c r="A1407" s="2">
        <f ca="1">IFERROR(__xludf.DUMMYFUNCTION("""COMPUTED_VALUE"""),45877.6666666666)</f>
        <v>45877.666666666599</v>
      </c>
      <c r="B1407" s="1">
        <f ca="1">IFERROR(__xludf.DUMMYFUNCTION("""COMPUTED_VALUE"""),229.35)</f>
        <v>229.35</v>
      </c>
      <c r="C1407" s="1">
        <f ca="1">IFERROR(__xludf.DUMMYFUNCTION("""COMPUTED_VALUE"""),524.94)</f>
        <v>524.94000000000005</v>
      </c>
      <c r="D1407" s="1">
        <f ca="1">IFERROR(__xludf.DUMMYFUNCTION("""COMPUTED_VALUE"""),222.31)</f>
        <v>222.31</v>
      </c>
      <c r="E1407" s="1">
        <f ca="1">IFERROR(__xludf.DUMMYFUNCTION("""COMPUTED_VALUE"""),179.42)</f>
        <v>179.42</v>
      </c>
      <c r="F1407" s="1">
        <f ca="1">IFERROR(__xludf.DUMMYFUNCTION("""COMPUTED_VALUE"""),771.99)</f>
        <v>771.99</v>
      </c>
      <c r="G1407" s="1">
        <f ca="1">IFERROR(__xludf.DUMMYFUNCTION("""COMPUTED_VALUE"""),196.92)</f>
        <v>196.92</v>
      </c>
      <c r="H1407" s="1">
        <f ca="1">IFERROR(__xludf.DUMMYFUNCTION("""COMPUTED_VALUE"""),319.91)</f>
        <v>319.91000000000003</v>
      </c>
      <c r="I1407" s="1">
        <f ca="1">IFERROR(__xludf.DUMMYFUNCTION("""COMPUTED_VALUE"""),140.8)</f>
        <v>140.80000000000001</v>
      </c>
      <c r="J1407" s="1">
        <f ca="1">IFERROR(__xludf.DUMMYFUNCTION("""COMPUTED_VALUE"""),968.56)</f>
        <v>968.56</v>
      </c>
      <c r="K1407" s="1">
        <f ca="1">IFERROR(__xludf.DUMMYFUNCTION("""COMPUTED_VALUE"""),301.67)</f>
        <v>301.67</v>
      </c>
      <c r="L1407" s="1">
        <f ca="1">IFERROR(__xludf.DUMMYFUNCTION("""COMPUTED_VALUE"""),345.62)</f>
        <v>345.62</v>
      </c>
      <c r="M1407" s="1">
        <f ca="1">IFERROR(__xludf.DUMMYFUNCTION("""COMPUTED_VALUE"""),1178.48)</f>
        <v>1178.48</v>
      </c>
    </row>
    <row r="1408" spans="1:13" x14ac:dyDescent="0.25">
      <c r="A1408" s="2">
        <f ca="1">IFERROR(__xludf.DUMMYFUNCTION("""COMPUTED_VALUE"""),45880.6666666666)</f>
        <v>45880.666666666599</v>
      </c>
      <c r="B1408" s="1">
        <f ca="1">IFERROR(__xludf.DUMMYFUNCTION("""COMPUTED_VALUE"""),227.18)</f>
        <v>227.18</v>
      </c>
      <c r="C1408" s="1">
        <f ca="1">IFERROR(__xludf.DUMMYFUNCTION("""COMPUTED_VALUE"""),520.84)</f>
        <v>520.84</v>
      </c>
      <c r="D1408" s="1">
        <f ca="1">IFERROR(__xludf.DUMMYFUNCTION("""COMPUTED_VALUE"""),223.13)</f>
        <v>223.13</v>
      </c>
      <c r="E1408" s="1">
        <f ca="1">IFERROR(__xludf.DUMMYFUNCTION("""COMPUTED_VALUE"""),180.77)</f>
        <v>180.77</v>
      </c>
      <c r="F1408" s="1">
        <f ca="1">IFERROR(__xludf.DUMMYFUNCTION("""COMPUTED_VALUE"""),761.83)</f>
        <v>761.83</v>
      </c>
      <c r="G1408" s="1">
        <f ca="1">IFERROR(__xludf.DUMMYFUNCTION("""COMPUTED_VALUE"""),197.28)</f>
        <v>197.28</v>
      </c>
      <c r="H1408" s="1">
        <f ca="1">IFERROR(__xludf.DUMMYFUNCTION("""COMPUTED_VALUE"""),322.27)</f>
        <v>322.27</v>
      </c>
      <c r="I1408" s="1">
        <f ca="1">IFERROR(__xludf.DUMMYFUNCTION("""COMPUTED_VALUE"""),143.92)</f>
        <v>143.91999999999999</v>
      </c>
      <c r="J1408" s="1">
        <f ca="1">IFERROR(__xludf.DUMMYFUNCTION("""COMPUTED_VALUE"""),977.45)</f>
        <v>977.45</v>
      </c>
      <c r="K1408" s="1">
        <f ca="1">IFERROR(__xludf.DUMMYFUNCTION("""COMPUTED_VALUE"""),303.76)</f>
        <v>303.76</v>
      </c>
      <c r="L1408" s="1">
        <f ca="1">IFERROR(__xludf.DUMMYFUNCTION("""COMPUTED_VALUE"""),338.27)</f>
        <v>338.27</v>
      </c>
      <c r="M1408" s="1">
        <f ca="1">IFERROR(__xludf.DUMMYFUNCTION("""COMPUTED_VALUE"""),1180.37)</f>
        <v>1180.3699999999999</v>
      </c>
    </row>
    <row r="1409" spans="1:13" x14ac:dyDescent="0.25">
      <c r="A1409" s="2">
        <f ca="1">IFERROR(__xludf.DUMMYFUNCTION("""COMPUTED_VALUE"""),45881.6666666666)</f>
        <v>45881.666666666599</v>
      </c>
      <c r="B1409" s="1">
        <f ca="1">IFERROR(__xludf.DUMMYFUNCTION("""COMPUTED_VALUE"""),229.65)</f>
        <v>229.65</v>
      </c>
      <c r="C1409" s="1">
        <f ca="1">IFERROR(__xludf.DUMMYFUNCTION("""COMPUTED_VALUE"""),522.04)</f>
        <v>522.04</v>
      </c>
      <c r="D1409" s="1">
        <f ca="1">IFERROR(__xludf.DUMMYFUNCTION("""COMPUTED_VALUE"""),222.69)</f>
        <v>222.69</v>
      </c>
      <c r="E1409" s="1">
        <f ca="1">IFERROR(__xludf.DUMMYFUNCTION("""COMPUTED_VALUE"""),182.7)</f>
        <v>182.7</v>
      </c>
      <c r="F1409" s="1">
        <f ca="1">IFERROR(__xludf.DUMMYFUNCTION("""COMPUTED_VALUE"""),769.3)</f>
        <v>769.3</v>
      </c>
      <c r="G1409" s="1">
        <f ca="1">IFERROR(__xludf.DUMMYFUNCTION("""COMPUTED_VALUE"""),202.09)</f>
        <v>202.09</v>
      </c>
      <c r="H1409" s="1">
        <f ca="1">IFERROR(__xludf.DUMMYFUNCTION("""COMPUTED_VALUE"""),329.65)</f>
        <v>329.65</v>
      </c>
      <c r="I1409" s="1">
        <f ca="1">IFERROR(__xludf.DUMMYFUNCTION("""COMPUTED_VALUE"""),145.21)</f>
        <v>145.21</v>
      </c>
      <c r="J1409" s="1">
        <f ca="1">IFERROR(__xludf.DUMMYFUNCTION("""COMPUTED_VALUE"""),980.98)</f>
        <v>980.98</v>
      </c>
      <c r="K1409" s="1">
        <f ca="1">IFERROR(__xludf.DUMMYFUNCTION("""COMPUTED_VALUE"""),304.97)</f>
        <v>304.97000000000003</v>
      </c>
      <c r="L1409" s="1">
        <f ca="1">IFERROR(__xludf.DUMMYFUNCTION("""COMPUTED_VALUE"""),341.05)</f>
        <v>341.05</v>
      </c>
      <c r="M1409" s="1">
        <f ca="1">IFERROR(__xludf.DUMMYFUNCTION("""COMPUTED_VALUE"""),1211.64)</f>
        <v>1211.6400000000001</v>
      </c>
    </row>
    <row r="1410" spans="1:13" x14ac:dyDescent="0.25">
      <c r="A1410" s="2">
        <f ca="1">IFERROR(__xludf.DUMMYFUNCTION("""COMPUTED_VALUE"""),45882.6666666666)</f>
        <v>45882.666666666599</v>
      </c>
      <c r="B1410" s="1">
        <f ca="1">IFERROR(__xludf.DUMMYFUNCTION("""COMPUTED_VALUE"""),233.33)</f>
        <v>233.33</v>
      </c>
      <c r="C1410" s="1">
        <f ca="1">IFERROR(__xludf.DUMMYFUNCTION("""COMPUTED_VALUE"""),521.77)</f>
        <v>521.77</v>
      </c>
      <c r="D1410" s="1">
        <f ca="1">IFERROR(__xludf.DUMMYFUNCTION("""COMPUTED_VALUE"""),221.3)</f>
        <v>221.3</v>
      </c>
      <c r="E1410" s="1">
        <f ca="1">IFERROR(__xludf.DUMMYFUNCTION("""COMPUTED_VALUE"""),182.06)</f>
        <v>182.06</v>
      </c>
      <c r="F1410" s="1">
        <f ca="1">IFERROR(__xludf.DUMMYFUNCTION("""COMPUTED_VALUE"""),765.87)</f>
        <v>765.87</v>
      </c>
      <c r="G1410" s="1">
        <f ca="1">IFERROR(__xludf.DUMMYFUNCTION("""COMPUTED_VALUE"""),201.63)</f>
        <v>201.63</v>
      </c>
      <c r="H1410" s="1">
        <f ca="1">IFERROR(__xludf.DUMMYFUNCTION("""COMPUTED_VALUE"""),339.03)</f>
        <v>339.03</v>
      </c>
      <c r="I1410" s="1">
        <f ca="1">IFERROR(__xludf.DUMMYFUNCTION("""COMPUTED_VALUE"""),144.87)</f>
        <v>144.87</v>
      </c>
      <c r="J1410" s="1">
        <f ca="1">IFERROR(__xludf.DUMMYFUNCTION("""COMPUTED_VALUE"""),988.74)</f>
        <v>988.74</v>
      </c>
      <c r="K1410" s="1">
        <f ca="1">IFERROR(__xludf.DUMMYFUNCTION("""COMPUTED_VALUE"""),303.9)</f>
        <v>303.89999999999998</v>
      </c>
      <c r="L1410" s="1">
        <f ca="1">IFERROR(__xludf.DUMMYFUNCTION("""COMPUTED_VALUE"""),333.65)</f>
        <v>333.65</v>
      </c>
      <c r="M1410" s="1">
        <f ca="1">IFERROR(__xludf.DUMMYFUNCTION("""COMPUTED_VALUE"""),1218.31)</f>
        <v>1218.31</v>
      </c>
    </row>
    <row r="1411" spans="1:13" x14ac:dyDescent="0.25">
      <c r="A1411" s="2">
        <f ca="1">IFERROR(__xludf.DUMMYFUNCTION("""COMPUTED_VALUE"""),45883.6666666666)</f>
        <v>45883.666666666599</v>
      </c>
      <c r="B1411" s="1">
        <f ca="1">IFERROR(__xludf.DUMMYFUNCTION("""COMPUTED_VALUE"""),232.78)</f>
        <v>232.78</v>
      </c>
      <c r="C1411" s="1">
        <f ca="1">IFERROR(__xludf.DUMMYFUNCTION("""COMPUTED_VALUE"""),529.24)</f>
        <v>529.24</v>
      </c>
      <c r="D1411" s="1">
        <f ca="1">IFERROR(__xludf.DUMMYFUNCTION("""COMPUTED_VALUE"""),221.47)</f>
        <v>221.47</v>
      </c>
      <c r="E1411" s="1">
        <f ca="1">IFERROR(__xludf.DUMMYFUNCTION("""COMPUTED_VALUE"""),183.16)</f>
        <v>183.16</v>
      </c>
      <c r="F1411" s="1">
        <f ca="1">IFERROR(__xludf.DUMMYFUNCTION("""COMPUTED_VALUE"""),790)</f>
        <v>790</v>
      </c>
      <c r="G1411" s="1">
        <f ca="1">IFERROR(__xludf.DUMMYFUNCTION("""COMPUTED_VALUE"""),204.16)</f>
        <v>204.16</v>
      </c>
      <c r="H1411" s="1">
        <f ca="1">IFERROR(__xludf.DUMMYFUNCTION("""COMPUTED_VALUE"""),340.84)</f>
        <v>340.84</v>
      </c>
      <c r="I1411" s="1">
        <f ca="1">IFERROR(__xludf.DUMMYFUNCTION("""COMPUTED_VALUE"""),146.87)</f>
        <v>146.87</v>
      </c>
      <c r="J1411" s="1">
        <f ca="1">IFERROR(__xludf.DUMMYFUNCTION("""COMPUTED_VALUE"""),991.25)</f>
        <v>991.25</v>
      </c>
      <c r="K1411" s="1">
        <f ca="1">IFERROR(__xludf.DUMMYFUNCTION("""COMPUTED_VALUE"""),312.83)</f>
        <v>312.83</v>
      </c>
      <c r="L1411" s="1">
        <f ca="1">IFERROR(__xludf.DUMMYFUNCTION("""COMPUTED_VALUE"""),338.43)</f>
        <v>338.43</v>
      </c>
      <c r="M1411" s="1">
        <f ca="1">IFERROR(__xludf.DUMMYFUNCTION("""COMPUTED_VALUE"""),1225.28)</f>
        <v>1225.28</v>
      </c>
    </row>
    <row r="1412" spans="1:13" x14ac:dyDescent="0.25">
      <c r="A1412" s="2">
        <f ca="1">IFERROR(__xludf.DUMMYFUNCTION("""COMPUTED_VALUE"""),45884.6666666666)</f>
        <v>45884.666666666599</v>
      </c>
      <c r="B1412" s="1">
        <f ca="1">IFERROR(__xludf.DUMMYFUNCTION("""COMPUTED_VALUE"""),231.59)</f>
        <v>231.59</v>
      </c>
      <c r="C1412" s="1">
        <f ca="1">IFERROR(__xludf.DUMMYFUNCTION("""COMPUTED_VALUE"""),520.58)</f>
        <v>520.58000000000004</v>
      </c>
      <c r="D1412" s="1">
        <f ca="1">IFERROR(__xludf.DUMMYFUNCTION("""COMPUTED_VALUE"""),224.56)</f>
        <v>224.56</v>
      </c>
      <c r="E1412" s="1">
        <f ca="1">IFERROR(__xludf.DUMMYFUNCTION("""COMPUTED_VALUE"""),181.59)</f>
        <v>181.59</v>
      </c>
      <c r="F1412" s="1">
        <f ca="1">IFERROR(__xludf.DUMMYFUNCTION("""COMPUTED_VALUE"""),780.08)</f>
        <v>780.08</v>
      </c>
      <c r="G1412" s="1">
        <f ca="1">IFERROR(__xludf.DUMMYFUNCTION("""COMPUTED_VALUE"""),203.03)</f>
        <v>203.03</v>
      </c>
      <c r="H1412" s="1">
        <f ca="1">IFERROR(__xludf.DUMMYFUNCTION("""COMPUTED_VALUE"""),339.38)</f>
        <v>339.38</v>
      </c>
      <c r="I1412" s="1">
        <f ca="1">IFERROR(__xludf.DUMMYFUNCTION("""COMPUTED_VALUE"""),149.35)</f>
        <v>149.35</v>
      </c>
      <c r="J1412" s="1">
        <f ca="1">IFERROR(__xludf.DUMMYFUNCTION("""COMPUTED_VALUE"""),978.85)</f>
        <v>978.85</v>
      </c>
      <c r="K1412" s="1">
        <f ca="1">IFERROR(__xludf.DUMMYFUNCTION("""COMPUTED_VALUE"""),309.09)</f>
        <v>309.08999999999997</v>
      </c>
      <c r="L1412" s="1">
        <f ca="1">IFERROR(__xludf.DUMMYFUNCTION("""COMPUTED_VALUE"""),351.07)</f>
        <v>351.07</v>
      </c>
      <c r="M1412" s="1">
        <f ca="1">IFERROR(__xludf.DUMMYFUNCTION("""COMPUTED_VALUE"""),1204.44)</f>
        <v>1204.44</v>
      </c>
    </row>
    <row r="1413" spans="1:13" x14ac:dyDescent="0.25">
      <c r="A1413" s="2">
        <f ca="1">IFERROR(__xludf.DUMMYFUNCTION("""COMPUTED_VALUE"""),45887.6666666666)</f>
        <v>45887.666666666599</v>
      </c>
      <c r="B1413" s="1">
        <f ca="1">IFERROR(__xludf.DUMMYFUNCTION("""COMPUTED_VALUE"""),230.89)</f>
        <v>230.89</v>
      </c>
      <c r="C1413" s="1">
        <f ca="1">IFERROR(__xludf.DUMMYFUNCTION("""COMPUTED_VALUE"""),522.48)</f>
        <v>522.48</v>
      </c>
      <c r="D1413" s="1">
        <f ca="1">IFERROR(__xludf.DUMMYFUNCTION("""COMPUTED_VALUE"""),230.98)</f>
        <v>230.98</v>
      </c>
      <c r="E1413" s="1">
        <f ca="1">IFERROR(__xludf.DUMMYFUNCTION("""COMPUTED_VALUE"""),182.02)</f>
        <v>182.02</v>
      </c>
      <c r="F1413" s="1">
        <f ca="1">IFERROR(__xludf.DUMMYFUNCTION("""COMPUTED_VALUE"""),782.13)</f>
        <v>782.13</v>
      </c>
      <c r="G1413" s="1">
        <f ca="1">IFERROR(__xludf.DUMMYFUNCTION("""COMPUTED_VALUE"""),203.82)</f>
        <v>203.82</v>
      </c>
      <c r="H1413" s="1">
        <f ca="1">IFERROR(__xludf.DUMMYFUNCTION("""COMPUTED_VALUE"""),335.58)</f>
        <v>335.58</v>
      </c>
      <c r="I1413" s="1">
        <f ca="1">IFERROR(__xludf.DUMMYFUNCTION("""COMPUTED_VALUE"""),148.62)</f>
        <v>148.62</v>
      </c>
      <c r="J1413" s="1">
        <f ca="1">IFERROR(__xludf.DUMMYFUNCTION("""COMPUTED_VALUE"""),975.39)</f>
        <v>975.39</v>
      </c>
      <c r="K1413" s="1">
        <f ca="1">IFERROR(__xludf.DUMMYFUNCTION("""COMPUTED_VALUE"""),311.23)</f>
        <v>311.23</v>
      </c>
      <c r="L1413" s="1">
        <f ca="1">IFERROR(__xludf.DUMMYFUNCTION("""COMPUTED_VALUE"""),348.58)</f>
        <v>348.58</v>
      </c>
      <c r="M1413" s="1">
        <f ca="1">IFERROR(__xludf.DUMMYFUNCTION("""COMPUTED_VALUE"""),1230.56)</f>
        <v>1230.56</v>
      </c>
    </row>
    <row r="1414" spans="1:13" x14ac:dyDescent="0.25">
      <c r="A1414" s="2">
        <f ca="1">IFERROR(__xludf.DUMMYFUNCTION("""COMPUTED_VALUE"""),45888.6666666666)</f>
        <v>45888.666666666599</v>
      </c>
      <c r="B1414" s="1">
        <f ca="1">IFERROR(__xludf.DUMMYFUNCTION("""COMPUTED_VALUE"""),230.56)</f>
        <v>230.56</v>
      </c>
      <c r="C1414" s="1">
        <f ca="1">IFERROR(__xludf.DUMMYFUNCTION("""COMPUTED_VALUE"""),520.17)</f>
        <v>520.16999999999996</v>
      </c>
      <c r="D1414" s="1">
        <f ca="1">IFERROR(__xludf.DUMMYFUNCTION("""COMPUTED_VALUE"""),231.03)</f>
        <v>231.03</v>
      </c>
      <c r="E1414" s="1">
        <f ca="1">IFERROR(__xludf.DUMMYFUNCTION("""COMPUTED_VALUE"""),180.45)</f>
        <v>180.45</v>
      </c>
      <c r="F1414" s="1">
        <f ca="1">IFERROR(__xludf.DUMMYFUNCTION("""COMPUTED_VALUE"""),785.23)</f>
        <v>785.23</v>
      </c>
      <c r="G1414" s="1">
        <f ca="1">IFERROR(__xludf.DUMMYFUNCTION("""COMPUTED_VALUE"""),204.91)</f>
        <v>204.91</v>
      </c>
      <c r="H1414" s="1">
        <f ca="1">IFERROR(__xludf.DUMMYFUNCTION("""COMPUTED_VALUE"""),330.56)</f>
        <v>330.56</v>
      </c>
      <c r="I1414" s="1">
        <f ca="1">IFERROR(__xludf.DUMMYFUNCTION("""COMPUTED_VALUE"""),150.4)</f>
        <v>150.4</v>
      </c>
      <c r="J1414" s="1">
        <f ca="1">IFERROR(__xludf.DUMMYFUNCTION("""COMPUTED_VALUE"""),972.04)</f>
        <v>972.04</v>
      </c>
      <c r="K1414" s="1">
        <f ca="1">IFERROR(__xludf.DUMMYFUNCTION("""COMPUTED_VALUE"""),306.34)</f>
        <v>306.33999999999997</v>
      </c>
      <c r="L1414" s="1">
        <f ca="1">IFERROR(__xludf.DUMMYFUNCTION("""COMPUTED_VALUE"""),354.85)</f>
        <v>354.85</v>
      </c>
      <c r="M1414" s="1">
        <f ca="1">IFERROR(__xludf.DUMMYFUNCTION("""COMPUTED_VALUE"""),1238.95)</f>
        <v>1238.95</v>
      </c>
    </row>
    <row r="1415" spans="1:13" x14ac:dyDescent="0.25">
      <c r="A1415" s="2">
        <f ca="1">IFERROR(__xludf.DUMMYFUNCTION("""COMPUTED_VALUE"""),45889.6666666666)</f>
        <v>45889.666666666599</v>
      </c>
      <c r="B1415" s="1">
        <f ca="1">IFERROR(__xludf.DUMMYFUNCTION("""COMPUTED_VALUE"""),226.01)</f>
        <v>226.01</v>
      </c>
      <c r="C1415" s="1">
        <f ca="1">IFERROR(__xludf.DUMMYFUNCTION("""COMPUTED_VALUE"""),517.1)</f>
        <v>517.1</v>
      </c>
      <c r="D1415" s="1">
        <f ca="1">IFERROR(__xludf.DUMMYFUNCTION("""COMPUTED_VALUE"""),231.49)</f>
        <v>231.49</v>
      </c>
      <c r="E1415" s="1">
        <f ca="1">IFERROR(__xludf.DUMMYFUNCTION("""COMPUTED_VALUE"""),182.01)</f>
        <v>182.01</v>
      </c>
      <c r="F1415" s="1">
        <f ca="1">IFERROR(__xludf.DUMMYFUNCTION("""COMPUTED_VALUE"""),767.37)</f>
        <v>767.37</v>
      </c>
      <c r="G1415" s="1">
        <f ca="1">IFERROR(__xludf.DUMMYFUNCTION("""COMPUTED_VALUE"""),204.29)</f>
        <v>204.29</v>
      </c>
      <c r="H1415" s="1">
        <f ca="1">IFERROR(__xludf.DUMMYFUNCTION("""COMPUTED_VALUE"""),335.16)</f>
        <v>335.16</v>
      </c>
      <c r="I1415" s="1">
        <f ca="1">IFERROR(__xludf.DUMMYFUNCTION("""COMPUTED_VALUE"""),149.55)</f>
        <v>149.55000000000001</v>
      </c>
      <c r="J1415" s="1">
        <f ca="1">IFERROR(__xludf.DUMMYFUNCTION("""COMPUTED_VALUE"""),979.35)</f>
        <v>979.35</v>
      </c>
      <c r="K1415" s="1">
        <f ca="1">IFERROR(__xludf.DUMMYFUNCTION("""COMPUTED_VALUE"""),305.76)</f>
        <v>305.76</v>
      </c>
      <c r="L1415" s="1">
        <f ca="1">IFERROR(__xludf.DUMMYFUNCTION("""COMPUTED_VALUE"""),357.24)</f>
        <v>357.24</v>
      </c>
      <c r="M1415" s="1">
        <f ca="1">IFERROR(__xludf.DUMMYFUNCTION("""COMPUTED_VALUE"""),1245.09)</f>
        <v>1245.0899999999999</v>
      </c>
    </row>
    <row r="1416" spans="1:13" x14ac:dyDescent="0.25">
      <c r="A1416" s="2">
        <f ca="1">IFERROR(__xludf.DUMMYFUNCTION("""COMPUTED_VALUE"""),45890.6666666666)</f>
        <v>45890.666666666599</v>
      </c>
      <c r="B1416" s="1">
        <f ca="1">IFERROR(__xludf.DUMMYFUNCTION("""COMPUTED_VALUE"""),224.9)</f>
        <v>224.9</v>
      </c>
      <c r="C1416" s="1">
        <f ca="1">IFERROR(__xludf.DUMMYFUNCTION("""COMPUTED_VALUE"""),509.77)</f>
        <v>509.77</v>
      </c>
      <c r="D1416" s="1">
        <f ca="1">IFERROR(__xludf.DUMMYFUNCTION("""COMPUTED_VALUE"""),228.01)</f>
        <v>228.01</v>
      </c>
      <c r="E1416" s="1">
        <f ca="1">IFERROR(__xludf.DUMMYFUNCTION("""COMPUTED_VALUE"""),175.64)</f>
        <v>175.64</v>
      </c>
      <c r="F1416" s="1">
        <f ca="1">IFERROR(__xludf.DUMMYFUNCTION("""COMPUTED_VALUE"""),751.48)</f>
        <v>751.48</v>
      </c>
      <c r="G1416" s="1">
        <f ca="1">IFERROR(__xludf.DUMMYFUNCTION("""COMPUTED_VALUE"""),202.49)</f>
        <v>202.49</v>
      </c>
      <c r="H1416" s="1">
        <f ca="1">IFERROR(__xludf.DUMMYFUNCTION("""COMPUTED_VALUE"""),329.31)</f>
        <v>329.31</v>
      </c>
      <c r="I1416" s="1">
        <f ca="1">IFERROR(__xludf.DUMMYFUNCTION("""COMPUTED_VALUE"""),152.16)</f>
        <v>152.16</v>
      </c>
      <c r="J1416" s="1">
        <f ca="1">IFERROR(__xludf.DUMMYFUNCTION("""COMPUTED_VALUE"""),980.85)</f>
        <v>980.85</v>
      </c>
      <c r="K1416" s="1">
        <f ca="1">IFERROR(__xludf.DUMMYFUNCTION("""COMPUTED_VALUE"""),294.91)</f>
        <v>294.91000000000003</v>
      </c>
      <c r="L1416" s="1">
        <f ca="1">IFERROR(__xludf.DUMMYFUNCTION("""COMPUTED_VALUE"""),361.03)</f>
        <v>361.03</v>
      </c>
      <c r="M1416" s="1">
        <f ca="1">IFERROR(__xludf.DUMMYFUNCTION("""COMPUTED_VALUE"""),1214.15)</f>
        <v>1214.1500000000001</v>
      </c>
    </row>
    <row r="1417" spans="1:13" x14ac:dyDescent="0.25">
      <c r="A1417" s="2">
        <f ca="1">IFERROR(__xludf.DUMMYFUNCTION("""COMPUTED_VALUE"""),45891.6666666666)</f>
        <v>45891.666666666599</v>
      </c>
      <c r="B1417" s="1">
        <f ca="1">IFERROR(__xludf.DUMMYFUNCTION("""COMPUTED_VALUE"""),227.76)</f>
        <v>227.76</v>
      </c>
      <c r="C1417" s="1">
        <f ca="1">IFERROR(__xludf.DUMMYFUNCTION("""COMPUTED_VALUE"""),505.72)</f>
        <v>505.72</v>
      </c>
      <c r="D1417" s="1">
        <f ca="1">IFERROR(__xludf.DUMMYFUNCTION("""COMPUTED_VALUE"""),223.81)</f>
        <v>223.81</v>
      </c>
      <c r="E1417" s="1">
        <f ca="1">IFERROR(__xludf.DUMMYFUNCTION("""COMPUTED_VALUE"""),175.4)</f>
        <v>175.4</v>
      </c>
      <c r="F1417" s="1">
        <f ca="1">IFERROR(__xludf.DUMMYFUNCTION("""COMPUTED_VALUE"""),747.72)</f>
        <v>747.72</v>
      </c>
      <c r="G1417" s="1">
        <f ca="1">IFERROR(__xludf.DUMMYFUNCTION("""COMPUTED_VALUE"""),200.19)</f>
        <v>200.19</v>
      </c>
      <c r="H1417" s="1">
        <f ca="1">IFERROR(__xludf.DUMMYFUNCTION("""COMPUTED_VALUE"""),323.9)</f>
        <v>323.89999999999998</v>
      </c>
      <c r="I1417" s="1">
        <f ca="1">IFERROR(__xludf.DUMMYFUNCTION("""COMPUTED_VALUE"""),150.73)</f>
        <v>150.72999999999999</v>
      </c>
      <c r="J1417" s="1">
        <f ca="1">IFERROR(__xludf.DUMMYFUNCTION("""COMPUTED_VALUE"""),994.57)</f>
        <v>994.57</v>
      </c>
      <c r="K1417" s="1">
        <f ca="1">IFERROR(__xludf.DUMMYFUNCTION("""COMPUTED_VALUE"""),291.17)</f>
        <v>291.17</v>
      </c>
      <c r="L1417" s="1">
        <f ca="1">IFERROR(__xludf.DUMMYFUNCTION("""COMPUTED_VALUE"""),353.43)</f>
        <v>353.43</v>
      </c>
      <c r="M1417" s="1">
        <f ca="1">IFERROR(__xludf.DUMMYFUNCTION("""COMPUTED_VALUE"""),1213.86)</f>
        <v>1213.8599999999999</v>
      </c>
    </row>
    <row r="1418" spans="1:13" x14ac:dyDescent="0.25">
      <c r="A1418" s="2">
        <f ca="1">IFERROR(__xludf.DUMMYFUNCTION("""COMPUTED_VALUE"""),45894.6666666666)</f>
        <v>45894.666666666599</v>
      </c>
      <c r="B1418" s="1">
        <f ca="1">IFERROR(__xludf.DUMMYFUNCTION("""COMPUTED_VALUE"""),227.16)</f>
        <v>227.16</v>
      </c>
      <c r="C1418" s="1">
        <f ca="1">IFERROR(__xludf.DUMMYFUNCTION("""COMPUTED_VALUE"""),504.24)</f>
        <v>504.24</v>
      </c>
      <c r="D1418" s="1">
        <f ca="1">IFERROR(__xludf.DUMMYFUNCTION("""COMPUTED_VALUE"""),221.95)</f>
        <v>221.95</v>
      </c>
      <c r="E1418" s="1">
        <f ca="1">IFERROR(__xludf.DUMMYFUNCTION("""COMPUTED_VALUE"""),174.98)</f>
        <v>174.98</v>
      </c>
      <c r="F1418" s="1">
        <f ca="1">IFERROR(__xludf.DUMMYFUNCTION("""COMPUTED_VALUE"""),739.1)</f>
        <v>739.1</v>
      </c>
      <c r="G1418" s="1">
        <f ca="1">IFERROR(__xludf.DUMMYFUNCTION("""COMPUTED_VALUE"""),200.62)</f>
        <v>200.62</v>
      </c>
      <c r="H1418" s="1">
        <f ca="1">IFERROR(__xludf.DUMMYFUNCTION("""COMPUTED_VALUE"""),320.11)</f>
        <v>320.11</v>
      </c>
      <c r="I1418" s="1">
        <f ca="1">IFERROR(__xludf.DUMMYFUNCTION("""COMPUTED_VALUE"""),148.98)</f>
        <v>148.97999999999999</v>
      </c>
      <c r="J1418" s="1">
        <f ca="1">IFERROR(__xludf.DUMMYFUNCTION("""COMPUTED_VALUE"""),969.68)</f>
        <v>969.68</v>
      </c>
      <c r="K1418" s="1">
        <f ca="1">IFERROR(__xludf.DUMMYFUNCTION("""COMPUTED_VALUE"""),289.6)</f>
        <v>289.60000000000002</v>
      </c>
      <c r="L1418" s="1">
        <f ca="1">IFERROR(__xludf.DUMMYFUNCTION("""COMPUTED_VALUE"""),353.43)</f>
        <v>353.43</v>
      </c>
      <c r="M1418" s="1">
        <f ca="1">IFERROR(__xludf.DUMMYFUNCTION("""COMPUTED_VALUE"""),1206.21)</f>
        <v>1206.21</v>
      </c>
    </row>
    <row r="1419" spans="1:13" x14ac:dyDescent="0.25">
      <c r="A1419" s="2">
        <f ca="1">IFERROR(__xludf.DUMMYFUNCTION("""COMPUTED_VALUE"""),45895.6666666666)</f>
        <v>45895.666666666599</v>
      </c>
      <c r="B1419" s="1">
        <f ca="1">IFERROR(__xludf.DUMMYFUNCTION("""COMPUTED_VALUE"""),229.31)</f>
        <v>229.31</v>
      </c>
      <c r="C1419" s="1">
        <f ca="1">IFERROR(__xludf.DUMMYFUNCTION("""COMPUTED_VALUE"""),507.23)</f>
        <v>507.23</v>
      </c>
      <c r="D1419" s="1">
        <f ca="1">IFERROR(__xludf.DUMMYFUNCTION("""COMPUTED_VALUE"""),228.84)</f>
        <v>228.84</v>
      </c>
      <c r="E1419" s="1">
        <f ca="1">IFERROR(__xludf.DUMMYFUNCTION("""COMPUTED_VALUE"""),177.99)</f>
        <v>177.99</v>
      </c>
      <c r="F1419" s="1">
        <f ca="1">IFERROR(__xludf.DUMMYFUNCTION("""COMPUTED_VALUE"""),754.79)</f>
        <v>754.79</v>
      </c>
      <c r="G1419" s="1">
        <f ca="1">IFERROR(__xludf.DUMMYFUNCTION("""COMPUTED_VALUE"""),206.72)</f>
        <v>206.72</v>
      </c>
      <c r="H1419" s="1">
        <f ca="1">IFERROR(__xludf.DUMMYFUNCTION("""COMPUTED_VALUE"""),340.01)</f>
        <v>340.01</v>
      </c>
      <c r="I1419" s="1">
        <f ca="1">IFERROR(__xludf.DUMMYFUNCTION("""COMPUTED_VALUE"""),149.64)</f>
        <v>149.63999999999999</v>
      </c>
      <c r="J1419" s="1">
        <f ca="1">IFERROR(__xludf.DUMMYFUNCTION("""COMPUTED_VALUE"""),958.54)</f>
        <v>958.54</v>
      </c>
      <c r="K1419" s="1">
        <f ca="1">IFERROR(__xludf.DUMMYFUNCTION("""COMPUTED_VALUE"""),294)</f>
        <v>294</v>
      </c>
      <c r="L1419" s="1">
        <f ca="1">IFERROR(__xludf.DUMMYFUNCTION("""COMPUTED_VALUE"""),362.09)</f>
        <v>362.09</v>
      </c>
      <c r="M1419" s="1">
        <f ca="1">IFERROR(__xludf.DUMMYFUNCTION("""COMPUTED_VALUE"""),1204.65)</f>
        <v>1204.6500000000001</v>
      </c>
    </row>
    <row r="1420" spans="1:13" x14ac:dyDescent="0.25">
      <c r="A1420" s="2">
        <f ca="1">IFERROR(__xludf.DUMMYFUNCTION("""COMPUTED_VALUE"""),45896.6666666666)</f>
        <v>45896.666666666599</v>
      </c>
      <c r="B1420" s="1">
        <f ca="1">IFERROR(__xludf.DUMMYFUNCTION("""COMPUTED_VALUE"""),230.49)</f>
        <v>230.49</v>
      </c>
      <c r="C1420" s="1">
        <f ca="1">IFERROR(__xludf.DUMMYFUNCTION("""COMPUTED_VALUE"""),504.26)</f>
        <v>504.26</v>
      </c>
      <c r="D1420" s="1">
        <f ca="1">IFERROR(__xludf.DUMMYFUNCTION("""COMPUTED_VALUE"""),227.94)</f>
        <v>227.94</v>
      </c>
      <c r="E1420" s="1">
        <f ca="1">IFERROR(__xludf.DUMMYFUNCTION("""COMPUTED_VALUE"""),179.81)</f>
        <v>179.81</v>
      </c>
      <c r="F1420" s="1">
        <f ca="1">IFERROR(__xludf.DUMMYFUNCTION("""COMPUTED_VALUE"""),753.3)</f>
        <v>753.3</v>
      </c>
      <c r="G1420" s="1">
        <f ca="1">IFERROR(__xludf.DUMMYFUNCTION("""COMPUTED_VALUE"""),209.16)</f>
        <v>209.16</v>
      </c>
      <c r="H1420" s="1">
        <f ca="1">IFERROR(__xludf.DUMMYFUNCTION("""COMPUTED_VALUE"""),346.6)</f>
        <v>346.6</v>
      </c>
      <c r="I1420" s="1">
        <f ca="1">IFERROR(__xludf.DUMMYFUNCTION("""COMPUTED_VALUE"""),148.2)</f>
        <v>148.19999999999999</v>
      </c>
      <c r="J1420" s="1">
        <f ca="1">IFERROR(__xludf.DUMMYFUNCTION("""COMPUTED_VALUE"""),941.58)</f>
        <v>941.58</v>
      </c>
      <c r="K1420" s="1">
        <f ca="1">IFERROR(__xludf.DUMMYFUNCTION("""COMPUTED_VALUE"""),294.23)</f>
        <v>294.23</v>
      </c>
      <c r="L1420" s="1">
        <f ca="1">IFERROR(__xludf.DUMMYFUNCTION("""COMPUTED_VALUE"""),363.21)</f>
        <v>363.21</v>
      </c>
      <c r="M1420" s="1">
        <f ca="1">IFERROR(__xludf.DUMMYFUNCTION("""COMPUTED_VALUE"""),1218.07)</f>
        <v>1218.07</v>
      </c>
    </row>
    <row r="1421" spans="1:13" x14ac:dyDescent="0.25">
      <c r="A1421" s="2">
        <f ca="1">IFERROR(__xludf.DUMMYFUNCTION("""COMPUTED_VALUE"""),45897.6666666666)</f>
        <v>45897.666666666599</v>
      </c>
      <c r="B1421" s="1">
        <f ca="1">IFERROR(__xludf.DUMMYFUNCTION("""COMPUTED_VALUE"""),232.56)</f>
        <v>232.56</v>
      </c>
      <c r="C1421" s="1">
        <f ca="1">IFERROR(__xludf.DUMMYFUNCTION("""COMPUTED_VALUE"""),502.04)</f>
        <v>502.04</v>
      </c>
      <c r="D1421" s="1">
        <f ca="1">IFERROR(__xludf.DUMMYFUNCTION("""COMPUTED_VALUE"""),228.71)</f>
        <v>228.71</v>
      </c>
      <c r="E1421" s="1">
        <f ca="1">IFERROR(__xludf.DUMMYFUNCTION("""COMPUTED_VALUE"""),181.77)</f>
        <v>181.77</v>
      </c>
      <c r="F1421" s="1">
        <f ca="1">IFERROR(__xludf.DUMMYFUNCTION("""COMPUTED_VALUE"""),754.1)</f>
        <v>754.1</v>
      </c>
      <c r="G1421" s="1">
        <f ca="1">IFERROR(__xludf.DUMMYFUNCTION("""COMPUTED_VALUE"""),207.95)</f>
        <v>207.95</v>
      </c>
      <c r="H1421" s="1">
        <f ca="1">IFERROR(__xludf.DUMMYFUNCTION("""COMPUTED_VALUE"""),351.67)</f>
        <v>351.67</v>
      </c>
      <c r="I1421" s="1">
        <f ca="1">IFERROR(__xludf.DUMMYFUNCTION("""COMPUTED_VALUE"""),147)</f>
        <v>147</v>
      </c>
      <c r="J1421" s="1">
        <f ca="1">IFERROR(__xludf.DUMMYFUNCTION("""COMPUTED_VALUE"""),941.34)</f>
        <v>941.34</v>
      </c>
      <c r="K1421" s="1">
        <f ca="1">IFERROR(__xludf.DUMMYFUNCTION("""COMPUTED_VALUE"""),298.01)</f>
        <v>298.01</v>
      </c>
      <c r="L1421" s="1">
        <f ca="1">IFERROR(__xludf.DUMMYFUNCTION("""COMPUTED_VALUE"""),354.91)</f>
        <v>354.91</v>
      </c>
      <c r="M1421" s="1">
        <f ca="1">IFERROR(__xludf.DUMMYFUNCTION("""COMPUTED_VALUE"""),1226.09)</f>
        <v>1226.0899999999999</v>
      </c>
    </row>
    <row r="1422" spans="1:13" x14ac:dyDescent="0.25">
      <c r="A1422" s="2">
        <f ca="1">IFERROR(__xludf.DUMMYFUNCTION("""COMPUTED_VALUE"""),45898.6666666666)</f>
        <v>45898.666666666599</v>
      </c>
      <c r="B1422" s="1">
        <f ca="1">IFERROR(__xludf.DUMMYFUNCTION("""COMPUTED_VALUE"""),232.14)</f>
        <v>232.14</v>
      </c>
      <c r="C1422" s="1">
        <f ca="1">IFERROR(__xludf.DUMMYFUNCTION("""COMPUTED_VALUE"""),506.74)</f>
        <v>506.74</v>
      </c>
      <c r="D1422" s="1">
        <f ca="1">IFERROR(__xludf.DUMMYFUNCTION("""COMPUTED_VALUE"""),229.12)</f>
        <v>229.12</v>
      </c>
      <c r="E1422" s="1">
        <f ca="1">IFERROR(__xludf.DUMMYFUNCTION("""COMPUTED_VALUE"""),181.6)</f>
        <v>181.6</v>
      </c>
      <c r="F1422" s="1">
        <f ca="1">IFERROR(__xludf.DUMMYFUNCTION("""COMPUTED_VALUE"""),747.38)</f>
        <v>747.38</v>
      </c>
      <c r="G1422" s="1">
        <f ca="1">IFERROR(__xludf.DUMMYFUNCTION("""COMPUTED_VALUE"""),208.21)</f>
        <v>208.21</v>
      </c>
      <c r="H1422" s="1">
        <f ca="1">IFERROR(__xludf.DUMMYFUNCTION("""COMPUTED_VALUE"""),349.6)</f>
        <v>349.6</v>
      </c>
      <c r="I1422" s="1">
        <f ca="1">IFERROR(__xludf.DUMMYFUNCTION("""COMPUTED_VALUE"""),147.64)</f>
        <v>147.63999999999999</v>
      </c>
      <c r="J1422" s="1">
        <f ca="1">IFERROR(__xludf.DUMMYFUNCTION("""COMPUTED_VALUE"""),949.52)</f>
        <v>949.52</v>
      </c>
      <c r="K1422" s="1">
        <f ca="1">IFERROR(__xludf.DUMMYFUNCTION("""COMPUTED_VALUE"""),300.25)</f>
        <v>300.25</v>
      </c>
      <c r="L1422" s="1">
        <f ca="1">IFERROR(__xludf.DUMMYFUNCTION("""COMPUTED_VALUE"""),356.35)</f>
        <v>356.35</v>
      </c>
      <c r="M1422" s="1">
        <f ca="1">IFERROR(__xludf.DUMMYFUNCTION("""COMPUTED_VALUE"""),1223.5)</f>
        <v>1223.5</v>
      </c>
    </row>
    <row r="1423" spans="1:13" x14ac:dyDescent="0.25">
      <c r="A1423" s="2">
        <f ca="1">IFERROR(__xludf.DUMMYFUNCTION("""COMPUTED_VALUE"""),45902.6666666666)</f>
        <v>45902.666666666599</v>
      </c>
      <c r="B1423" s="1">
        <f ca="1">IFERROR(__xludf.DUMMYFUNCTION("""COMPUTED_VALUE"""),229.72)</f>
        <v>229.72</v>
      </c>
      <c r="C1423" s="1">
        <f ca="1">IFERROR(__xludf.DUMMYFUNCTION("""COMPUTED_VALUE"""),509.64)</f>
        <v>509.64</v>
      </c>
      <c r="D1423" s="1">
        <f ca="1">IFERROR(__xludf.DUMMYFUNCTION("""COMPUTED_VALUE"""),231.6)</f>
        <v>231.6</v>
      </c>
      <c r="E1423" s="1">
        <f ca="1">IFERROR(__xludf.DUMMYFUNCTION("""COMPUTED_VALUE"""),180.17)</f>
        <v>180.17</v>
      </c>
      <c r="F1423" s="1">
        <f ca="1">IFERROR(__xludf.DUMMYFUNCTION("""COMPUTED_VALUE"""),751.11)</f>
        <v>751.11</v>
      </c>
      <c r="G1423" s="1">
        <f ca="1">IFERROR(__xludf.DUMMYFUNCTION("""COMPUTED_VALUE"""),212.37)</f>
        <v>212.37</v>
      </c>
      <c r="H1423" s="1">
        <f ca="1">IFERROR(__xludf.DUMMYFUNCTION("""COMPUTED_VALUE"""),345.98)</f>
        <v>345.98</v>
      </c>
      <c r="I1423" s="1">
        <f ca="1">IFERROR(__xludf.DUMMYFUNCTION("""COMPUTED_VALUE"""),146.98)</f>
        <v>146.97999999999999</v>
      </c>
      <c r="J1423" s="1">
        <f ca="1">IFERROR(__xludf.DUMMYFUNCTION("""COMPUTED_VALUE"""),944.96)</f>
        <v>944.96</v>
      </c>
      <c r="K1423" s="1">
        <f ca="1">IFERROR(__xludf.DUMMYFUNCTION("""COMPUTED_VALUE"""),308.65)</f>
        <v>308.64999999999998</v>
      </c>
      <c r="L1423" s="1">
        <f ca="1">IFERROR(__xludf.DUMMYFUNCTION("""COMPUTED_VALUE"""),353.96)</f>
        <v>353.96</v>
      </c>
      <c r="M1423" s="1">
        <f ca="1">IFERROR(__xludf.DUMMYFUNCTION("""COMPUTED_VALUE"""),1231.45)</f>
        <v>1231.45</v>
      </c>
    </row>
    <row r="1424" spans="1:13" x14ac:dyDescent="0.25">
      <c r="A1424" s="2">
        <f ca="1">IFERROR(__xludf.DUMMYFUNCTION("""COMPUTED_VALUE"""),45903.6666666666)</f>
        <v>45903.666666666599</v>
      </c>
      <c r="B1424" s="1">
        <f ca="1">IFERROR(__xludf.DUMMYFUNCTION("""COMPUTED_VALUE"""),238.47)</f>
        <v>238.47</v>
      </c>
      <c r="C1424" s="1">
        <f ca="1">IFERROR(__xludf.DUMMYFUNCTION("""COMPUTED_VALUE"""),506.69)</f>
        <v>506.69</v>
      </c>
      <c r="D1424" s="1">
        <f ca="1">IFERROR(__xludf.DUMMYFUNCTION("""COMPUTED_VALUE"""),229)</f>
        <v>229</v>
      </c>
      <c r="E1424" s="1">
        <f ca="1">IFERROR(__xludf.DUMMYFUNCTION("""COMPUTED_VALUE"""),174.18)</f>
        <v>174.18</v>
      </c>
      <c r="F1424" s="1">
        <f ca="1">IFERROR(__xludf.DUMMYFUNCTION("""COMPUTED_VALUE"""),738.7)</f>
        <v>738.7</v>
      </c>
      <c r="G1424" s="1">
        <f ca="1">IFERROR(__xludf.DUMMYFUNCTION("""COMPUTED_VALUE"""),213.53)</f>
        <v>213.53</v>
      </c>
      <c r="H1424" s="1">
        <f ca="1">IFERROR(__xludf.DUMMYFUNCTION("""COMPUTED_VALUE"""),333.87)</f>
        <v>333.87</v>
      </c>
      <c r="I1424" s="1">
        <f ca="1">IFERROR(__xludf.DUMMYFUNCTION("""COMPUTED_VALUE"""),148.65)</f>
        <v>148.65</v>
      </c>
      <c r="J1424" s="1">
        <f ca="1">IFERROR(__xludf.DUMMYFUNCTION("""COMPUTED_VALUE"""),943.32)</f>
        <v>943.32</v>
      </c>
      <c r="K1424" s="1">
        <f ca="1">IFERROR(__xludf.DUMMYFUNCTION("""COMPUTED_VALUE"""),297.39)</f>
        <v>297.39</v>
      </c>
      <c r="L1424" s="1">
        <f ca="1">IFERROR(__xludf.DUMMYFUNCTION("""COMPUTED_VALUE"""),356.7)</f>
        <v>356.7</v>
      </c>
      <c r="M1424" s="1">
        <f ca="1">IFERROR(__xludf.DUMMYFUNCTION("""COMPUTED_VALUE"""),1208.25)</f>
        <v>1208.25</v>
      </c>
    </row>
    <row r="1425" spans="1:13" x14ac:dyDescent="0.25">
      <c r="A1425" s="2">
        <f ca="1">IFERROR(__xludf.DUMMYFUNCTION("""COMPUTED_VALUE"""),45904.6666666666)</f>
        <v>45904.666666666599</v>
      </c>
      <c r="B1425" s="1">
        <f ca="1">IFERROR(__xludf.DUMMYFUNCTION("""COMPUTED_VALUE"""),239.78)</f>
        <v>239.78</v>
      </c>
      <c r="C1425" s="1">
        <f ca="1">IFERROR(__xludf.DUMMYFUNCTION("""COMPUTED_VALUE"""),505.12)</f>
        <v>505.12</v>
      </c>
      <c r="D1425" s="1">
        <f ca="1">IFERROR(__xludf.DUMMYFUNCTION("""COMPUTED_VALUE"""),225.34)</f>
        <v>225.34</v>
      </c>
      <c r="E1425" s="1">
        <f ca="1">IFERROR(__xludf.DUMMYFUNCTION("""COMPUTED_VALUE"""),170.78)</f>
        <v>170.78</v>
      </c>
      <c r="F1425" s="1">
        <f ca="1">IFERROR(__xludf.DUMMYFUNCTION("""COMPUTED_VALUE"""),735.11)</f>
        <v>735.11</v>
      </c>
      <c r="G1425" s="1">
        <f ca="1">IFERROR(__xludf.DUMMYFUNCTION("""COMPUTED_VALUE"""),211.99)</f>
        <v>211.99</v>
      </c>
      <c r="H1425" s="1">
        <f ca="1">IFERROR(__xludf.DUMMYFUNCTION("""COMPUTED_VALUE"""),329.36)</f>
        <v>329.36</v>
      </c>
      <c r="I1425" s="1">
        <f ca="1">IFERROR(__xludf.DUMMYFUNCTION("""COMPUTED_VALUE"""),150.28)</f>
        <v>150.28</v>
      </c>
      <c r="J1425" s="1">
        <f ca="1">IFERROR(__xludf.DUMMYFUNCTION("""COMPUTED_VALUE"""),938.82)</f>
        <v>938.82</v>
      </c>
      <c r="K1425" s="1">
        <f ca="1">IFERROR(__xludf.DUMMYFUNCTION("""COMPUTED_VALUE"""),298.24)</f>
        <v>298.24</v>
      </c>
      <c r="L1425" s="1">
        <f ca="1">IFERROR(__xludf.DUMMYFUNCTION("""COMPUTED_VALUE"""),345.63)</f>
        <v>345.63</v>
      </c>
      <c r="M1425" s="1">
        <f ca="1">IFERROR(__xludf.DUMMYFUNCTION("""COMPUTED_VALUE"""),1214.11)</f>
        <v>1214.1099999999999</v>
      </c>
    </row>
    <row r="1426" spans="1:13" x14ac:dyDescent="0.25">
      <c r="A1426" s="2">
        <f ca="1">IFERROR(__xludf.DUMMYFUNCTION("""COMPUTED_VALUE"""),45905.6666666666)</f>
        <v>45905.666666666599</v>
      </c>
      <c r="B1426" s="1">
        <f ca="1">IFERROR(__xludf.DUMMYFUNCTION("""COMPUTED_VALUE"""),239.69)</f>
        <v>239.69</v>
      </c>
      <c r="C1426" s="1">
        <f ca="1">IFERROR(__xludf.DUMMYFUNCTION("""COMPUTED_VALUE"""),505.35)</f>
        <v>505.35</v>
      </c>
      <c r="D1426" s="1">
        <f ca="1">IFERROR(__xludf.DUMMYFUNCTION("""COMPUTED_VALUE"""),225.99)</f>
        <v>225.99</v>
      </c>
      <c r="E1426" s="1">
        <f ca="1">IFERROR(__xludf.DUMMYFUNCTION("""COMPUTED_VALUE"""),170.62)</f>
        <v>170.62</v>
      </c>
      <c r="F1426" s="1">
        <f ca="1">IFERROR(__xludf.DUMMYFUNCTION("""COMPUTED_VALUE"""),737.05)</f>
        <v>737.05</v>
      </c>
      <c r="G1426" s="1">
        <f ca="1">IFERROR(__xludf.DUMMYFUNCTION("""COMPUTED_VALUE"""),231.1)</f>
        <v>231.1</v>
      </c>
      <c r="H1426" s="1">
        <f ca="1">IFERROR(__xludf.DUMMYFUNCTION("""COMPUTED_VALUE"""),334.09)</f>
        <v>334.09</v>
      </c>
      <c r="I1426" s="1">
        <f ca="1">IFERROR(__xludf.DUMMYFUNCTION("""COMPUTED_VALUE"""),148.64)</f>
        <v>148.63999999999999</v>
      </c>
      <c r="J1426" s="1">
        <f ca="1">IFERROR(__xludf.DUMMYFUNCTION("""COMPUTED_VALUE"""),949.78)</f>
        <v>949.78</v>
      </c>
      <c r="K1426" s="1">
        <f ca="1">IFERROR(__xludf.DUMMYFUNCTION("""COMPUTED_VALUE"""),302.39)</f>
        <v>302.39</v>
      </c>
      <c r="L1426" s="1">
        <f ca="1">IFERROR(__xludf.DUMMYFUNCTION("""COMPUTED_VALUE"""),348.5)</f>
        <v>348.5</v>
      </c>
      <c r="M1426" s="1">
        <f ca="1">IFERROR(__xludf.DUMMYFUNCTION("""COMPUTED_VALUE"""),1226.18)</f>
        <v>1226.18</v>
      </c>
    </row>
    <row r="1427" spans="1:13" x14ac:dyDescent="0.25">
      <c r="A1427" s="2">
        <f ca="1">IFERROR(__xludf.DUMMYFUNCTION("""COMPUTED_VALUE"""),45908.6666666666)</f>
        <v>45908.666666666599</v>
      </c>
      <c r="B1427" s="1">
        <f ca="1">IFERROR(__xludf.DUMMYFUNCTION("""COMPUTED_VALUE"""),237.88)</f>
        <v>237.88</v>
      </c>
      <c r="C1427" s="1">
        <f ca="1">IFERROR(__xludf.DUMMYFUNCTION("""COMPUTED_VALUE"""),507.97)</f>
        <v>507.97</v>
      </c>
      <c r="D1427" s="1">
        <f ca="1">IFERROR(__xludf.DUMMYFUNCTION("""COMPUTED_VALUE"""),235.68)</f>
        <v>235.68</v>
      </c>
      <c r="E1427" s="1">
        <f ca="1">IFERROR(__xludf.DUMMYFUNCTION("""COMPUTED_VALUE"""),171.66)</f>
        <v>171.66</v>
      </c>
      <c r="F1427" s="1">
        <f ca="1">IFERROR(__xludf.DUMMYFUNCTION("""COMPUTED_VALUE"""),748.65)</f>
        <v>748.65</v>
      </c>
      <c r="G1427" s="1">
        <f ca="1">IFERROR(__xludf.DUMMYFUNCTION("""COMPUTED_VALUE"""),232.66)</f>
        <v>232.66</v>
      </c>
      <c r="H1427" s="1">
        <f ca="1">IFERROR(__xludf.DUMMYFUNCTION("""COMPUTED_VALUE"""),338.53)</f>
        <v>338.53</v>
      </c>
      <c r="I1427" s="1">
        <f ca="1">IFERROR(__xludf.DUMMYFUNCTION("""COMPUTED_VALUE"""),146.89)</f>
        <v>146.88999999999999</v>
      </c>
      <c r="J1427" s="1">
        <f ca="1">IFERROR(__xludf.DUMMYFUNCTION("""COMPUTED_VALUE"""),955.9)</f>
        <v>955.9</v>
      </c>
      <c r="K1427" s="1">
        <f ca="1">IFERROR(__xludf.DUMMYFUNCTION("""COMPUTED_VALUE"""),306.1)</f>
        <v>306.10000000000002</v>
      </c>
      <c r="L1427" s="1">
        <f ca="1">IFERROR(__xludf.DUMMYFUNCTION("""COMPUTED_VALUE"""),344.31)</f>
        <v>344.31</v>
      </c>
      <c r="M1427" s="1">
        <f ca="1">IFERROR(__xludf.DUMMYFUNCTION("""COMPUTED_VALUE"""),1257.48)</f>
        <v>1257.48</v>
      </c>
    </row>
    <row r="1428" spans="1:13" x14ac:dyDescent="0.25">
      <c r="A1428" s="2">
        <f ca="1">IFERROR(__xludf.DUMMYFUNCTION("""COMPUTED_VALUE"""),45909.6666666666)</f>
        <v>45909.666666666599</v>
      </c>
      <c r="B1428" s="1">
        <f ca="1">IFERROR(__xludf.DUMMYFUNCTION("""COMPUTED_VALUE"""),234.35)</f>
        <v>234.35</v>
      </c>
      <c r="C1428" s="1">
        <f ca="1">IFERROR(__xludf.DUMMYFUNCTION("""COMPUTED_VALUE"""),495)</f>
        <v>495</v>
      </c>
      <c r="D1428" s="1">
        <f ca="1">IFERROR(__xludf.DUMMYFUNCTION("""COMPUTED_VALUE"""),232.33)</f>
        <v>232.33</v>
      </c>
      <c r="E1428" s="1">
        <f ca="1">IFERROR(__xludf.DUMMYFUNCTION("""COMPUTED_VALUE"""),167.02)</f>
        <v>167.02</v>
      </c>
      <c r="F1428" s="1">
        <f ca="1">IFERROR(__xludf.DUMMYFUNCTION("""COMPUTED_VALUE"""),752.45)</f>
        <v>752.45</v>
      </c>
      <c r="G1428" s="1">
        <f ca="1">IFERROR(__xludf.DUMMYFUNCTION("""COMPUTED_VALUE"""),235.17)</f>
        <v>235.17</v>
      </c>
      <c r="H1428" s="1">
        <f ca="1">IFERROR(__xludf.DUMMYFUNCTION("""COMPUTED_VALUE"""),350.84)</f>
        <v>350.84</v>
      </c>
      <c r="I1428" s="1">
        <f ca="1">IFERROR(__xludf.DUMMYFUNCTION("""COMPUTED_VALUE"""),146.39)</f>
        <v>146.38999999999999</v>
      </c>
      <c r="J1428" s="1">
        <f ca="1">IFERROR(__xludf.DUMMYFUNCTION("""COMPUTED_VALUE"""),963.48)</f>
        <v>963.48</v>
      </c>
      <c r="K1428" s="1">
        <f ca="1">IFERROR(__xludf.DUMMYFUNCTION("""COMPUTED_VALUE"""),334.89)</f>
        <v>334.89</v>
      </c>
      <c r="L1428" s="1">
        <f ca="1">IFERROR(__xludf.DUMMYFUNCTION("""COMPUTED_VALUE"""),348.97)</f>
        <v>348.97</v>
      </c>
      <c r="M1428" s="1">
        <f ca="1">IFERROR(__xludf.DUMMYFUNCTION("""COMPUTED_VALUE"""),1243.82)</f>
        <v>1243.82</v>
      </c>
    </row>
    <row r="1429" spans="1:13" x14ac:dyDescent="0.25">
      <c r="A1429" s="2">
        <f ca="1">IFERROR(__xludf.DUMMYFUNCTION("""COMPUTED_VALUE"""),45910.6666666666)</f>
        <v>45910.666666666599</v>
      </c>
      <c r="B1429" s="1">
        <f ca="1">IFERROR(__xludf.DUMMYFUNCTION("""COMPUTED_VALUE"""),226.79)</f>
        <v>226.79</v>
      </c>
      <c r="C1429" s="1">
        <f ca="1">IFERROR(__xludf.DUMMYFUNCTION("""COMPUTED_VALUE"""),498.2)</f>
        <v>498.2</v>
      </c>
      <c r="D1429" s="1">
        <f ca="1">IFERROR(__xludf.DUMMYFUNCTION("""COMPUTED_VALUE"""),235.84)</f>
        <v>235.84</v>
      </c>
      <c r="E1429" s="1">
        <f ca="1">IFERROR(__xludf.DUMMYFUNCTION("""COMPUTED_VALUE"""),168.31)</f>
        <v>168.31</v>
      </c>
      <c r="F1429" s="1">
        <f ca="1">IFERROR(__xludf.DUMMYFUNCTION("""COMPUTED_VALUE"""),752.3)</f>
        <v>752.3</v>
      </c>
      <c r="G1429" s="1">
        <f ca="1">IFERROR(__xludf.DUMMYFUNCTION("""COMPUTED_VALUE"""),234.16)</f>
        <v>234.16</v>
      </c>
      <c r="H1429" s="1">
        <f ca="1">IFERROR(__xludf.DUMMYFUNCTION("""COMPUTED_VALUE"""),346.4)</f>
        <v>346.4</v>
      </c>
      <c r="I1429" s="1">
        <f ca="1">IFERROR(__xludf.DUMMYFUNCTION("""COMPUTED_VALUE"""),141.71)</f>
        <v>141.71</v>
      </c>
      <c r="J1429" s="1">
        <f ca="1">IFERROR(__xludf.DUMMYFUNCTION("""COMPUTED_VALUE"""),971.85)</f>
        <v>971.85</v>
      </c>
      <c r="K1429" s="1">
        <f ca="1">IFERROR(__xludf.DUMMYFUNCTION("""COMPUTED_VALUE"""),345.65)</f>
        <v>345.65</v>
      </c>
      <c r="L1429" s="1">
        <f ca="1">IFERROR(__xludf.DUMMYFUNCTION("""COMPUTED_VALUE"""),358.66)</f>
        <v>358.66</v>
      </c>
      <c r="M1429" s="1">
        <f ca="1">IFERROR(__xludf.DUMMYFUNCTION("""COMPUTED_VALUE"""),1244.76)</f>
        <v>1244.76</v>
      </c>
    </row>
    <row r="1430" spans="1:13" x14ac:dyDescent="0.25">
      <c r="A1430" s="2">
        <f ca="1">IFERROR(__xludf.DUMMYFUNCTION("""COMPUTED_VALUE"""),45911.6666666666)</f>
        <v>45911.666666666599</v>
      </c>
      <c r="B1430" s="1">
        <f ca="1">IFERROR(__xludf.DUMMYFUNCTION("""COMPUTED_VALUE"""),230.03)</f>
        <v>230.03</v>
      </c>
      <c r="C1430" s="1">
        <f ca="1">IFERROR(__xludf.DUMMYFUNCTION("""COMPUTED_VALUE"""),498.41)</f>
        <v>498.41</v>
      </c>
      <c r="D1430" s="1">
        <f ca="1">IFERROR(__xludf.DUMMYFUNCTION("""COMPUTED_VALUE"""),238.24)</f>
        <v>238.24</v>
      </c>
      <c r="E1430" s="1">
        <f ca="1">IFERROR(__xludf.DUMMYFUNCTION("""COMPUTED_VALUE"""),170.76)</f>
        <v>170.76</v>
      </c>
      <c r="F1430" s="1">
        <f ca="1">IFERROR(__xludf.DUMMYFUNCTION("""COMPUTED_VALUE"""),765.7)</f>
        <v>765.7</v>
      </c>
      <c r="G1430" s="1">
        <f ca="1">IFERROR(__xludf.DUMMYFUNCTION("""COMPUTED_VALUE"""),239.94)</f>
        <v>239.94</v>
      </c>
      <c r="H1430" s="1">
        <f ca="1">IFERROR(__xludf.DUMMYFUNCTION("""COMPUTED_VALUE"""),346.97)</f>
        <v>346.97</v>
      </c>
      <c r="I1430" s="1">
        <f ca="1">IFERROR(__xludf.DUMMYFUNCTION("""COMPUTED_VALUE"""),143.1)</f>
        <v>143.1</v>
      </c>
      <c r="J1430" s="1">
        <f ca="1">IFERROR(__xludf.DUMMYFUNCTION("""COMPUTED_VALUE"""),979.25)</f>
        <v>979.25</v>
      </c>
      <c r="K1430" s="1">
        <f ca="1">IFERROR(__xludf.DUMMYFUNCTION("""COMPUTED_VALUE"""),336.67)</f>
        <v>336.67</v>
      </c>
      <c r="L1430" s="1">
        <f ca="1">IFERROR(__xludf.DUMMYFUNCTION("""COMPUTED_VALUE"""),354.06)</f>
        <v>354.06</v>
      </c>
      <c r="M1430" s="1">
        <f ca="1">IFERROR(__xludf.DUMMYFUNCTION("""COMPUTED_VALUE"""),1263.25)</f>
        <v>1263.25</v>
      </c>
    </row>
    <row r="1431" spans="1:13" x14ac:dyDescent="0.25">
      <c r="A1431" s="2">
        <f ca="1">IFERROR(__xludf.DUMMYFUNCTION("""COMPUTED_VALUE"""),45912.6666666666)</f>
        <v>45912.666666666599</v>
      </c>
      <c r="B1431" s="1">
        <f ca="1">IFERROR(__xludf.DUMMYFUNCTION("""COMPUTED_VALUE"""),234.07)</f>
        <v>234.07</v>
      </c>
      <c r="C1431" s="1">
        <f ca="1">IFERROR(__xludf.DUMMYFUNCTION("""COMPUTED_VALUE"""),500.37)</f>
        <v>500.37</v>
      </c>
      <c r="D1431" s="1">
        <f ca="1">IFERROR(__xludf.DUMMYFUNCTION("""COMPUTED_VALUE"""),230.33)</f>
        <v>230.33</v>
      </c>
      <c r="E1431" s="1">
        <f ca="1">IFERROR(__xludf.DUMMYFUNCTION("""COMPUTED_VALUE"""),177.33)</f>
        <v>177.33</v>
      </c>
      <c r="F1431" s="1">
        <f ca="1">IFERROR(__xludf.DUMMYFUNCTION("""COMPUTED_VALUE"""),751.98)</f>
        <v>751.98</v>
      </c>
      <c r="G1431" s="1">
        <f ca="1">IFERROR(__xludf.DUMMYFUNCTION("""COMPUTED_VALUE"""),239.56)</f>
        <v>239.56</v>
      </c>
      <c r="H1431" s="1">
        <f ca="1">IFERROR(__xludf.DUMMYFUNCTION("""COMPUTED_VALUE"""),347.79)</f>
        <v>347.79</v>
      </c>
      <c r="I1431" s="1">
        <f ca="1">IFERROR(__xludf.DUMMYFUNCTION("""COMPUTED_VALUE"""),142.66)</f>
        <v>142.66</v>
      </c>
      <c r="J1431" s="1">
        <f ca="1">IFERROR(__xludf.DUMMYFUNCTION("""COMPUTED_VALUE"""),956.29)</f>
        <v>956.29</v>
      </c>
      <c r="K1431" s="1">
        <f ca="1">IFERROR(__xludf.DUMMYFUNCTION("""COMPUTED_VALUE"""),369.57)</f>
        <v>369.57</v>
      </c>
      <c r="L1431" s="1">
        <f ca="1">IFERROR(__xludf.DUMMYFUNCTION("""COMPUTED_VALUE"""),350.16)</f>
        <v>350.16</v>
      </c>
      <c r="M1431" s="1">
        <f ca="1">IFERROR(__xludf.DUMMYFUNCTION("""COMPUTED_VALUE"""),1247.71)</f>
        <v>1247.71</v>
      </c>
    </row>
    <row r="1432" spans="1:13" x14ac:dyDescent="0.25">
      <c r="A1432" s="2">
        <f ca="1">IFERROR(__xludf.DUMMYFUNCTION("""COMPUTED_VALUE"""),45915.6666666666)</f>
        <v>45915.666666666599</v>
      </c>
      <c r="B1432" s="1">
        <f ca="1">IFERROR(__xludf.DUMMYFUNCTION("""COMPUTED_VALUE"""),236.7)</f>
        <v>236.7</v>
      </c>
      <c r="C1432" s="1">
        <f ca="1">IFERROR(__xludf.DUMMYFUNCTION("""COMPUTED_VALUE"""),501.01)</f>
        <v>501.01</v>
      </c>
      <c r="D1432" s="1">
        <f ca="1">IFERROR(__xludf.DUMMYFUNCTION("""COMPUTED_VALUE"""),229.95)</f>
        <v>229.95</v>
      </c>
      <c r="E1432" s="1">
        <f ca="1">IFERROR(__xludf.DUMMYFUNCTION("""COMPUTED_VALUE"""),177.17)</f>
        <v>177.17</v>
      </c>
      <c r="F1432" s="1">
        <f ca="1">IFERROR(__xludf.DUMMYFUNCTION("""COMPUTED_VALUE"""),750.9)</f>
        <v>750.9</v>
      </c>
      <c r="G1432" s="1">
        <f ca="1">IFERROR(__xludf.DUMMYFUNCTION("""COMPUTED_VALUE"""),240.78)</f>
        <v>240.78</v>
      </c>
      <c r="H1432" s="1">
        <f ca="1">IFERROR(__xludf.DUMMYFUNCTION("""COMPUTED_VALUE"""),368.81)</f>
        <v>368.81</v>
      </c>
      <c r="I1432" s="1">
        <f ca="1">IFERROR(__xludf.DUMMYFUNCTION("""COMPUTED_VALUE"""),144.23)</f>
        <v>144.22999999999999</v>
      </c>
      <c r="J1432" s="1">
        <f ca="1">IFERROR(__xludf.DUMMYFUNCTION("""COMPUTED_VALUE"""),964.32)</f>
        <v>964.32</v>
      </c>
      <c r="K1432" s="1">
        <f ca="1">IFERROR(__xludf.DUMMYFUNCTION("""COMPUTED_VALUE"""),359.63)</f>
        <v>359.63</v>
      </c>
      <c r="L1432" s="1">
        <f ca="1">IFERROR(__xludf.DUMMYFUNCTION("""COMPUTED_VALUE"""),350.55)</f>
        <v>350.55</v>
      </c>
      <c r="M1432" s="1">
        <f ca="1">IFERROR(__xludf.DUMMYFUNCTION("""COMPUTED_VALUE"""),1203.5)</f>
        <v>1203.5</v>
      </c>
    </row>
    <row r="1433" spans="1:13" x14ac:dyDescent="0.25">
      <c r="A1433" s="2">
        <f ca="1">IFERROR(__xludf.DUMMYFUNCTION("""COMPUTED_VALUE"""),45916.6666666666)</f>
        <v>45916.666666666599</v>
      </c>
      <c r="B1433" s="1">
        <f ca="1">IFERROR(__xludf.DUMMYFUNCTION("""COMPUTED_VALUE"""),238.15)</f>
        <v>238.15</v>
      </c>
      <c r="C1433" s="1">
        <f ca="1">IFERROR(__xludf.DUMMYFUNCTION("""COMPUTED_VALUE"""),509.9)</f>
        <v>509.9</v>
      </c>
      <c r="D1433" s="1">
        <f ca="1">IFERROR(__xludf.DUMMYFUNCTION("""COMPUTED_VALUE"""),228.15)</f>
        <v>228.15</v>
      </c>
      <c r="E1433" s="1">
        <f ca="1">IFERROR(__xludf.DUMMYFUNCTION("""COMPUTED_VALUE"""),177.82)</f>
        <v>177.82</v>
      </c>
      <c r="F1433" s="1">
        <f ca="1">IFERROR(__xludf.DUMMYFUNCTION("""COMPUTED_VALUE"""),755.59)</f>
        <v>755.59</v>
      </c>
      <c r="G1433" s="1">
        <f ca="1">IFERROR(__xludf.DUMMYFUNCTION("""COMPUTED_VALUE"""),241.38)</f>
        <v>241.38</v>
      </c>
      <c r="H1433" s="1">
        <f ca="1">IFERROR(__xludf.DUMMYFUNCTION("""COMPUTED_VALUE"""),395.94)</f>
        <v>395.94</v>
      </c>
      <c r="I1433" s="1">
        <f ca="1">IFERROR(__xludf.DUMMYFUNCTION("""COMPUTED_VALUE"""),143.53)</f>
        <v>143.53</v>
      </c>
      <c r="J1433" s="1">
        <f ca="1">IFERROR(__xludf.DUMMYFUNCTION("""COMPUTED_VALUE"""),967.9)</f>
        <v>967.9</v>
      </c>
      <c r="K1433" s="1">
        <f ca="1">IFERROR(__xludf.DUMMYFUNCTION("""COMPUTED_VALUE"""),359.87)</f>
        <v>359.87</v>
      </c>
      <c r="L1433" s="1">
        <f ca="1">IFERROR(__xludf.DUMMYFUNCTION("""COMPUTED_VALUE"""),349.36)</f>
        <v>349.36</v>
      </c>
      <c r="M1433" s="1">
        <f ca="1">IFERROR(__xludf.DUMMYFUNCTION("""COMPUTED_VALUE"""),1188.44)</f>
        <v>1188.44</v>
      </c>
    </row>
    <row r="1434" spans="1:13" x14ac:dyDescent="0.25">
      <c r="A1434" s="2">
        <f ca="1">IFERROR(__xludf.DUMMYFUNCTION("""COMPUTED_VALUE"""),45917.6666666666)</f>
        <v>45917.666666666599</v>
      </c>
      <c r="B1434" s="1">
        <f ca="1">IFERROR(__xludf.DUMMYFUNCTION("""COMPUTED_VALUE"""),238.99)</f>
        <v>238.99</v>
      </c>
      <c r="C1434" s="1">
        <f ca="1">IFERROR(__xludf.DUMMYFUNCTION("""COMPUTED_VALUE"""),515.36)</f>
        <v>515.36</v>
      </c>
      <c r="D1434" s="1">
        <f ca="1">IFERROR(__xludf.DUMMYFUNCTION("""COMPUTED_VALUE"""),231.43)</f>
        <v>231.43</v>
      </c>
      <c r="E1434" s="1">
        <f ca="1">IFERROR(__xludf.DUMMYFUNCTION("""COMPUTED_VALUE"""),177.75)</f>
        <v>177.75</v>
      </c>
      <c r="F1434" s="1">
        <f ca="1">IFERROR(__xludf.DUMMYFUNCTION("""COMPUTED_VALUE"""),764.7)</f>
        <v>764.7</v>
      </c>
      <c r="G1434" s="1">
        <f ca="1">IFERROR(__xludf.DUMMYFUNCTION("""COMPUTED_VALUE"""),251.76)</f>
        <v>251.76</v>
      </c>
      <c r="H1434" s="1">
        <f ca="1">IFERROR(__xludf.DUMMYFUNCTION("""COMPUTED_VALUE"""),410.04)</f>
        <v>410.04</v>
      </c>
      <c r="I1434" s="1">
        <f ca="1">IFERROR(__xludf.DUMMYFUNCTION("""COMPUTED_VALUE"""),140.64)</f>
        <v>140.63999999999999</v>
      </c>
      <c r="J1434" s="1">
        <f ca="1">IFERROR(__xludf.DUMMYFUNCTION("""COMPUTED_VALUE"""),960.1)</f>
        <v>960.1</v>
      </c>
      <c r="K1434" s="1">
        <f ca="1">IFERROR(__xludf.DUMMYFUNCTION("""COMPUTED_VALUE"""),364.09)</f>
        <v>364.09</v>
      </c>
      <c r="L1434" s="1">
        <f ca="1">IFERROR(__xludf.DUMMYFUNCTION("""COMPUTED_VALUE"""),347.1)</f>
        <v>347.1</v>
      </c>
      <c r="M1434" s="1">
        <f ca="1">IFERROR(__xludf.DUMMYFUNCTION("""COMPUTED_VALUE"""),1202.26)</f>
        <v>1202.26</v>
      </c>
    </row>
    <row r="1435" spans="1:13" x14ac:dyDescent="0.25">
      <c r="A1435" s="2">
        <f ca="1">IFERROR(__xludf.DUMMYFUNCTION("""COMPUTED_VALUE"""),45918.6666666666)</f>
        <v>45918.666666666599</v>
      </c>
      <c r="B1435" s="1">
        <f ca="1">IFERROR(__xludf.DUMMYFUNCTION("""COMPUTED_VALUE"""),237.88)</f>
        <v>237.88</v>
      </c>
      <c r="C1435" s="1">
        <f ca="1">IFERROR(__xludf.DUMMYFUNCTION("""COMPUTED_VALUE"""),509.04)</f>
        <v>509.04</v>
      </c>
      <c r="D1435" s="1">
        <f ca="1">IFERROR(__xludf.DUMMYFUNCTION("""COMPUTED_VALUE"""),234.05)</f>
        <v>234.05</v>
      </c>
      <c r="E1435" s="1">
        <f ca="1">IFERROR(__xludf.DUMMYFUNCTION("""COMPUTED_VALUE"""),174.88)</f>
        <v>174.88</v>
      </c>
      <c r="F1435" s="1">
        <f ca="1">IFERROR(__xludf.DUMMYFUNCTION("""COMPUTED_VALUE"""),779)</f>
        <v>779</v>
      </c>
      <c r="G1435" s="1">
        <f ca="1">IFERROR(__xludf.DUMMYFUNCTION("""COMPUTED_VALUE"""),251.42)</f>
        <v>251.42</v>
      </c>
      <c r="H1435" s="1">
        <f ca="1">IFERROR(__xludf.DUMMYFUNCTION("""COMPUTED_VALUE"""),421.62)</f>
        <v>421.62</v>
      </c>
      <c r="I1435" s="1">
        <f ca="1">IFERROR(__xludf.DUMMYFUNCTION("""COMPUTED_VALUE"""),140.03)</f>
        <v>140.03</v>
      </c>
      <c r="J1435" s="1">
        <f ca="1">IFERROR(__xludf.DUMMYFUNCTION("""COMPUTED_VALUE"""),952.07)</f>
        <v>952.07</v>
      </c>
      <c r="K1435" s="1">
        <f ca="1">IFERROR(__xludf.DUMMYFUNCTION("""COMPUTED_VALUE"""),360)</f>
        <v>360</v>
      </c>
      <c r="L1435" s="1">
        <f ca="1">IFERROR(__xludf.DUMMYFUNCTION("""COMPUTED_VALUE"""),352.73)</f>
        <v>352.73</v>
      </c>
      <c r="M1435" s="1">
        <f ca="1">IFERROR(__xludf.DUMMYFUNCTION("""COMPUTED_VALUE"""),1200.51)</f>
        <v>1200.51</v>
      </c>
    </row>
    <row r="1436" spans="1:13" x14ac:dyDescent="0.25">
      <c r="A1436" s="2">
        <f ca="1">IFERROR(__xludf.DUMMYFUNCTION("""COMPUTED_VALUE"""),45919.6666666666)</f>
        <v>45919.666666666599</v>
      </c>
      <c r="B1436" s="1">
        <f ca="1">IFERROR(__xludf.DUMMYFUNCTION("""COMPUTED_VALUE"""),245.5)</f>
        <v>245.5</v>
      </c>
      <c r="C1436" s="1">
        <f ca="1">IFERROR(__xludf.DUMMYFUNCTION("""COMPUTED_VALUE"""),510.02)</f>
        <v>510.02</v>
      </c>
      <c r="D1436" s="1">
        <f ca="1">IFERROR(__xludf.DUMMYFUNCTION("""COMPUTED_VALUE"""),231.62)</f>
        <v>231.62</v>
      </c>
      <c r="E1436" s="1">
        <f ca="1">IFERROR(__xludf.DUMMYFUNCTION("""COMPUTED_VALUE"""),170.29)</f>
        <v>170.29</v>
      </c>
      <c r="F1436" s="1">
        <f ca="1">IFERROR(__xludf.DUMMYFUNCTION("""COMPUTED_VALUE"""),775.72)</f>
        <v>775.72</v>
      </c>
      <c r="G1436" s="1">
        <f ca="1">IFERROR(__xludf.DUMMYFUNCTION("""COMPUTED_VALUE"""),249.85)</f>
        <v>249.85</v>
      </c>
      <c r="H1436" s="1">
        <f ca="1">IFERROR(__xludf.DUMMYFUNCTION("""COMPUTED_VALUE"""),425.86)</f>
        <v>425.86</v>
      </c>
      <c r="I1436" s="1">
        <f ca="1">IFERROR(__xludf.DUMMYFUNCTION("""COMPUTED_VALUE"""),141.23)</f>
        <v>141.22999999999999</v>
      </c>
      <c r="J1436" s="1">
        <f ca="1">IFERROR(__xludf.DUMMYFUNCTION("""COMPUTED_VALUE"""),963.03)</f>
        <v>963.03</v>
      </c>
      <c r="K1436" s="1">
        <f ca="1">IFERROR(__xludf.DUMMYFUNCTION("""COMPUTED_VALUE"""),346.17)</f>
        <v>346.17</v>
      </c>
      <c r="L1436" s="1">
        <f ca="1">IFERROR(__xludf.DUMMYFUNCTION("""COMPUTED_VALUE"""),362.07)</f>
        <v>362.07</v>
      </c>
      <c r="M1436" s="1">
        <f ca="1">IFERROR(__xludf.DUMMYFUNCTION("""COMPUTED_VALUE"""),1228.5)</f>
        <v>1228.5</v>
      </c>
    </row>
    <row r="1437" spans="1:13" x14ac:dyDescent="0.25">
      <c r="A1437" s="2">
        <f ca="1">IFERROR(__xludf.DUMMYFUNCTION("""COMPUTED_VALUE"""),45922.6666666666)</f>
        <v>45922.666666666599</v>
      </c>
      <c r="B1437" s="1">
        <f ca="1">IFERROR(__xludf.DUMMYFUNCTION("""COMPUTED_VALUE"""),256.08)</f>
        <v>256.08</v>
      </c>
      <c r="C1437" s="1">
        <f ca="1">IFERROR(__xludf.DUMMYFUNCTION("""COMPUTED_VALUE"""),508.45)</f>
        <v>508.45</v>
      </c>
      <c r="D1437" s="1">
        <f ca="1">IFERROR(__xludf.DUMMYFUNCTION("""COMPUTED_VALUE"""),231.23)</f>
        <v>231.23</v>
      </c>
      <c r="E1437" s="1">
        <f ca="1">IFERROR(__xludf.DUMMYFUNCTION("""COMPUTED_VALUE"""),176.24)</f>
        <v>176.24</v>
      </c>
      <c r="F1437" s="1">
        <f ca="1">IFERROR(__xludf.DUMMYFUNCTION("""COMPUTED_VALUE"""),780.25)</f>
        <v>780.25</v>
      </c>
      <c r="G1437" s="1">
        <f ca="1">IFERROR(__xludf.DUMMYFUNCTION("""COMPUTED_VALUE"""),252.33)</f>
        <v>252.33</v>
      </c>
      <c r="H1437" s="1">
        <f ca="1">IFERROR(__xludf.DUMMYFUNCTION("""COMPUTED_VALUE"""),416.85)</f>
        <v>416.85</v>
      </c>
      <c r="I1437" s="1">
        <f ca="1">IFERROR(__xludf.DUMMYFUNCTION("""COMPUTED_VALUE"""),140.73)</f>
        <v>140.72999999999999</v>
      </c>
      <c r="J1437" s="1">
        <f ca="1">IFERROR(__xludf.DUMMYFUNCTION("""COMPUTED_VALUE"""),952.36)</f>
        <v>952.36</v>
      </c>
      <c r="K1437" s="1">
        <f ca="1">IFERROR(__xludf.DUMMYFUNCTION("""COMPUTED_VALUE"""),345.35)</f>
        <v>345.35</v>
      </c>
      <c r="L1437" s="1">
        <f ca="1">IFERROR(__xludf.DUMMYFUNCTION("""COMPUTED_VALUE"""),367.46)</f>
        <v>367.46</v>
      </c>
      <c r="M1437" s="1">
        <f ca="1">IFERROR(__xludf.DUMMYFUNCTION("""COMPUTED_VALUE"""),1207.78)</f>
        <v>1207.78</v>
      </c>
    </row>
    <row r="1438" spans="1:13" x14ac:dyDescent="0.25">
      <c r="A1438" s="2">
        <f ca="1">IFERROR(__xludf.DUMMYFUNCTION("""COMPUTED_VALUE"""),45923.6666666666)</f>
        <v>45923.666666666599</v>
      </c>
      <c r="B1438" s="1">
        <f ca="1">IFERROR(__xludf.DUMMYFUNCTION("""COMPUTED_VALUE"""),254.43)</f>
        <v>254.43</v>
      </c>
      <c r="C1438" s="1">
        <f ca="1">IFERROR(__xludf.DUMMYFUNCTION("""COMPUTED_VALUE"""),517.93)</f>
        <v>517.92999999999995</v>
      </c>
      <c r="D1438" s="1">
        <f ca="1">IFERROR(__xludf.DUMMYFUNCTION("""COMPUTED_VALUE"""),231.48)</f>
        <v>231.48</v>
      </c>
      <c r="E1438" s="1">
        <f ca="1">IFERROR(__xludf.DUMMYFUNCTION("""COMPUTED_VALUE"""),176.67)</f>
        <v>176.67</v>
      </c>
      <c r="F1438" s="1">
        <f ca="1">IFERROR(__xludf.DUMMYFUNCTION("""COMPUTED_VALUE"""),778.38)</f>
        <v>778.38</v>
      </c>
      <c r="G1438" s="1">
        <f ca="1">IFERROR(__xludf.DUMMYFUNCTION("""COMPUTED_VALUE"""),255.24)</f>
        <v>255.24</v>
      </c>
      <c r="H1438" s="1">
        <f ca="1">IFERROR(__xludf.DUMMYFUNCTION("""COMPUTED_VALUE"""),426.07)</f>
        <v>426.07</v>
      </c>
      <c r="I1438" s="1">
        <f ca="1">IFERROR(__xludf.DUMMYFUNCTION("""COMPUTED_VALUE"""),141.76)</f>
        <v>141.76</v>
      </c>
      <c r="J1438" s="1">
        <f ca="1">IFERROR(__xludf.DUMMYFUNCTION("""COMPUTED_VALUE"""),951.16)</f>
        <v>951.16</v>
      </c>
      <c r="K1438" s="1">
        <f ca="1">IFERROR(__xludf.DUMMYFUNCTION("""COMPUTED_VALUE"""),344.94)</f>
        <v>344.94</v>
      </c>
      <c r="L1438" s="1">
        <f ca="1">IFERROR(__xludf.DUMMYFUNCTION("""COMPUTED_VALUE"""),365.9)</f>
        <v>365.9</v>
      </c>
      <c r="M1438" s="1">
        <f ca="1">IFERROR(__xludf.DUMMYFUNCTION("""COMPUTED_VALUE"""),1226.97)</f>
        <v>1226.97</v>
      </c>
    </row>
    <row r="1439" spans="1:13" x14ac:dyDescent="0.25">
      <c r="A1439" s="2">
        <f ca="1">IFERROR(__xludf.DUMMYFUNCTION("""COMPUTED_VALUE"""),45924.6666666666)</f>
        <v>45924.666666666599</v>
      </c>
      <c r="B1439" s="1">
        <f ca="1">IFERROR(__xludf.DUMMYFUNCTION("""COMPUTED_VALUE"""),254.43)</f>
        <v>254.43</v>
      </c>
      <c r="C1439" s="1">
        <f ca="1">IFERROR(__xludf.DUMMYFUNCTION("""COMPUTED_VALUE"""),514.45)</f>
        <v>514.45000000000005</v>
      </c>
      <c r="D1439" s="1">
        <f ca="1">IFERROR(__xludf.DUMMYFUNCTION("""COMPUTED_VALUE"""),227.63)</f>
        <v>227.63</v>
      </c>
      <c r="E1439" s="1">
        <f ca="1">IFERROR(__xludf.DUMMYFUNCTION("""COMPUTED_VALUE"""),183.61)</f>
        <v>183.61</v>
      </c>
      <c r="F1439" s="1">
        <f ca="1">IFERROR(__xludf.DUMMYFUNCTION("""COMPUTED_VALUE"""),765.16)</f>
        <v>765.16</v>
      </c>
      <c r="G1439" s="1">
        <f ca="1">IFERROR(__xludf.DUMMYFUNCTION("""COMPUTED_VALUE"""),252.88)</f>
        <v>252.88</v>
      </c>
      <c r="H1439" s="1">
        <f ca="1">IFERROR(__xludf.DUMMYFUNCTION("""COMPUTED_VALUE"""),434.21)</f>
        <v>434.21</v>
      </c>
      <c r="I1439" s="1">
        <f ca="1">IFERROR(__xludf.DUMMYFUNCTION("""COMPUTED_VALUE"""),141.03)</f>
        <v>141.03</v>
      </c>
      <c r="J1439" s="1">
        <f ca="1">IFERROR(__xludf.DUMMYFUNCTION("""COMPUTED_VALUE"""),943.26)</f>
        <v>943.26</v>
      </c>
      <c r="K1439" s="1">
        <f ca="1">IFERROR(__xludf.DUMMYFUNCTION("""COMPUTED_VALUE"""),338.79)</f>
        <v>338.79</v>
      </c>
      <c r="L1439" s="1">
        <f ca="1">IFERROR(__xludf.DUMMYFUNCTION("""COMPUTED_VALUE"""),364.08)</f>
        <v>364.08</v>
      </c>
      <c r="M1439" s="1">
        <f ca="1">IFERROR(__xludf.DUMMYFUNCTION("""COMPUTED_VALUE"""),1227.37)</f>
        <v>1227.3699999999999</v>
      </c>
    </row>
    <row r="1440" spans="1:13" x14ac:dyDescent="0.25">
      <c r="A1440" s="2">
        <f ca="1">IFERROR(__xludf.DUMMYFUNCTION("""COMPUTED_VALUE"""),45926.6666666666)</f>
        <v>45926.666666666599</v>
      </c>
      <c r="B1440" s="1">
        <f ca="1">IFERROR(__xludf.DUMMYFUNCTION("""COMPUTED_VALUE"""),255.46)</f>
        <v>255.46</v>
      </c>
      <c r="C1440" s="1">
        <f ca="1">IFERROR(__xludf.DUMMYFUNCTION("""COMPUTED_VALUE"""),509.23)</f>
        <v>509.23</v>
      </c>
      <c r="D1440" s="1">
        <f ca="1">IFERROR(__xludf.DUMMYFUNCTION("""COMPUTED_VALUE"""),220.71)</f>
        <v>220.71</v>
      </c>
      <c r="E1440" s="1">
        <f ca="1">IFERROR(__xludf.DUMMYFUNCTION("""COMPUTED_VALUE"""),178.43)</f>
        <v>178.43</v>
      </c>
      <c r="F1440" s="1">
        <f ca="1">IFERROR(__xludf.DUMMYFUNCTION("""COMPUTED_VALUE"""),755.4)</f>
        <v>755.4</v>
      </c>
      <c r="G1440" s="1">
        <f ca="1">IFERROR(__xludf.DUMMYFUNCTION("""COMPUTED_VALUE"""),252.34)</f>
        <v>252.34</v>
      </c>
      <c r="H1440" s="1">
        <f ca="1">IFERROR(__xludf.DUMMYFUNCTION("""COMPUTED_VALUE"""),425.85)</f>
        <v>425.85</v>
      </c>
      <c r="I1440" s="1">
        <f ca="1">IFERROR(__xludf.DUMMYFUNCTION("""COMPUTED_VALUE"""),141.9)</f>
        <v>141.9</v>
      </c>
      <c r="J1440" s="1">
        <f ca="1">IFERROR(__xludf.DUMMYFUNCTION("""COMPUTED_VALUE"""),943.6)</f>
        <v>943.6</v>
      </c>
      <c r="K1440" s="1">
        <f ca="1">IFERROR(__xludf.DUMMYFUNCTION("""COMPUTED_VALUE"""),338.94)</f>
        <v>338.94</v>
      </c>
      <c r="L1440" s="1">
        <f ca="1">IFERROR(__xludf.DUMMYFUNCTION("""COMPUTED_VALUE"""),361.78)</f>
        <v>361.78</v>
      </c>
      <c r="M1440" s="1">
        <f ca="1">IFERROR(__xludf.DUMMYFUNCTION("""COMPUTED_VALUE"""),1218.47)</f>
        <v>1218.47</v>
      </c>
    </row>
    <row r="1441" spans="1:13" x14ac:dyDescent="0.25">
      <c r="A1441" s="2">
        <f ca="1">IFERROR(__xludf.DUMMYFUNCTION("""COMPUTED_VALUE"""),45929.6666666666)</f>
        <v>45929.666666666599</v>
      </c>
      <c r="B1441" s="1">
        <f ca="1">IFERROR(__xludf.DUMMYFUNCTION("""COMPUTED_VALUE"""),254.43)</f>
        <v>254.43</v>
      </c>
      <c r="C1441" s="1">
        <f ca="1">IFERROR(__xludf.DUMMYFUNCTION("""COMPUTED_VALUE"""),510.15)</f>
        <v>510.15</v>
      </c>
      <c r="D1441" s="1">
        <f ca="1">IFERROR(__xludf.DUMMYFUNCTION("""COMPUTED_VALUE"""),220.21)</f>
        <v>220.21</v>
      </c>
      <c r="E1441" s="1">
        <f ca="1">IFERROR(__xludf.DUMMYFUNCTION("""COMPUTED_VALUE"""),176.97)</f>
        <v>176.97</v>
      </c>
      <c r="F1441" s="1">
        <f ca="1">IFERROR(__xludf.DUMMYFUNCTION("""COMPUTED_VALUE"""),760.66)</f>
        <v>760.66</v>
      </c>
      <c r="G1441" s="1">
        <f ca="1">IFERROR(__xludf.DUMMYFUNCTION("""COMPUTED_VALUE"""),247.83)</f>
        <v>247.83</v>
      </c>
      <c r="H1441" s="1">
        <f ca="1">IFERROR(__xludf.DUMMYFUNCTION("""COMPUTED_VALUE"""),442.79)</f>
        <v>442.79</v>
      </c>
      <c r="I1441" s="1">
        <f ca="1">IFERROR(__xludf.DUMMYFUNCTION("""COMPUTED_VALUE"""),142.17)</f>
        <v>142.16999999999999</v>
      </c>
      <c r="J1441" s="1">
        <f ca="1">IFERROR(__xludf.DUMMYFUNCTION("""COMPUTED_VALUE"""),945.27)</f>
        <v>945.27</v>
      </c>
      <c r="K1441" s="1">
        <f ca="1">IFERROR(__xludf.DUMMYFUNCTION("""COMPUTED_VALUE"""),339.31)</f>
        <v>339.31</v>
      </c>
      <c r="L1441" s="1">
        <f ca="1">IFERROR(__xludf.DUMMYFUNCTION("""COMPUTED_VALUE"""),353.27)</f>
        <v>353.27</v>
      </c>
      <c r="M1441" s="1">
        <f ca="1">IFERROR(__xludf.DUMMYFUNCTION("""COMPUTED_VALUE"""),1203.95)</f>
        <v>1203.95</v>
      </c>
    </row>
    <row r="1442" spans="1:13" x14ac:dyDescent="0.25">
      <c r="A1442" s="2">
        <f ca="1">IFERROR(__xludf.DUMMYFUNCTION("""COMPUTED_VALUE"""),45930.6666666666)</f>
        <v>45930.666666666599</v>
      </c>
      <c r="B1442" s="1">
        <f ca="1">IFERROR(__xludf.DUMMYFUNCTION("""COMPUTED_VALUE"""),254.63)</f>
        <v>254.63</v>
      </c>
      <c r="C1442" s="1">
        <f ca="1">IFERROR(__xludf.DUMMYFUNCTION("""COMPUTED_VALUE"""),507.03)</f>
        <v>507.03</v>
      </c>
      <c r="D1442" s="1">
        <f ca="1">IFERROR(__xludf.DUMMYFUNCTION("""COMPUTED_VALUE"""),218.15)</f>
        <v>218.15</v>
      </c>
      <c r="E1442" s="1">
        <f ca="1">IFERROR(__xludf.DUMMYFUNCTION("""COMPUTED_VALUE"""),177.69)</f>
        <v>177.69</v>
      </c>
      <c r="F1442" s="1">
        <f ca="1">IFERROR(__xludf.DUMMYFUNCTION("""COMPUTED_VALUE"""),748.91)</f>
        <v>748.91</v>
      </c>
      <c r="G1442" s="1">
        <f ca="1">IFERROR(__xludf.DUMMYFUNCTION("""COMPUTED_VALUE"""),246.57)</f>
        <v>246.57</v>
      </c>
      <c r="H1442" s="1">
        <f ca="1">IFERROR(__xludf.DUMMYFUNCTION("""COMPUTED_VALUE"""),423.39)</f>
        <v>423.39</v>
      </c>
      <c r="I1442" s="1">
        <f ca="1">IFERROR(__xludf.DUMMYFUNCTION("""COMPUTED_VALUE"""),139.92)</f>
        <v>139.91999999999999</v>
      </c>
      <c r="J1442" s="1">
        <f ca="1">IFERROR(__xludf.DUMMYFUNCTION("""COMPUTED_VALUE"""),943.31)</f>
        <v>943.31</v>
      </c>
      <c r="K1442" s="1">
        <f ca="1">IFERROR(__xludf.DUMMYFUNCTION("""COMPUTED_VALUE"""),336.1)</f>
        <v>336.1</v>
      </c>
      <c r="L1442" s="1">
        <f ca="1">IFERROR(__xludf.DUMMYFUNCTION("""COMPUTED_VALUE"""),354.16)</f>
        <v>354.16</v>
      </c>
      <c r="M1442" s="1">
        <f ca="1">IFERROR(__xludf.DUMMYFUNCTION("""COMPUTED_VALUE"""),1208.24)</f>
        <v>1208.24</v>
      </c>
    </row>
    <row r="1443" spans="1:13" x14ac:dyDescent="0.25">
      <c r="A1443" s="2">
        <f ca="1">IFERROR(__xludf.DUMMYFUNCTION("""COMPUTED_VALUE"""),45931.6666666666)</f>
        <v>45931.666666666599</v>
      </c>
      <c r="B1443" s="1">
        <f ca="1">IFERROR(__xludf.DUMMYFUNCTION("""COMPUTED_VALUE"""),255.45)</f>
        <v>255.45</v>
      </c>
      <c r="C1443" s="1">
        <f ca="1">IFERROR(__xludf.DUMMYFUNCTION("""COMPUTED_VALUE"""),511.46)</f>
        <v>511.46</v>
      </c>
      <c r="D1443" s="1">
        <f ca="1">IFERROR(__xludf.DUMMYFUNCTION("""COMPUTED_VALUE"""),219.78)</f>
        <v>219.78</v>
      </c>
      <c r="E1443" s="1">
        <f ca="1">IFERROR(__xludf.DUMMYFUNCTION("""COMPUTED_VALUE"""),178.19)</f>
        <v>178.19</v>
      </c>
      <c r="F1443" s="1">
        <f ca="1">IFERROR(__xludf.DUMMYFUNCTION("""COMPUTED_VALUE"""),743.75)</f>
        <v>743.75</v>
      </c>
      <c r="G1443" s="1">
        <f ca="1">IFERROR(__xludf.DUMMYFUNCTION("""COMPUTED_VALUE"""),247.18)</f>
        <v>247.18</v>
      </c>
      <c r="H1443" s="1">
        <f ca="1">IFERROR(__xludf.DUMMYFUNCTION("""COMPUTED_VALUE"""),440.4)</f>
        <v>440.4</v>
      </c>
      <c r="I1443" s="1">
        <f ca="1">IFERROR(__xludf.DUMMYFUNCTION("""COMPUTED_VALUE"""),140.44)</f>
        <v>140.44</v>
      </c>
      <c r="J1443" s="1">
        <f ca="1">IFERROR(__xludf.DUMMYFUNCTION("""COMPUTED_VALUE"""),915.95)</f>
        <v>915.95</v>
      </c>
      <c r="K1443" s="1">
        <f ca="1">IFERROR(__xludf.DUMMYFUNCTION("""COMPUTED_VALUE"""),334.53)</f>
        <v>334.53</v>
      </c>
      <c r="L1443" s="1">
        <f ca="1">IFERROR(__xludf.DUMMYFUNCTION("""COMPUTED_VALUE"""),360.37)</f>
        <v>360.37</v>
      </c>
      <c r="M1443" s="1">
        <f ca="1">IFERROR(__xludf.DUMMYFUNCTION("""COMPUTED_VALUE"""),1210.61)</f>
        <v>1210.6099999999999</v>
      </c>
    </row>
    <row r="1444" spans="1:13" x14ac:dyDescent="0.25">
      <c r="A1444" s="2">
        <f ca="1">IFERROR(__xludf.DUMMYFUNCTION("""COMPUTED_VALUE"""),45932.6666666666)</f>
        <v>45932.666666666599</v>
      </c>
      <c r="B1444" s="1">
        <f ca="1">IFERROR(__xludf.DUMMYFUNCTION("""COMPUTED_VALUE"""),257.13)</f>
        <v>257.13</v>
      </c>
      <c r="C1444" s="1">
        <f ca="1">IFERROR(__xludf.DUMMYFUNCTION("""COMPUTED_VALUE"""),514.6)</f>
        <v>514.6</v>
      </c>
      <c r="D1444" s="1">
        <f ca="1">IFERROR(__xludf.DUMMYFUNCTION("""COMPUTED_VALUE"""),222.17)</f>
        <v>222.17</v>
      </c>
      <c r="E1444" s="1">
        <f ca="1">IFERROR(__xludf.DUMMYFUNCTION("""COMPUTED_VALUE"""),181.85)</f>
        <v>181.85</v>
      </c>
      <c r="F1444" s="1">
        <f ca="1">IFERROR(__xludf.DUMMYFUNCTION("""COMPUTED_VALUE"""),743.4)</f>
        <v>743.4</v>
      </c>
      <c r="G1444" s="1">
        <f ca="1">IFERROR(__xludf.DUMMYFUNCTION("""COMPUTED_VALUE"""),244.36)</f>
        <v>244.36</v>
      </c>
      <c r="H1444" s="1">
        <f ca="1">IFERROR(__xludf.DUMMYFUNCTION("""COMPUTED_VALUE"""),443.21)</f>
        <v>443.21</v>
      </c>
      <c r="I1444" s="1">
        <f ca="1">IFERROR(__xludf.DUMMYFUNCTION("""COMPUTED_VALUE"""),140.17)</f>
        <v>140.16999999999999</v>
      </c>
      <c r="J1444" s="1">
        <f ca="1">IFERROR(__xludf.DUMMYFUNCTION("""COMPUTED_VALUE"""),916.87)</f>
        <v>916.87</v>
      </c>
      <c r="K1444" s="1">
        <f ca="1">IFERROR(__xludf.DUMMYFUNCTION("""COMPUTED_VALUE"""),327.9)</f>
        <v>327.9</v>
      </c>
      <c r="L1444" s="1">
        <f ca="1">IFERROR(__xludf.DUMMYFUNCTION("""COMPUTED_VALUE"""),359.42)</f>
        <v>359.42</v>
      </c>
      <c r="M1444" s="1">
        <f ca="1">IFERROR(__xludf.DUMMYFUNCTION("""COMPUTED_VALUE"""),1206.41)</f>
        <v>1206.4100000000001</v>
      </c>
    </row>
    <row r="1445" spans="1:13" x14ac:dyDescent="0.25">
      <c r="A1445" s="2">
        <f ca="1">IFERROR(__xludf.DUMMYFUNCTION("""COMPUTED_VALUE"""),45933.6666666666)</f>
        <v>45933.666666666599</v>
      </c>
      <c r="B1445" s="1">
        <f ca="1">IFERROR(__xludf.DUMMYFUNCTION("""COMPUTED_VALUE"""),258.02)</f>
        <v>258.02</v>
      </c>
      <c r="C1445" s="1">
        <f ca="1">IFERROR(__xludf.DUMMYFUNCTION("""COMPUTED_VALUE"""),517.95)</f>
        <v>517.95000000000005</v>
      </c>
      <c r="D1445" s="1">
        <f ca="1">IFERROR(__xludf.DUMMYFUNCTION("""COMPUTED_VALUE"""),219.57)</f>
        <v>219.57</v>
      </c>
      <c r="E1445" s="1">
        <f ca="1">IFERROR(__xludf.DUMMYFUNCTION("""COMPUTED_VALUE"""),186.58)</f>
        <v>186.58</v>
      </c>
      <c r="F1445" s="1">
        <f ca="1">IFERROR(__xludf.DUMMYFUNCTION("""COMPUTED_VALUE"""),734.38)</f>
        <v>734.38</v>
      </c>
      <c r="G1445" s="1">
        <f ca="1">IFERROR(__xludf.DUMMYFUNCTION("""COMPUTED_VALUE"""),243.55)</f>
        <v>243.55</v>
      </c>
      <c r="H1445" s="1">
        <f ca="1">IFERROR(__xludf.DUMMYFUNCTION("""COMPUTED_VALUE"""),444.72)</f>
        <v>444.72</v>
      </c>
      <c r="I1445" s="1">
        <f ca="1">IFERROR(__xludf.DUMMYFUNCTION("""COMPUTED_VALUE"""),140.44)</f>
        <v>140.44</v>
      </c>
      <c r="J1445" s="1">
        <f ca="1">IFERROR(__xludf.DUMMYFUNCTION("""COMPUTED_VALUE"""),925.63)</f>
        <v>925.63</v>
      </c>
      <c r="K1445" s="1">
        <f ca="1">IFERROR(__xludf.DUMMYFUNCTION("""COMPUTED_VALUE"""),329.91)</f>
        <v>329.91</v>
      </c>
      <c r="L1445" s="1">
        <f ca="1">IFERROR(__xludf.DUMMYFUNCTION("""COMPUTED_VALUE"""),352.75)</f>
        <v>352.75</v>
      </c>
      <c r="M1445" s="1">
        <f ca="1">IFERROR(__xludf.DUMMYFUNCTION("""COMPUTED_VALUE"""),1198.92)</f>
        <v>1198.92</v>
      </c>
    </row>
    <row r="1446" spans="1:13" x14ac:dyDescent="0.25">
      <c r="A1446" s="2">
        <f ca="1">IFERROR(__xludf.DUMMYFUNCTION("""COMPUTED_VALUE"""),45936.6666666666)</f>
        <v>45936.666666666599</v>
      </c>
      <c r="B1446" s="1">
        <f ca="1">IFERROR(__xludf.DUMMYFUNCTION("""COMPUTED_VALUE"""),256.69)</f>
        <v>256.69</v>
      </c>
      <c r="C1446" s="1">
        <f ca="1">IFERROR(__xludf.DUMMYFUNCTION("""COMPUTED_VALUE"""),519.71)</f>
        <v>519.71</v>
      </c>
      <c r="D1446" s="1">
        <f ca="1">IFERROR(__xludf.DUMMYFUNCTION("""COMPUTED_VALUE"""),220.63)</f>
        <v>220.63</v>
      </c>
      <c r="E1446" s="1">
        <f ca="1">IFERROR(__xludf.DUMMYFUNCTION("""COMPUTED_VALUE"""),187.24)</f>
        <v>187.24</v>
      </c>
      <c r="F1446" s="1">
        <f ca="1">IFERROR(__xludf.DUMMYFUNCTION("""COMPUTED_VALUE"""),717.34)</f>
        <v>717.34</v>
      </c>
      <c r="G1446" s="1">
        <f ca="1">IFERROR(__xludf.DUMMYFUNCTION("""COMPUTED_VALUE"""),245.54)</f>
        <v>245.54</v>
      </c>
      <c r="H1446" s="1">
        <f ca="1">IFERROR(__xludf.DUMMYFUNCTION("""COMPUTED_VALUE"""),459.46)</f>
        <v>459.46</v>
      </c>
      <c r="I1446" s="1">
        <f ca="1">IFERROR(__xludf.DUMMYFUNCTION("""COMPUTED_VALUE"""),143.14)</f>
        <v>143.13999999999999</v>
      </c>
      <c r="J1446" s="1">
        <f ca="1">IFERROR(__xludf.DUMMYFUNCTION("""COMPUTED_VALUE"""),917.34)</f>
        <v>917.34</v>
      </c>
      <c r="K1446" s="1">
        <f ca="1">IFERROR(__xludf.DUMMYFUNCTION("""COMPUTED_VALUE"""),333.39)</f>
        <v>333.39</v>
      </c>
      <c r="L1446" s="1">
        <f ca="1">IFERROR(__xludf.DUMMYFUNCTION("""COMPUTED_VALUE"""),343.72)</f>
        <v>343.72</v>
      </c>
      <c r="M1446" s="1">
        <f ca="1">IFERROR(__xludf.DUMMYFUNCTION("""COMPUTED_VALUE"""),1170.9)</f>
        <v>1170.9000000000001</v>
      </c>
    </row>
    <row r="1447" spans="1:13" x14ac:dyDescent="0.25">
      <c r="A1447" s="2">
        <f ca="1">IFERROR(__xludf.DUMMYFUNCTION("""COMPUTED_VALUE"""),45937.6666666666)</f>
        <v>45937.666666666599</v>
      </c>
      <c r="B1447" s="1">
        <f ca="1">IFERROR(__xludf.DUMMYFUNCTION("""COMPUTED_VALUE"""),256.48)</f>
        <v>256.48</v>
      </c>
      <c r="C1447" s="1">
        <f ca="1">IFERROR(__xludf.DUMMYFUNCTION("""COMPUTED_VALUE"""),515.74)</f>
        <v>515.74</v>
      </c>
      <c r="D1447" s="1">
        <f ca="1">IFERROR(__xludf.DUMMYFUNCTION("""COMPUTED_VALUE"""),222.41)</f>
        <v>222.41</v>
      </c>
      <c r="E1447" s="1">
        <f ca="1">IFERROR(__xludf.DUMMYFUNCTION("""COMPUTED_VALUE"""),188.89)</f>
        <v>188.89</v>
      </c>
      <c r="F1447" s="1">
        <f ca="1">IFERROR(__xludf.DUMMYFUNCTION("""COMPUTED_VALUE"""),727.05)</f>
        <v>727.05</v>
      </c>
      <c r="G1447" s="1">
        <f ca="1">IFERROR(__xludf.DUMMYFUNCTION("""COMPUTED_VALUE"""),246.43)</f>
        <v>246.43</v>
      </c>
      <c r="H1447" s="1">
        <f ca="1">IFERROR(__xludf.DUMMYFUNCTION("""COMPUTED_VALUE"""),436)</f>
        <v>436</v>
      </c>
      <c r="I1447" s="1">
        <f ca="1">IFERROR(__xludf.DUMMYFUNCTION("""COMPUTED_VALUE"""),142.31)</f>
        <v>142.31</v>
      </c>
      <c r="J1447" s="1">
        <f ca="1">IFERROR(__xludf.DUMMYFUNCTION("""COMPUTED_VALUE"""),916.77)</f>
        <v>916.77</v>
      </c>
      <c r="K1447" s="1">
        <f ca="1">IFERROR(__xludf.DUMMYFUNCTION("""COMPUTED_VALUE"""),338.18)</f>
        <v>338.18</v>
      </c>
      <c r="L1447" s="1">
        <f ca="1">IFERROR(__xludf.DUMMYFUNCTION("""COMPUTED_VALUE"""),351.48)</f>
        <v>351.48</v>
      </c>
      <c r="M1447" s="1">
        <f ca="1">IFERROR(__xludf.DUMMYFUNCTION("""COMPUTED_VALUE"""),1162.53)</f>
        <v>1162.53</v>
      </c>
    </row>
    <row r="1448" spans="1:13" x14ac:dyDescent="0.25">
      <c r="A1448" s="2">
        <f ca="1">IFERROR(__xludf.DUMMYFUNCTION("""COMPUTED_VALUE"""),45938.6666666666)</f>
        <v>45938.666666666599</v>
      </c>
      <c r="B1448" s="1">
        <f ca="1">IFERROR(__xludf.DUMMYFUNCTION("""COMPUTED_VALUE"""),258.06)</f>
        <v>258.06</v>
      </c>
      <c r="C1448" s="1">
        <f ca="1">IFERROR(__xludf.DUMMYFUNCTION("""COMPUTED_VALUE"""),517.35)</f>
        <v>517.35</v>
      </c>
      <c r="D1448" s="1">
        <f ca="1">IFERROR(__xludf.DUMMYFUNCTION("""COMPUTED_VALUE"""),219.51)</f>
        <v>219.51</v>
      </c>
      <c r="E1448" s="1">
        <f ca="1">IFERROR(__xludf.DUMMYFUNCTION("""COMPUTED_VALUE"""),187.62)</f>
        <v>187.62</v>
      </c>
      <c r="F1448" s="1">
        <f ca="1">IFERROR(__xludf.DUMMYFUNCTION("""COMPUTED_VALUE"""),710.56)</f>
        <v>710.56</v>
      </c>
      <c r="G1448" s="1">
        <f ca="1">IFERROR(__xludf.DUMMYFUNCTION("""COMPUTED_VALUE"""),246.45)</f>
        <v>246.45</v>
      </c>
      <c r="H1448" s="1">
        <f ca="1">IFERROR(__xludf.DUMMYFUNCTION("""COMPUTED_VALUE"""),429.83)</f>
        <v>429.83</v>
      </c>
      <c r="I1448" s="1">
        <f ca="1">IFERROR(__xludf.DUMMYFUNCTION("""COMPUTED_VALUE"""),141.98)</f>
        <v>141.97999999999999</v>
      </c>
      <c r="J1448" s="1">
        <f ca="1">IFERROR(__xludf.DUMMYFUNCTION("""COMPUTED_VALUE"""),915.38)</f>
        <v>915.38</v>
      </c>
      <c r="K1448" s="1">
        <f ca="1">IFERROR(__xludf.DUMMYFUNCTION("""COMPUTED_VALUE"""),338.37)</f>
        <v>338.37</v>
      </c>
      <c r="L1448" s="1">
        <f ca="1">IFERROR(__xludf.DUMMYFUNCTION("""COMPUTED_VALUE"""),346.74)</f>
        <v>346.74</v>
      </c>
      <c r="M1448" s="1">
        <f ca="1">IFERROR(__xludf.DUMMYFUNCTION("""COMPUTED_VALUE"""),1153.32)</f>
        <v>1153.32</v>
      </c>
    </row>
    <row r="1449" spans="1:13" x14ac:dyDescent="0.25">
      <c r="A1449" s="2">
        <f ca="1">IFERROR(__xludf.DUMMYFUNCTION("""COMPUTED_VALUE"""),45939.6666666666)</f>
        <v>45939.666666666599</v>
      </c>
      <c r="B1449" s="1">
        <f ca="1">IFERROR(__xludf.DUMMYFUNCTION("""COMPUTED_VALUE"""),254.04)</f>
        <v>254.04</v>
      </c>
      <c r="C1449" s="1">
        <f ca="1">IFERROR(__xludf.DUMMYFUNCTION("""COMPUTED_VALUE"""),528.57)</f>
        <v>528.57000000000005</v>
      </c>
      <c r="D1449" s="1">
        <f ca="1">IFERROR(__xludf.DUMMYFUNCTION("""COMPUTED_VALUE"""),220.9)</f>
        <v>220.9</v>
      </c>
      <c r="E1449" s="1">
        <f ca="1">IFERROR(__xludf.DUMMYFUNCTION("""COMPUTED_VALUE"""),185.54)</f>
        <v>185.54</v>
      </c>
      <c r="F1449" s="1">
        <f ca="1">IFERROR(__xludf.DUMMYFUNCTION("""COMPUTED_VALUE"""),715.66)</f>
        <v>715.66</v>
      </c>
      <c r="G1449" s="1">
        <f ca="1">IFERROR(__xludf.DUMMYFUNCTION("""COMPUTED_VALUE"""),251.51)</f>
        <v>251.51</v>
      </c>
      <c r="H1449" s="1">
        <f ca="1">IFERROR(__xludf.DUMMYFUNCTION("""COMPUTED_VALUE"""),453.25)</f>
        <v>453.25</v>
      </c>
      <c r="I1449" s="1">
        <f ca="1">IFERROR(__xludf.DUMMYFUNCTION("""COMPUTED_VALUE"""),139.7)</f>
        <v>139.69999999999999</v>
      </c>
      <c r="J1449" s="1">
        <f ca="1">IFERROR(__xludf.DUMMYFUNCTION("""COMPUTED_VALUE"""),910.94)</f>
        <v>910.94</v>
      </c>
      <c r="K1449" s="1">
        <f ca="1">IFERROR(__xludf.DUMMYFUNCTION("""COMPUTED_VALUE"""),335.49)</f>
        <v>335.49</v>
      </c>
      <c r="L1449" s="1">
        <f ca="1">IFERROR(__xludf.DUMMYFUNCTION("""COMPUTED_VALUE"""),350.14)</f>
        <v>350.14</v>
      </c>
      <c r="M1449" s="1">
        <f ca="1">IFERROR(__xludf.DUMMYFUNCTION("""COMPUTED_VALUE"""),1163.31)</f>
        <v>1163.31</v>
      </c>
    </row>
    <row r="1450" spans="1:13" x14ac:dyDescent="0.25">
      <c r="A1450" s="2">
        <f ca="1">IFERROR(__xludf.DUMMYFUNCTION("""COMPUTED_VALUE"""),45940.6666666666)</f>
        <v>45940.666666666599</v>
      </c>
      <c r="B1450" s="1">
        <f ca="1">IFERROR(__xludf.DUMMYFUNCTION("""COMPUTED_VALUE"""),245.27)</f>
        <v>245.27</v>
      </c>
      <c r="C1450" s="1">
        <f ca="1">IFERROR(__xludf.DUMMYFUNCTION("""COMPUTED_VALUE"""),523.98)</f>
        <v>523.98</v>
      </c>
      <c r="D1450" s="1">
        <f ca="1">IFERROR(__xludf.DUMMYFUNCTION("""COMPUTED_VALUE"""),221.78)</f>
        <v>221.78</v>
      </c>
      <c r="E1450" s="1">
        <f ca="1">IFERROR(__xludf.DUMMYFUNCTION("""COMPUTED_VALUE"""),185.04)</f>
        <v>185.04</v>
      </c>
      <c r="F1450" s="1">
        <f ca="1">IFERROR(__xludf.DUMMYFUNCTION("""COMPUTED_VALUE"""),713.08)</f>
        <v>713.08</v>
      </c>
      <c r="G1450" s="1">
        <f ca="1">IFERROR(__xludf.DUMMYFUNCTION("""COMPUTED_VALUE"""),247.13)</f>
        <v>247.13</v>
      </c>
      <c r="H1450" s="1">
        <f ca="1">IFERROR(__xludf.DUMMYFUNCTION("""COMPUTED_VALUE"""),433.09)</f>
        <v>433.09</v>
      </c>
      <c r="I1450" s="1">
        <f ca="1">IFERROR(__xludf.DUMMYFUNCTION("""COMPUTED_VALUE"""),140.79)</f>
        <v>140.79</v>
      </c>
      <c r="J1450" s="1">
        <f ca="1">IFERROR(__xludf.DUMMYFUNCTION("""COMPUTED_VALUE"""),914.8)</f>
        <v>914.8</v>
      </c>
      <c r="K1450" s="1">
        <f ca="1">IFERROR(__xludf.DUMMYFUNCTION("""COMPUTED_VALUE"""),336.41)</f>
        <v>336.41</v>
      </c>
      <c r="L1450" s="1">
        <f ca="1">IFERROR(__xludf.DUMMYFUNCTION("""COMPUTED_VALUE"""),348.31)</f>
        <v>348.31</v>
      </c>
      <c r="M1450" s="1">
        <f ca="1">IFERROR(__xludf.DUMMYFUNCTION("""COMPUTED_VALUE"""),1191.06)</f>
        <v>1191.06</v>
      </c>
    </row>
    <row r="1451" spans="1:13" x14ac:dyDescent="0.25">
      <c r="A1451" s="2">
        <f ca="1">IFERROR(__xludf.DUMMYFUNCTION("""COMPUTED_VALUE"""),45943.6666666666)</f>
        <v>45943.666666666599</v>
      </c>
      <c r="B1451" s="1">
        <f ca="1">IFERROR(__xludf.DUMMYFUNCTION("""COMPUTED_VALUE"""),247.66)</f>
        <v>247.66</v>
      </c>
      <c r="C1451" s="1">
        <f ca="1">IFERROR(__xludf.DUMMYFUNCTION("""COMPUTED_VALUE"""),524.85)</f>
        <v>524.85</v>
      </c>
      <c r="D1451" s="1">
        <f ca="1">IFERROR(__xludf.DUMMYFUNCTION("""COMPUTED_VALUE"""),225.22)</f>
        <v>225.22</v>
      </c>
      <c r="E1451" s="1">
        <f ca="1">IFERROR(__xludf.DUMMYFUNCTION("""COMPUTED_VALUE"""),189.11)</f>
        <v>189.11</v>
      </c>
      <c r="F1451" s="1">
        <f ca="1">IFERROR(__xludf.DUMMYFUNCTION("""COMPUTED_VALUE"""),717.84)</f>
        <v>717.84</v>
      </c>
      <c r="G1451" s="1">
        <f ca="1">IFERROR(__xludf.DUMMYFUNCTION("""COMPUTED_VALUE"""),245.46)</f>
        <v>245.46</v>
      </c>
      <c r="H1451" s="1">
        <f ca="1">IFERROR(__xludf.DUMMYFUNCTION("""COMPUTED_VALUE"""),438.69)</f>
        <v>438.69</v>
      </c>
      <c r="I1451" s="1">
        <f ca="1">IFERROR(__xludf.DUMMYFUNCTION("""COMPUTED_VALUE"""),138.84)</f>
        <v>138.84</v>
      </c>
      <c r="J1451" s="1">
        <f ca="1">IFERROR(__xludf.DUMMYFUNCTION("""COMPUTED_VALUE"""),914.8)</f>
        <v>914.8</v>
      </c>
      <c r="K1451" s="1">
        <f ca="1">IFERROR(__xludf.DUMMYFUNCTION("""COMPUTED_VALUE"""),345.5)</f>
        <v>345.5</v>
      </c>
      <c r="L1451" s="1">
        <f ca="1">IFERROR(__xludf.DUMMYFUNCTION("""COMPUTED_VALUE"""),348.77)</f>
        <v>348.77</v>
      </c>
      <c r="M1451" s="1">
        <f ca="1">IFERROR(__xludf.DUMMYFUNCTION("""COMPUTED_VALUE"""),1214.25)</f>
        <v>1214.25</v>
      </c>
    </row>
    <row r="1452" spans="1:13" x14ac:dyDescent="0.25">
      <c r="A1452" s="2">
        <f ca="1">IFERROR(__xludf.DUMMYFUNCTION("""COMPUTED_VALUE"""),45944.6666666666)</f>
        <v>45944.666666666599</v>
      </c>
      <c r="B1452" s="1">
        <f ca="1">IFERROR(__xludf.DUMMYFUNCTION("""COMPUTED_VALUE"""),247.77)</f>
        <v>247.77</v>
      </c>
      <c r="C1452" s="1">
        <f ca="1">IFERROR(__xludf.DUMMYFUNCTION("""COMPUTED_VALUE"""),522.4)</f>
        <v>522.4</v>
      </c>
      <c r="D1452" s="1">
        <f ca="1">IFERROR(__xludf.DUMMYFUNCTION("""COMPUTED_VALUE"""),227.74)</f>
        <v>227.74</v>
      </c>
      <c r="E1452" s="1">
        <f ca="1">IFERROR(__xludf.DUMMYFUNCTION("""COMPUTED_VALUE"""),192.57)</f>
        <v>192.57</v>
      </c>
      <c r="F1452" s="1">
        <f ca="1">IFERROR(__xludf.DUMMYFUNCTION("""COMPUTED_VALUE"""),733.51)</f>
        <v>733.51</v>
      </c>
      <c r="G1452" s="1">
        <f ca="1">IFERROR(__xludf.DUMMYFUNCTION("""COMPUTED_VALUE"""),242.21)</f>
        <v>242.21</v>
      </c>
      <c r="H1452" s="1">
        <f ca="1">IFERROR(__xludf.DUMMYFUNCTION("""COMPUTED_VALUE"""),435.54)</f>
        <v>435.54</v>
      </c>
      <c r="I1452" s="1">
        <f ca="1">IFERROR(__xludf.DUMMYFUNCTION("""COMPUTED_VALUE"""),144.71)</f>
        <v>144.71</v>
      </c>
      <c r="J1452" s="1">
        <f ca="1">IFERROR(__xludf.DUMMYFUNCTION("""COMPUTED_VALUE"""),942.89)</f>
        <v>942.89</v>
      </c>
      <c r="K1452" s="1">
        <f ca="1">IFERROR(__xludf.DUMMYFUNCTION("""COMPUTED_VALUE"""),345.02)</f>
        <v>345.02</v>
      </c>
      <c r="L1452" s="1">
        <f ca="1">IFERROR(__xludf.DUMMYFUNCTION("""COMPUTED_VALUE"""),347.47)</f>
        <v>347.47</v>
      </c>
      <c r="M1452" s="1">
        <f ca="1">IFERROR(__xludf.DUMMYFUNCTION("""COMPUTED_VALUE"""),1231.07)</f>
        <v>1231.07</v>
      </c>
    </row>
    <row r="1453" spans="1:13" x14ac:dyDescent="0.25">
      <c r="A1453" s="2">
        <f ca="1">IFERROR(__xludf.DUMMYFUNCTION("""COMPUTED_VALUE"""),45945.6666666666)</f>
        <v>45945.666666666599</v>
      </c>
      <c r="B1453" s="1">
        <f ca="1">IFERROR(__xludf.DUMMYFUNCTION("""COMPUTED_VALUE"""),249.34)</f>
        <v>249.34</v>
      </c>
      <c r="C1453" s="1">
        <f ca="1">IFERROR(__xludf.DUMMYFUNCTION("""COMPUTED_VALUE"""),510.96)</f>
        <v>510.96</v>
      </c>
      <c r="D1453" s="1">
        <f ca="1">IFERROR(__xludf.DUMMYFUNCTION("""COMPUTED_VALUE"""),216.37)</f>
        <v>216.37</v>
      </c>
      <c r="E1453" s="1">
        <f ca="1">IFERROR(__xludf.DUMMYFUNCTION("""COMPUTED_VALUE"""),183.16)</f>
        <v>183.16</v>
      </c>
      <c r="F1453" s="1">
        <f ca="1">IFERROR(__xludf.DUMMYFUNCTION("""COMPUTED_VALUE"""),705.3)</f>
        <v>705.3</v>
      </c>
      <c r="G1453" s="1">
        <f ca="1">IFERROR(__xludf.DUMMYFUNCTION("""COMPUTED_VALUE"""),237.49)</f>
        <v>237.49</v>
      </c>
      <c r="H1453" s="1">
        <f ca="1">IFERROR(__xludf.DUMMYFUNCTION("""COMPUTED_VALUE"""),413.49)</f>
        <v>413.49</v>
      </c>
      <c r="I1453" s="1">
        <f ca="1">IFERROR(__xludf.DUMMYFUNCTION("""COMPUTED_VALUE"""),150.08)</f>
        <v>150.08000000000001</v>
      </c>
      <c r="J1453" s="1">
        <f ca="1">IFERROR(__xludf.DUMMYFUNCTION("""COMPUTED_VALUE"""),930.01)</f>
        <v>930.01</v>
      </c>
      <c r="K1453" s="1">
        <f ca="1">IFERROR(__xludf.DUMMYFUNCTION("""COMPUTED_VALUE"""),324.63)</f>
        <v>324.63</v>
      </c>
      <c r="L1453" s="1">
        <f ca="1">IFERROR(__xludf.DUMMYFUNCTION("""COMPUTED_VALUE"""),337.51)</f>
        <v>337.51</v>
      </c>
      <c r="M1453" s="1">
        <f ca="1">IFERROR(__xludf.DUMMYFUNCTION("""COMPUTED_VALUE"""),1220.08)</f>
        <v>1220.08</v>
      </c>
    </row>
    <row r="1454" spans="1:13" x14ac:dyDescent="0.25">
      <c r="A1454" s="2">
        <f ca="1">IFERROR(__xludf.DUMMYFUNCTION("""COMPUTED_VALUE"""),45946.6666666666)</f>
        <v>45946.666666666599</v>
      </c>
      <c r="B1454" s="1">
        <f ca="1">IFERROR(__xludf.DUMMYFUNCTION("""COMPUTED_VALUE"""),247.45)</f>
        <v>247.45</v>
      </c>
      <c r="C1454" s="1">
        <f ca="1">IFERROR(__xludf.DUMMYFUNCTION("""COMPUTED_VALUE"""),514.05)</f>
        <v>514.04999999999995</v>
      </c>
      <c r="D1454" s="1">
        <f ca="1">IFERROR(__xludf.DUMMYFUNCTION("""COMPUTED_VALUE"""),220.07)</f>
        <v>220.07</v>
      </c>
      <c r="E1454" s="1">
        <f ca="1">IFERROR(__xludf.DUMMYFUNCTION("""COMPUTED_VALUE"""),188.32)</f>
        <v>188.32</v>
      </c>
      <c r="F1454" s="1">
        <f ca="1">IFERROR(__xludf.DUMMYFUNCTION("""COMPUTED_VALUE"""),715.7)</f>
        <v>715.7</v>
      </c>
      <c r="G1454" s="1">
        <f ca="1">IFERROR(__xludf.DUMMYFUNCTION("""COMPUTED_VALUE"""),244.64)</f>
        <v>244.64</v>
      </c>
      <c r="H1454" s="1">
        <f ca="1">IFERROR(__xludf.DUMMYFUNCTION("""COMPUTED_VALUE"""),435.9)</f>
        <v>435.9</v>
      </c>
      <c r="I1454" s="1">
        <f ca="1">IFERROR(__xludf.DUMMYFUNCTION("""COMPUTED_VALUE"""),148.89)</f>
        <v>148.88999999999999</v>
      </c>
      <c r="J1454" s="1">
        <f ca="1">IFERROR(__xludf.DUMMYFUNCTION("""COMPUTED_VALUE"""),935.56)</f>
        <v>935.56</v>
      </c>
      <c r="K1454" s="1">
        <f ca="1">IFERROR(__xludf.DUMMYFUNCTION("""COMPUTED_VALUE"""),356.7)</f>
        <v>356.7</v>
      </c>
      <c r="L1454" s="1">
        <f ca="1">IFERROR(__xludf.DUMMYFUNCTION("""COMPUTED_VALUE"""),339.32)</f>
        <v>339.32</v>
      </c>
      <c r="M1454" s="1">
        <f ca="1">IFERROR(__xludf.DUMMYFUNCTION("""COMPUTED_VALUE"""),1219.03)</f>
        <v>1219.03</v>
      </c>
    </row>
    <row r="1455" spans="1:13" x14ac:dyDescent="0.25">
      <c r="A1455" s="2">
        <f ca="1">IFERROR(__xludf.DUMMYFUNCTION("""COMPUTED_VALUE"""),45947.6666666666)</f>
        <v>45947.666666666599</v>
      </c>
      <c r="B1455" s="1">
        <f ca="1">IFERROR(__xludf.DUMMYFUNCTION("""COMPUTED_VALUE"""),252.29)</f>
        <v>252.29</v>
      </c>
      <c r="C1455" s="1">
        <f ca="1">IFERROR(__xludf.DUMMYFUNCTION("""COMPUTED_VALUE"""),513.57)</f>
        <v>513.57000000000005</v>
      </c>
      <c r="D1455" s="1">
        <f ca="1">IFERROR(__xludf.DUMMYFUNCTION("""COMPUTED_VALUE"""),216.39)</f>
        <v>216.39</v>
      </c>
      <c r="E1455" s="1">
        <f ca="1">IFERROR(__xludf.DUMMYFUNCTION("""COMPUTED_VALUE"""),180.03)</f>
        <v>180.03</v>
      </c>
      <c r="F1455" s="1">
        <f ca="1">IFERROR(__xludf.DUMMYFUNCTION("""COMPUTED_VALUE"""),708.65)</f>
        <v>708.65</v>
      </c>
      <c r="G1455" s="1">
        <f ca="1">IFERROR(__xludf.DUMMYFUNCTION("""COMPUTED_VALUE"""),246.19)</f>
        <v>246.19</v>
      </c>
      <c r="H1455" s="1">
        <f ca="1">IFERROR(__xludf.DUMMYFUNCTION("""COMPUTED_VALUE"""),429.24)</f>
        <v>429.24</v>
      </c>
      <c r="I1455" s="1">
        <f ca="1">IFERROR(__xludf.DUMMYFUNCTION("""COMPUTED_VALUE"""),151.54)</f>
        <v>151.54</v>
      </c>
      <c r="J1455" s="1">
        <f ca="1">IFERROR(__xludf.DUMMYFUNCTION("""COMPUTED_VALUE"""),946.51)</f>
        <v>946.51</v>
      </c>
      <c r="K1455" s="1">
        <f ca="1">IFERROR(__xludf.DUMMYFUNCTION("""COMPUTED_VALUE"""),344.13)</f>
        <v>344.13</v>
      </c>
      <c r="L1455" s="1">
        <f ca="1">IFERROR(__xludf.DUMMYFUNCTION("""COMPUTED_VALUE"""),335.94)</f>
        <v>335.94</v>
      </c>
      <c r="M1455" s="1">
        <f ca="1">IFERROR(__xludf.DUMMYFUNCTION("""COMPUTED_VALUE"""),1215.35)</f>
        <v>1215.3499999999999</v>
      </c>
    </row>
    <row r="1456" spans="1:13" x14ac:dyDescent="0.25">
      <c r="C1456" s="1">
        <f ca="1">IFERROR(__xludf.DUMMYFUNCTION("""COMPUTED_VALUE"""),513.43)</f>
        <v>513.42999999999995</v>
      </c>
      <c r="D1456" s="1">
        <f ca="1">IFERROR(__xludf.DUMMYFUNCTION("""COMPUTED_VALUE"""),215.57)</f>
        <v>215.57</v>
      </c>
      <c r="E1456" s="1">
        <f ca="1">IFERROR(__xludf.DUMMYFUNCTION("""COMPUTED_VALUE"""),179.83)</f>
        <v>179.83</v>
      </c>
      <c r="F1456" s="1">
        <f ca="1">IFERROR(__xludf.DUMMYFUNCTION("""COMPUTED_VALUE"""),717.55)</f>
        <v>717.55</v>
      </c>
      <c r="G1456" s="1">
        <f ca="1">IFERROR(__xludf.DUMMYFUNCTION("""COMPUTED_VALUE"""),251.71)</f>
        <v>251.71</v>
      </c>
      <c r="H1456" s="1">
        <f ca="1">IFERROR(__xludf.DUMMYFUNCTION("""COMPUTED_VALUE"""),435.15)</f>
        <v>435.15</v>
      </c>
      <c r="I1456" s="1">
        <f ca="1">IFERROR(__xludf.DUMMYFUNCTION("""COMPUTED_VALUE"""),151.16)</f>
        <v>151.16</v>
      </c>
      <c r="J1456" s="1">
        <f ca="1">IFERROR(__xludf.DUMMYFUNCTION("""COMPUTED_VALUE"""),954.99)</f>
        <v>954.99</v>
      </c>
      <c r="K1456" s="1">
        <f ca="1">IFERROR(__xludf.DUMMYFUNCTION("""COMPUTED_VALUE"""),351.33)</f>
        <v>351.33</v>
      </c>
      <c r="L1456" s="1">
        <f ca="1">IFERROR(__xludf.DUMMYFUNCTION("""COMPUTED_VALUE"""),330.63)</f>
        <v>330.63</v>
      </c>
      <c r="M1456" s="1">
        <f ca="1">IFERROR(__xludf.DUMMYFUNCTION("""COMPUTED_VALUE"""),1203.29)</f>
        <v>1203.29</v>
      </c>
    </row>
    <row r="1457" spans="3:13" x14ac:dyDescent="0.25">
      <c r="C1457" s="1">
        <f ca="1">IFERROR(__xludf.DUMMYFUNCTION("""COMPUTED_VALUE"""),511.61)</f>
        <v>511.61</v>
      </c>
      <c r="D1457" s="1">
        <f ca="1">IFERROR(__xludf.DUMMYFUNCTION("""COMPUTED_VALUE"""),214.47)</f>
        <v>214.47</v>
      </c>
      <c r="E1457" s="1">
        <f ca="1">IFERROR(__xludf.DUMMYFUNCTION("""COMPUTED_VALUE"""),181.81)</f>
        <v>181.81</v>
      </c>
      <c r="F1457" s="1">
        <f ca="1">IFERROR(__xludf.DUMMYFUNCTION("""COMPUTED_VALUE"""),712.07)</f>
        <v>712.07</v>
      </c>
      <c r="G1457" s="1">
        <f ca="1">IFERROR(__xludf.DUMMYFUNCTION("""COMPUTED_VALUE"""),251.88)</f>
        <v>251.88</v>
      </c>
      <c r="H1457" s="1">
        <f ca="1">IFERROR(__xludf.DUMMYFUNCTION("""COMPUTED_VALUE"""),428.75)</f>
        <v>428.75</v>
      </c>
      <c r="I1457" s="1">
        <f ca="1">IFERROR(__xludf.DUMMYFUNCTION("""COMPUTED_VALUE"""),152.67)</f>
        <v>152.66999999999999</v>
      </c>
      <c r="J1457" s="1">
        <f ca="1">IFERROR(__xludf.DUMMYFUNCTION("""COMPUTED_VALUE"""),925.62)</f>
        <v>925.62</v>
      </c>
      <c r="K1457" s="1">
        <f ca="1">IFERROR(__xludf.DUMMYFUNCTION("""COMPUTED_VALUE"""),354.15)</f>
        <v>354.15</v>
      </c>
      <c r="L1457" s="1">
        <f ca="1">IFERROR(__xludf.DUMMYFUNCTION("""COMPUTED_VALUE"""),329.23)</f>
        <v>329.23</v>
      </c>
      <c r="M1457" s="1">
        <f ca="1">IFERROR(__xludf.DUMMYFUNCTION("""COMPUTED_VALUE"""),1183.59)</f>
        <v>1183.5899999999999</v>
      </c>
    </row>
    <row r="1458" spans="3:13" x14ac:dyDescent="0.25">
      <c r="C1458" s="1">
        <f ca="1">IFERROR(__xludf.DUMMYFUNCTION("""COMPUTED_VALUE"""),513.58)</f>
        <v>513.58000000000004</v>
      </c>
      <c r="D1458" s="1">
        <f ca="1">IFERROR(__xludf.DUMMYFUNCTION("""COMPUTED_VALUE"""),213.04)</f>
        <v>213.04</v>
      </c>
      <c r="E1458" s="1">
        <f ca="1">IFERROR(__xludf.DUMMYFUNCTION("""COMPUTED_VALUE"""),183.22)</f>
        <v>183.22</v>
      </c>
      <c r="F1458" s="1">
        <f ca="1">IFERROR(__xludf.DUMMYFUNCTION("""COMPUTED_VALUE"""),716.92)</f>
        <v>716.92</v>
      </c>
      <c r="G1458" s="1">
        <f ca="1">IFERROR(__xludf.DUMMYFUNCTION("""COMPUTED_VALUE"""),253.79)</f>
        <v>253.79</v>
      </c>
      <c r="H1458" s="1">
        <f ca="1">IFERROR(__xludf.DUMMYFUNCTION("""COMPUTED_VALUE"""),439.31)</f>
        <v>439.31</v>
      </c>
      <c r="I1458" s="1">
        <f ca="1">IFERROR(__xludf.DUMMYFUNCTION("""COMPUTED_VALUE"""),153.71)</f>
        <v>153.71</v>
      </c>
      <c r="J1458" s="1">
        <f ca="1">IFERROR(__xludf.DUMMYFUNCTION("""COMPUTED_VALUE"""),936.33)</f>
        <v>936.33</v>
      </c>
      <c r="K1458" s="1">
        <f ca="1">IFERROR(__xludf.DUMMYFUNCTION("""COMPUTED_VALUE"""),349.33)</f>
        <v>349.33</v>
      </c>
      <c r="L1458" s="1">
        <f ca="1">IFERROR(__xludf.DUMMYFUNCTION("""COMPUTED_VALUE"""),333.26)</f>
        <v>333.26</v>
      </c>
      <c r="M1458" s="1">
        <f ca="1">IFERROR(__xludf.DUMMYFUNCTION("""COMPUTED_VALUE"""),1199.36)</f>
        <v>1199.3599999999999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MESUT U. 223101024</cp:lastModifiedBy>
  <dcterms:modified xsi:type="dcterms:W3CDTF">2025-10-19T02:12:58Z</dcterms:modified>
</cp:coreProperties>
</file>