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ğra\Desktop\ne-olur\"/>
    </mc:Choice>
  </mc:AlternateContent>
  <xr:revisionPtr revIDLastSave="0" documentId="13_ncr:1_{5A338727-C868-4997-BCE7-EE89B00420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A1459" i="1"/>
  <c r="Y1459" i="1"/>
  <c r="X1459" i="1"/>
  <c r="V1459" i="1"/>
  <c r="S1459" i="1"/>
  <c r="R1459" i="1"/>
  <c r="Q1459" i="1"/>
  <c r="P1459" i="1"/>
  <c r="K1459" i="1"/>
  <c r="J1459" i="1"/>
  <c r="E1459" i="1"/>
  <c r="D1459" i="1"/>
  <c r="AA1458" i="1"/>
  <c r="Y1458" i="1"/>
  <c r="X1458" i="1"/>
  <c r="V1458" i="1"/>
  <c r="S1458" i="1"/>
  <c r="R1458" i="1"/>
  <c r="Q1458" i="1"/>
  <c r="P1458" i="1"/>
  <c r="M1458" i="1"/>
  <c r="K1458" i="1"/>
  <c r="J1458" i="1"/>
  <c r="G1458" i="1"/>
  <c r="E1458" i="1"/>
  <c r="D1458" i="1"/>
  <c r="AB1457" i="1"/>
  <c r="AA1457" i="1"/>
  <c r="Z1457" i="1"/>
  <c r="Y1457" i="1"/>
  <c r="X1457" i="1"/>
  <c r="V1457" i="1"/>
  <c r="U1457" i="1"/>
  <c r="T1457" i="1"/>
  <c r="S1457" i="1"/>
  <c r="R1457" i="1"/>
  <c r="Q1457" i="1"/>
  <c r="P1457" i="1"/>
  <c r="M1457" i="1"/>
  <c r="K1457" i="1"/>
  <c r="J1457" i="1"/>
  <c r="H1457" i="1"/>
  <c r="G1457" i="1"/>
  <c r="F1457" i="1"/>
  <c r="E1457" i="1"/>
  <c r="D1457" i="1"/>
  <c r="AC1456" i="1"/>
  <c r="AB1456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K1456" i="1"/>
  <c r="J1456" i="1"/>
  <c r="I1456" i="1"/>
  <c r="H1456" i="1"/>
  <c r="G1456" i="1"/>
  <c r="F1456" i="1"/>
  <c r="E1456" i="1"/>
  <c r="D1456" i="1"/>
  <c r="C1456" i="1"/>
  <c r="AC1455" i="1"/>
  <c r="AB1455" i="1"/>
  <c r="AA1455" i="1"/>
  <c r="Z1455" i="1"/>
  <c r="Y1455" i="1"/>
  <c r="X1455" i="1"/>
  <c r="W1455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AC1454" i="1"/>
  <c r="AB1454" i="1"/>
  <c r="AA1454" i="1"/>
  <c r="Z1454" i="1"/>
  <c r="Y1454" i="1"/>
  <c r="X1454" i="1"/>
  <c r="W1454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5" i="1"/>
  <c r="A1455" i="1"/>
  <c r="AC1453" i="1"/>
  <c r="AB1453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4" i="1"/>
  <c r="A1454" i="1"/>
  <c r="AC1452" i="1"/>
  <c r="AB1452" i="1"/>
  <c r="AA1452" i="1"/>
  <c r="Z1452" i="1"/>
  <c r="Y1452" i="1"/>
  <c r="X1452" i="1"/>
  <c r="W1452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3" i="1"/>
  <c r="A1453" i="1"/>
  <c r="AC1451" i="1"/>
  <c r="AB1451" i="1"/>
  <c r="AA1451" i="1"/>
  <c r="Z1451" i="1"/>
  <c r="Y1451" i="1"/>
  <c r="X1451" i="1"/>
  <c r="W1451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2" i="1"/>
  <c r="A1452" i="1"/>
  <c r="AC1450" i="1"/>
  <c r="AB1450" i="1"/>
  <c r="AA1450" i="1"/>
  <c r="Z1450" i="1"/>
  <c r="Y1450" i="1"/>
  <c r="X1450" i="1"/>
  <c r="W1450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1" i="1"/>
  <c r="A1451" i="1"/>
  <c r="AC1449" i="1"/>
  <c r="AB1449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50" i="1"/>
  <c r="A1450" i="1"/>
  <c r="AC1448" i="1"/>
  <c r="AB1448" i="1"/>
  <c r="AA1448" i="1"/>
  <c r="Z1448" i="1"/>
  <c r="Y1448" i="1"/>
  <c r="X1448" i="1"/>
  <c r="W1448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9" i="1"/>
  <c r="A1449" i="1"/>
  <c r="AC1447" i="1"/>
  <c r="AB1447" i="1"/>
  <c r="AA1447" i="1"/>
  <c r="Z1447" i="1"/>
  <c r="Y1447" i="1"/>
  <c r="X1447" i="1"/>
  <c r="W1447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8" i="1"/>
  <c r="A1448" i="1"/>
  <c r="AC1446" i="1"/>
  <c r="AB1446" i="1"/>
  <c r="AA1446" i="1"/>
  <c r="Z1446" i="1"/>
  <c r="Y1446" i="1"/>
  <c r="X1446" i="1"/>
  <c r="W1446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7" i="1"/>
  <c r="A1447" i="1"/>
  <c r="AC1445" i="1"/>
  <c r="AB1445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6" i="1"/>
  <c r="A1446" i="1"/>
  <c r="AC1444" i="1"/>
  <c r="AB1444" i="1"/>
  <c r="AA1444" i="1"/>
  <c r="Z1444" i="1"/>
  <c r="Y1444" i="1"/>
  <c r="X1444" i="1"/>
  <c r="W1444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5" i="1"/>
  <c r="A1445" i="1"/>
  <c r="AC1443" i="1"/>
  <c r="AB1443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4" i="1"/>
  <c r="A1444" i="1"/>
  <c r="AC1442" i="1"/>
  <c r="AB1442" i="1"/>
  <c r="AA1442" i="1"/>
  <c r="Z1442" i="1"/>
  <c r="Y1442" i="1"/>
  <c r="X1442" i="1"/>
  <c r="W1442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3" i="1"/>
  <c r="A1443" i="1"/>
  <c r="AC1441" i="1"/>
  <c r="AB1441" i="1"/>
  <c r="AA1441" i="1"/>
  <c r="Z1441" i="1"/>
  <c r="Y1441" i="1"/>
  <c r="X1441" i="1"/>
  <c r="W1441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2" i="1"/>
  <c r="A1442" i="1"/>
  <c r="AC1440" i="1"/>
  <c r="AB1440" i="1"/>
  <c r="AA1440" i="1"/>
  <c r="Z1440" i="1"/>
  <c r="Y1440" i="1"/>
  <c r="X1440" i="1"/>
  <c r="W1440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1" i="1"/>
  <c r="A1441" i="1"/>
  <c r="AC1439" i="1"/>
  <c r="AB1439" i="1"/>
  <c r="AA1439" i="1"/>
  <c r="Z1439" i="1"/>
  <c r="Y1439" i="1"/>
  <c r="X1439" i="1"/>
  <c r="W1439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40" i="1"/>
  <c r="A1440" i="1"/>
  <c r="AC1438" i="1"/>
  <c r="AB1438" i="1"/>
  <c r="AA1438" i="1"/>
  <c r="Z1438" i="1"/>
  <c r="Y1438" i="1"/>
  <c r="X1438" i="1"/>
  <c r="W1438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9" i="1"/>
  <c r="A1439" i="1"/>
  <c r="AC1437" i="1"/>
  <c r="AB1437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8" i="1"/>
  <c r="A1438" i="1"/>
  <c r="AC1436" i="1"/>
  <c r="AB1436" i="1"/>
  <c r="AA1436" i="1"/>
  <c r="Z1436" i="1"/>
  <c r="Y1436" i="1"/>
  <c r="X1436" i="1"/>
  <c r="W1436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7" i="1"/>
  <c r="A1437" i="1"/>
  <c r="AC1435" i="1"/>
  <c r="AB1435" i="1"/>
  <c r="AA1435" i="1"/>
  <c r="Z1435" i="1"/>
  <c r="Y1435" i="1"/>
  <c r="X1435" i="1"/>
  <c r="W1435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6" i="1"/>
  <c r="A1436" i="1"/>
  <c r="AC1434" i="1"/>
  <c r="AB1434" i="1"/>
  <c r="AA1434" i="1"/>
  <c r="Z1434" i="1"/>
  <c r="Y1434" i="1"/>
  <c r="X1434" i="1"/>
  <c r="W1434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5" i="1"/>
  <c r="A1435" i="1"/>
  <c r="AC1433" i="1"/>
  <c r="AB1433" i="1"/>
  <c r="AA1433" i="1"/>
  <c r="Z1433" i="1"/>
  <c r="Y1433" i="1"/>
  <c r="X1433" i="1"/>
  <c r="W1433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4" i="1"/>
  <c r="A1434" i="1"/>
  <c r="AC1432" i="1"/>
  <c r="AB1432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3" i="1"/>
  <c r="A1433" i="1"/>
  <c r="AC1431" i="1"/>
  <c r="AB1431" i="1"/>
  <c r="AA1431" i="1"/>
  <c r="Z1431" i="1"/>
  <c r="Y1431" i="1"/>
  <c r="X1431" i="1"/>
  <c r="W1431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2" i="1"/>
  <c r="A1432" i="1"/>
  <c r="AC1430" i="1"/>
  <c r="AB1430" i="1"/>
  <c r="AA1430" i="1"/>
  <c r="Z1430" i="1"/>
  <c r="Y1430" i="1"/>
  <c r="X1430" i="1"/>
  <c r="W1430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1" i="1"/>
  <c r="A1431" i="1"/>
  <c r="AC1429" i="1"/>
  <c r="AB1429" i="1"/>
  <c r="AA1429" i="1"/>
  <c r="Z1429" i="1"/>
  <c r="Y1429" i="1"/>
  <c r="X1429" i="1"/>
  <c r="W1429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30" i="1"/>
  <c r="A1430" i="1"/>
  <c r="AC1428" i="1"/>
  <c r="AB1428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9" i="1"/>
  <c r="A1429" i="1"/>
  <c r="AC1427" i="1"/>
  <c r="AB1427" i="1"/>
  <c r="AA1427" i="1"/>
  <c r="Z1427" i="1"/>
  <c r="Y1427" i="1"/>
  <c r="X1427" i="1"/>
  <c r="W1427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8" i="1"/>
  <c r="A1428" i="1"/>
  <c r="AC1426" i="1"/>
  <c r="AB1426" i="1"/>
  <c r="AA1426" i="1"/>
  <c r="Z1426" i="1"/>
  <c r="Y1426" i="1"/>
  <c r="X1426" i="1"/>
  <c r="W1426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7" i="1"/>
  <c r="A1427" i="1"/>
  <c r="AC1425" i="1"/>
  <c r="AB1425" i="1"/>
  <c r="AA1425" i="1"/>
  <c r="Z1425" i="1"/>
  <c r="Y1425" i="1"/>
  <c r="X1425" i="1"/>
  <c r="W1425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6" i="1"/>
  <c r="A1426" i="1"/>
  <c r="AC1424" i="1"/>
  <c r="AB1424" i="1"/>
  <c r="AA1424" i="1"/>
  <c r="Z1424" i="1"/>
  <c r="Y1424" i="1"/>
  <c r="X1424" i="1"/>
  <c r="W1424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5" i="1"/>
  <c r="A1425" i="1"/>
  <c r="AC1423" i="1"/>
  <c r="AB1423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4" i="1"/>
  <c r="A1424" i="1"/>
  <c r="AC1422" i="1"/>
  <c r="AB1422" i="1"/>
  <c r="AA1422" i="1"/>
  <c r="Z1422" i="1"/>
  <c r="Y1422" i="1"/>
  <c r="X1422" i="1"/>
  <c r="W1422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3" i="1"/>
  <c r="A1423" i="1"/>
  <c r="AC1421" i="1"/>
  <c r="AB1421" i="1"/>
  <c r="AA1421" i="1"/>
  <c r="Z1421" i="1"/>
  <c r="Y1421" i="1"/>
  <c r="X1421" i="1"/>
  <c r="W1421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2" i="1"/>
  <c r="A1422" i="1"/>
  <c r="AC1420" i="1"/>
  <c r="AB1420" i="1"/>
  <c r="AA1420" i="1"/>
  <c r="Z1420" i="1"/>
  <c r="Y1420" i="1"/>
  <c r="X1420" i="1"/>
  <c r="W1420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1" i="1"/>
  <c r="A1421" i="1"/>
  <c r="AC1419" i="1"/>
  <c r="AB1419" i="1"/>
  <c r="AA1419" i="1"/>
  <c r="Z1419" i="1"/>
  <c r="Y1419" i="1"/>
  <c r="X1419" i="1"/>
  <c r="W1419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20" i="1"/>
  <c r="A1420" i="1"/>
  <c r="AC1418" i="1"/>
  <c r="AB1418" i="1"/>
  <c r="AA1418" i="1"/>
  <c r="Z1418" i="1"/>
  <c r="Y1418" i="1"/>
  <c r="X1418" i="1"/>
  <c r="W1418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9" i="1"/>
  <c r="A1419" i="1"/>
  <c r="AC1417" i="1"/>
  <c r="AB1417" i="1"/>
  <c r="AA1417" i="1"/>
  <c r="Z1417" i="1"/>
  <c r="Y1417" i="1"/>
  <c r="X1417" i="1"/>
  <c r="W1417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8" i="1"/>
  <c r="A1418" i="1"/>
  <c r="AC1416" i="1"/>
  <c r="AB1416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7" i="1"/>
  <c r="A1417" i="1"/>
  <c r="AC1415" i="1"/>
  <c r="AB1415" i="1"/>
  <c r="AA1415" i="1"/>
  <c r="Z1415" i="1"/>
  <c r="Y1415" i="1"/>
  <c r="X1415" i="1"/>
  <c r="W1415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6" i="1"/>
  <c r="A1416" i="1"/>
  <c r="AC1414" i="1"/>
  <c r="AB1414" i="1"/>
  <c r="AA1414" i="1"/>
  <c r="Z1414" i="1"/>
  <c r="Y1414" i="1"/>
  <c r="X1414" i="1"/>
  <c r="W1414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5" i="1"/>
  <c r="A1415" i="1"/>
  <c r="AC1413" i="1"/>
  <c r="AB1413" i="1"/>
  <c r="AA1413" i="1"/>
  <c r="Z1413" i="1"/>
  <c r="Y1413" i="1"/>
  <c r="X1413" i="1"/>
  <c r="W1413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4" i="1"/>
  <c r="A1414" i="1"/>
  <c r="AC1412" i="1"/>
  <c r="AB1412" i="1"/>
  <c r="AA1412" i="1"/>
  <c r="Z1412" i="1"/>
  <c r="Y1412" i="1"/>
  <c r="X1412" i="1"/>
  <c r="W1412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3" i="1"/>
  <c r="A1413" i="1"/>
  <c r="AC1411" i="1"/>
  <c r="AB1411" i="1"/>
  <c r="AA1411" i="1"/>
  <c r="Z1411" i="1"/>
  <c r="Y1411" i="1"/>
  <c r="X1411" i="1"/>
  <c r="W1411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2" i="1"/>
  <c r="A1412" i="1"/>
  <c r="AC1410" i="1"/>
  <c r="AB1410" i="1"/>
  <c r="AA1410" i="1"/>
  <c r="Z1410" i="1"/>
  <c r="Y1410" i="1"/>
  <c r="X1410" i="1"/>
  <c r="W1410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1" i="1"/>
  <c r="A1411" i="1"/>
  <c r="AC1409" i="1"/>
  <c r="AB1409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10" i="1"/>
  <c r="A1410" i="1"/>
  <c r="AC1408" i="1"/>
  <c r="AB1408" i="1"/>
  <c r="AA1408" i="1"/>
  <c r="Z1408" i="1"/>
  <c r="Y1408" i="1"/>
  <c r="X1408" i="1"/>
  <c r="W1408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9" i="1"/>
  <c r="A1409" i="1"/>
  <c r="AC1407" i="1"/>
  <c r="AB1407" i="1"/>
  <c r="AA1407" i="1"/>
  <c r="Z1407" i="1"/>
  <c r="Y1407" i="1"/>
  <c r="X1407" i="1"/>
  <c r="W1407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8" i="1"/>
  <c r="A1408" i="1"/>
  <c r="AC1406" i="1"/>
  <c r="AB1406" i="1"/>
  <c r="AA1406" i="1"/>
  <c r="Z1406" i="1"/>
  <c r="Y1406" i="1"/>
  <c r="X1406" i="1"/>
  <c r="W1406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7" i="1"/>
  <c r="A1407" i="1"/>
  <c r="AC1405" i="1"/>
  <c r="AB1405" i="1"/>
  <c r="AA1405" i="1"/>
  <c r="Z1405" i="1"/>
  <c r="Y1405" i="1"/>
  <c r="X1405" i="1"/>
  <c r="W1405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6" i="1"/>
  <c r="A1406" i="1"/>
  <c r="AC1404" i="1"/>
  <c r="AB1404" i="1"/>
  <c r="AA1404" i="1"/>
  <c r="Z1404" i="1"/>
  <c r="Y1404" i="1"/>
  <c r="X1404" i="1"/>
  <c r="W1404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5" i="1"/>
  <c r="A1405" i="1"/>
  <c r="AC1403" i="1"/>
  <c r="AB1403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4" i="1"/>
  <c r="A1404" i="1"/>
  <c r="AC1402" i="1"/>
  <c r="AB1402" i="1"/>
  <c r="AA1402" i="1"/>
  <c r="Z1402" i="1"/>
  <c r="Y1402" i="1"/>
  <c r="X1402" i="1"/>
  <c r="W1402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3" i="1"/>
  <c r="A1403" i="1"/>
  <c r="AC1401" i="1"/>
  <c r="AB1401" i="1"/>
  <c r="AA1401" i="1"/>
  <c r="Z1401" i="1"/>
  <c r="Y1401" i="1"/>
  <c r="X1401" i="1"/>
  <c r="W1401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2" i="1"/>
  <c r="A1402" i="1"/>
  <c r="AC1400" i="1"/>
  <c r="AB1400" i="1"/>
  <c r="AA1400" i="1"/>
  <c r="Z1400" i="1"/>
  <c r="Y1400" i="1"/>
  <c r="X1400" i="1"/>
  <c r="W1400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1" i="1"/>
  <c r="A1401" i="1"/>
  <c r="AC1399" i="1"/>
  <c r="AB1399" i="1"/>
  <c r="AA1399" i="1"/>
  <c r="Z1399" i="1"/>
  <c r="Y1399" i="1"/>
  <c r="X1399" i="1"/>
  <c r="W1399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400" i="1"/>
  <c r="A1400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9" i="1"/>
  <c r="A1399" i="1"/>
  <c r="AC1397" i="1"/>
  <c r="AB1397" i="1"/>
  <c r="AA1397" i="1"/>
  <c r="Z1397" i="1"/>
  <c r="Y1397" i="1"/>
  <c r="X1397" i="1"/>
  <c r="W1397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8" i="1"/>
  <c r="A1398" i="1"/>
  <c r="AC1396" i="1"/>
  <c r="AB1396" i="1"/>
  <c r="AA1396" i="1"/>
  <c r="Z1396" i="1"/>
  <c r="Y1396" i="1"/>
  <c r="X1396" i="1"/>
  <c r="W1396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7" i="1"/>
  <c r="A1397" i="1"/>
  <c r="AC1395" i="1"/>
  <c r="AB1395" i="1"/>
  <c r="AA1395" i="1"/>
  <c r="Z1395" i="1"/>
  <c r="Y1395" i="1"/>
  <c r="X1395" i="1"/>
  <c r="W1395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6" i="1"/>
  <c r="A1396" i="1"/>
  <c r="AC1394" i="1"/>
  <c r="AB1394" i="1"/>
  <c r="AA1394" i="1"/>
  <c r="Z1394" i="1"/>
  <c r="Y1394" i="1"/>
  <c r="X1394" i="1"/>
  <c r="W1394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5" i="1"/>
  <c r="A1395" i="1"/>
  <c r="AC1393" i="1"/>
  <c r="AB1393" i="1"/>
  <c r="AA1393" i="1"/>
  <c r="Z1393" i="1"/>
  <c r="Y1393" i="1"/>
  <c r="X1393" i="1"/>
  <c r="W1393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4" i="1"/>
  <c r="A1394" i="1"/>
  <c r="AC1392" i="1"/>
  <c r="AB1392" i="1"/>
  <c r="AA1392" i="1"/>
  <c r="Z1392" i="1"/>
  <c r="Y1392" i="1"/>
  <c r="X1392" i="1"/>
  <c r="W1392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3" i="1"/>
  <c r="A1393" i="1"/>
  <c r="AC1391" i="1"/>
  <c r="AB1391" i="1"/>
  <c r="AA1391" i="1"/>
  <c r="Z1391" i="1"/>
  <c r="Y1391" i="1"/>
  <c r="X1391" i="1"/>
  <c r="W1391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2" i="1"/>
  <c r="A1392" i="1"/>
  <c r="AC1390" i="1"/>
  <c r="AB1390" i="1"/>
  <c r="AA1390" i="1"/>
  <c r="Z1390" i="1"/>
  <c r="Y1390" i="1"/>
  <c r="X1390" i="1"/>
  <c r="W1390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1" i="1"/>
  <c r="A1391" i="1"/>
  <c r="AC1389" i="1"/>
  <c r="AB1389" i="1"/>
  <c r="AA1389" i="1"/>
  <c r="Z1389" i="1"/>
  <c r="Y1389" i="1"/>
  <c r="X1389" i="1"/>
  <c r="W138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90" i="1"/>
  <c r="A1390" i="1"/>
  <c r="AC1388" i="1"/>
  <c r="AB1388" i="1"/>
  <c r="AA1388" i="1"/>
  <c r="Z1388" i="1"/>
  <c r="Y1388" i="1"/>
  <c r="X1388" i="1"/>
  <c r="W1388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9" i="1"/>
  <c r="A1389" i="1"/>
  <c r="AC1387" i="1"/>
  <c r="AB1387" i="1"/>
  <c r="AA1387" i="1"/>
  <c r="Z1387" i="1"/>
  <c r="Y1387" i="1"/>
  <c r="X1387" i="1"/>
  <c r="W1387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8" i="1"/>
  <c r="A1388" i="1"/>
  <c r="AC1386" i="1"/>
  <c r="AB1386" i="1"/>
  <c r="AA1386" i="1"/>
  <c r="Z1386" i="1"/>
  <c r="Y1386" i="1"/>
  <c r="X1386" i="1"/>
  <c r="W1386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7" i="1"/>
  <c r="A1387" i="1"/>
  <c r="AC1385" i="1"/>
  <c r="AB1385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6" i="1"/>
  <c r="A1386" i="1"/>
  <c r="AC1384" i="1"/>
  <c r="AB1384" i="1"/>
  <c r="AA1384" i="1"/>
  <c r="Z1384" i="1"/>
  <c r="Y1384" i="1"/>
  <c r="X1384" i="1"/>
  <c r="W1384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5" i="1"/>
  <c r="A1385" i="1"/>
  <c r="AC1383" i="1"/>
  <c r="AB1383" i="1"/>
  <c r="AA1383" i="1"/>
  <c r="Z1383" i="1"/>
  <c r="Y1383" i="1"/>
  <c r="X1383" i="1"/>
  <c r="W1383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4" i="1"/>
  <c r="A1384" i="1"/>
  <c r="AC1382" i="1"/>
  <c r="AB1382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3" i="1"/>
  <c r="A1383" i="1"/>
  <c r="AC1381" i="1"/>
  <c r="AB1381" i="1"/>
  <c r="AA1381" i="1"/>
  <c r="Z1381" i="1"/>
  <c r="Y1381" i="1"/>
  <c r="X1381" i="1"/>
  <c r="W1381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2" i="1"/>
  <c r="A1382" i="1"/>
  <c r="AC1380" i="1"/>
  <c r="AB1380" i="1"/>
  <c r="AA1380" i="1"/>
  <c r="Z1380" i="1"/>
  <c r="Y1380" i="1"/>
  <c r="X1380" i="1"/>
  <c r="W1380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1" i="1"/>
  <c r="A1381" i="1"/>
  <c r="AC1379" i="1"/>
  <c r="AB1379" i="1"/>
  <c r="AA1379" i="1"/>
  <c r="Z1379" i="1"/>
  <c r="Y1379" i="1"/>
  <c r="X1379" i="1"/>
  <c r="W1379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80" i="1"/>
  <c r="A1380" i="1"/>
  <c r="AC1378" i="1"/>
  <c r="AB1378" i="1"/>
  <c r="AA1378" i="1"/>
  <c r="Z1378" i="1"/>
  <c r="Y1378" i="1"/>
  <c r="X1378" i="1"/>
  <c r="W1378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9" i="1"/>
  <c r="A1379" i="1"/>
  <c r="AC1377" i="1"/>
  <c r="AB1377" i="1"/>
  <c r="AA1377" i="1"/>
  <c r="Z1377" i="1"/>
  <c r="Y1377" i="1"/>
  <c r="X1377" i="1"/>
  <c r="W1377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8" i="1"/>
  <c r="A1378" i="1"/>
  <c r="AC1376" i="1"/>
  <c r="AB1376" i="1"/>
  <c r="AA1376" i="1"/>
  <c r="Z1376" i="1"/>
  <c r="Y1376" i="1"/>
  <c r="X1376" i="1"/>
  <c r="W1376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7" i="1"/>
  <c r="A1377" i="1"/>
  <c r="AC1375" i="1"/>
  <c r="AB1375" i="1"/>
  <c r="AA1375" i="1"/>
  <c r="Z1375" i="1"/>
  <c r="Y1375" i="1"/>
  <c r="X1375" i="1"/>
  <c r="W1375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6" i="1"/>
  <c r="A1376" i="1"/>
  <c r="AC1374" i="1"/>
  <c r="AB1374" i="1"/>
  <c r="AA1374" i="1"/>
  <c r="Z1374" i="1"/>
  <c r="Y1374" i="1"/>
  <c r="X1374" i="1"/>
  <c r="W1374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5" i="1"/>
  <c r="A1375" i="1"/>
  <c r="AC1373" i="1"/>
  <c r="AB1373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4" i="1"/>
  <c r="A1374" i="1"/>
  <c r="AC1372" i="1"/>
  <c r="AB1372" i="1"/>
  <c r="AA1372" i="1"/>
  <c r="Z1372" i="1"/>
  <c r="Y1372" i="1"/>
  <c r="X1372" i="1"/>
  <c r="W1372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3" i="1"/>
  <c r="A1373" i="1"/>
  <c r="AC1371" i="1"/>
  <c r="AB1371" i="1"/>
  <c r="AA1371" i="1"/>
  <c r="Z1371" i="1"/>
  <c r="Y1371" i="1"/>
  <c r="X1371" i="1"/>
  <c r="W1371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2" i="1"/>
  <c r="A1372" i="1"/>
  <c r="AC1370" i="1"/>
  <c r="AB1370" i="1"/>
  <c r="AA1370" i="1"/>
  <c r="Z1370" i="1"/>
  <c r="Y1370" i="1"/>
  <c r="X1370" i="1"/>
  <c r="W1370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1" i="1"/>
  <c r="A1371" i="1"/>
  <c r="AC1369" i="1"/>
  <c r="AB1369" i="1"/>
  <c r="AA1369" i="1"/>
  <c r="Z1369" i="1"/>
  <c r="Y1369" i="1"/>
  <c r="X1369" i="1"/>
  <c r="W1369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70" i="1"/>
  <c r="A1370" i="1"/>
  <c r="AC1368" i="1"/>
  <c r="AB1368" i="1"/>
  <c r="AA1368" i="1"/>
  <c r="Z1368" i="1"/>
  <c r="Y1368" i="1"/>
  <c r="X1368" i="1"/>
  <c r="W1368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9" i="1"/>
  <c r="A1369" i="1"/>
  <c r="AC1367" i="1"/>
  <c r="AB1367" i="1"/>
  <c r="AA1367" i="1"/>
  <c r="Z1367" i="1"/>
  <c r="Y1367" i="1"/>
  <c r="X1367" i="1"/>
  <c r="W1367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8" i="1"/>
  <c r="A1368" i="1"/>
  <c r="AC1366" i="1"/>
  <c r="AB1366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7" i="1"/>
  <c r="A1367" i="1"/>
  <c r="AC1365" i="1"/>
  <c r="AB1365" i="1"/>
  <c r="AA1365" i="1"/>
  <c r="Z1365" i="1"/>
  <c r="Y1365" i="1"/>
  <c r="X1365" i="1"/>
  <c r="W1365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6" i="1"/>
  <c r="A1366" i="1"/>
  <c r="AC1364" i="1"/>
  <c r="AB1364" i="1"/>
  <c r="AA1364" i="1"/>
  <c r="Z1364" i="1"/>
  <c r="Y1364" i="1"/>
  <c r="X1364" i="1"/>
  <c r="W1364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5" i="1"/>
  <c r="A1365" i="1"/>
  <c r="AC1363" i="1"/>
  <c r="AB1363" i="1"/>
  <c r="AA1363" i="1"/>
  <c r="Z1363" i="1"/>
  <c r="Y1363" i="1"/>
  <c r="X1363" i="1"/>
  <c r="W1363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4" i="1"/>
  <c r="A1364" i="1"/>
  <c r="AC1362" i="1"/>
  <c r="AB1362" i="1"/>
  <c r="AA1362" i="1"/>
  <c r="Z1362" i="1"/>
  <c r="Y1362" i="1"/>
  <c r="X1362" i="1"/>
  <c r="W1362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3" i="1"/>
  <c r="A1363" i="1"/>
  <c r="AC1361" i="1"/>
  <c r="AB1361" i="1"/>
  <c r="AA1361" i="1"/>
  <c r="Z1361" i="1"/>
  <c r="Y1361" i="1"/>
  <c r="X1361" i="1"/>
  <c r="W1361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2" i="1"/>
  <c r="A1362" i="1"/>
  <c r="AC1360" i="1"/>
  <c r="AB1360" i="1"/>
  <c r="AA1360" i="1"/>
  <c r="Z1360" i="1"/>
  <c r="Y1360" i="1"/>
  <c r="X1360" i="1"/>
  <c r="W1360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1" i="1"/>
  <c r="A1361" i="1"/>
  <c r="AC1359" i="1"/>
  <c r="AB1359" i="1"/>
  <c r="AA1359" i="1"/>
  <c r="Z1359" i="1"/>
  <c r="Y1359" i="1"/>
  <c r="X1359" i="1"/>
  <c r="W135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60" i="1"/>
  <c r="A1360" i="1"/>
  <c r="AC1358" i="1"/>
  <c r="AB1358" i="1"/>
  <c r="AA1358" i="1"/>
  <c r="Z1358" i="1"/>
  <c r="Y1358" i="1"/>
  <c r="X1358" i="1"/>
  <c r="W1358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9" i="1"/>
  <c r="A1359" i="1"/>
  <c r="AC1357" i="1"/>
  <c r="AB1357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8" i="1"/>
  <c r="A1358" i="1"/>
  <c r="AC1356" i="1"/>
  <c r="AB1356" i="1"/>
  <c r="AA1356" i="1"/>
  <c r="Z1356" i="1"/>
  <c r="Y1356" i="1"/>
  <c r="X1356" i="1"/>
  <c r="W1356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7" i="1"/>
  <c r="A1357" i="1"/>
  <c r="AC1355" i="1"/>
  <c r="AB1355" i="1"/>
  <c r="AA1355" i="1"/>
  <c r="Z1355" i="1"/>
  <c r="Y1355" i="1"/>
  <c r="X1355" i="1"/>
  <c r="W1355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6" i="1"/>
  <c r="A1356" i="1"/>
  <c r="AC1354" i="1"/>
  <c r="AB1354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5" i="1"/>
  <c r="A1355" i="1"/>
  <c r="AC1353" i="1"/>
  <c r="AB1353" i="1"/>
  <c r="AA1353" i="1"/>
  <c r="Z1353" i="1"/>
  <c r="Y1353" i="1"/>
  <c r="X1353" i="1"/>
  <c r="W1353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4" i="1"/>
  <c r="A1354" i="1"/>
  <c r="AC1352" i="1"/>
  <c r="AB1352" i="1"/>
  <c r="AA1352" i="1"/>
  <c r="Z1352" i="1"/>
  <c r="Y1352" i="1"/>
  <c r="X1352" i="1"/>
  <c r="W1352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3" i="1"/>
  <c r="A1353" i="1"/>
  <c r="AC1351" i="1"/>
  <c r="AB1351" i="1"/>
  <c r="AA1351" i="1"/>
  <c r="Z1351" i="1"/>
  <c r="Y1351" i="1"/>
  <c r="X1351" i="1"/>
  <c r="W1351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2" i="1"/>
  <c r="A1352" i="1"/>
  <c r="AC1350" i="1"/>
  <c r="AB1350" i="1"/>
  <c r="AA1350" i="1"/>
  <c r="Z1350" i="1"/>
  <c r="Y1350" i="1"/>
  <c r="X1350" i="1"/>
  <c r="W1350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1" i="1"/>
  <c r="A1351" i="1"/>
  <c r="AC1349" i="1"/>
  <c r="AB1349" i="1"/>
  <c r="AA1349" i="1"/>
  <c r="Z1349" i="1"/>
  <c r="Y1349" i="1"/>
  <c r="X1349" i="1"/>
  <c r="W1349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50" i="1"/>
  <c r="A1350" i="1"/>
  <c r="AC1348" i="1"/>
  <c r="AB1348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9" i="1"/>
  <c r="A1349" i="1"/>
  <c r="AC1347" i="1"/>
  <c r="AB1347" i="1"/>
  <c r="AA1347" i="1"/>
  <c r="Z1347" i="1"/>
  <c r="Y1347" i="1"/>
  <c r="X1347" i="1"/>
  <c r="W1347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8" i="1"/>
  <c r="A1348" i="1"/>
  <c r="AC1346" i="1"/>
  <c r="AB1346" i="1"/>
  <c r="AA1346" i="1"/>
  <c r="Z1346" i="1"/>
  <c r="Y1346" i="1"/>
  <c r="X1346" i="1"/>
  <c r="W1346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7" i="1"/>
  <c r="A1347" i="1"/>
  <c r="AC1345" i="1"/>
  <c r="AB1345" i="1"/>
  <c r="AA1345" i="1"/>
  <c r="Z1345" i="1"/>
  <c r="Y1345" i="1"/>
  <c r="X1345" i="1"/>
  <c r="W1345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6" i="1"/>
  <c r="A1346" i="1"/>
  <c r="AC1344" i="1"/>
  <c r="AB1344" i="1"/>
  <c r="AA1344" i="1"/>
  <c r="Z1344" i="1"/>
  <c r="Y1344" i="1"/>
  <c r="X1344" i="1"/>
  <c r="W1344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5" i="1"/>
  <c r="A1345" i="1"/>
  <c r="AC1343" i="1"/>
  <c r="AB1343" i="1"/>
  <c r="AA1343" i="1"/>
  <c r="Z1343" i="1"/>
  <c r="Y1343" i="1"/>
  <c r="X1343" i="1"/>
  <c r="W1343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4" i="1"/>
  <c r="A1344" i="1"/>
  <c r="AC1342" i="1"/>
  <c r="AB1342" i="1"/>
  <c r="AA1342" i="1"/>
  <c r="Z1342" i="1"/>
  <c r="Y1342" i="1"/>
  <c r="X1342" i="1"/>
  <c r="W1342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3" i="1"/>
  <c r="A1343" i="1"/>
  <c r="AC1341" i="1"/>
  <c r="AB1341" i="1"/>
  <c r="AA1341" i="1"/>
  <c r="Z1341" i="1"/>
  <c r="Y1341" i="1"/>
  <c r="X1341" i="1"/>
  <c r="W1341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2" i="1"/>
  <c r="A1342" i="1"/>
  <c r="AC1340" i="1"/>
  <c r="AB1340" i="1"/>
  <c r="AA1340" i="1"/>
  <c r="Z1340" i="1"/>
  <c r="Y1340" i="1"/>
  <c r="X1340" i="1"/>
  <c r="W1340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1" i="1"/>
  <c r="A1341" i="1"/>
  <c r="AC1339" i="1"/>
  <c r="AB1339" i="1"/>
  <c r="AA1339" i="1"/>
  <c r="Z1339" i="1"/>
  <c r="Y1339" i="1"/>
  <c r="X1339" i="1"/>
  <c r="W1339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40" i="1"/>
  <c r="A1340" i="1"/>
  <c r="AC1338" i="1"/>
  <c r="AB1338" i="1"/>
  <c r="AA1338" i="1"/>
  <c r="Z1338" i="1"/>
  <c r="Y1338" i="1"/>
  <c r="X1338" i="1"/>
  <c r="W1338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9" i="1"/>
  <c r="A1339" i="1"/>
  <c r="AC1337" i="1"/>
  <c r="AB1337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8" i="1"/>
  <c r="A1338" i="1"/>
  <c r="AC1336" i="1"/>
  <c r="AB1336" i="1"/>
  <c r="AA1336" i="1"/>
  <c r="Z1336" i="1"/>
  <c r="Y1336" i="1"/>
  <c r="X1336" i="1"/>
  <c r="W1336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7" i="1"/>
  <c r="A1337" i="1"/>
  <c r="AC1335" i="1"/>
  <c r="AB1335" i="1"/>
  <c r="AA1335" i="1"/>
  <c r="Z1335" i="1"/>
  <c r="Y1335" i="1"/>
  <c r="X1335" i="1"/>
  <c r="W1335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6" i="1"/>
  <c r="A1336" i="1"/>
  <c r="AC1334" i="1"/>
  <c r="AB1334" i="1"/>
  <c r="AA1334" i="1"/>
  <c r="Z1334" i="1"/>
  <c r="Y1334" i="1"/>
  <c r="X1334" i="1"/>
  <c r="W1334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5" i="1"/>
  <c r="A1335" i="1"/>
  <c r="AC1333" i="1"/>
  <c r="AB1333" i="1"/>
  <c r="AA1333" i="1"/>
  <c r="Z1333" i="1"/>
  <c r="Y1333" i="1"/>
  <c r="X1333" i="1"/>
  <c r="W1333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4" i="1"/>
  <c r="A1334" i="1"/>
  <c r="AC1332" i="1"/>
  <c r="AB1332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3" i="1"/>
  <c r="A1333" i="1"/>
  <c r="AC1331" i="1"/>
  <c r="AB1331" i="1"/>
  <c r="AA1331" i="1"/>
  <c r="Z1331" i="1"/>
  <c r="Y1331" i="1"/>
  <c r="X1331" i="1"/>
  <c r="W1331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2" i="1"/>
  <c r="A1332" i="1"/>
  <c r="AC1330" i="1"/>
  <c r="AB1330" i="1"/>
  <c r="AA1330" i="1"/>
  <c r="Z1330" i="1"/>
  <c r="Y1330" i="1"/>
  <c r="X1330" i="1"/>
  <c r="W1330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1" i="1"/>
  <c r="A1331" i="1"/>
  <c r="AC1329" i="1"/>
  <c r="AB1329" i="1"/>
  <c r="AA1329" i="1"/>
  <c r="Z1329" i="1"/>
  <c r="Y1329" i="1"/>
  <c r="X1329" i="1"/>
  <c r="W132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30" i="1"/>
  <c r="A1330" i="1"/>
  <c r="AC1328" i="1"/>
  <c r="AB1328" i="1"/>
  <c r="AA1328" i="1"/>
  <c r="Z1328" i="1"/>
  <c r="Y1328" i="1"/>
  <c r="X1328" i="1"/>
  <c r="W1328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9" i="1"/>
  <c r="A1329" i="1"/>
  <c r="AC1327" i="1"/>
  <c r="AB1327" i="1"/>
  <c r="AA1327" i="1"/>
  <c r="Z1327" i="1"/>
  <c r="Y1327" i="1"/>
  <c r="X1327" i="1"/>
  <c r="W1327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8" i="1"/>
  <c r="A1328" i="1"/>
  <c r="AC1326" i="1"/>
  <c r="AB1326" i="1"/>
  <c r="AA1326" i="1"/>
  <c r="Z1326" i="1"/>
  <c r="Y1326" i="1"/>
  <c r="X1326" i="1"/>
  <c r="W1326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7" i="1"/>
  <c r="A1327" i="1"/>
  <c r="AC1325" i="1"/>
  <c r="AB1325" i="1"/>
  <c r="AA1325" i="1"/>
  <c r="Z1325" i="1"/>
  <c r="Y1325" i="1"/>
  <c r="X1325" i="1"/>
  <c r="W1325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6" i="1"/>
  <c r="A1326" i="1"/>
  <c r="AC1324" i="1"/>
  <c r="AB1324" i="1"/>
  <c r="AA1324" i="1"/>
  <c r="Z1324" i="1"/>
  <c r="Y1324" i="1"/>
  <c r="X1324" i="1"/>
  <c r="W1324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5" i="1"/>
  <c r="A1325" i="1"/>
  <c r="AC1323" i="1"/>
  <c r="AB1323" i="1"/>
  <c r="AA1323" i="1"/>
  <c r="Z1323" i="1"/>
  <c r="Y1323" i="1"/>
  <c r="X1323" i="1"/>
  <c r="W1323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4" i="1"/>
  <c r="A1324" i="1"/>
  <c r="AC1322" i="1"/>
  <c r="AB1322" i="1"/>
  <c r="AA1322" i="1"/>
  <c r="Z1322" i="1"/>
  <c r="Y1322" i="1"/>
  <c r="X1322" i="1"/>
  <c r="W1322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3" i="1"/>
  <c r="A1323" i="1"/>
  <c r="AC1321" i="1"/>
  <c r="AB1321" i="1"/>
  <c r="AA1321" i="1"/>
  <c r="Z1321" i="1"/>
  <c r="Y1321" i="1"/>
  <c r="X1321" i="1"/>
  <c r="W1321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2" i="1"/>
  <c r="A1322" i="1"/>
  <c r="AC1320" i="1"/>
  <c r="AB1320" i="1"/>
  <c r="AA1320" i="1"/>
  <c r="Z1320" i="1"/>
  <c r="Y1320" i="1"/>
  <c r="X1320" i="1"/>
  <c r="W1320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1" i="1"/>
  <c r="A1321" i="1"/>
  <c r="AC1319" i="1"/>
  <c r="AB1319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20" i="1"/>
  <c r="A1320" i="1"/>
  <c r="AC1318" i="1"/>
  <c r="AB1318" i="1"/>
  <c r="AA1318" i="1"/>
  <c r="Z1318" i="1"/>
  <c r="Y1318" i="1"/>
  <c r="X1318" i="1"/>
  <c r="W1318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9" i="1"/>
  <c r="A1319" i="1"/>
  <c r="AC1317" i="1"/>
  <c r="AB1317" i="1"/>
  <c r="AA1317" i="1"/>
  <c r="Z1317" i="1"/>
  <c r="Y1317" i="1"/>
  <c r="X1317" i="1"/>
  <c r="W1317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8" i="1"/>
  <c r="A1318" i="1"/>
  <c r="AC1316" i="1"/>
  <c r="AB1316" i="1"/>
  <c r="AA1316" i="1"/>
  <c r="Z1316" i="1"/>
  <c r="Y1316" i="1"/>
  <c r="X1316" i="1"/>
  <c r="W1316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7" i="1"/>
  <c r="A1317" i="1"/>
  <c r="AC1315" i="1"/>
  <c r="AB1315" i="1"/>
  <c r="AA1315" i="1"/>
  <c r="Z1315" i="1"/>
  <c r="Y1315" i="1"/>
  <c r="X1315" i="1"/>
  <c r="W1315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6" i="1"/>
  <c r="A1316" i="1"/>
  <c r="AC1314" i="1"/>
  <c r="AB1314" i="1"/>
  <c r="AA1314" i="1"/>
  <c r="Z1314" i="1"/>
  <c r="Y1314" i="1"/>
  <c r="X1314" i="1"/>
  <c r="W1314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5" i="1"/>
  <c r="A1315" i="1"/>
  <c r="AC1313" i="1"/>
  <c r="AB1313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4" i="1"/>
  <c r="A1314" i="1"/>
  <c r="AC1312" i="1"/>
  <c r="AB1312" i="1"/>
  <c r="AA1312" i="1"/>
  <c r="Z1312" i="1"/>
  <c r="Y1312" i="1"/>
  <c r="X1312" i="1"/>
  <c r="W1312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3" i="1"/>
  <c r="A1313" i="1"/>
  <c r="AC1311" i="1"/>
  <c r="AB1311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2" i="1"/>
  <c r="A1312" i="1"/>
  <c r="AC1310" i="1"/>
  <c r="AB1310" i="1"/>
  <c r="AA1310" i="1"/>
  <c r="Z1310" i="1"/>
  <c r="Y1310" i="1"/>
  <c r="X1310" i="1"/>
  <c r="W1310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1" i="1"/>
  <c r="A1311" i="1"/>
  <c r="AC1309" i="1"/>
  <c r="AB1309" i="1"/>
  <c r="AA1309" i="1"/>
  <c r="Z1309" i="1"/>
  <c r="Y1309" i="1"/>
  <c r="X1309" i="1"/>
  <c r="W1309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10" i="1"/>
  <c r="A1310" i="1"/>
  <c r="AC1308" i="1"/>
  <c r="AB1308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9" i="1"/>
  <c r="A1309" i="1"/>
  <c r="AC1307" i="1"/>
  <c r="AB1307" i="1"/>
  <c r="AA1307" i="1"/>
  <c r="Z1307" i="1"/>
  <c r="Y1307" i="1"/>
  <c r="X1307" i="1"/>
  <c r="W1307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8" i="1"/>
  <c r="A1308" i="1"/>
  <c r="AC1306" i="1"/>
  <c r="AB1306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7" i="1"/>
  <c r="A1307" i="1"/>
  <c r="AC1305" i="1"/>
  <c r="AB1305" i="1"/>
  <c r="AA1305" i="1"/>
  <c r="Z1305" i="1"/>
  <c r="Y1305" i="1"/>
  <c r="X1305" i="1"/>
  <c r="W1305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6" i="1"/>
  <c r="A1306" i="1"/>
  <c r="AC1304" i="1"/>
  <c r="AB1304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5" i="1"/>
  <c r="A1305" i="1"/>
  <c r="AC1303" i="1"/>
  <c r="AB1303" i="1"/>
  <c r="AA1303" i="1"/>
  <c r="Z1303" i="1"/>
  <c r="Y1303" i="1"/>
  <c r="X1303" i="1"/>
  <c r="W1303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4" i="1"/>
  <c r="A1304" i="1"/>
  <c r="AC1302" i="1"/>
  <c r="AB1302" i="1"/>
  <c r="AA1302" i="1"/>
  <c r="Z1302" i="1"/>
  <c r="Y1302" i="1"/>
  <c r="X1302" i="1"/>
  <c r="W1302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3" i="1"/>
  <c r="A1303" i="1"/>
  <c r="AC1301" i="1"/>
  <c r="AB1301" i="1"/>
  <c r="AA1301" i="1"/>
  <c r="Z1301" i="1"/>
  <c r="Y1301" i="1"/>
  <c r="X1301" i="1"/>
  <c r="W1301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2" i="1"/>
  <c r="A1302" i="1"/>
  <c r="AC1300" i="1"/>
  <c r="AB1300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1" i="1"/>
  <c r="A1301" i="1"/>
  <c r="AC1299" i="1"/>
  <c r="AB1299" i="1"/>
  <c r="AA1299" i="1"/>
  <c r="Z1299" i="1"/>
  <c r="Y1299" i="1"/>
  <c r="X1299" i="1"/>
  <c r="W129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300" i="1"/>
  <c r="A1300" i="1"/>
  <c r="AC1298" i="1"/>
  <c r="AB1298" i="1"/>
  <c r="AA1298" i="1"/>
  <c r="Z1298" i="1"/>
  <c r="Y1298" i="1"/>
  <c r="X1298" i="1"/>
  <c r="W1298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9" i="1"/>
  <c r="A1299" i="1"/>
  <c r="AC1297" i="1"/>
  <c r="AB1297" i="1"/>
  <c r="AA1297" i="1"/>
  <c r="Z1297" i="1"/>
  <c r="Y1297" i="1"/>
  <c r="X1297" i="1"/>
  <c r="W1297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8" i="1"/>
  <c r="A1298" i="1"/>
  <c r="AC1296" i="1"/>
  <c r="AB1296" i="1"/>
  <c r="AA1296" i="1"/>
  <c r="Z1296" i="1"/>
  <c r="Y1296" i="1"/>
  <c r="X1296" i="1"/>
  <c r="W1296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7" i="1"/>
  <c r="A1297" i="1"/>
  <c r="AC1295" i="1"/>
  <c r="AB1295" i="1"/>
  <c r="AA1295" i="1"/>
  <c r="Z1295" i="1"/>
  <c r="Y1295" i="1"/>
  <c r="X1295" i="1"/>
  <c r="W1295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6" i="1"/>
  <c r="A1296" i="1"/>
  <c r="AC1294" i="1"/>
  <c r="AB1294" i="1"/>
  <c r="AA1294" i="1"/>
  <c r="Z1294" i="1"/>
  <c r="Y1294" i="1"/>
  <c r="X1294" i="1"/>
  <c r="W1294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5" i="1"/>
  <c r="A1295" i="1"/>
  <c r="AC1293" i="1"/>
  <c r="AB1293" i="1"/>
  <c r="AA1293" i="1"/>
  <c r="Z1293" i="1"/>
  <c r="Y1293" i="1"/>
  <c r="X1293" i="1"/>
  <c r="W1293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4" i="1"/>
  <c r="A1294" i="1"/>
  <c r="AC1292" i="1"/>
  <c r="AB1292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3" i="1"/>
  <c r="A1293" i="1"/>
  <c r="AC1291" i="1"/>
  <c r="AB1291" i="1"/>
  <c r="AA1291" i="1"/>
  <c r="Z1291" i="1"/>
  <c r="Y1291" i="1"/>
  <c r="X1291" i="1"/>
  <c r="W1291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2" i="1"/>
  <c r="A1292" i="1"/>
  <c r="AC1290" i="1"/>
  <c r="AB1290" i="1"/>
  <c r="AA1290" i="1"/>
  <c r="Z1290" i="1"/>
  <c r="Y1290" i="1"/>
  <c r="X1290" i="1"/>
  <c r="W1290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1" i="1"/>
  <c r="A1291" i="1"/>
  <c r="AC1289" i="1"/>
  <c r="AB1289" i="1"/>
  <c r="AA1289" i="1"/>
  <c r="Z1289" i="1"/>
  <c r="Y1289" i="1"/>
  <c r="X1289" i="1"/>
  <c r="W1289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90" i="1"/>
  <c r="A1290" i="1"/>
  <c r="AC1288" i="1"/>
  <c r="AB1288" i="1"/>
  <c r="AA1288" i="1"/>
  <c r="Z1288" i="1"/>
  <c r="Y1288" i="1"/>
  <c r="X1288" i="1"/>
  <c r="W1288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9" i="1"/>
  <c r="A1289" i="1"/>
  <c r="AC1287" i="1"/>
  <c r="AB1287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8" i="1"/>
  <c r="A1288" i="1"/>
  <c r="AC1286" i="1"/>
  <c r="AB1286" i="1"/>
  <c r="AA1286" i="1"/>
  <c r="Z1286" i="1"/>
  <c r="Y1286" i="1"/>
  <c r="X1286" i="1"/>
  <c r="W1286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7" i="1"/>
  <c r="A1287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6" i="1"/>
  <c r="A1286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5" i="1"/>
  <c r="A1285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4" i="1"/>
  <c r="A1284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3" i="1"/>
  <c r="A1283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2" i="1"/>
  <c r="A1282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1" i="1"/>
  <c r="A1281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80" i="1"/>
  <c r="A1280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9" i="1"/>
  <c r="A1279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8" i="1"/>
  <c r="A1278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7" i="1"/>
  <c r="A1277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6" i="1"/>
  <c r="A1276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5" i="1"/>
  <c r="A1275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4" i="1"/>
  <c r="A1274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3" i="1"/>
  <c r="A1273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2" i="1"/>
  <c r="A1272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1" i="1"/>
  <c r="A1271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70" i="1"/>
  <c r="A1270" i="1"/>
  <c r="AC1268" i="1"/>
  <c r="AB1268" i="1"/>
  <c r="AA1268" i="1"/>
  <c r="Z1268" i="1"/>
  <c r="Y1268" i="1"/>
  <c r="X1268" i="1"/>
  <c r="W1268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9" i="1"/>
  <c r="A1269" i="1"/>
  <c r="AC1267" i="1"/>
  <c r="AB1267" i="1"/>
  <c r="AA1267" i="1"/>
  <c r="Z1267" i="1"/>
  <c r="Y1267" i="1"/>
  <c r="X1267" i="1"/>
  <c r="W1267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8" i="1"/>
  <c r="A1268" i="1"/>
  <c r="AC1266" i="1"/>
  <c r="AB1266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7" i="1"/>
  <c r="A1267" i="1"/>
  <c r="AC1265" i="1"/>
  <c r="AB1265" i="1"/>
  <c r="AA1265" i="1"/>
  <c r="Z1265" i="1"/>
  <c r="Y1265" i="1"/>
  <c r="X1265" i="1"/>
  <c r="W1265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6" i="1"/>
  <c r="A1266" i="1"/>
  <c r="AC1264" i="1"/>
  <c r="AB1264" i="1"/>
  <c r="AA1264" i="1"/>
  <c r="Z1264" i="1"/>
  <c r="Y1264" i="1"/>
  <c r="X1264" i="1"/>
  <c r="W1264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5" i="1"/>
  <c r="A1265" i="1"/>
  <c r="AC1263" i="1"/>
  <c r="AB1263" i="1"/>
  <c r="AA1263" i="1"/>
  <c r="Z1263" i="1"/>
  <c r="Y1263" i="1"/>
  <c r="X1263" i="1"/>
  <c r="W1263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4" i="1"/>
  <c r="A1264" i="1"/>
  <c r="AC1262" i="1"/>
  <c r="AB1262" i="1"/>
  <c r="AA1262" i="1"/>
  <c r="Z1262" i="1"/>
  <c r="Y1262" i="1"/>
  <c r="X1262" i="1"/>
  <c r="W1262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3" i="1"/>
  <c r="A1263" i="1"/>
  <c r="AC1261" i="1"/>
  <c r="AB1261" i="1"/>
  <c r="AA1261" i="1"/>
  <c r="Z1261" i="1"/>
  <c r="Y1261" i="1"/>
  <c r="X1261" i="1"/>
  <c r="W1261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2" i="1"/>
  <c r="A1262" i="1"/>
  <c r="AC1260" i="1"/>
  <c r="AB1260" i="1"/>
  <c r="AA1260" i="1"/>
  <c r="Z1260" i="1"/>
  <c r="Y1260" i="1"/>
  <c r="X1260" i="1"/>
  <c r="W1260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1" i="1"/>
  <c r="A1261" i="1"/>
  <c r="AC1259" i="1"/>
  <c r="AB1259" i="1"/>
  <c r="AA1259" i="1"/>
  <c r="Z1259" i="1"/>
  <c r="Y1259" i="1"/>
  <c r="X1259" i="1"/>
  <c r="W1259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60" i="1"/>
  <c r="A1260" i="1"/>
  <c r="AC1258" i="1"/>
  <c r="AB1258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9" i="1"/>
  <c r="A1259" i="1"/>
  <c r="AC1257" i="1"/>
  <c r="AB1257" i="1"/>
  <c r="AA1257" i="1"/>
  <c r="Z1257" i="1"/>
  <c r="Y1257" i="1"/>
  <c r="X1257" i="1"/>
  <c r="W1257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8" i="1"/>
  <c r="A1258" i="1"/>
  <c r="AC1256" i="1"/>
  <c r="AB1256" i="1"/>
  <c r="AA1256" i="1"/>
  <c r="Z1256" i="1"/>
  <c r="Y1256" i="1"/>
  <c r="X1256" i="1"/>
  <c r="W1256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7" i="1"/>
  <c r="A1257" i="1"/>
  <c r="AC1255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6" i="1"/>
  <c r="A1256" i="1"/>
  <c r="AC1254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5" i="1"/>
  <c r="A1255" i="1"/>
  <c r="AC1253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4" i="1"/>
  <c r="A1254" i="1"/>
  <c r="AC1252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3" i="1"/>
  <c r="A1253" i="1"/>
  <c r="AC1251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2" i="1"/>
  <c r="A1252" i="1"/>
  <c r="AC1250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1" i="1"/>
  <c r="A1251" i="1"/>
  <c r="AC1249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50" i="1"/>
  <c r="A1250" i="1"/>
  <c r="AC1248" i="1"/>
  <c r="AB1248" i="1"/>
  <c r="AA1248" i="1"/>
  <c r="Z1248" i="1"/>
  <c r="Y1248" i="1"/>
  <c r="X1248" i="1"/>
  <c r="W1248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9" i="1"/>
  <c r="A1249" i="1"/>
  <c r="AC1247" i="1"/>
  <c r="AB1247" i="1"/>
  <c r="AA1247" i="1"/>
  <c r="Z1247" i="1"/>
  <c r="Y1247" i="1"/>
  <c r="X1247" i="1"/>
  <c r="W1247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8" i="1"/>
  <c r="A1248" i="1"/>
  <c r="AC1246" i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7" i="1"/>
  <c r="A1247" i="1"/>
  <c r="AC1245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6" i="1"/>
  <c r="A1246" i="1"/>
  <c r="AC1244" i="1"/>
  <c r="AB1244" i="1"/>
  <c r="AA1244" i="1"/>
  <c r="Z1244" i="1"/>
  <c r="Y1244" i="1"/>
  <c r="X1244" i="1"/>
  <c r="W1244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5" i="1"/>
  <c r="A1245" i="1"/>
  <c r="AC1243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4" i="1"/>
  <c r="A1244" i="1"/>
  <c r="AC1242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3" i="1"/>
  <c r="A1243" i="1"/>
  <c r="AC1241" i="1"/>
  <c r="AB1241" i="1"/>
  <c r="AA1241" i="1"/>
  <c r="Z1241" i="1"/>
  <c r="Y1241" i="1"/>
  <c r="X1241" i="1"/>
  <c r="W1241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2" i="1"/>
  <c r="A1242" i="1"/>
  <c r="AC1240" i="1"/>
  <c r="AB1240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1" i="1"/>
  <c r="A1241" i="1"/>
  <c r="AC1239" i="1"/>
  <c r="AB1239" i="1"/>
  <c r="AA1239" i="1"/>
  <c r="Z1239" i="1"/>
  <c r="Y1239" i="1"/>
  <c r="X1239" i="1"/>
  <c r="W123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40" i="1"/>
  <c r="A1240" i="1"/>
  <c r="AC1238" i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9" i="1"/>
  <c r="A1239" i="1"/>
  <c r="AC1237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8" i="1"/>
  <c r="A1238" i="1"/>
  <c r="AC1236" i="1"/>
  <c r="AB1236" i="1"/>
  <c r="AA1236" i="1"/>
  <c r="Z1236" i="1"/>
  <c r="Y1236" i="1"/>
  <c r="X1236" i="1"/>
  <c r="W1236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7" i="1"/>
  <c r="A1237" i="1"/>
  <c r="AC1235" i="1"/>
  <c r="AB1235" i="1"/>
  <c r="AA1235" i="1"/>
  <c r="Z1235" i="1"/>
  <c r="Y1235" i="1"/>
  <c r="X1235" i="1"/>
  <c r="W1235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6" i="1"/>
  <c r="A1236" i="1"/>
  <c r="AC1234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5" i="1"/>
  <c r="A1235" i="1"/>
  <c r="AC1233" i="1"/>
  <c r="AB1233" i="1"/>
  <c r="AA1233" i="1"/>
  <c r="Z1233" i="1"/>
  <c r="Y1233" i="1"/>
  <c r="X1233" i="1"/>
  <c r="W1233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4" i="1"/>
  <c r="A1234" i="1"/>
  <c r="AC1232" i="1"/>
  <c r="AB1232" i="1"/>
  <c r="AA1232" i="1"/>
  <c r="Z1232" i="1"/>
  <c r="Y1232" i="1"/>
  <c r="X1232" i="1"/>
  <c r="W1232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3" i="1"/>
  <c r="A1233" i="1"/>
  <c r="AC1231" i="1"/>
  <c r="AB1231" i="1"/>
  <c r="AA1231" i="1"/>
  <c r="Z1231" i="1"/>
  <c r="Y1231" i="1"/>
  <c r="X1231" i="1"/>
  <c r="W1231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2" i="1"/>
  <c r="A1232" i="1"/>
  <c r="AC1230" i="1"/>
  <c r="AB1230" i="1"/>
  <c r="AA1230" i="1"/>
  <c r="Z1230" i="1"/>
  <c r="Y1230" i="1"/>
  <c r="X1230" i="1"/>
  <c r="W1230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1" i="1"/>
  <c r="A1231" i="1"/>
  <c r="AC1229" i="1"/>
  <c r="AB1229" i="1"/>
  <c r="AA1229" i="1"/>
  <c r="Z1229" i="1"/>
  <c r="Y1229" i="1"/>
  <c r="X1229" i="1"/>
  <c r="W1229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30" i="1"/>
  <c r="A1230" i="1"/>
  <c r="AC1228" i="1"/>
  <c r="AB1228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9" i="1"/>
  <c r="A1229" i="1"/>
  <c r="AC1227" i="1"/>
  <c r="AB1227" i="1"/>
  <c r="AA1227" i="1"/>
  <c r="Z1227" i="1"/>
  <c r="Y1227" i="1"/>
  <c r="X1227" i="1"/>
  <c r="W1227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8" i="1"/>
  <c r="A1228" i="1"/>
  <c r="AC1226" i="1"/>
  <c r="AB1226" i="1"/>
  <c r="AA1226" i="1"/>
  <c r="Z1226" i="1"/>
  <c r="Y1226" i="1"/>
  <c r="X1226" i="1"/>
  <c r="W1226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7" i="1"/>
  <c r="A1227" i="1"/>
  <c r="AC1225" i="1"/>
  <c r="AB1225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6" i="1"/>
  <c r="A1226" i="1"/>
  <c r="AC1224" i="1"/>
  <c r="AB1224" i="1"/>
  <c r="AA1224" i="1"/>
  <c r="Z1224" i="1"/>
  <c r="Y1224" i="1"/>
  <c r="X1224" i="1"/>
  <c r="W1224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5" i="1"/>
  <c r="A1225" i="1"/>
  <c r="AC1223" i="1"/>
  <c r="AB1223" i="1"/>
  <c r="AA1223" i="1"/>
  <c r="Z1223" i="1"/>
  <c r="Y1223" i="1"/>
  <c r="X1223" i="1"/>
  <c r="W1223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4" i="1"/>
  <c r="A1224" i="1"/>
  <c r="AC1222" i="1"/>
  <c r="AB1222" i="1"/>
  <c r="AA1222" i="1"/>
  <c r="Z1222" i="1"/>
  <c r="Y1222" i="1"/>
  <c r="X1222" i="1"/>
  <c r="W1222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3" i="1"/>
  <c r="A1223" i="1"/>
  <c r="AC1221" i="1"/>
  <c r="AB1221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2" i="1"/>
  <c r="A1222" i="1"/>
  <c r="AC1220" i="1"/>
  <c r="AB1220" i="1"/>
  <c r="AA1220" i="1"/>
  <c r="Z1220" i="1"/>
  <c r="Y1220" i="1"/>
  <c r="X1220" i="1"/>
  <c r="W1220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1" i="1"/>
  <c r="A1221" i="1"/>
  <c r="AC1219" i="1"/>
  <c r="AB1219" i="1"/>
  <c r="AA1219" i="1"/>
  <c r="Z1219" i="1"/>
  <c r="Y1219" i="1"/>
  <c r="X1219" i="1"/>
  <c r="W1219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20" i="1"/>
  <c r="A1220" i="1"/>
  <c r="AC1218" i="1"/>
  <c r="AB1218" i="1"/>
  <c r="AA1218" i="1"/>
  <c r="Z1218" i="1"/>
  <c r="Y1218" i="1"/>
  <c r="X1218" i="1"/>
  <c r="W1218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9" i="1"/>
  <c r="A1219" i="1"/>
  <c r="AC1217" i="1"/>
  <c r="AB1217" i="1"/>
  <c r="AA1217" i="1"/>
  <c r="Z1217" i="1"/>
  <c r="Y1217" i="1"/>
  <c r="X1217" i="1"/>
  <c r="W1217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8" i="1"/>
  <c r="A1218" i="1"/>
  <c r="AC1216" i="1"/>
  <c r="AB1216" i="1"/>
  <c r="AA1216" i="1"/>
  <c r="Z1216" i="1"/>
  <c r="Y1216" i="1"/>
  <c r="X1216" i="1"/>
  <c r="W1216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7" i="1"/>
  <c r="A1217" i="1"/>
  <c r="AC1215" i="1"/>
  <c r="AB1215" i="1"/>
  <c r="AA1215" i="1"/>
  <c r="Z1215" i="1"/>
  <c r="Y1215" i="1"/>
  <c r="X1215" i="1"/>
  <c r="W1215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6" i="1"/>
  <c r="A1216" i="1"/>
  <c r="AC1214" i="1"/>
  <c r="AB1214" i="1"/>
  <c r="AA1214" i="1"/>
  <c r="Z1214" i="1"/>
  <c r="Y1214" i="1"/>
  <c r="X1214" i="1"/>
  <c r="W1214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5" i="1"/>
  <c r="A1215" i="1"/>
  <c r="AC1213" i="1"/>
  <c r="AB1213" i="1"/>
  <c r="AA1213" i="1"/>
  <c r="Z1213" i="1"/>
  <c r="Y1213" i="1"/>
  <c r="X1213" i="1"/>
  <c r="W1213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4" i="1"/>
  <c r="A1214" i="1"/>
  <c r="AC1212" i="1"/>
  <c r="AB1212" i="1"/>
  <c r="AA1212" i="1"/>
  <c r="Z1212" i="1"/>
  <c r="Y1212" i="1"/>
  <c r="X1212" i="1"/>
  <c r="W1212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3" i="1"/>
  <c r="A1213" i="1"/>
  <c r="AC1211" i="1"/>
  <c r="AB1211" i="1"/>
  <c r="AA1211" i="1"/>
  <c r="Z1211" i="1"/>
  <c r="Y1211" i="1"/>
  <c r="X1211" i="1"/>
  <c r="W1211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2" i="1"/>
  <c r="A1212" i="1"/>
  <c r="AC1210" i="1"/>
  <c r="AB1210" i="1"/>
  <c r="AA1210" i="1"/>
  <c r="Z1210" i="1"/>
  <c r="Y1210" i="1"/>
  <c r="X1210" i="1"/>
  <c r="W1210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1" i="1"/>
  <c r="A1211" i="1"/>
  <c r="AC1209" i="1"/>
  <c r="AB1209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10" i="1"/>
  <c r="A1210" i="1"/>
  <c r="AC1208" i="1"/>
  <c r="AB1208" i="1"/>
  <c r="AA1208" i="1"/>
  <c r="Z1208" i="1"/>
  <c r="Y1208" i="1"/>
  <c r="X1208" i="1"/>
  <c r="W1208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9" i="1"/>
  <c r="A1209" i="1"/>
  <c r="AC1207" i="1"/>
  <c r="AB1207" i="1"/>
  <c r="AA1207" i="1"/>
  <c r="Z1207" i="1"/>
  <c r="Y1207" i="1"/>
  <c r="X1207" i="1"/>
  <c r="W1207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8" i="1"/>
  <c r="A1208" i="1"/>
  <c r="AC1206" i="1"/>
  <c r="AB1206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7" i="1"/>
  <c r="A1207" i="1"/>
  <c r="AC1205" i="1"/>
  <c r="AB1205" i="1"/>
  <c r="AA1205" i="1"/>
  <c r="Z1205" i="1"/>
  <c r="Y1205" i="1"/>
  <c r="X1205" i="1"/>
  <c r="W1205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6" i="1"/>
  <c r="A1206" i="1"/>
  <c r="AC1204" i="1"/>
  <c r="AB1204" i="1"/>
  <c r="AA1204" i="1"/>
  <c r="Z1204" i="1"/>
  <c r="Y1204" i="1"/>
  <c r="X1204" i="1"/>
  <c r="W1204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5" i="1"/>
  <c r="A1205" i="1"/>
  <c r="AC1203" i="1"/>
  <c r="AB1203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4" i="1"/>
  <c r="A1204" i="1"/>
  <c r="AC1202" i="1"/>
  <c r="AB1202" i="1"/>
  <c r="AA1202" i="1"/>
  <c r="Z1202" i="1"/>
  <c r="Y1202" i="1"/>
  <c r="X1202" i="1"/>
  <c r="W1202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3" i="1"/>
  <c r="A1203" i="1"/>
  <c r="AC1201" i="1"/>
  <c r="AB1201" i="1"/>
  <c r="AA1201" i="1"/>
  <c r="Z1201" i="1"/>
  <c r="Y1201" i="1"/>
  <c r="X1201" i="1"/>
  <c r="W1201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2" i="1"/>
  <c r="A1202" i="1"/>
  <c r="AC1200" i="1"/>
  <c r="AB1200" i="1"/>
  <c r="AA1200" i="1"/>
  <c r="Z1200" i="1"/>
  <c r="Y1200" i="1"/>
  <c r="X1200" i="1"/>
  <c r="W1200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1" i="1"/>
  <c r="A1201" i="1"/>
  <c r="AC1199" i="1"/>
  <c r="AB1199" i="1"/>
  <c r="AA1199" i="1"/>
  <c r="Z1199" i="1"/>
  <c r="Y1199" i="1"/>
  <c r="X1199" i="1"/>
  <c r="W1199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200" i="1"/>
  <c r="A1200" i="1"/>
  <c r="AC1198" i="1"/>
  <c r="AB1198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9" i="1"/>
  <c r="A1199" i="1"/>
  <c r="AC1197" i="1"/>
  <c r="AB1197" i="1"/>
  <c r="AA1197" i="1"/>
  <c r="Z1197" i="1"/>
  <c r="Y1197" i="1"/>
  <c r="X1197" i="1"/>
  <c r="W1197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8" i="1"/>
  <c r="A1198" i="1"/>
  <c r="AC1196" i="1"/>
  <c r="AB1196" i="1"/>
  <c r="AA1196" i="1"/>
  <c r="Z1196" i="1"/>
  <c r="Y1196" i="1"/>
  <c r="X1196" i="1"/>
  <c r="W1196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7" i="1"/>
  <c r="A1197" i="1"/>
  <c r="AC1195" i="1"/>
  <c r="AB1195" i="1"/>
  <c r="AA1195" i="1"/>
  <c r="Z1195" i="1"/>
  <c r="Y1195" i="1"/>
  <c r="X1195" i="1"/>
  <c r="W1195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6" i="1"/>
  <c r="A1196" i="1"/>
  <c r="AC1194" i="1"/>
  <c r="AB1194" i="1"/>
  <c r="AA1194" i="1"/>
  <c r="Z1194" i="1"/>
  <c r="Y1194" i="1"/>
  <c r="X1194" i="1"/>
  <c r="W1194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5" i="1"/>
  <c r="A1195" i="1"/>
  <c r="AC1193" i="1"/>
  <c r="AB1193" i="1"/>
  <c r="AA1193" i="1"/>
  <c r="Z1193" i="1"/>
  <c r="Y1193" i="1"/>
  <c r="X1193" i="1"/>
  <c r="W1193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4" i="1"/>
  <c r="A1194" i="1"/>
  <c r="AC1192" i="1"/>
  <c r="AB1192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3" i="1"/>
  <c r="A1193" i="1"/>
  <c r="AC1191" i="1"/>
  <c r="AB1191" i="1"/>
  <c r="AA1191" i="1"/>
  <c r="Z1191" i="1"/>
  <c r="Y1191" i="1"/>
  <c r="X1191" i="1"/>
  <c r="W1191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2" i="1"/>
  <c r="A1192" i="1"/>
  <c r="AC1190" i="1"/>
  <c r="AB1190" i="1"/>
  <c r="AA1190" i="1"/>
  <c r="Z1190" i="1"/>
  <c r="Y1190" i="1"/>
  <c r="X1190" i="1"/>
  <c r="W1190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1" i="1"/>
  <c r="A1191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90" i="1"/>
  <c r="A1190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9" i="1"/>
  <c r="A1189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8" i="1"/>
  <c r="A1188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7" i="1"/>
  <c r="A1187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6" i="1"/>
  <c r="A1186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5" i="1"/>
  <c r="A1185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4" i="1"/>
  <c r="A1184" i="1"/>
  <c r="AC1182" i="1"/>
  <c r="AB1182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3" i="1"/>
  <c r="A1183" i="1"/>
  <c r="AC1181" i="1"/>
  <c r="AB1181" i="1"/>
  <c r="AA1181" i="1"/>
  <c r="Z1181" i="1"/>
  <c r="Y1181" i="1"/>
  <c r="X1181" i="1"/>
  <c r="W1181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2" i="1"/>
  <c r="A1182" i="1"/>
  <c r="AC1180" i="1"/>
  <c r="AB1180" i="1"/>
  <c r="AA1180" i="1"/>
  <c r="Z1180" i="1"/>
  <c r="Y1180" i="1"/>
  <c r="X1180" i="1"/>
  <c r="W1180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1" i="1"/>
  <c r="A1181" i="1"/>
  <c r="AC1179" i="1"/>
  <c r="AB1179" i="1"/>
  <c r="AA1179" i="1"/>
  <c r="Z1179" i="1"/>
  <c r="Y1179" i="1"/>
  <c r="X1179" i="1"/>
  <c r="W1179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80" i="1"/>
  <c r="A1180" i="1"/>
  <c r="AC1178" i="1"/>
  <c r="AB1178" i="1"/>
  <c r="AA1178" i="1"/>
  <c r="Z1178" i="1"/>
  <c r="Y1178" i="1"/>
  <c r="X1178" i="1"/>
  <c r="W1178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9" i="1"/>
  <c r="A1179" i="1"/>
  <c r="AC1177" i="1"/>
  <c r="AB1177" i="1"/>
  <c r="AA1177" i="1"/>
  <c r="Z1177" i="1"/>
  <c r="Y1177" i="1"/>
  <c r="X1177" i="1"/>
  <c r="W1177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8" i="1"/>
  <c r="A1178" i="1"/>
  <c r="AC1176" i="1"/>
  <c r="AB1176" i="1"/>
  <c r="AA1176" i="1"/>
  <c r="Z1176" i="1"/>
  <c r="Y1176" i="1"/>
  <c r="X1176" i="1"/>
  <c r="W1176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7" i="1"/>
  <c r="A1177" i="1"/>
  <c r="AC1175" i="1"/>
  <c r="AB1175" i="1"/>
  <c r="AA1175" i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6" i="1"/>
  <c r="A1176" i="1"/>
  <c r="AC1174" i="1"/>
  <c r="AB1174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5" i="1"/>
  <c r="A1175" i="1"/>
  <c r="AC1173" i="1"/>
  <c r="AB1173" i="1"/>
  <c r="AA1173" i="1"/>
  <c r="Z1173" i="1"/>
  <c r="Y1173" i="1"/>
  <c r="X1173" i="1"/>
  <c r="W1173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4" i="1"/>
  <c r="A1174" i="1"/>
  <c r="AC1172" i="1"/>
  <c r="AB1172" i="1"/>
  <c r="AA1172" i="1"/>
  <c r="Z1172" i="1"/>
  <c r="Y1172" i="1"/>
  <c r="X1172" i="1"/>
  <c r="W1172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3" i="1"/>
  <c r="A1173" i="1"/>
  <c r="AC1171" i="1"/>
  <c r="AB1171" i="1"/>
  <c r="AA1171" i="1"/>
  <c r="Z1171" i="1"/>
  <c r="Y1171" i="1"/>
  <c r="X1171" i="1"/>
  <c r="W1171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2" i="1"/>
  <c r="A1172" i="1"/>
  <c r="AC1170" i="1"/>
  <c r="AB1170" i="1"/>
  <c r="AA1170" i="1"/>
  <c r="Z1170" i="1"/>
  <c r="Y1170" i="1"/>
  <c r="X1170" i="1"/>
  <c r="W1170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1" i="1"/>
  <c r="A1171" i="1"/>
  <c r="AC1169" i="1"/>
  <c r="AB1169" i="1"/>
  <c r="AA1169" i="1"/>
  <c r="Z1169" i="1"/>
  <c r="Y1169" i="1"/>
  <c r="X1169" i="1"/>
  <c r="W1169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70" i="1"/>
  <c r="A1170" i="1"/>
  <c r="AC1168" i="1"/>
  <c r="AB1168" i="1"/>
  <c r="AA1168" i="1"/>
  <c r="Z1168" i="1"/>
  <c r="Y1168" i="1"/>
  <c r="X1168" i="1"/>
  <c r="W1168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9" i="1"/>
  <c r="A1169" i="1"/>
  <c r="AC1167" i="1"/>
  <c r="AB1167" i="1"/>
  <c r="AA1167" i="1"/>
  <c r="Z1167" i="1"/>
  <c r="Y1167" i="1"/>
  <c r="X1167" i="1"/>
  <c r="W1167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8" i="1"/>
  <c r="A1168" i="1"/>
  <c r="AC1166" i="1"/>
  <c r="AB1166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7" i="1"/>
  <c r="A1167" i="1"/>
  <c r="AC1165" i="1"/>
  <c r="AB1165" i="1"/>
  <c r="AA1165" i="1"/>
  <c r="Z1165" i="1"/>
  <c r="Y1165" i="1"/>
  <c r="X1165" i="1"/>
  <c r="W1165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6" i="1"/>
  <c r="A1166" i="1"/>
  <c r="AC1164" i="1"/>
  <c r="AB1164" i="1"/>
  <c r="AA1164" i="1"/>
  <c r="Z1164" i="1"/>
  <c r="Y1164" i="1"/>
  <c r="X1164" i="1"/>
  <c r="W1164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5" i="1"/>
  <c r="A1165" i="1"/>
  <c r="AC1163" i="1"/>
  <c r="AB1163" i="1"/>
  <c r="AA1163" i="1"/>
  <c r="Z1163" i="1"/>
  <c r="Y1163" i="1"/>
  <c r="X1163" i="1"/>
  <c r="W1163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4" i="1"/>
  <c r="A1164" i="1"/>
  <c r="AC1162" i="1"/>
  <c r="AB1162" i="1"/>
  <c r="AA1162" i="1"/>
  <c r="Z1162" i="1"/>
  <c r="Y1162" i="1"/>
  <c r="X1162" i="1"/>
  <c r="W1162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3" i="1"/>
  <c r="A1163" i="1"/>
  <c r="AC1161" i="1"/>
  <c r="AB1161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2" i="1"/>
  <c r="A1162" i="1"/>
  <c r="AC1160" i="1"/>
  <c r="AB1160" i="1"/>
  <c r="AA1160" i="1"/>
  <c r="Z1160" i="1"/>
  <c r="Y1160" i="1"/>
  <c r="X1160" i="1"/>
  <c r="W1160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1" i="1"/>
  <c r="A1161" i="1"/>
  <c r="AC1159" i="1"/>
  <c r="AB1159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60" i="1"/>
  <c r="A1160" i="1"/>
  <c r="AC1158" i="1"/>
  <c r="AB1158" i="1"/>
  <c r="AA1158" i="1"/>
  <c r="Z1158" i="1"/>
  <c r="Y1158" i="1"/>
  <c r="X1158" i="1"/>
  <c r="W1158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9" i="1"/>
  <c r="A1159" i="1"/>
  <c r="AC1157" i="1"/>
  <c r="AB1157" i="1"/>
  <c r="AA1157" i="1"/>
  <c r="Z1157" i="1"/>
  <c r="Y1157" i="1"/>
  <c r="X1157" i="1"/>
  <c r="W1157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8" i="1"/>
  <c r="A1158" i="1"/>
  <c r="AC1156" i="1"/>
  <c r="AB1156" i="1"/>
  <c r="AA1156" i="1"/>
  <c r="Z1156" i="1"/>
  <c r="Y1156" i="1"/>
  <c r="X1156" i="1"/>
  <c r="W1156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7" i="1"/>
  <c r="A1157" i="1"/>
  <c r="AC1155" i="1"/>
  <c r="AB1155" i="1"/>
  <c r="AA1155" i="1"/>
  <c r="Z1155" i="1"/>
  <c r="Y1155" i="1"/>
  <c r="X1155" i="1"/>
  <c r="W1155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6" i="1"/>
  <c r="A1156" i="1"/>
  <c r="AC1154" i="1"/>
  <c r="AB1154" i="1"/>
  <c r="AA1154" i="1"/>
  <c r="Z1154" i="1"/>
  <c r="Y1154" i="1"/>
  <c r="X1154" i="1"/>
  <c r="W1154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5" i="1"/>
  <c r="A1155" i="1"/>
  <c r="AC1153" i="1"/>
  <c r="AB1153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4" i="1"/>
  <c r="A1154" i="1"/>
  <c r="AC1152" i="1"/>
  <c r="AB1152" i="1"/>
  <c r="AA1152" i="1"/>
  <c r="Z1152" i="1"/>
  <c r="Y1152" i="1"/>
  <c r="X1152" i="1"/>
  <c r="W1152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3" i="1"/>
  <c r="A1153" i="1"/>
  <c r="AC1151" i="1"/>
  <c r="AB1151" i="1"/>
  <c r="AA1151" i="1"/>
  <c r="Z1151" i="1"/>
  <c r="Y1151" i="1"/>
  <c r="X1151" i="1"/>
  <c r="W1151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2" i="1"/>
  <c r="A1152" i="1"/>
  <c r="AC1150" i="1"/>
  <c r="AB1150" i="1"/>
  <c r="AA1150" i="1"/>
  <c r="Z1150" i="1"/>
  <c r="Y1150" i="1"/>
  <c r="X1150" i="1"/>
  <c r="W1150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1" i="1"/>
  <c r="A1151" i="1"/>
  <c r="AC1149" i="1"/>
  <c r="AB1149" i="1"/>
  <c r="AA1149" i="1"/>
  <c r="Z1149" i="1"/>
  <c r="Y1149" i="1"/>
  <c r="X1149" i="1"/>
  <c r="W1149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50" i="1"/>
  <c r="A1150" i="1"/>
  <c r="AC1148" i="1"/>
  <c r="AB1148" i="1"/>
  <c r="AA1148" i="1"/>
  <c r="Z1148" i="1"/>
  <c r="Y1148" i="1"/>
  <c r="X1148" i="1"/>
  <c r="W1148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9" i="1"/>
  <c r="A1149" i="1"/>
  <c r="AC1147" i="1"/>
  <c r="AB1147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8" i="1"/>
  <c r="A1148" i="1"/>
  <c r="AC1146" i="1"/>
  <c r="AB1146" i="1"/>
  <c r="AA1146" i="1"/>
  <c r="Z1146" i="1"/>
  <c r="Y1146" i="1"/>
  <c r="X1146" i="1"/>
  <c r="W1146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7" i="1"/>
  <c r="A1147" i="1"/>
  <c r="AC1145" i="1"/>
  <c r="AB1145" i="1"/>
  <c r="AA1145" i="1"/>
  <c r="Z1145" i="1"/>
  <c r="Y1145" i="1"/>
  <c r="X1145" i="1"/>
  <c r="W1145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6" i="1"/>
  <c r="A1146" i="1"/>
  <c r="AC1144" i="1"/>
  <c r="AB1144" i="1"/>
  <c r="AA1144" i="1"/>
  <c r="Z1144" i="1"/>
  <c r="Y1144" i="1"/>
  <c r="X1144" i="1"/>
  <c r="W1144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5" i="1"/>
  <c r="A1145" i="1"/>
  <c r="AC1143" i="1"/>
  <c r="AB1143" i="1"/>
  <c r="AA1143" i="1"/>
  <c r="Z1143" i="1"/>
  <c r="Y1143" i="1"/>
  <c r="X1143" i="1"/>
  <c r="W1143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4" i="1"/>
  <c r="A1144" i="1"/>
  <c r="AC1142" i="1"/>
  <c r="AB1142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3" i="1"/>
  <c r="A1143" i="1"/>
  <c r="AC1141" i="1"/>
  <c r="AB1141" i="1"/>
  <c r="AA1141" i="1"/>
  <c r="Z1141" i="1"/>
  <c r="Y1141" i="1"/>
  <c r="X1141" i="1"/>
  <c r="W1141" i="1"/>
  <c r="V1141" i="1"/>
  <c r="U1141" i="1"/>
  <c r="T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2" i="1"/>
  <c r="A1142" i="1"/>
  <c r="AC1140" i="1"/>
  <c r="AB1140" i="1"/>
  <c r="AA1140" i="1"/>
  <c r="Z1140" i="1"/>
  <c r="Y1140" i="1"/>
  <c r="X1140" i="1"/>
  <c r="W1140" i="1"/>
  <c r="V1140" i="1"/>
  <c r="U1140" i="1"/>
  <c r="T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1" i="1"/>
  <c r="A1141" i="1"/>
  <c r="AC1139" i="1"/>
  <c r="AB1139" i="1"/>
  <c r="AA1139" i="1"/>
  <c r="Z1139" i="1"/>
  <c r="Y1139" i="1"/>
  <c r="X1139" i="1"/>
  <c r="W1139" i="1"/>
  <c r="V1139" i="1"/>
  <c r="U1139" i="1"/>
  <c r="T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40" i="1"/>
  <c r="A1140" i="1"/>
  <c r="AC1138" i="1"/>
  <c r="AB1138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9" i="1"/>
  <c r="A1139" i="1"/>
  <c r="AC1137" i="1"/>
  <c r="AB1137" i="1"/>
  <c r="AA1137" i="1"/>
  <c r="Z1137" i="1"/>
  <c r="Y1137" i="1"/>
  <c r="X1137" i="1"/>
  <c r="W1137" i="1"/>
  <c r="V1137" i="1"/>
  <c r="U1137" i="1"/>
  <c r="T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8" i="1"/>
  <c r="A1138" i="1"/>
  <c r="AC1136" i="1"/>
  <c r="AB1136" i="1"/>
  <c r="AA1136" i="1"/>
  <c r="Z1136" i="1"/>
  <c r="Y1136" i="1"/>
  <c r="X1136" i="1"/>
  <c r="W1136" i="1"/>
  <c r="V1136" i="1"/>
  <c r="U1136" i="1"/>
  <c r="T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7" i="1"/>
  <c r="A1137" i="1"/>
  <c r="AC1135" i="1"/>
  <c r="AB1135" i="1"/>
  <c r="AA1135" i="1"/>
  <c r="Z1135" i="1"/>
  <c r="Y1135" i="1"/>
  <c r="X1135" i="1"/>
  <c r="W1135" i="1"/>
  <c r="V1135" i="1"/>
  <c r="U1135" i="1"/>
  <c r="T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6" i="1"/>
  <c r="A1136" i="1"/>
  <c r="AC1134" i="1"/>
  <c r="AB1134" i="1"/>
  <c r="AA1134" i="1"/>
  <c r="Z1134" i="1"/>
  <c r="Y1134" i="1"/>
  <c r="X1134" i="1"/>
  <c r="W1134" i="1"/>
  <c r="V1134" i="1"/>
  <c r="U1134" i="1"/>
  <c r="T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5" i="1"/>
  <c r="A1135" i="1"/>
  <c r="AC1133" i="1"/>
  <c r="AB1133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4" i="1"/>
  <c r="A1134" i="1"/>
  <c r="AC1132" i="1"/>
  <c r="AB1132" i="1"/>
  <c r="AA1132" i="1"/>
  <c r="Z1132" i="1"/>
  <c r="Y1132" i="1"/>
  <c r="X1132" i="1"/>
  <c r="W1132" i="1"/>
  <c r="V1132" i="1"/>
  <c r="U1132" i="1"/>
  <c r="T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3" i="1"/>
  <c r="A1133" i="1"/>
  <c r="AC1131" i="1"/>
  <c r="AB1131" i="1"/>
  <c r="AA1131" i="1"/>
  <c r="Z1131" i="1"/>
  <c r="Y1131" i="1"/>
  <c r="X1131" i="1"/>
  <c r="W1131" i="1"/>
  <c r="V1131" i="1"/>
  <c r="U1131" i="1"/>
  <c r="T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2" i="1"/>
  <c r="A1132" i="1"/>
  <c r="AC1130" i="1"/>
  <c r="AB1130" i="1"/>
  <c r="AA1130" i="1"/>
  <c r="Z1130" i="1"/>
  <c r="Y1130" i="1"/>
  <c r="X1130" i="1"/>
  <c r="W1130" i="1"/>
  <c r="V1130" i="1"/>
  <c r="U1130" i="1"/>
  <c r="T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1" i="1"/>
  <c r="A1131" i="1"/>
  <c r="AC1129" i="1"/>
  <c r="AB1129" i="1"/>
  <c r="AA1129" i="1"/>
  <c r="Z1129" i="1"/>
  <c r="Y1129" i="1"/>
  <c r="X1129" i="1"/>
  <c r="W1129" i="1"/>
  <c r="V1129" i="1"/>
  <c r="U1129" i="1"/>
  <c r="T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30" i="1"/>
  <c r="A1130" i="1"/>
  <c r="AC1128" i="1"/>
  <c r="AB1128" i="1"/>
  <c r="AA1128" i="1"/>
  <c r="Z1128" i="1"/>
  <c r="Y1128" i="1"/>
  <c r="X1128" i="1"/>
  <c r="W1128" i="1"/>
  <c r="V1128" i="1"/>
  <c r="U1128" i="1"/>
  <c r="T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9" i="1"/>
  <c r="A1129" i="1"/>
  <c r="AC1127" i="1"/>
  <c r="AB1127" i="1"/>
  <c r="AA1127" i="1"/>
  <c r="Z1127" i="1"/>
  <c r="Y1127" i="1"/>
  <c r="X1127" i="1"/>
  <c r="W1127" i="1"/>
  <c r="V1127" i="1"/>
  <c r="U1127" i="1"/>
  <c r="T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8" i="1"/>
  <c r="A1128" i="1"/>
  <c r="AC1126" i="1"/>
  <c r="AB1126" i="1"/>
  <c r="AA1126" i="1"/>
  <c r="Z1126" i="1"/>
  <c r="Y1126" i="1"/>
  <c r="X1126" i="1"/>
  <c r="W1126" i="1"/>
  <c r="V1126" i="1"/>
  <c r="U1126" i="1"/>
  <c r="T1126" i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7" i="1"/>
  <c r="A1127" i="1"/>
  <c r="AC1125" i="1"/>
  <c r="AB1125" i="1"/>
  <c r="AA1125" i="1"/>
  <c r="Z1125" i="1"/>
  <c r="Y1125" i="1"/>
  <c r="X1125" i="1"/>
  <c r="W1125" i="1"/>
  <c r="V1125" i="1"/>
  <c r="U1125" i="1"/>
  <c r="T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6" i="1"/>
  <c r="A1126" i="1"/>
  <c r="AC1124" i="1"/>
  <c r="AB1124" i="1"/>
  <c r="AA1124" i="1"/>
  <c r="Z1124" i="1"/>
  <c r="Y1124" i="1"/>
  <c r="X1124" i="1"/>
  <c r="W1124" i="1"/>
  <c r="V1124" i="1"/>
  <c r="U1124" i="1"/>
  <c r="T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5" i="1"/>
  <c r="A1125" i="1"/>
  <c r="AC1123" i="1"/>
  <c r="AB1123" i="1"/>
  <c r="AA1123" i="1"/>
  <c r="Z1123" i="1"/>
  <c r="Y1123" i="1"/>
  <c r="X1123" i="1"/>
  <c r="W1123" i="1"/>
  <c r="V1123" i="1"/>
  <c r="U1123" i="1"/>
  <c r="T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4" i="1"/>
  <c r="A1124" i="1"/>
  <c r="AC1122" i="1"/>
  <c r="AB1122" i="1"/>
  <c r="AA1122" i="1"/>
  <c r="Z1122" i="1"/>
  <c r="Y1122" i="1"/>
  <c r="X1122" i="1"/>
  <c r="W1122" i="1"/>
  <c r="V1122" i="1"/>
  <c r="U1122" i="1"/>
  <c r="T1122" i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3" i="1"/>
  <c r="A1123" i="1"/>
  <c r="AC1121" i="1"/>
  <c r="AB1121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2" i="1"/>
  <c r="A1122" i="1"/>
  <c r="AC1120" i="1"/>
  <c r="AB1120" i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1" i="1"/>
  <c r="A1121" i="1"/>
  <c r="AC1119" i="1"/>
  <c r="AB1119" i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20" i="1"/>
  <c r="A1120" i="1"/>
  <c r="AC1118" i="1"/>
  <c r="AB1118" i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9" i="1"/>
  <c r="A1119" i="1"/>
  <c r="AC1117" i="1"/>
  <c r="AB1117" i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8" i="1"/>
  <c r="A1118" i="1"/>
  <c r="AC1116" i="1"/>
  <c r="AB1116" i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7" i="1"/>
  <c r="A1117" i="1"/>
  <c r="AC1115" i="1"/>
  <c r="AB1115" i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6" i="1"/>
  <c r="A1116" i="1"/>
  <c r="AC1114" i="1"/>
  <c r="AB1114" i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5" i="1"/>
  <c r="A1115" i="1"/>
  <c r="AC1113" i="1"/>
  <c r="AB1113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4" i="1"/>
  <c r="A1114" i="1"/>
  <c r="AC1112" i="1"/>
  <c r="AB1112" i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3" i="1"/>
  <c r="A1113" i="1"/>
  <c r="AC1111" i="1"/>
  <c r="AB1111" i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2" i="1"/>
  <c r="A1112" i="1"/>
  <c r="AC1110" i="1"/>
  <c r="AB1110" i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1" i="1"/>
  <c r="A1111" i="1"/>
  <c r="AC1109" i="1"/>
  <c r="AB1109" i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10" i="1"/>
  <c r="A1110" i="1"/>
  <c r="AC1108" i="1"/>
  <c r="AB1108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9" i="1"/>
  <c r="A1109" i="1"/>
  <c r="AC1107" i="1"/>
  <c r="AB1107" i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8" i="1"/>
  <c r="A1108" i="1"/>
  <c r="AC1106" i="1"/>
  <c r="AB1106" i="1"/>
  <c r="AA1106" i="1"/>
  <c r="Z1106" i="1"/>
  <c r="Y1106" i="1"/>
  <c r="X1106" i="1"/>
  <c r="W1106" i="1"/>
  <c r="V1106" i="1"/>
  <c r="U1106" i="1"/>
  <c r="T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7" i="1"/>
  <c r="A1107" i="1"/>
  <c r="AC1105" i="1"/>
  <c r="AB1105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6" i="1"/>
  <c r="A1106" i="1"/>
  <c r="AC1104" i="1"/>
  <c r="AB1104" i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5" i="1"/>
  <c r="A1105" i="1"/>
  <c r="AC1103" i="1"/>
  <c r="AB1103" i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4" i="1"/>
  <c r="A1104" i="1"/>
  <c r="AC1102" i="1"/>
  <c r="AB1102" i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3" i="1"/>
  <c r="A1103" i="1"/>
  <c r="AC1101" i="1"/>
  <c r="AB1101" i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2" i="1"/>
  <c r="A1102" i="1"/>
  <c r="AC1100" i="1"/>
  <c r="AB1100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1" i="1"/>
  <c r="A1101" i="1"/>
  <c r="AC1099" i="1"/>
  <c r="AB1099" i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100" i="1"/>
  <c r="A1100" i="1"/>
  <c r="AC1098" i="1"/>
  <c r="AB1098" i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9" i="1"/>
  <c r="A1099" i="1"/>
  <c r="AC1097" i="1"/>
  <c r="AB1097" i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8" i="1"/>
  <c r="A1098" i="1"/>
  <c r="AC1096" i="1"/>
  <c r="AB1096" i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7" i="1"/>
  <c r="A1097" i="1"/>
  <c r="AC1095" i="1"/>
  <c r="AB1095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6" i="1"/>
  <c r="A1096" i="1"/>
  <c r="AC1094" i="1"/>
  <c r="AB1094" i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5" i="1"/>
  <c r="A1095" i="1"/>
  <c r="AC1093" i="1"/>
  <c r="AB1093" i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4" i="1"/>
  <c r="A1094" i="1"/>
  <c r="AC1092" i="1"/>
  <c r="AB1092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3" i="1"/>
  <c r="A1093" i="1"/>
  <c r="AC1091" i="1"/>
  <c r="AB1091" i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2" i="1"/>
  <c r="A1092" i="1"/>
  <c r="AC1090" i="1"/>
  <c r="AB1090" i="1"/>
  <c r="AA1090" i="1"/>
  <c r="Z1090" i="1"/>
  <c r="Y1090" i="1"/>
  <c r="X1090" i="1"/>
  <c r="W1090" i="1"/>
  <c r="V1090" i="1"/>
  <c r="U1090" i="1"/>
  <c r="T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1" i="1"/>
  <c r="A1091" i="1"/>
  <c r="AC1089" i="1"/>
  <c r="AB1089" i="1"/>
  <c r="AA1089" i="1"/>
  <c r="Z1089" i="1"/>
  <c r="Y1089" i="1"/>
  <c r="X1089" i="1"/>
  <c r="W1089" i="1"/>
  <c r="V1089" i="1"/>
  <c r="U1089" i="1"/>
  <c r="T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90" i="1"/>
  <c r="A1090" i="1"/>
  <c r="AC1088" i="1"/>
  <c r="AB1088" i="1"/>
  <c r="AA1088" i="1"/>
  <c r="Z1088" i="1"/>
  <c r="Y1088" i="1"/>
  <c r="X1088" i="1"/>
  <c r="W1088" i="1"/>
  <c r="V1088" i="1"/>
  <c r="U1088" i="1"/>
  <c r="T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9" i="1"/>
  <c r="A1089" i="1"/>
  <c r="AC1087" i="1"/>
  <c r="AB1087" i="1"/>
  <c r="AA1087" i="1"/>
  <c r="Z1087" i="1"/>
  <c r="Y1087" i="1"/>
  <c r="X1087" i="1"/>
  <c r="W1087" i="1"/>
  <c r="V1087" i="1"/>
  <c r="U1087" i="1"/>
  <c r="T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8" i="1"/>
  <c r="A1088" i="1"/>
  <c r="AC1086" i="1"/>
  <c r="AB1086" i="1"/>
  <c r="AA1086" i="1"/>
  <c r="Z1086" i="1"/>
  <c r="Y1086" i="1"/>
  <c r="X1086" i="1"/>
  <c r="W1086" i="1"/>
  <c r="V1086" i="1"/>
  <c r="U1086" i="1"/>
  <c r="T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7" i="1"/>
  <c r="A1087" i="1"/>
  <c r="AC1085" i="1"/>
  <c r="AB1085" i="1"/>
  <c r="AA1085" i="1"/>
  <c r="Z1085" i="1"/>
  <c r="Y1085" i="1"/>
  <c r="X1085" i="1"/>
  <c r="W1085" i="1"/>
  <c r="V1085" i="1"/>
  <c r="U1085" i="1"/>
  <c r="T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6" i="1"/>
  <c r="A1086" i="1"/>
  <c r="AC1084" i="1"/>
  <c r="AB1084" i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5" i="1"/>
  <c r="A1085" i="1"/>
  <c r="AC1083" i="1"/>
  <c r="AB1083" i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4" i="1"/>
  <c r="A1084" i="1"/>
  <c r="AC1082" i="1"/>
  <c r="AB1082" i="1"/>
  <c r="AA1082" i="1"/>
  <c r="Z1082" i="1"/>
  <c r="Y1082" i="1"/>
  <c r="X1082" i="1"/>
  <c r="W1082" i="1"/>
  <c r="V1082" i="1"/>
  <c r="U1082" i="1"/>
  <c r="T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3" i="1"/>
  <c r="A1083" i="1"/>
  <c r="AC1081" i="1"/>
  <c r="AB1081" i="1"/>
  <c r="AA1081" i="1"/>
  <c r="Z1081" i="1"/>
  <c r="Y1081" i="1"/>
  <c r="X1081" i="1"/>
  <c r="W1081" i="1"/>
  <c r="V1081" i="1"/>
  <c r="U1081" i="1"/>
  <c r="T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2" i="1"/>
  <c r="A1082" i="1"/>
  <c r="AC1080" i="1"/>
  <c r="AB1080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1" i="1"/>
  <c r="A1081" i="1"/>
  <c r="AC1079" i="1"/>
  <c r="AB1079" i="1"/>
  <c r="AA1079" i="1"/>
  <c r="Z1079" i="1"/>
  <c r="Y1079" i="1"/>
  <c r="X1079" i="1"/>
  <c r="W1079" i="1"/>
  <c r="V1079" i="1"/>
  <c r="U1079" i="1"/>
  <c r="T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80" i="1"/>
  <c r="A1080" i="1"/>
  <c r="AC1078" i="1"/>
  <c r="AB1078" i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9" i="1"/>
  <c r="A1079" i="1"/>
  <c r="AC1077" i="1"/>
  <c r="AB1077" i="1"/>
  <c r="AA1077" i="1"/>
  <c r="Z1077" i="1"/>
  <c r="Y1077" i="1"/>
  <c r="X1077" i="1"/>
  <c r="W1077" i="1"/>
  <c r="V1077" i="1"/>
  <c r="U1077" i="1"/>
  <c r="T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8" i="1"/>
  <c r="A1078" i="1"/>
  <c r="AC1076" i="1"/>
  <c r="AB1076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7" i="1"/>
  <c r="A1077" i="1"/>
  <c r="AC1075" i="1"/>
  <c r="AB1075" i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6" i="1"/>
  <c r="A1076" i="1"/>
  <c r="AC1074" i="1"/>
  <c r="AB1074" i="1"/>
  <c r="AA1074" i="1"/>
  <c r="Z1074" i="1"/>
  <c r="Y1074" i="1"/>
  <c r="X1074" i="1"/>
  <c r="W1074" i="1"/>
  <c r="V1074" i="1"/>
  <c r="U1074" i="1"/>
  <c r="T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5" i="1"/>
  <c r="A1075" i="1"/>
  <c r="AC1073" i="1"/>
  <c r="AB1073" i="1"/>
  <c r="AA1073" i="1"/>
  <c r="Z1073" i="1"/>
  <c r="Y1073" i="1"/>
  <c r="X1073" i="1"/>
  <c r="W1073" i="1"/>
  <c r="V1073" i="1"/>
  <c r="U1073" i="1"/>
  <c r="T1073" i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4" i="1"/>
  <c r="A1074" i="1"/>
  <c r="AC1072" i="1"/>
  <c r="AB1072" i="1"/>
  <c r="AA1072" i="1"/>
  <c r="Z1072" i="1"/>
  <c r="Y1072" i="1"/>
  <c r="X1072" i="1"/>
  <c r="W1072" i="1"/>
  <c r="V1072" i="1"/>
  <c r="U1072" i="1"/>
  <c r="T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3" i="1"/>
  <c r="A1073" i="1"/>
  <c r="AC1071" i="1"/>
  <c r="AB1071" i="1"/>
  <c r="AA1071" i="1"/>
  <c r="Z1071" i="1"/>
  <c r="Y1071" i="1"/>
  <c r="X1071" i="1"/>
  <c r="W1071" i="1"/>
  <c r="V1071" i="1"/>
  <c r="U1071" i="1"/>
  <c r="T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2" i="1"/>
  <c r="A1072" i="1"/>
  <c r="AC1070" i="1"/>
  <c r="AB1070" i="1"/>
  <c r="AA1070" i="1"/>
  <c r="Z1070" i="1"/>
  <c r="Y1070" i="1"/>
  <c r="X1070" i="1"/>
  <c r="W1070" i="1"/>
  <c r="V1070" i="1"/>
  <c r="U1070" i="1"/>
  <c r="T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1" i="1"/>
  <c r="A1071" i="1"/>
  <c r="AC1069" i="1"/>
  <c r="AB1069" i="1"/>
  <c r="AA1069" i="1"/>
  <c r="Z1069" i="1"/>
  <c r="Y1069" i="1"/>
  <c r="X1069" i="1"/>
  <c r="W1069" i="1"/>
  <c r="V1069" i="1"/>
  <c r="U1069" i="1"/>
  <c r="T1069" i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70" i="1"/>
  <c r="A1070" i="1"/>
  <c r="AC1068" i="1"/>
  <c r="AB1068" i="1"/>
  <c r="AA1068" i="1"/>
  <c r="Z1068" i="1"/>
  <c r="Y1068" i="1"/>
  <c r="X1068" i="1"/>
  <c r="W1068" i="1"/>
  <c r="V1068" i="1"/>
  <c r="U1068" i="1"/>
  <c r="T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9" i="1"/>
  <c r="A1069" i="1"/>
  <c r="AC1067" i="1"/>
  <c r="AB1067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8" i="1"/>
  <c r="A1068" i="1"/>
  <c r="AC1066" i="1"/>
  <c r="AB1066" i="1"/>
  <c r="AA1066" i="1"/>
  <c r="Z1066" i="1"/>
  <c r="Y1066" i="1"/>
  <c r="X1066" i="1"/>
  <c r="W1066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7" i="1"/>
  <c r="A1067" i="1"/>
  <c r="AC1065" i="1"/>
  <c r="AB1065" i="1"/>
  <c r="AA1065" i="1"/>
  <c r="Z1065" i="1"/>
  <c r="Y1065" i="1"/>
  <c r="X1065" i="1"/>
  <c r="W1065" i="1"/>
  <c r="V1065" i="1"/>
  <c r="U1065" i="1"/>
  <c r="T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6" i="1"/>
  <c r="A1066" i="1"/>
  <c r="AC1064" i="1"/>
  <c r="AB1064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5" i="1"/>
  <c r="A1065" i="1"/>
  <c r="AC1063" i="1"/>
  <c r="AB1063" i="1"/>
  <c r="AA1063" i="1"/>
  <c r="Z1063" i="1"/>
  <c r="Y1063" i="1"/>
  <c r="X1063" i="1"/>
  <c r="W1063" i="1"/>
  <c r="V1063" i="1"/>
  <c r="U1063" i="1"/>
  <c r="T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4" i="1"/>
  <c r="A1064" i="1"/>
  <c r="AC1062" i="1"/>
  <c r="AB1062" i="1"/>
  <c r="AA1062" i="1"/>
  <c r="Z1062" i="1"/>
  <c r="Y1062" i="1"/>
  <c r="X1062" i="1"/>
  <c r="W1062" i="1"/>
  <c r="V1062" i="1"/>
  <c r="U1062" i="1"/>
  <c r="T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3" i="1"/>
  <c r="A1063" i="1"/>
  <c r="AC1061" i="1"/>
  <c r="AB1061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2" i="1"/>
  <c r="A1062" i="1"/>
  <c r="AC1060" i="1"/>
  <c r="AB1060" i="1"/>
  <c r="AA1060" i="1"/>
  <c r="Z1060" i="1"/>
  <c r="Y1060" i="1"/>
  <c r="X1060" i="1"/>
  <c r="W1060" i="1"/>
  <c r="V1060" i="1"/>
  <c r="U1060" i="1"/>
  <c r="T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1" i="1"/>
  <c r="A1061" i="1"/>
  <c r="AC1059" i="1"/>
  <c r="AB1059" i="1"/>
  <c r="AA1059" i="1"/>
  <c r="Z1059" i="1"/>
  <c r="Y1059" i="1"/>
  <c r="X1059" i="1"/>
  <c r="W1059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60" i="1"/>
  <c r="A1060" i="1"/>
  <c r="AC1058" i="1"/>
  <c r="AB1058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9" i="1"/>
  <c r="A1059" i="1"/>
  <c r="AC1057" i="1"/>
  <c r="AB1057" i="1"/>
  <c r="AA1057" i="1"/>
  <c r="Z1057" i="1"/>
  <c r="Y1057" i="1"/>
  <c r="X1057" i="1"/>
  <c r="W1057" i="1"/>
  <c r="V1057" i="1"/>
  <c r="U1057" i="1"/>
  <c r="T1057" i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8" i="1"/>
  <c r="A1058" i="1"/>
  <c r="AC1056" i="1"/>
  <c r="AB1056" i="1"/>
  <c r="AA1056" i="1"/>
  <c r="Z1056" i="1"/>
  <c r="Y1056" i="1"/>
  <c r="X1056" i="1"/>
  <c r="W1056" i="1"/>
  <c r="V1056" i="1"/>
  <c r="U1056" i="1"/>
  <c r="T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7" i="1"/>
  <c r="A1057" i="1"/>
  <c r="AC1055" i="1"/>
  <c r="AB1055" i="1"/>
  <c r="AA1055" i="1"/>
  <c r="Z1055" i="1"/>
  <c r="Y1055" i="1"/>
  <c r="X1055" i="1"/>
  <c r="W1055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6" i="1"/>
  <c r="A1056" i="1"/>
  <c r="AC1054" i="1"/>
  <c r="AB1054" i="1"/>
  <c r="AA1054" i="1"/>
  <c r="Z1054" i="1"/>
  <c r="Y1054" i="1"/>
  <c r="X1054" i="1"/>
  <c r="W1054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5" i="1"/>
  <c r="A1055" i="1"/>
  <c r="AC1053" i="1"/>
  <c r="AB1053" i="1"/>
  <c r="AA1053" i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4" i="1"/>
  <c r="A1054" i="1"/>
  <c r="AC1052" i="1"/>
  <c r="AB1052" i="1"/>
  <c r="AA1052" i="1"/>
  <c r="Z1052" i="1"/>
  <c r="Y1052" i="1"/>
  <c r="X1052" i="1"/>
  <c r="W1052" i="1"/>
  <c r="V1052" i="1"/>
  <c r="U1052" i="1"/>
  <c r="T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3" i="1"/>
  <c r="A1053" i="1"/>
  <c r="AC1051" i="1"/>
  <c r="AB1051" i="1"/>
  <c r="AA1051" i="1"/>
  <c r="Z1051" i="1"/>
  <c r="Y1051" i="1"/>
  <c r="X1051" i="1"/>
  <c r="W1051" i="1"/>
  <c r="V1051" i="1"/>
  <c r="U1051" i="1"/>
  <c r="T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2" i="1"/>
  <c r="A1052" i="1"/>
  <c r="AC1050" i="1"/>
  <c r="AB1050" i="1"/>
  <c r="AA1050" i="1"/>
  <c r="Z1050" i="1"/>
  <c r="Y1050" i="1"/>
  <c r="X1050" i="1"/>
  <c r="W1050" i="1"/>
  <c r="V1050" i="1"/>
  <c r="U1050" i="1"/>
  <c r="T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1" i="1"/>
  <c r="A1051" i="1"/>
  <c r="AC1049" i="1"/>
  <c r="AB1049" i="1"/>
  <c r="AA1049" i="1"/>
  <c r="Z1049" i="1"/>
  <c r="Y1049" i="1"/>
  <c r="X1049" i="1"/>
  <c r="W1049" i="1"/>
  <c r="V1049" i="1"/>
  <c r="U1049" i="1"/>
  <c r="T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50" i="1"/>
  <c r="A1050" i="1"/>
  <c r="AC1048" i="1"/>
  <c r="AB1048" i="1"/>
  <c r="AA1048" i="1"/>
  <c r="Z1048" i="1"/>
  <c r="Y1048" i="1"/>
  <c r="X1048" i="1"/>
  <c r="W1048" i="1"/>
  <c r="V1048" i="1"/>
  <c r="U1048" i="1"/>
  <c r="T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9" i="1"/>
  <c r="A1049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8" i="1"/>
  <c r="A1048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7" i="1"/>
  <c r="A1047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6" i="1"/>
  <c r="A1046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5" i="1"/>
  <c r="A1045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4" i="1"/>
  <c r="A1044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3" i="1"/>
  <c r="A1043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2" i="1"/>
  <c r="A1042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1" i="1"/>
  <c r="A1041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40" i="1"/>
  <c r="A1040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9" i="1"/>
  <c r="A1039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8" i="1"/>
  <c r="A1038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7" i="1"/>
  <c r="A1037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6" i="1"/>
  <c r="A1036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5" i="1"/>
  <c r="A1035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4" i="1"/>
  <c r="A1034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3" i="1"/>
  <c r="A1033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2" i="1"/>
  <c r="A1032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1" i="1"/>
  <c r="A1031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30" i="1"/>
  <c r="A1030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9" i="1"/>
  <c r="A1029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8" i="1"/>
  <c r="A1028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7" i="1"/>
  <c r="A1027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6" i="1"/>
  <c r="A1026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5" i="1"/>
  <c r="A1025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4" i="1"/>
  <c r="A1024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3" i="1"/>
  <c r="A1023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2" i="1"/>
  <c r="A1022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1" i="1"/>
  <c r="A1021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20" i="1"/>
  <c r="A1020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9" i="1"/>
  <c r="A1019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8" i="1"/>
  <c r="A1018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7" i="1"/>
  <c r="A1017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6" i="1"/>
  <c r="A1016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5" i="1"/>
  <c r="A1015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4" i="1"/>
  <c r="A1014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3" i="1"/>
  <c r="A1013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2" i="1"/>
  <c r="A1012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1" i="1"/>
  <c r="A1011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10" i="1"/>
  <c r="A1010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9" i="1"/>
  <c r="A1009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8" i="1"/>
  <c r="A1008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7" i="1"/>
  <c r="A1007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6" i="1"/>
  <c r="A1006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5" i="1"/>
  <c r="A1005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4" i="1"/>
  <c r="A1004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3" i="1"/>
  <c r="A1003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2" i="1"/>
  <c r="A1002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1" i="1"/>
  <c r="A1001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1000" i="1"/>
  <c r="A1000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9" i="1"/>
  <c r="A999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8" i="1"/>
  <c r="A998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7" i="1"/>
  <c r="A997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6" i="1"/>
  <c r="A996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5" i="1"/>
  <c r="A995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4" i="1"/>
  <c r="A994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3" i="1"/>
  <c r="A993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2" i="1"/>
  <c r="A992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1" i="1"/>
  <c r="A991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90" i="1"/>
  <c r="A990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9" i="1"/>
  <c r="A989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8" i="1"/>
  <c r="A988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7" i="1"/>
  <c r="A987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6" i="1"/>
  <c r="A986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5" i="1"/>
  <c r="A985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4" i="1"/>
  <c r="A984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3" i="1"/>
  <c r="A983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2" i="1"/>
  <c r="A982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1" i="1"/>
  <c r="A981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80" i="1"/>
  <c r="A980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9" i="1"/>
  <c r="A979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8" i="1"/>
  <c r="A978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7" i="1"/>
  <c r="A977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6" i="1"/>
  <c r="A976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5" i="1"/>
  <c r="A975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4" i="1"/>
  <c r="A974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3" i="1"/>
  <c r="A973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2" i="1"/>
  <c r="A972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1" i="1"/>
  <c r="A971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70" i="1"/>
  <c r="A970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9" i="1"/>
  <c r="A969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8" i="1"/>
  <c r="A968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7" i="1"/>
  <c r="A967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6" i="1"/>
  <c r="A966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5" i="1"/>
  <c r="A965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4" i="1"/>
  <c r="A964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3" i="1"/>
  <c r="A963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2" i="1"/>
  <c r="A962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1" i="1"/>
  <c r="A961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60" i="1"/>
  <c r="A960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9" i="1"/>
  <c r="A959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8" i="1"/>
  <c r="A958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7" i="1"/>
  <c r="A957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6" i="1"/>
  <c r="A956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5" i="1"/>
  <c r="A955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4" i="1"/>
  <c r="A954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3" i="1"/>
  <c r="A953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2" i="1"/>
  <c r="A952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1" i="1"/>
  <c r="A951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50" i="1"/>
  <c r="A950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9" i="1"/>
  <c r="A949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8" i="1"/>
  <c r="A948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7" i="1"/>
  <c r="A947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6" i="1"/>
  <c r="A946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5" i="1"/>
  <c r="A945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4" i="1"/>
  <c r="A944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3" i="1"/>
  <c r="A943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2" i="1"/>
  <c r="A942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1" i="1"/>
  <c r="A941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40" i="1"/>
  <c r="A940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9" i="1"/>
  <c r="A939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8" i="1"/>
  <c r="A938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7" i="1"/>
  <c r="A937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6" i="1"/>
  <c r="A936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5" i="1"/>
  <c r="A935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4" i="1"/>
  <c r="A934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3" i="1"/>
  <c r="A933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2" i="1"/>
  <c r="A932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1" i="1"/>
  <c r="A931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30" i="1"/>
  <c r="A930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9" i="1"/>
  <c r="A929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8" i="1"/>
  <c r="A928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7" i="1"/>
  <c r="A927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6" i="1"/>
  <c r="A926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5" i="1"/>
  <c r="A925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4" i="1"/>
  <c r="A924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3" i="1"/>
  <c r="A923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2" i="1"/>
  <c r="A922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1" i="1"/>
  <c r="A921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20" i="1"/>
  <c r="A920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9" i="1"/>
  <c r="A919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8" i="1"/>
  <c r="A918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7" i="1"/>
  <c r="A917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6" i="1"/>
  <c r="A916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5" i="1"/>
  <c r="A915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4" i="1"/>
  <c r="A914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3" i="1"/>
  <c r="A913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2" i="1"/>
  <c r="A912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1" i="1"/>
  <c r="A911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10" i="1"/>
  <c r="A910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9" i="1"/>
  <c r="A909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8" i="1"/>
  <c r="A908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7" i="1"/>
  <c r="A907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6" i="1"/>
  <c r="A906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5" i="1"/>
  <c r="A905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4" i="1"/>
  <c r="A904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3" i="1"/>
  <c r="A903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2" i="1"/>
  <c r="A902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1" i="1"/>
  <c r="A901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900" i="1"/>
  <c r="A900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9" i="1"/>
  <c r="A899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8" i="1"/>
  <c r="A898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7" i="1"/>
  <c r="A897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6" i="1"/>
  <c r="A896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5" i="1"/>
  <c r="A895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4" i="1"/>
  <c r="A894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3" i="1"/>
  <c r="A893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2" i="1"/>
  <c r="A892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1" i="1"/>
  <c r="A891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90" i="1"/>
  <c r="A890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9" i="1"/>
  <c r="A889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8" i="1"/>
  <c r="A888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7" i="1"/>
  <c r="A887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6" i="1"/>
  <c r="A886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5" i="1"/>
  <c r="A885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4" i="1"/>
  <c r="A884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3" i="1"/>
  <c r="A883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2" i="1"/>
  <c r="A882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1" i="1"/>
  <c r="A881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80" i="1"/>
  <c r="A880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9" i="1"/>
  <c r="A879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8" i="1"/>
  <c r="A878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7" i="1"/>
  <c r="A877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6" i="1"/>
  <c r="A876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5" i="1"/>
  <c r="A875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4" i="1"/>
  <c r="A874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3" i="1"/>
  <c r="A873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2" i="1"/>
  <c r="A872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1" i="1"/>
  <c r="A871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70" i="1"/>
  <c r="A870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9" i="1"/>
  <c r="A869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8" i="1"/>
  <c r="A868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7" i="1"/>
  <c r="A867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6" i="1"/>
  <c r="A866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5" i="1"/>
  <c r="A865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4" i="1"/>
  <c r="A864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3" i="1"/>
  <c r="A863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2" i="1"/>
  <c r="A862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1" i="1"/>
  <c r="A861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60" i="1"/>
  <c r="A860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9" i="1"/>
  <c r="A859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8" i="1"/>
  <c r="A858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7" i="1"/>
  <c r="A857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6" i="1"/>
  <c r="A856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5" i="1"/>
  <c r="A855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4" i="1"/>
  <c r="A854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3" i="1"/>
  <c r="A853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2" i="1"/>
  <c r="A852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1" i="1"/>
  <c r="A851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50" i="1"/>
  <c r="A850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9" i="1"/>
  <c r="A849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8" i="1"/>
  <c r="A848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7" i="1"/>
  <c r="A847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6" i="1"/>
  <c r="A846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5" i="1"/>
  <c r="A845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4" i="1"/>
  <c r="A844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3" i="1"/>
  <c r="A843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2" i="1"/>
  <c r="A842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1" i="1"/>
  <c r="A841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40" i="1"/>
  <c r="A840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9" i="1"/>
  <c r="A839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8" i="1"/>
  <c r="A838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7" i="1"/>
  <c r="A837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6" i="1"/>
  <c r="A836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5" i="1"/>
  <c r="A835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4" i="1"/>
  <c r="A834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3" i="1"/>
  <c r="A833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2" i="1"/>
  <c r="A832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1" i="1"/>
  <c r="A831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30" i="1"/>
  <c r="A830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9" i="1"/>
  <c r="A829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8" i="1"/>
  <c r="A828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7" i="1"/>
  <c r="A827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6" i="1"/>
  <c r="A826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5" i="1"/>
  <c r="A825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4" i="1"/>
  <c r="A824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3" i="1"/>
  <c r="A823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2" i="1"/>
  <c r="A822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1" i="1"/>
  <c r="A821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20" i="1"/>
  <c r="A820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9" i="1"/>
  <c r="A819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8" i="1"/>
  <c r="A818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7" i="1"/>
  <c r="A817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6" i="1"/>
  <c r="A816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5" i="1"/>
  <c r="A815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4" i="1"/>
  <c r="A814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3" i="1"/>
  <c r="A813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2" i="1"/>
  <c r="A812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1" i="1"/>
  <c r="A811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10" i="1"/>
  <c r="A810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9" i="1"/>
  <c r="A809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8" i="1"/>
  <c r="A808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7" i="1"/>
  <c r="A807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6" i="1"/>
  <c r="A806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5" i="1"/>
  <c r="A805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4" i="1"/>
  <c r="A804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3" i="1"/>
  <c r="A803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2" i="1"/>
  <c r="A802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1" i="1"/>
  <c r="A801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800" i="1"/>
  <c r="A800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9" i="1"/>
  <c r="A799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8" i="1"/>
  <c r="A798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7" i="1"/>
  <c r="A797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6" i="1"/>
  <c r="A796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5" i="1"/>
  <c r="A795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4" i="1"/>
  <c r="A794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3" i="1"/>
  <c r="A793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2" i="1"/>
  <c r="A792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1" i="1"/>
  <c r="A791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90" i="1"/>
  <c r="A790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9" i="1"/>
  <c r="A789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8" i="1"/>
  <c r="A788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7" i="1"/>
  <c r="A787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6" i="1"/>
  <c r="A786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5" i="1"/>
  <c r="A785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4" i="1"/>
  <c r="A784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3" i="1"/>
  <c r="A783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2" i="1"/>
  <c r="A782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1" i="1"/>
  <c r="A781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80" i="1"/>
  <c r="A780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9" i="1"/>
  <c r="A779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8" i="1"/>
  <c r="A778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7" i="1"/>
  <c r="A777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6" i="1"/>
  <c r="A776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5" i="1"/>
  <c r="A775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4" i="1"/>
  <c r="A774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3" i="1"/>
  <c r="A773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2" i="1"/>
  <c r="A772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1" i="1"/>
  <c r="A771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70" i="1"/>
  <c r="A770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9" i="1"/>
  <c r="A769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8" i="1"/>
  <c r="A768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7" i="1"/>
  <c r="A767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6" i="1"/>
  <c r="A766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5" i="1"/>
  <c r="A765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4" i="1"/>
  <c r="A764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3" i="1"/>
  <c r="A763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2" i="1"/>
  <c r="A762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1" i="1"/>
  <c r="A761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60" i="1"/>
  <c r="A760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9" i="1"/>
  <c r="A759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8" i="1"/>
  <c r="A758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7" i="1"/>
  <c r="A757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6" i="1"/>
  <c r="A756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5" i="1"/>
  <c r="A755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4" i="1"/>
  <c r="A754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3" i="1"/>
  <c r="A753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2" i="1"/>
  <c r="A752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1" i="1"/>
  <c r="A751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50" i="1"/>
  <c r="A750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9" i="1"/>
  <c r="A749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8" i="1"/>
  <c r="A748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7" i="1"/>
  <c r="A747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6" i="1"/>
  <c r="A746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5" i="1"/>
  <c r="A745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4" i="1"/>
  <c r="A744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3" i="1"/>
  <c r="A743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2" i="1"/>
  <c r="A742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1" i="1"/>
  <c r="A741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40" i="1"/>
  <c r="A740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9" i="1"/>
  <c r="A739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8" i="1"/>
  <c r="A738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7" i="1"/>
  <c r="A737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6" i="1"/>
  <c r="A736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5" i="1"/>
  <c r="A735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4" i="1"/>
  <c r="A734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3" i="1"/>
  <c r="A733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2" i="1"/>
  <c r="A732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1" i="1"/>
  <c r="A731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30" i="1"/>
  <c r="A730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9" i="1"/>
  <c r="A729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8" i="1"/>
  <c r="A728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7" i="1"/>
  <c r="A727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6" i="1"/>
  <c r="A726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5" i="1"/>
  <c r="A725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4" i="1"/>
  <c r="A724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3" i="1"/>
  <c r="A723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2" i="1"/>
  <c r="A722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1" i="1"/>
  <c r="A721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20" i="1"/>
  <c r="A720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9" i="1"/>
  <c r="A719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8" i="1"/>
  <c r="A718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7" i="1"/>
  <c r="A717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6" i="1"/>
  <c r="A716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5" i="1"/>
  <c r="A715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4" i="1"/>
  <c r="A714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3" i="1"/>
  <c r="A713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2" i="1"/>
  <c r="A712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1" i="1"/>
  <c r="A711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10" i="1"/>
  <c r="A710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9" i="1"/>
  <c r="A709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8" i="1"/>
  <c r="A708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7" i="1"/>
  <c r="A707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6" i="1"/>
  <c r="A706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5" i="1"/>
  <c r="A705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4" i="1"/>
  <c r="A704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3" i="1"/>
  <c r="A703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2" i="1"/>
  <c r="A702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1" i="1"/>
  <c r="A701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700" i="1"/>
  <c r="A700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9" i="1"/>
  <c r="A699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8" i="1"/>
  <c r="A698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7" i="1"/>
  <c r="A697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6" i="1"/>
  <c r="A696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5" i="1"/>
  <c r="A695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4" i="1"/>
  <c r="A694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3" i="1"/>
  <c r="A693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2" i="1"/>
  <c r="A692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1" i="1"/>
  <c r="A691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90" i="1"/>
  <c r="A690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9" i="1"/>
  <c r="A689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8" i="1"/>
  <c r="A688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7" i="1"/>
  <c r="A687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6" i="1"/>
  <c r="A686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5" i="1"/>
  <c r="A685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4" i="1"/>
  <c r="A684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3" i="1"/>
  <c r="A683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2" i="1"/>
  <c r="A682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1" i="1"/>
  <c r="A681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80" i="1"/>
  <c r="A680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9" i="1"/>
  <c r="A679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8" i="1"/>
  <c r="A678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7" i="1"/>
  <c r="A677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6" i="1"/>
  <c r="A676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5" i="1"/>
  <c r="A675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4" i="1"/>
  <c r="A674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3" i="1"/>
  <c r="A673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2" i="1"/>
  <c r="A672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1" i="1"/>
  <c r="A671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70" i="1"/>
  <c r="A670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9" i="1"/>
  <c r="A669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8" i="1"/>
  <c r="A668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7" i="1"/>
  <c r="A667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6" i="1"/>
  <c r="A666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5" i="1"/>
  <c r="A665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4" i="1"/>
  <c r="A664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3" i="1"/>
  <c r="A663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2" i="1"/>
  <c r="A662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1" i="1"/>
  <c r="A661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60" i="1"/>
  <c r="A660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9" i="1"/>
  <c r="A659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8" i="1"/>
  <c r="A658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7" i="1"/>
  <c r="A657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6" i="1"/>
  <c r="A656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5" i="1"/>
  <c r="A655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4" i="1"/>
  <c r="A654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3" i="1"/>
  <c r="A653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2" i="1"/>
  <c r="A652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1" i="1"/>
  <c r="A651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50" i="1"/>
  <c r="A650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9" i="1"/>
  <c r="A649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8" i="1"/>
  <c r="A648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7" i="1"/>
  <c r="A647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6" i="1"/>
  <c r="A646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5" i="1"/>
  <c r="A645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4" i="1"/>
  <c r="A644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3" i="1"/>
  <c r="A643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2" i="1"/>
  <c r="A642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1" i="1"/>
  <c r="A641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40" i="1"/>
  <c r="A640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9" i="1"/>
  <c r="A639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8" i="1"/>
  <c r="A638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7" i="1"/>
  <c r="A637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6" i="1"/>
  <c r="A636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5" i="1"/>
  <c r="A635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4" i="1"/>
  <c r="A634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3" i="1"/>
  <c r="A633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2" i="1"/>
  <c r="A632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1" i="1"/>
  <c r="A631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30" i="1"/>
  <c r="A630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9" i="1"/>
  <c r="A629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8" i="1"/>
  <c r="A628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7" i="1"/>
  <c r="A627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6" i="1"/>
  <c r="A626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5" i="1"/>
  <c r="A625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4" i="1"/>
  <c r="A624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3" i="1"/>
  <c r="A623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2" i="1"/>
  <c r="A622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1" i="1"/>
  <c r="A621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20" i="1"/>
  <c r="A620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9" i="1"/>
  <c r="A619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8" i="1"/>
  <c r="A618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7" i="1"/>
  <c r="A617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6" i="1"/>
  <c r="A616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5" i="1"/>
  <c r="A615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4" i="1"/>
  <c r="A614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3" i="1"/>
  <c r="A613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2" i="1"/>
  <c r="A612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1" i="1"/>
  <c r="A611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10" i="1"/>
  <c r="A610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9" i="1"/>
  <c r="A609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8" i="1"/>
  <c r="A608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7" i="1"/>
  <c r="A607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6" i="1"/>
  <c r="A606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5" i="1"/>
  <c r="A605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4" i="1"/>
  <c r="A604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3" i="1"/>
  <c r="A603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2" i="1"/>
  <c r="A602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1" i="1"/>
  <c r="A601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600" i="1"/>
  <c r="A600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9" i="1"/>
  <c r="A599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8" i="1"/>
  <c r="A598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7" i="1"/>
  <c r="A597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6" i="1"/>
  <c r="A596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5" i="1"/>
  <c r="A595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4" i="1"/>
  <c r="A594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3" i="1"/>
  <c r="A593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2" i="1"/>
  <c r="A592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1" i="1"/>
  <c r="A591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90" i="1"/>
  <c r="A590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9" i="1"/>
  <c r="A589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8" i="1"/>
  <c r="A588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7" i="1"/>
  <c r="A587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6" i="1"/>
  <c r="A586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5" i="1"/>
  <c r="A585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4" i="1"/>
  <c r="A584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3" i="1"/>
  <c r="A583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2" i="1"/>
  <c r="A582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1" i="1"/>
  <c r="A581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80" i="1"/>
  <c r="A580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9" i="1"/>
  <c r="A579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8" i="1"/>
  <c r="A578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7" i="1"/>
  <c r="A577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6" i="1"/>
  <c r="A576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5" i="1"/>
  <c r="A575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4" i="1"/>
  <c r="A574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3" i="1"/>
  <c r="A573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2" i="1"/>
  <c r="A572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1" i="1"/>
  <c r="A571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70" i="1"/>
  <c r="A570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9" i="1"/>
  <c r="A569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8" i="1"/>
  <c r="A568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7" i="1"/>
  <c r="A567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6" i="1"/>
  <c r="A566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5" i="1"/>
  <c r="A565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4" i="1"/>
  <c r="A564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3" i="1"/>
  <c r="A563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2" i="1"/>
  <c r="A562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1" i="1"/>
  <c r="A561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60" i="1"/>
  <c r="A560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9" i="1"/>
  <c r="A559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8" i="1"/>
  <c r="A558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7" i="1"/>
  <c r="A557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6" i="1"/>
  <c r="A556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5" i="1"/>
  <c r="A555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4" i="1"/>
  <c r="A554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3" i="1"/>
  <c r="A553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2" i="1"/>
  <c r="A552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1" i="1"/>
  <c r="A551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50" i="1"/>
  <c r="A550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9" i="1"/>
  <c r="A549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8" i="1"/>
  <c r="A548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7" i="1"/>
  <c r="A547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6" i="1"/>
  <c r="A546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5" i="1"/>
  <c r="A545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4" i="1"/>
  <c r="A544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3" i="1"/>
  <c r="A543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2" i="1"/>
  <c r="A542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1" i="1"/>
  <c r="A541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40" i="1"/>
  <c r="A540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9" i="1"/>
  <c r="A539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8" i="1"/>
  <c r="A538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7" i="1"/>
  <c r="A537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6" i="1"/>
  <c r="A536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5" i="1"/>
  <c r="A535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4" i="1"/>
  <c r="A534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3" i="1"/>
  <c r="A533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2" i="1"/>
  <c r="A532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1" i="1"/>
  <c r="A531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30" i="1"/>
  <c r="A530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9" i="1"/>
  <c r="A529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8" i="1"/>
  <c r="A528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7" i="1"/>
  <c r="A527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6" i="1"/>
  <c r="A526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5" i="1"/>
  <c r="A525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4" i="1"/>
  <c r="A524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3" i="1"/>
  <c r="A523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2" i="1"/>
  <c r="A522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1" i="1"/>
  <c r="A521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20" i="1"/>
  <c r="A520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9" i="1"/>
  <c r="A519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8" i="1"/>
  <c r="A518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7" i="1"/>
  <c r="A517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6" i="1"/>
  <c r="A516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5" i="1"/>
  <c r="A515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4" i="1"/>
  <c r="A514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3" i="1"/>
  <c r="A513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2" i="1"/>
  <c r="A512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1" i="1"/>
  <c r="A511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10" i="1"/>
  <c r="A510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9" i="1"/>
  <c r="A509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8" i="1"/>
  <c r="A508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7" i="1"/>
  <c r="A507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6" i="1"/>
  <c r="A506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5" i="1"/>
  <c r="A505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4" i="1"/>
  <c r="A504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3" i="1"/>
  <c r="A503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2" i="1"/>
  <c r="A502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1" i="1"/>
  <c r="A501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500" i="1"/>
  <c r="A500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9" i="1"/>
  <c r="A499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8" i="1"/>
  <c r="A498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7" i="1"/>
  <c r="A497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6" i="1"/>
  <c r="A496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5" i="1"/>
  <c r="A495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4" i="1"/>
  <c r="A494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3" i="1"/>
  <c r="A493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2" i="1"/>
  <c r="A492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1" i="1"/>
  <c r="A491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90" i="1"/>
  <c r="A490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9" i="1"/>
  <c r="A489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8" i="1"/>
  <c r="A488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7" i="1"/>
  <c r="A487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6" i="1"/>
  <c r="A486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5" i="1"/>
  <c r="A485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4" i="1"/>
  <c r="A484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3" i="1"/>
  <c r="A483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2" i="1"/>
  <c r="A482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1" i="1"/>
  <c r="A481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80" i="1"/>
  <c r="A480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9" i="1"/>
  <c r="A479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8" i="1"/>
  <c r="A478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7" i="1"/>
  <c r="A477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6" i="1"/>
  <c r="A476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5" i="1"/>
  <c r="A475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4" i="1"/>
  <c r="A474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3" i="1"/>
  <c r="A473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2" i="1"/>
  <c r="A472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1" i="1"/>
  <c r="A471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70" i="1"/>
  <c r="A470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9" i="1"/>
  <c r="A469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8" i="1"/>
  <c r="A468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7" i="1"/>
  <c r="A467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6" i="1"/>
  <c r="A466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5" i="1"/>
  <c r="A465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4" i="1"/>
  <c r="A464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3" i="1"/>
  <c r="A463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2" i="1"/>
  <c r="A462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1" i="1"/>
  <c r="A461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60" i="1"/>
  <c r="A460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9" i="1"/>
  <c r="A459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8" i="1"/>
  <c r="A458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7" i="1"/>
  <c r="A457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6" i="1"/>
  <c r="A456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5" i="1"/>
  <c r="A455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4" i="1"/>
  <c r="A454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3" i="1"/>
  <c r="A453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2" i="1"/>
  <c r="A452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1" i="1"/>
  <c r="A451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50" i="1"/>
  <c r="A450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9" i="1"/>
  <c r="A449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8" i="1"/>
  <c r="A448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7" i="1"/>
  <c r="A447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6" i="1"/>
  <c r="A446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5" i="1"/>
  <c r="A445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4" i="1"/>
  <c r="A444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3" i="1"/>
  <c r="A443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2" i="1"/>
  <c r="A442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1" i="1"/>
  <c r="A441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40" i="1"/>
  <c r="A440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9" i="1"/>
  <c r="A439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8" i="1"/>
  <c r="A438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7" i="1"/>
  <c r="A437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6" i="1"/>
  <c r="A436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5" i="1"/>
  <c r="A435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4" i="1"/>
  <c r="A434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3" i="1"/>
  <c r="A433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2" i="1"/>
  <c r="A432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1" i="1"/>
  <c r="A431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30" i="1"/>
  <c r="A430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9" i="1"/>
  <c r="A429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8" i="1"/>
  <c r="A428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7" i="1"/>
  <c r="A427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6" i="1"/>
  <c r="A426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5" i="1"/>
  <c r="A425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4" i="1"/>
  <c r="A424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3" i="1"/>
  <c r="A423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2" i="1"/>
  <c r="A422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1" i="1"/>
  <c r="A421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20" i="1"/>
  <c r="A420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9" i="1"/>
  <c r="A419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8" i="1"/>
  <c r="A418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7" i="1"/>
  <c r="A417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6" i="1"/>
  <c r="A416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5" i="1"/>
  <c r="A415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4" i="1"/>
  <c r="A414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3" i="1"/>
  <c r="A413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2" i="1"/>
  <c r="A412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1" i="1"/>
  <c r="A411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10" i="1"/>
  <c r="A410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9" i="1"/>
  <c r="A409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8" i="1"/>
  <c r="A408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7" i="1"/>
  <c r="A407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6" i="1"/>
  <c r="A406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5" i="1"/>
  <c r="A405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4" i="1"/>
  <c r="A404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3" i="1"/>
  <c r="A403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2" i="1"/>
  <c r="A402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1" i="1"/>
  <c r="A401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400" i="1"/>
  <c r="A400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9" i="1"/>
  <c r="A399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8" i="1"/>
  <c r="A398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7" i="1"/>
  <c r="A397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6" i="1"/>
  <c r="A396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5" i="1"/>
  <c r="A395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4" i="1"/>
  <c r="A394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3" i="1"/>
  <c r="A393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2" i="1"/>
  <c r="A392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1" i="1"/>
  <c r="A391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90" i="1"/>
  <c r="A390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9" i="1"/>
  <c r="A389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8" i="1"/>
  <c r="A388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7" i="1"/>
  <c r="A387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6" i="1"/>
  <c r="A386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5" i="1"/>
  <c r="A385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4" i="1"/>
  <c r="A384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3" i="1"/>
  <c r="A383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2" i="1"/>
  <c r="A382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1" i="1"/>
  <c r="A381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80" i="1"/>
  <c r="A380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9" i="1"/>
  <c r="A379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8" i="1"/>
  <c r="A378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7" i="1"/>
  <c r="A377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6" i="1"/>
  <c r="A376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5" i="1"/>
  <c r="A375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4" i="1"/>
  <c r="A374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3" i="1"/>
  <c r="A373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2" i="1"/>
  <c r="A372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1" i="1"/>
  <c r="A371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70" i="1"/>
  <c r="A370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9" i="1"/>
  <c r="A369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8" i="1"/>
  <c r="A368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7" i="1"/>
  <c r="A367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6" i="1"/>
  <c r="A366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5" i="1"/>
  <c r="A365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4" i="1"/>
  <c r="A364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3" i="1"/>
  <c r="A363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2" i="1"/>
  <c r="A362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1" i="1"/>
  <c r="A361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60" i="1"/>
  <c r="A360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9" i="1"/>
  <c r="A359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8" i="1"/>
  <c r="A358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7" i="1"/>
  <c r="A357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6" i="1"/>
  <c r="A356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5" i="1"/>
  <c r="A355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4" i="1"/>
  <c r="A354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3" i="1"/>
  <c r="A353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2" i="1"/>
  <c r="A352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1" i="1"/>
  <c r="A351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50" i="1"/>
  <c r="A350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9" i="1"/>
  <c r="A349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8" i="1"/>
  <c r="A348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7" i="1"/>
  <c r="A347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6" i="1"/>
  <c r="A346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5" i="1"/>
  <c r="A345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4" i="1"/>
  <c r="A344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3" i="1"/>
  <c r="A343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2" i="1"/>
  <c r="A342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1" i="1"/>
  <c r="A341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40" i="1"/>
  <c r="A340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9" i="1"/>
  <c r="A339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8" i="1"/>
  <c r="A338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7" i="1"/>
  <c r="A337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6" i="1"/>
  <c r="A336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5" i="1"/>
  <c r="A335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4" i="1"/>
  <c r="A334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3" i="1"/>
  <c r="A333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2" i="1"/>
  <c r="A332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1" i="1"/>
  <c r="A331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30" i="1"/>
  <c r="A330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9" i="1"/>
  <c r="A329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8" i="1"/>
  <c r="A328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7" i="1"/>
  <c r="A327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6" i="1"/>
  <c r="A326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5" i="1"/>
  <c r="A325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4" i="1"/>
  <c r="A324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3" i="1"/>
  <c r="A323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2" i="1"/>
  <c r="A322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1" i="1"/>
  <c r="A321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20" i="1"/>
  <c r="A320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9" i="1"/>
  <c r="A319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8" i="1"/>
  <c r="A318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7" i="1"/>
  <c r="A317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6" i="1"/>
  <c r="A316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5" i="1"/>
  <c r="A315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4" i="1"/>
  <c r="A314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3" i="1"/>
  <c r="A313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2" i="1"/>
  <c r="A312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1" i="1"/>
  <c r="A311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10" i="1"/>
  <c r="A310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9" i="1"/>
  <c r="A309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8" i="1"/>
  <c r="A308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7" i="1"/>
  <c r="A307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6" i="1"/>
  <c r="A306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5" i="1"/>
  <c r="A305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4" i="1"/>
  <c r="A304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3" i="1"/>
  <c r="A303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2" i="1"/>
  <c r="A302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1" i="1"/>
  <c r="A301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300" i="1"/>
  <c r="A300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9" i="1"/>
  <c r="A299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8" i="1"/>
  <c r="A298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7" i="1"/>
  <c r="A297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6" i="1"/>
  <c r="A296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5" i="1"/>
  <c r="A295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4" i="1"/>
  <c r="A294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3" i="1"/>
  <c r="A293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2" i="1"/>
  <c r="A292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1" i="1"/>
  <c r="A291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90" i="1"/>
  <c r="A290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9" i="1"/>
  <c r="A289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8" i="1"/>
  <c r="A288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7" i="1"/>
  <c r="A287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6" i="1"/>
  <c r="A286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5" i="1"/>
  <c r="A285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4" i="1"/>
  <c r="A284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3" i="1"/>
  <c r="A283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2" i="1"/>
  <c r="A282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1" i="1"/>
  <c r="A281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80" i="1"/>
  <c r="A280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9" i="1"/>
  <c r="A279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8" i="1"/>
  <c r="A278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7" i="1"/>
  <c r="A277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6" i="1"/>
  <c r="A276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5" i="1"/>
  <c r="A275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4" i="1"/>
  <c r="A274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3" i="1"/>
  <c r="A273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2" i="1"/>
  <c r="A272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1" i="1"/>
  <c r="A271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70" i="1"/>
  <c r="A270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9" i="1"/>
  <c r="A269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8" i="1"/>
  <c r="A268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7" i="1"/>
  <c r="A267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6" i="1"/>
  <c r="A266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5" i="1"/>
  <c r="A265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4" i="1"/>
  <c r="A264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3" i="1"/>
  <c r="A263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2" i="1"/>
  <c r="A262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1" i="1"/>
  <c r="A261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60" i="1"/>
  <c r="A260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9" i="1"/>
  <c r="A259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8" i="1"/>
  <c r="A258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7" i="1"/>
  <c r="A257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6" i="1"/>
  <c r="A256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5" i="1"/>
  <c r="A255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4" i="1"/>
  <c r="A254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3" i="1"/>
  <c r="A253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2" i="1"/>
  <c r="A252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1" i="1"/>
  <c r="A251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50" i="1"/>
  <c r="A250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9" i="1"/>
  <c r="A249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8" i="1"/>
  <c r="A248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7" i="1"/>
  <c r="A247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6" i="1"/>
  <c r="A246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5" i="1"/>
  <c r="A245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4" i="1"/>
  <c r="A244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3" i="1"/>
  <c r="A243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2" i="1"/>
  <c r="A242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1" i="1"/>
  <c r="A241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40" i="1"/>
  <c r="A240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9" i="1"/>
  <c r="A239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8" i="1"/>
  <c r="A238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7" i="1"/>
  <c r="A237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6" i="1"/>
  <c r="A236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5" i="1"/>
  <c r="A235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4" i="1"/>
  <c r="A234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3" i="1"/>
  <c r="A233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2" i="1"/>
  <c r="A232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1" i="1"/>
  <c r="A231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30" i="1"/>
  <c r="A230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9" i="1"/>
  <c r="A229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8" i="1"/>
  <c r="A228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7" i="1"/>
  <c r="A227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6" i="1"/>
  <c r="A226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5" i="1"/>
  <c r="A225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4" i="1"/>
  <c r="A224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3" i="1"/>
  <c r="A223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2" i="1"/>
  <c r="A222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1" i="1"/>
  <c r="A221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20" i="1"/>
  <c r="A220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9" i="1"/>
  <c r="A219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8" i="1"/>
  <c r="A218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7" i="1"/>
  <c r="A217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6" i="1"/>
  <c r="A216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5" i="1"/>
  <c r="A215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4" i="1"/>
  <c r="A214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3" i="1"/>
  <c r="A213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2" i="1"/>
  <c r="A212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1" i="1"/>
  <c r="A211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10" i="1"/>
  <c r="A210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9" i="1"/>
  <c r="A209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8" i="1"/>
  <c r="A208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7" i="1"/>
  <c r="A207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6" i="1"/>
  <c r="A206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5" i="1"/>
  <c r="A205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4" i="1"/>
  <c r="A204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3" i="1"/>
  <c r="A203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2" i="1"/>
  <c r="A202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1" i="1"/>
  <c r="A201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200" i="1"/>
  <c r="A200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9" i="1"/>
  <c r="A199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8" i="1"/>
  <c r="A198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7" i="1"/>
  <c r="A197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6" i="1"/>
  <c r="A196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5" i="1"/>
  <c r="A195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4" i="1"/>
  <c r="A194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3" i="1"/>
  <c r="A193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2" i="1"/>
  <c r="A192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1" i="1"/>
  <c r="A191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90" i="1"/>
  <c r="A190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9" i="1"/>
  <c r="A189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8" i="1"/>
  <c r="A188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7" i="1"/>
  <c r="A187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6" i="1"/>
  <c r="A186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5" i="1"/>
  <c r="A185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4" i="1"/>
  <c r="A184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3" i="1"/>
  <c r="A183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2" i="1"/>
  <c r="A182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1" i="1"/>
  <c r="A181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80" i="1"/>
  <c r="A180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9" i="1"/>
  <c r="A179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8" i="1"/>
  <c r="A178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7" i="1"/>
  <c r="A177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6" i="1"/>
  <c r="A176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5" i="1"/>
  <c r="A175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4" i="1"/>
  <c r="A174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3" i="1"/>
  <c r="A173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2" i="1"/>
  <c r="A172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1" i="1"/>
  <c r="A171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70" i="1"/>
  <c r="A170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9" i="1"/>
  <c r="A169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8" i="1"/>
  <c r="A168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7" i="1"/>
  <c r="A167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6" i="1"/>
  <c r="A166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5" i="1"/>
  <c r="A165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4" i="1"/>
  <c r="A164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3" i="1"/>
  <c r="A163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2" i="1"/>
  <c r="A162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1" i="1"/>
  <c r="A161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60" i="1"/>
  <c r="A160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9" i="1"/>
  <c r="A159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8" i="1"/>
  <c r="A158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7" i="1"/>
  <c r="A157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6" i="1"/>
  <c r="A156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5" i="1"/>
  <c r="A155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4" i="1"/>
  <c r="A154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3" i="1"/>
  <c r="A153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2" i="1"/>
  <c r="A152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1" i="1"/>
  <c r="A151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50" i="1"/>
  <c r="A150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9" i="1"/>
  <c r="A149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8" i="1"/>
  <c r="A148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7" i="1"/>
  <c r="A147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6" i="1"/>
  <c r="A146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5" i="1"/>
  <c r="A145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4" i="1"/>
  <c r="A144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3" i="1"/>
  <c r="A143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2" i="1"/>
  <c r="A142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1" i="1"/>
  <c r="A141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40" i="1"/>
  <c r="A140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9" i="1"/>
  <c r="A139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8" i="1"/>
  <c r="A138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7" i="1"/>
  <c r="A137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6" i="1"/>
  <c r="A136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5" i="1"/>
  <c r="A135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4" i="1"/>
  <c r="A134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3" i="1"/>
  <c r="A133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2" i="1"/>
  <c r="A132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1" i="1"/>
  <c r="A131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30" i="1"/>
  <c r="A130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9" i="1"/>
  <c r="A129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8" i="1"/>
  <c r="A128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7" i="1"/>
  <c r="A127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6" i="1"/>
  <c r="A126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5" i="1"/>
  <c r="A125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4" i="1"/>
  <c r="A124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3" i="1"/>
  <c r="A123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2" i="1"/>
  <c r="A122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1" i="1"/>
  <c r="A121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20" i="1"/>
  <c r="A120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9" i="1"/>
  <c r="A119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8" i="1"/>
  <c r="A118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7" i="1"/>
  <c r="A117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6" i="1"/>
  <c r="A116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5" i="1"/>
  <c r="A115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4" i="1"/>
  <c r="A114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3" i="1"/>
  <c r="A113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2" i="1"/>
  <c r="A112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1" i="1"/>
  <c r="A111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10" i="1"/>
  <c r="A110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9" i="1"/>
  <c r="A109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8" i="1"/>
  <c r="A108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7" i="1"/>
  <c r="A107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6" i="1"/>
  <c r="A106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5" i="1"/>
  <c r="A105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4" i="1"/>
  <c r="A104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3" i="1"/>
  <c r="A103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2" i="1"/>
  <c r="A102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1" i="1"/>
  <c r="A101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100" i="1"/>
  <c r="A100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9" i="1"/>
  <c r="A99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8" i="1"/>
  <c r="A98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7" i="1"/>
  <c r="A97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6" i="1"/>
  <c r="A96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5" i="1"/>
  <c r="A95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4" i="1"/>
  <c r="A94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3" i="1"/>
  <c r="A93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2" i="1"/>
  <c r="A92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1" i="1"/>
  <c r="A91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90" i="1"/>
  <c r="A90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9" i="1"/>
  <c r="A89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8" i="1"/>
  <c r="A88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7" i="1"/>
  <c r="A87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6" i="1"/>
  <c r="A86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5" i="1"/>
  <c r="A85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4" i="1"/>
  <c r="A84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3" i="1"/>
  <c r="A83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2" i="1"/>
  <c r="A82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1" i="1"/>
  <c r="A81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80" i="1"/>
  <c r="A80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9" i="1"/>
  <c r="A79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8" i="1"/>
  <c r="A78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7" i="1"/>
  <c r="A77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6" i="1"/>
  <c r="A76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5" i="1"/>
  <c r="A75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4" i="1"/>
  <c r="A74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3" i="1"/>
  <c r="A73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2" i="1"/>
  <c r="A72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1" i="1"/>
  <c r="A71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70" i="1"/>
  <c r="A70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9" i="1"/>
  <c r="A69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8" i="1"/>
  <c r="A68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7" i="1"/>
  <c r="A67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6" i="1"/>
  <c r="A6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5" i="1"/>
  <c r="A65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4" i="1"/>
  <c r="A64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3" i="1"/>
  <c r="A63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2" i="1"/>
  <c r="A62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1" i="1"/>
  <c r="A61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60" i="1"/>
  <c r="A60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9" i="1"/>
  <c r="A59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8" i="1"/>
  <c r="A58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7" i="1"/>
  <c r="A57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6" i="1"/>
  <c r="A56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5" i="1"/>
  <c r="A55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4" i="1"/>
  <c r="A54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3" i="1"/>
  <c r="A53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2" i="1"/>
  <c r="A52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1" i="1"/>
  <c r="A51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50" i="1"/>
  <c r="A50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9" i="1"/>
  <c r="A49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8" i="1"/>
  <c r="A48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7" i="1"/>
  <c r="A47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6" i="1"/>
  <c r="A46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5" i="1"/>
  <c r="A45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4" i="1"/>
  <c r="A44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3" i="1"/>
  <c r="A43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2" i="1"/>
  <c r="A42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1" i="1"/>
  <c r="A41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40" i="1"/>
  <c r="A40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9" i="1"/>
  <c r="A39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8" i="1"/>
  <c r="A38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7" i="1"/>
  <c r="A37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6" i="1"/>
  <c r="A36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5" i="1"/>
  <c r="A35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4" i="1"/>
  <c r="A34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3" i="1"/>
  <c r="A33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2" i="1"/>
  <c r="A32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1" i="1"/>
  <c r="A31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30" i="1"/>
  <c r="A30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9" i="1"/>
  <c r="A29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8" i="1"/>
  <c r="A28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7" i="1"/>
  <c r="A27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6" i="1"/>
  <c r="A26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5" i="1"/>
  <c r="A25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4" i="1"/>
  <c r="A24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3" i="1"/>
  <c r="A23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2" i="1"/>
  <c r="A22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1" i="1"/>
  <c r="A21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20" i="1"/>
  <c r="A20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9" i="1"/>
  <c r="A19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8" i="1"/>
  <c r="A18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7" i="1"/>
  <c r="A17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6" i="1"/>
  <c r="A16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5" i="1"/>
  <c r="A15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4" i="1"/>
  <c r="A14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3" i="1"/>
  <c r="A13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2" i="1"/>
  <c r="A12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1" i="1"/>
  <c r="A11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10" i="1"/>
  <c r="A10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9" i="1"/>
  <c r="A9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8" i="1"/>
  <c r="A8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7" i="1"/>
  <c r="A7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6" i="1"/>
  <c r="A6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5" i="1"/>
  <c r="A5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4" i="1"/>
  <c r="A4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" i="1"/>
  <c r="A3" i="1"/>
  <c r="C1" i="1"/>
  <c r="B1" i="1"/>
  <c r="A1" i="1"/>
</calcChain>
</file>

<file path=xl/sharedStrings.xml><?xml version="1.0" encoding="utf-8"?>
<sst xmlns="http://schemas.openxmlformats.org/spreadsheetml/2006/main" count="26" uniqueCount="26">
  <si>
    <t>AMZN</t>
  </si>
  <si>
    <t>NVDA</t>
  </si>
  <si>
    <t>META</t>
  </si>
  <si>
    <t>GOOG</t>
  </si>
  <si>
    <t>TSLA</t>
  </si>
  <si>
    <t>PEP</t>
  </si>
  <si>
    <t>COST</t>
  </si>
  <si>
    <t>AVGO</t>
  </si>
  <si>
    <t>ADBE</t>
  </si>
  <si>
    <t>NFLX</t>
  </si>
  <si>
    <t>JPM</t>
  </si>
  <si>
    <t>V</t>
  </si>
  <si>
    <t>JNJ</t>
  </si>
  <si>
    <t>UNH</t>
  </si>
  <si>
    <t>XOM</t>
  </si>
  <si>
    <t>NEE</t>
  </si>
  <si>
    <t>WMT</t>
  </si>
  <si>
    <t>NKE</t>
  </si>
  <si>
    <t>CAT</t>
  </si>
  <si>
    <t>LMT</t>
  </si>
  <si>
    <t>ASML</t>
  </si>
  <si>
    <t>TSM</t>
  </si>
  <si>
    <t>GS</t>
  </si>
  <si>
    <t>PFE</t>
  </si>
  <si>
    <t>SBUX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</si>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</sst>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459"/>
  <sheetViews>
    <sheetView tabSelected="1" workbookViewId="0">
      <selection activeCell="H7" sqref="H7"/>
    </sheetView>
  </sheetViews>
  <sheetFormatPr defaultColWidth="12.6640625" defaultRowHeight="15.75" customHeight="1" x14ac:dyDescent="0.25"/>
  <cols>
    <col min="1" max="1" width="18" bestFit="1" customWidth="1"/>
  </cols>
  <sheetData>
    <row r="1" spans="1:29" x14ac:dyDescent="0.25">
      <c r="A1" s="1" t="str">
        <f ca="1">IFERROR(__xludf.DUMMYFUNCTION("GOOGLEFINANCE(""AAPL"", ""close"", DATE(2020,1,1), TODAY(), ""DAILY"")"),"Date")</f>
        <v>Date</v>
      </c>
      <c r="B1" s="1" t="str">
        <f ca="1">IFERROR(__xludf.DUMMYFUNCTION("""COMPUTED_VALUE"""),"Close")</f>
        <v>Close</v>
      </c>
      <c r="C1" s="1" t="str">
        <f ca="1">IFERROR(__xludf.DUMMYFUNCTION("{""MSFT"";INDEX(GOOGLEFINANCE(""MSFT"", ""close"", DATE(2020,1,1), TODAY(), ""DAILY""), , 2)}
"),"MSFT")</f>
        <v>MSFT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</row>
    <row r="2" spans="1:29" x14ac:dyDescent="0.25">
      <c r="A2" s="2">
        <f ca="1">IFERROR(__xludf.DUMMYFUNCTION("""COMPUTED_VALUE"""),43832.6666666666)</f>
        <v>43832.666666666599</v>
      </c>
      <c r="B2" s="1">
        <f ca="1">IFERROR(__xludf.DUMMYFUNCTION("""COMPUTED_VALUE"""),75.09)</f>
        <v>75.09</v>
      </c>
      <c r="C2" s="1">
        <f ca="1">IFERROR(__xludf.DUMMYFUNCTION("""COMPUTED_VALUE"""),160.62)</f>
        <v>160.62</v>
      </c>
      <c r="D2" s="1">
        <f ca="1">IFERROR(__xludf.DUMMYFUNCTION("""COMPUTED_VALUE"""),94.9)</f>
        <v>94.9</v>
      </c>
      <c r="E2" s="1">
        <f ca="1">IFERROR(__xludf.DUMMYFUNCTION("""COMPUTED_VALUE"""),6)</f>
        <v>6</v>
      </c>
      <c r="F2" s="1">
        <f ca="1">IFERROR(__xludf.DUMMYFUNCTION("""COMPUTED_VALUE"""),209.78)</f>
        <v>209.78</v>
      </c>
      <c r="G2" s="1">
        <f ca="1">IFERROR(__xludf.DUMMYFUNCTION("""COMPUTED_VALUE"""),68.37)</f>
        <v>68.37</v>
      </c>
      <c r="H2" s="1">
        <f ca="1">IFERROR(__xludf.DUMMYFUNCTION("""COMPUTED_VALUE"""),28.68)</f>
        <v>28.68</v>
      </c>
      <c r="I2" s="1">
        <f ca="1">IFERROR(__xludf.DUMMYFUNCTION("""COMPUTED_VALUE"""),135.82)</f>
        <v>135.82</v>
      </c>
      <c r="J2" s="1">
        <f ca="1">IFERROR(__xludf.DUMMYFUNCTION("""COMPUTED_VALUE"""),291.49)</f>
        <v>291.49</v>
      </c>
      <c r="K2" s="1">
        <f ca="1">IFERROR(__xludf.DUMMYFUNCTION("""COMPUTED_VALUE"""),32.24)</f>
        <v>32.24</v>
      </c>
      <c r="L2" s="1">
        <f ca="1">IFERROR(__xludf.DUMMYFUNCTION("""COMPUTED_VALUE"""),334.43)</f>
        <v>334.43</v>
      </c>
      <c r="M2" s="1">
        <f ca="1">IFERROR(__xludf.DUMMYFUNCTION("""COMPUTED_VALUE"""),329.81)</f>
        <v>329.81</v>
      </c>
      <c r="N2" s="1">
        <f ca="1">IFERROR(__xludf.DUMMYFUNCTION("""COMPUTED_VALUE"""),141.09)</f>
        <v>141.09</v>
      </c>
      <c r="O2" s="1">
        <f ca="1">IFERROR(__xludf.DUMMYFUNCTION("""COMPUTED_VALUE"""),191.12)</f>
        <v>191.12</v>
      </c>
      <c r="P2" s="1">
        <f ca="1">IFERROR(__xludf.DUMMYFUNCTION("""COMPUTED_VALUE"""),145.97)</f>
        <v>145.97</v>
      </c>
      <c r="Q2" s="1">
        <f ca="1">IFERROR(__xludf.DUMMYFUNCTION("""COMPUTED_VALUE"""),292.5)</f>
        <v>292.5</v>
      </c>
      <c r="R2" s="1">
        <f ca="1">IFERROR(__xludf.DUMMYFUNCTION("""COMPUTED_VALUE"""),70.9)</f>
        <v>70.900000000000006</v>
      </c>
      <c r="S2" s="1">
        <f ca="1">IFERROR(__xludf.DUMMYFUNCTION("""COMPUTED_VALUE"""),59.66)</f>
        <v>59.66</v>
      </c>
      <c r="T2" s="1">
        <f ca="1">IFERROR(__xludf.DUMMYFUNCTION("""COMPUTED_VALUE"""),39.65)</f>
        <v>39.65</v>
      </c>
      <c r="U2" s="1">
        <f ca="1">IFERROR(__xludf.DUMMYFUNCTION("""COMPUTED_VALUE"""),102.2)</f>
        <v>102.2</v>
      </c>
      <c r="V2" s="1">
        <f ca="1">IFERROR(__xludf.DUMMYFUNCTION("""COMPUTED_VALUE"""),150.53)</f>
        <v>150.53</v>
      </c>
      <c r="W2" s="1">
        <f ca="1">IFERROR(__xludf.DUMMYFUNCTION("""COMPUTED_VALUE"""),399.37)</f>
        <v>399.37</v>
      </c>
      <c r="X2" s="1">
        <f ca="1">IFERROR(__xludf.DUMMYFUNCTION("""COMPUTED_VALUE"""),302.83)</f>
        <v>302.83</v>
      </c>
      <c r="Y2" s="1">
        <f ca="1">IFERROR(__xludf.DUMMYFUNCTION("""COMPUTED_VALUE"""),60.04)</f>
        <v>60.04</v>
      </c>
      <c r="Z2" s="1">
        <f ca="1">IFERROR(__xludf.DUMMYFUNCTION("""COMPUTED_VALUE"""),234.32)</f>
        <v>234.32</v>
      </c>
      <c r="AA2" s="1">
        <f ca="1">IFERROR(__xludf.DUMMYFUNCTION("""COMPUTED_VALUE"""),37.08)</f>
        <v>37.08</v>
      </c>
      <c r="AB2" s="1">
        <f ca="1">IFERROR(__xludf.DUMMYFUNCTION("""COMPUTED_VALUE"""),89.35)</f>
        <v>89.35</v>
      </c>
      <c r="AC2" s="1">
        <f ca="1">IFERROR(__xludf.DUMMYFUNCTION("""COMPUTED_VALUE"""),49.1)</f>
        <v>49.1</v>
      </c>
    </row>
    <row r="3" spans="1:29" x14ac:dyDescent="0.25">
      <c r="A3" s="2">
        <f ca="1">IFERROR(__xludf.DUMMYFUNCTION("""COMPUTED_VALUE"""),43833.6666666666)</f>
        <v>43833.666666666599</v>
      </c>
      <c r="B3" s="1">
        <f ca="1">IFERROR(__xludf.DUMMYFUNCTION("""COMPUTED_VALUE"""),74.36)</f>
        <v>74.36</v>
      </c>
      <c r="C3" s="1">
        <f ca="1">IFERROR(__xludf.DUMMYFUNCTION("""COMPUTED_VALUE"""),158.62)</f>
        <v>158.62</v>
      </c>
      <c r="D3" s="1">
        <f ca="1">IFERROR(__xludf.DUMMYFUNCTION("""COMPUTED_VALUE"""),93.75)</f>
        <v>93.75</v>
      </c>
      <c r="E3" s="1">
        <f ca="1">IFERROR(__xludf.DUMMYFUNCTION("""COMPUTED_VALUE"""),5.9)</f>
        <v>5.9</v>
      </c>
      <c r="F3" s="1">
        <f ca="1">IFERROR(__xludf.DUMMYFUNCTION("""COMPUTED_VALUE"""),208.67)</f>
        <v>208.67</v>
      </c>
      <c r="G3" s="1">
        <f ca="1">IFERROR(__xludf.DUMMYFUNCTION("""COMPUTED_VALUE"""),68.03)</f>
        <v>68.03</v>
      </c>
      <c r="H3" s="1">
        <f ca="1">IFERROR(__xludf.DUMMYFUNCTION("""COMPUTED_VALUE"""),29.53)</f>
        <v>29.53</v>
      </c>
      <c r="I3" s="1">
        <f ca="1">IFERROR(__xludf.DUMMYFUNCTION("""COMPUTED_VALUE"""),135.63)</f>
        <v>135.63</v>
      </c>
      <c r="J3" s="1">
        <f ca="1">IFERROR(__xludf.DUMMYFUNCTION("""COMPUTED_VALUE"""),291.73)</f>
        <v>291.73</v>
      </c>
      <c r="K3" s="1">
        <f ca="1">IFERROR(__xludf.DUMMYFUNCTION("""COMPUTED_VALUE"""),31.42)</f>
        <v>31.42</v>
      </c>
      <c r="L3" s="1">
        <f ca="1">IFERROR(__xludf.DUMMYFUNCTION("""COMPUTED_VALUE"""),331.81)</f>
        <v>331.81</v>
      </c>
      <c r="M3" s="1">
        <f ca="1">IFERROR(__xludf.DUMMYFUNCTION("""COMPUTED_VALUE"""),325.9)</f>
        <v>325.89999999999998</v>
      </c>
      <c r="N3" s="1">
        <f ca="1">IFERROR(__xludf.DUMMYFUNCTION("""COMPUTED_VALUE"""),138.34)</f>
        <v>138.34</v>
      </c>
      <c r="O3" s="1">
        <f ca="1">IFERROR(__xludf.DUMMYFUNCTION("""COMPUTED_VALUE"""),189.6)</f>
        <v>189.6</v>
      </c>
      <c r="P3" s="1">
        <f ca="1">IFERROR(__xludf.DUMMYFUNCTION("""COMPUTED_VALUE"""),144.28)</f>
        <v>144.28</v>
      </c>
      <c r="Q3" s="1">
        <f ca="1">IFERROR(__xludf.DUMMYFUNCTION("""COMPUTED_VALUE"""),289.54)</f>
        <v>289.54000000000002</v>
      </c>
      <c r="R3" s="1">
        <f ca="1">IFERROR(__xludf.DUMMYFUNCTION("""COMPUTED_VALUE"""),70.33)</f>
        <v>70.33</v>
      </c>
      <c r="S3" s="1">
        <f ca="1">IFERROR(__xludf.DUMMYFUNCTION("""COMPUTED_VALUE"""),60.08)</f>
        <v>60.08</v>
      </c>
      <c r="T3" s="1">
        <f ca="1">IFERROR(__xludf.DUMMYFUNCTION("""COMPUTED_VALUE"""),39.3)</f>
        <v>39.299999999999997</v>
      </c>
      <c r="U3" s="1">
        <f ca="1">IFERROR(__xludf.DUMMYFUNCTION("""COMPUTED_VALUE"""),101.92)</f>
        <v>101.92</v>
      </c>
      <c r="V3" s="1">
        <f ca="1">IFERROR(__xludf.DUMMYFUNCTION("""COMPUTED_VALUE"""),148.44)</f>
        <v>148.44</v>
      </c>
      <c r="W3" s="1">
        <f ca="1">IFERROR(__xludf.DUMMYFUNCTION("""COMPUTED_VALUE"""),413.74)</f>
        <v>413.74</v>
      </c>
      <c r="X3" s="1">
        <f ca="1">IFERROR(__xludf.DUMMYFUNCTION("""COMPUTED_VALUE"""),297.95)</f>
        <v>297.95</v>
      </c>
      <c r="Y3" s="1">
        <f ca="1">IFERROR(__xludf.DUMMYFUNCTION("""COMPUTED_VALUE"""),58.06)</f>
        <v>58.06</v>
      </c>
      <c r="Z3" s="1">
        <f ca="1">IFERROR(__xludf.DUMMYFUNCTION("""COMPUTED_VALUE"""),231.58)</f>
        <v>231.58</v>
      </c>
      <c r="AA3" s="1">
        <f ca="1">IFERROR(__xludf.DUMMYFUNCTION("""COMPUTED_VALUE"""),36.88)</f>
        <v>36.880000000000003</v>
      </c>
      <c r="AB3" s="1">
        <f ca="1">IFERROR(__xludf.DUMMYFUNCTION("""COMPUTED_VALUE"""),88.83)</f>
        <v>88.83</v>
      </c>
      <c r="AC3" s="1">
        <f ca="1">IFERROR(__xludf.DUMMYFUNCTION("""COMPUTED_VALUE"""),48.6)</f>
        <v>48.6</v>
      </c>
    </row>
    <row r="4" spans="1:29" x14ac:dyDescent="0.25">
      <c r="A4" s="2">
        <f ca="1">IFERROR(__xludf.DUMMYFUNCTION("""COMPUTED_VALUE"""),43836.6666666666)</f>
        <v>43836.666666666599</v>
      </c>
      <c r="B4" s="1">
        <f ca="1">IFERROR(__xludf.DUMMYFUNCTION("""COMPUTED_VALUE"""),74.95)</f>
        <v>74.95</v>
      </c>
      <c r="C4" s="1">
        <f ca="1">IFERROR(__xludf.DUMMYFUNCTION("""COMPUTED_VALUE"""),159.03)</f>
        <v>159.03</v>
      </c>
      <c r="D4" s="1">
        <f ca="1">IFERROR(__xludf.DUMMYFUNCTION("""COMPUTED_VALUE"""),95.14)</f>
        <v>95.14</v>
      </c>
      <c r="E4" s="1">
        <f ca="1">IFERROR(__xludf.DUMMYFUNCTION("""COMPUTED_VALUE"""),5.93)</f>
        <v>5.93</v>
      </c>
      <c r="F4" s="1">
        <f ca="1">IFERROR(__xludf.DUMMYFUNCTION("""COMPUTED_VALUE"""),212.6)</f>
        <v>212.6</v>
      </c>
      <c r="G4" s="1">
        <f ca="1">IFERROR(__xludf.DUMMYFUNCTION("""COMPUTED_VALUE"""),69.71)</f>
        <v>69.709999999999994</v>
      </c>
      <c r="H4" s="1">
        <f ca="1">IFERROR(__xludf.DUMMYFUNCTION("""COMPUTED_VALUE"""),30.1)</f>
        <v>30.1</v>
      </c>
      <c r="I4" s="1">
        <f ca="1">IFERROR(__xludf.DUMMYFUNCTION("""COMPUTED_VALUE"""),136.15)</f>
        <v>136.15</v>
      </c>
      <c r="J4" s="1">
        <f ca="1">IFERROR(__xludf.DUMMYFUNCTION("""COMPUTED_VALUE"""),291.81)</f>
        <v>291.81</v>
      </c>
      <c r="K4" s="1">
        <f ca="1">IFERROR(__xludf.DUMMYFUNCTION("""COMPUTED_VALUE"""),31.37)</f>
        <v>31.37</v>
      </c>
      <c r="L4" s="1">
        <f ca="1">IFERROR(__xludf.DUMMYFUNCTION("""COMPUTED_VALUE"""),333.71)</f>
        <v>333.71</v>
      </c>
      <c r="M4" s="1">
        <f ca="1">IFERROR(__xludf.DUMMYFUNCTION("""COMPUTED_VALUE"""),335.83)</f>
        <v>335.83</v>
      </c>
      <c r="N4" s="1">
        <f ca="1">IFERROR(__xludf.DUMMYFUNCTION("""COMPUTED_VALUE"""),138.23)</f>
        <v>138.22999999999999</v>
      </c>
      <c r="O4" s="1">
        <f ca="1">IFERROR(__xludf.DUMMYFUNCTION("""COMPUTED_VALUE"""),189.19)</f>
        <v>189.19</v>
      </c>
      <c r="P4" s="1">
        <f ca="1">IFERROR(__xludf.DUMMYFUNCTION("""COMPUTED_VALUE"""),144.1)</f>
        <v>144.1</v>
      </c>
      <c r="Q4" s="1">
        <f ca="1">IFERROR(__xludf.DUMMYFUNCTION("""COMPUTED_VALUE"""),291.55)</f>
        <v>291.55</v>
      </c>
      <c r="R4" s="1">
        <f ca="1">IFERROR(__xludf.DUMMYFUNCTION("""COMPUTED_VALUE"""),70.87)</f>
        <v>70.87</v>
      </c>
      <c r="S4" s="1">
        <f ca="1">IFERROR(__xludf.DUMMYFUNCTION("""COMPUTED_VALUE"""),60.38)</f>
        <v>60.38</v>
      </c>
      <c r="T4" s="1">
        <f ca="1">IFERROR(__xludf.DUMMYFUNCTION("""COMPUTED_VALUE"""),39.22)</f>
        <v>39.22</v>
      </c>
      <c r="U4" s="1">
        <f ca="1">IFERROR(__xludf.DUMMYFUNCTION("""COMPUTED_VALUE"""),101.83)</f>
        <v>101.83</v>
      </c>
      <c r="V4" s="1">
        <f ca="1">IFERROR(__xludf.DUMMYFUNCTION("""COMPUTED_VALUE"""),148.34)</f>
        <v>148.34</v>
      </c>
      <c r="W4" s="1">
        <f ca="1">IFERROR(__xludf.DUMMYFUNCTION("""COMPUTED_VALUE"""),413.11)</f>
        <v>413.11</v>
      </c>
      <c r="X4" s="1">
        <f ca="1">IFERROR(__xludf.DUMMYFUNCTION("""COMPUTED_VALUE"""),295.58)</f>
        <v>295.58</v>
      </c>
      <c r="Y4" s="1">
        <f ca="1">IFERROR(__xludf.DUMMYFUNCTION("""COMPUTED_VALUE"""),57.39)</f>
        <v>57.39</v>
      </c>
      <c r="Z4" s="1">
        <f ca="1">IFERROR(__xludf.DUMMYFUNCTION("""COMPUTED_VALUE"""),233.95)</f>
        <v>233.95</v>
      </c>
      <c r="AA4" s="1">
        <f ca="1">IFERROR(__xludf.DUMMYFUNCTION("""COMPUTED_VALUE"""),36.83)</f>
        <v>36.83</v>
      </c>
      <c r="AB4" s="1">
        <f ca="1">IFERROR(__xludf.DUMMYFUNCTION("""COMPUTED_VALUE"""),88.13)</f>
        <v>88.13</v>
      </c>
      <c r="AC4" s="1">
        <f ca="1">IFERROR(__xludf.DUMMYFUNCTION("""COMPUTED_VALUE"""),48.39)</f>
        <v>48.39</v>
      </c>
    </row>
    <row r="5" spans="1:29" x14ac:dyDescent="0.25">
      <c r="A5" s="2">
        <f ca="1">IFERROR(__xludf.DUMMYFUNCTION("""COMPUTED_VALUE"""),43837.6666666666)</f>
        <v>43837.666666666599</v>
      </c>
      <c r="B5" s="1">
        <f ca="1">IFERROR(__xludf.DUMMYFUNCTION("""COMPUTED_VALUE"""),74.6)</f>
        <v>74.599999999999994</v>
      </c>
      <c r="C5" s="1">
        <f ca="1">IFERROR(__xludf.DUMMYFUNCTION("""COMPUTED_VALUE"""),157.58)</f>
        <v>157.58000000000001</v>
      </c>
      <c r="D5" s="1">
        <f ca="1">IFERROR(__xludf.DUMMYFUNCTION("""COMPUTED_VALUE"""),95.34)</f>
        <v>95.34</v>
      </c>
      <c r="E5" s="1">
        <f ca="1">IFERROR(__xludf.DUMMYFUNCTION("""COMPUTED_VALUE"""),6)</f>
        <v>6</v>
      </c>
      <c r="F5" s="1">
        <f ca="1">IFERROR(__xludf.DUMMYFUNCTION("""COMPUTED_VALUE"""),213.06)</f>
        <v>213.06</v>
      </c>
      <c r="G5" s="1">
        <f ca="1">IFERROR(__xludf.DUMMYFUNCTION("""COMPUTED_VALUE"""),69.67)</f>
        <v>69.67</v>
      </c>
      <c r="H5" s="1">
        <f ca="1">IFERROR(__xludf.DUMMYFUNCTION("""COMPUTED_VALUE"""),31.27)</f>
        <v>31.27</v>
      </c>
      <c r="I5" s="1">
        <f ca="1">IFERROR(__xludf.DUMMYFUNCTION("""COMPUTED_VALUE"""),134.01)</f>
        <v>134.01</v>
      </c>
      <c r="J5" s="1">
        <f ca="1">IFERROR(__xludf.DUMMYFUNCTION("""COMPUTED_VALUE"""),291.35)</f>
        <v>291.35000000000002</v>
      </c>
      <c r="K5" s="1">
        <f ca="1">IFERROR(__xludf.DUMMYFUNCTION("""COMPUTED_VALUE"""),31.26)</f>
        <v>31.26</v>
      </c>
      <c r="L5" s="1">
        <f ca="1">IFERROR(__xludf.DUMMYFUNCTION("""COMPUTED_VALUE"""),333.39)</f>
        <v>333.39</v>
      </c>
      <c r="M5" s="1">
        <f ca="1">IFERROR(__xludf.DUMMYFUNCTION("""COMPUTED_VALUE"""),330.75)</f>
        <v>330.75</v>
      </c>
      <c r="N5" s="1">
        <f ca="1">IFERROR(__xludf.DUMMYFUNCTION("""COMPUTED_VALUE"""),135.88)</f>
        <v>135.88</v>
      </c>
      <c r="O5" s="1">
        <f ca="1">IFERROR(__xludf.DUMMYFUNCTION("""COMPUTED_VALUE"""),188.69)</f>
        <v>188.69</v>
      </c>
      <c r="P5" s="1">
        <f ca="1">IFERROR(__xludf.DUMMYFUNCTION("""COMPUTED_VALUE"""),144.98)</f>
        <v>144.97999999999999</v>
      </c>
      <c r="Q5" s="1">
        <f ca="1">IFERROR(__xludf.DUMMYFUNCTION("""COMPUTED_VALUE"""),289.79)</f>
        <v>289.79000000000002</v>
      </c>
      <c r="R5" s="1">
        <f ca="1">IFERROR(__xludf.DUMMYFUNCTION("""COMPUTED_VALUE"""),70.29)</f>
        <v>70.290000000000006</v>
      </c>
      <c r="S5" s="1">
        <f ca="1">IFERROR(__xludf.DUMMYFUNCTION("""COMPUTED_VALUE"""),60.33)</f>
        <v>60.33</v>
      </c>
      <c r="T5" s="1">
        <f ca="1">IFERROR(__xludf.DUMMYFUNCTION("""COMPUTED_VALUE"""),38.85)</f>
        <v>38.85</v>
      </c>
      <c r="U5" s="1">
        <f ca="1">IFERROR(__xludf.DUMMYFUNCTION("""COMPUTED_VALUE"""),101.78)</f>
        <v>101.78</v>
      </c>
      <c r="V5" s="1">
        <f ca="1">IFERROR(__xludf.DUMMYFUNCTION("""COMPUTED_VALUE"""),146.38)</f>
        <v>146.38</v>
      </c>
      <c r="W5" s="1">
        <f ca="1">IFERROR(__xludf.DUMMYFUNCTION("""COMPUTED_VALUE"""),414.5)</f>
        <v>414.5</v>
      </c>
      <c r="X5" s="1">
        <f ca="1">IFERROR(__xludf.DUMMYFUNCTION("""COMPUTED_VALUE"""),298.79)</f>
        <v>298.79000000000002</v>
      </c>
      <c r="Y5" s="1">
        <f ca="1">IFERROR(__xludf.DUMMYFUNCTION("""COMPUTED_VALUE"""),58.32)</f>
        <v>58.32</v>
      </c>
      <c r="Z5" s="1">
        <f ca="1">IFERROR(__xludf.DUMMYFUNCTION("""COMPUTED_VALUE"""),235.49)</f>
        <v>235.49</v>
      </c>
      <c r="AA5" s="1">
        <f ca="1">IFERROR(__xludf.DUMMYFUNCTION("""COMPUTED_VALUE"""),36.71)</f>
        <v>36.71</v>
      </c>
      <c r="AB5" s="1">
        <f ca="1">IFERROR(__xludf.DUMMYFUNCTION("""COMPUTED_VALUE"""),87.86)</f>
        <v>87.86</v>
      </c>
      <c r="AC5" s="1">
        <f ca="1">IFERROR(__xludf.DUMMYFUNCTION("""COMPUTED_VALUE"""),48.25)</f>
        <v>48.25</v>
      </c>
    </row>
    <row r="6" spans="1:29" x14ac:dyDescent="0.25">
      <c r="A6" s="2">
        <f ca="1">IFERROR(__xludf.DUMMYFUNCTION("""COMPUTED_VALUE"""),43838.6666666666)</f>
        <v>43838.666666666599</v>
      </c>
      <c r="B6" s="1">
        <f ca="1">IFERROR(__xludf.DUMMYFUNCTION("""COMPUTED_VALUE"""),75.8)</f>
        <v>75.8</v>
      </c>
      <c r="C6" s="1">
        <f ca="1">IFERROR(__xludf.DUMMYFUNCTION("""COMPUTED_VALUE"""),160.09)</f>
        <v>160.09</v>
      </c>
      <c r="D6" s="1">
        <f ca="1">IFERROR(__xludf.DUMMYFUNCTION("""COMPUTED_VALUE"""),94.6)</f>
        <v>94.6</v>
      </c>
      <c r="E6" s="1">
        <f ca="1">IFERROR(__xludf.DUMMYFUNCTION("""COMPUTED_VALUE"""),6.01)</f>
        <v>6.01</v>
      </c>
      <c r="F6" s="1">
        <f ca="1">IFERROR(__xludf.DUMMYFUNCTION("""COMPUTED_VALUE"""),215.22)</f>
        <v>215.22</v>
      </c>
      <c r="G6" s="1">
        <f ca="1">IFERROR(__xludf.DUMMYFUNCTION("""COMPUTED_VALUE"""),70.22)</f>
        <v>70.22</v>
      </c>
      <c r="H6" s="1">
        <f ca="1">IFERROR(__xludf.DUMMYFUNCTION("""COMPUTED_VALUE"""),32.81)</f>
        <v>32.81</v>
      </c>
      <c r="I6" s="1">
        <f ca="1">IFERROR(__xludf.DUMMYFUNCTION("""COMPUTED_VALUE"""),134.7)</f>
        <v>134.69999999999999</v>
      </c>
      <c r="J6" s="1">
        <f ca="1">IFERROR(__xludf.DUMMYFUNCTION("""COMPUTED_VALUE"""),294.69)</f>
        <v>294.69</v>
      </c>
      <c r="K6" s="1">
        <f ca="1">IFERROR(__xludf.DUMMYFUNCTION("""COMPUTED_VALUE"""),30.87)</f>
        <v>30.87</v>
      </c>
      <c r="L6" s="1">
        <f ca="1">IFERROR(__xludf.DUMMYFUNCTION("""COMPUTED_VALUE"""),337.87)</f>
        <v>337.87</v>
      </c>
      <c r="M6" s="1">
        <f ca="1">IFERROR(__xludf.DUMMYFUNCTION("""COMPUTED_VALUE"""),339.26)</f>
        <v>339.26</v>
      </c>
      <c r="N6" s="1">
        <f ca="1">IFERROR(__xludf.DUMMYFUNCTION("""COMPUTED_VALUE"""),136.94)</f>
        <v>136.94</v>
      </c>
      <c r="O6" s="1">
        <f ca="1">IFERROR(__xludf.DUMMYFUNCTION("""COMPUTED_VALUE"""),191.92)</f>
        <v>191.92</v>
      </c>
      <c r="P6" s="1">
        <f ca="1">IFERROR(__xludf.DUMMYFUNCTION("""COMPUTED_VALUE"""),144.96)</f>
        <v>144.96</v>
      </c>
      <c r="Q6" s="1">
        <f ca="1">IFERROR(__xludf.DUMMYFUNCTION("""COMPUTED_VALUE"""),295.9)</f>
        <v>295.89999999999998</v>
      </c>
      <c r="R6" s="1">
        <f ca="1">IFERROR(__xludf.DUMMYFUNCTION("""COMPUTED_VALUE"""),69.23)</f>
        <v>69.23</v>
      </c>
      <c r="S6" s="1">
        <f ca="1">IFERROR(__xludf.DUMMYFUNCTION("""COMPUTED_VALUE"""),60.3)</f>
        <v>60.3</v>
      </c>
      <c r="T6" s="1">
        <f ca="1">IFERROR(__xludf.DUMMYFUNCTION("""COMPUTED_VALUE"""),38.72)</f>
        <v>38.72</v>
      </c>
      <c r="U6" s="1">
        <f ca="1">IFERROR(__xludf.DUMMYFUNCTION("""COMPUTED_VALUE"""),101.55)</f>
        <v>101.55</v>
      </c>
      <c r="V6" s="1">
        <f ca="1">IFERROR(__xludf.DUMMYFUNCTION("""COMPUTED_VALUE"""),147.68)</f>
        <v>147.68</v>
      </c>
      <c r="W6" s="1">
        <f ca="1">IFERROR(__xludf.DUMMYFUNCTION("""COMPUTED_VALUE"""),411.03)</f>
        <v>411.03</v>
      </c>
      <c r="X6" s="1">
        <f ca="1">IFERROR(__xludf.DUMMYFUNCTION("""COMPUTED_VALUE"""),301.89)</f>
        <v>301.89</v>
      </c>
      <c r="Y6" s="1">
        <f ca="1">IFERROR(__xludf.DUMMYFUNCTION("""COMPUTED_VALUE"""),58.75)</f>
        <v>58.75</v>
      </c>
      <c r="Z6" s="1">
        <f ca="1">IFERROR(__xludf.DUMMYFUNCTION("""COMPUTED_VALUE"""),237.76)</f>
        <v>237.76</v>
      </c>
      <c r="AA6" s="1">
        <f ca="1">IFERROR(__xludf.DUMMYFUNCTION("""COMPUTED_VALUE"""),37)</f>
        <v>37</v>
      </c>
      <c r="AB6" s="1">
        <f ca="1">IFERROR(__xludf.DUMMYFUNCTION("""COMPUTED_VALUE"""),88.88)</f>
        <v>88.88</v>
      </c>
      <c r="AC6" s="1">
        <f ca="1">IFERROR(__xludf.DUMMYFUNCTION("""COMPUTED_VALUE"""),47.83)</f>
        <v>47.83</v>
      </c>
    </row>
    <row r="7" spans="1:29" x14ac:dyDescent="0.25">
      <c r="A7" s="2">
        <f ca="1">IFERROR(__xludf.DUMMYFUNCTION("""COMPUTED_VALUE"""),43839.6666666666)</f>
        <v>43839.666666666599</v>
      </c>
      <c r="B7" s="1">
        <f ca="1">IFERROR(__xludf.DUMMYFUNCTION("""COMPUTED_VALUE"""),77.41)</f>
        <v>77.41</v>
      </c>
      <c r="C7" s="1">
        <f ca="1">IFERROR(__xludf.DUMMYFUNCTION("""COMPUTED_VALUE"""),162.09)</f>
        <v>162.09</v>
      </c>
      <c r="D7" s="1">
        <f ca="1">IFERROR(__xludf.DUMMYFUNCTION("""COMPUTED_VALUE"""),95.05)</f>
        <v>95.05</v>
      </c>
      <c r="E7" s="1">
        <f ca="1">IFERROR(__xludf.DUMMYFUNCTION("""COMPUTED_VALUE"""),6.08)</f>
        <v>6.08</v>
      </c>
      <c r="F7" s="1">
        <f ca="1">IFERROR(__xludf.DUMMYFUNCTION("""COMPUTED_VALUE"""),218.3)</f>
        <v>218.3</v>
      </c>
      <c r="G7" s="1">
        <f ca="1">IFERROR(__xludf.DUMMYFUNCTION("""COMPUTED_VALUE"""),70.99)</f>
        <v>70.989999999999995</v>
      </c>
      <c r="H7" s="1">
        <f ca="1">IFERROR(__xludf.DUMMYFUNCTION("""COMPUTED_VALUE"""),32.09)</f>
        <v>32.090000000000003</v>
      </c>
      <c r="I7" s="1">
        <f ca="1">IFERROR(__xludf.DUMMYFUNCTION("""COMPUTED_VALUE"""),134.79)</f>
        <v>134.79</v>
      </c>
      <c r="J7" s="1">
        <f ca="1">IFERROR(__xludf.DUMMYFUNCTION("""COMPUTED_VALUE"""),299.42)</f>
        <v>299.42</v>
      </c>
      <c r="K7" s="1">
        <f ca="1">IFERROR(__xludf.DUMMYFUNCTION("""COMPUTED_VALUE"""),30.63)</f>
        <v>30.63</v>
      </c>
      <c r="L7" s="1">
        <f ca="1">IFERROR(__xludf.DUMMYFUNCTION("""COMPUTED_VALUE"""),340.45)</f>
        <v>340.45</v>
      </c>
      <c r="M7" s="1">
        <f ca="1">IFERROR(__xludf.DUMMYFUNCTION("""COMPUTED_VALUE"""),335.66)</f>
        <v>335.66</v>
      </c>
      <c r="N7" s="1">
        <f ca="1">IFERROR(__xludf.DUMMYFUNCTION("""COMPUTED_VALUE"""),137.44)</f>
        <v>137.44</v>
      </c>
      <c r="O7" s="1">
        <f ca="1">IFERROR(__xludf.DUMMYFUNCTION("""COMPUTED_VALUE"""),193.25)</f>
        <v>193.25</v>
      </c>
      <c r="P7" s="1">
        <f ca="1">IFERROR(__xludf.DUMMYFUNCTION("""COMPUTED_VALUE"""),145.39)</f>
        <v>145.38999999999999</v>
      </c>
      <c r="Q7" s="1">
        <f ca="1">IFERROR(__xludf.DUMMYFUNCTION("""COMPUTED_VALUE"""),294.22)</f>
        <v>294.22000000000003</v>
      </c>
      <c r="R7" s="1">
        <f ca="1">IFERROR(__xludf.DUMMYFUNCTION("""COMPUTED_VALUE"""),69.76)</f>
        <v>69.760000000000005</v>
      </c>
      <c r="S7" s="1">
        <f ca="1">IFERROR(__xludf.DUMMYFUNCTION("""COMPUTED_VALUE"""),60.77)</f>
        <v>60.77</v>
      </c>
      <c r="T7" s="1">
        <f ca="1">IFERROR(__xludf.DUMMYFUNCTION("""COMPUTED_VALUE"""),39.12)</f>
        <v>39.119999999999997</v>
      </c>
      <c r="U7" s="1">
        <f ca="1">IFERROR(__xludf.DUMMYFUNCTION("""COMPUTED_VALUE"""),101.48)</f>
        <v>101.48</v>
      </c>
      <c r="V7" s="1">
        <f ca="1">IFERROR(__xludf.DUMMYFUNCTION("""COMPUTED_VALUE"""),147.31)</f>
        <v>147.31</v>
      </c>
      <c r="W7" s="1">
        <f ca="1">IFERROR(__xludf.DUMMYFUNCTION("""COMPUTED_VALUE"""),414.93)</f>
        <v>414.93</v>
      </c>
      <c r="X7" s="1">
        <f ca="1">IFERROR(__xludf.DUMMYFUNCTION("""COMPUTED_VALUE"""),301.38)</f>
        <v>301.38</v>
      </c>
      <c r="Y7" s="1">
        <f ca="1">IFERROR(__xludf.DUMMYFUNCTION("""COMPUTED_VALUE"""),59.23)</f>
        <v>59.23</v>
      </c>
      <c r="Z7" s="1">
        <f ca="1">IFERROR(__xludf.DUMMYFUNCTION("""COMPUTED_VALUE"""),242.6)</f>
        <v>242.6</v>
      </c>
      <c r="AA7" s="1">
        <f ca="1">IFERROR(__xludf.DUMMYFUNCTION("""COMPUTED_VALUE"""),36.84)</f>
        <v>36.840000000000003</v>
      </c>
      <c r="AB7" s="1">
        <f ca="1">IFERROR(__xludf.DUMMYFUNCTION("""COMPUTED_VALUE"""),90.53)</f>
        <v>90.53</v>
      </c>
      <c r="AC7" s="1">
        <f ca="1">IFERROR(__xludf.DUMMYFUNCTION("""COMPUTED_VALUE"""),48.97)</f>
        <v>48.97</v>
      </c>
    </row>
    <row r="8" spans="1:29" x14ac:dyDescent="0.25">
      <c r="A8" s="2">
        <f ca="1">IFERROR(__xludf.DUMMYFUNCTION("""COMPUTED_VALUE"""),43840.6666666666)</f>
        <v>43840.666666666599</v>
      </c>
      <c r="B8" s="1">
        <f ca="1">IFERROR(__xludf.DUMMYFUNCTION("""COMPUTED_VALUE"""),77.58)</f>
        <v>77.58</v>
      </c>
      <c r="C8" s="1">
        <f ca="1">IFERROR(__xludf.DUMMYFUNCTION("""COMPUTED_VALUE"""),161.34)</f>
        <v>161.34</v>
      </c>
      <c r="D8" s="1">
        <f ca="1">IFERROR(__xludf.DUMMYFUNCTION("""COMPUTED_VALUE"""),94.16)</f>
        <v>94.16</v>
      </c>
      <c r="E8" s="1">
        <f ca="1">IFERROR(__xludf.DUMMYFUNCTION("""COMPUTED_VALUE"""),6.11)</f>
        <v>6.11</v>
      </c>
      <c r="F8" s="1">
        <f ca="1">IFERROR(__xludf.DUMMYFUNCTION("""COMPUTED_VALUE"""),218.06)</f>
        <v>218.06</v>
      </c>
      <c r="G8" s="1">
        <f ca="1">IFERROR(__xludf.DUMMYFUNCTION("""COMPUTED_VALUE"""),71.49)</f>
        <v>71.489999999999995</v>
      </c>
      <c r="H8" s="1">
        <f ca="1">IFERROR(__xludf.DUMMYFUNCTION("""COMPUTED_VALUE"""),31.88)</f>
        <v>31.88</v>
      </c>
      <c r="I8" s="1">
        <f ca="1">IFERROR(__xludf.DUMMYFUNCTION("""COMPUTED_VALUE"""),134.53)</f>
        <v>134.53</v>
      </c>
      <c r="J8" s="1">
        <f ca="1">IFERROR(__xludf.DUMMYFUNCTION("""COMPUTED_VALUE"""),297.24)</f>
        <v>297.24</v>
      </c>
      <c r="K8" s="1">
        <f ca="1">IFERROR(__xludf.DUMMYFUNCTION("""COMPUTED_VALUE"""),29.92)</f>
        <v>29.92</v>
      </c>
      <c r="L8" s="1">
        <f ca="1">IFERROR(__xludf.DUMMYFUNCTION("""COMPUTED_VALUE"""),339.81)</f>
        <v>339.81</v>
      </c>
      <c r="M8" s="1">
        <f ca="1">IFERROR(__xludf.DUMMYFUNCTION("""COMPUTED_VALUE"""),329.05)</f>
        <v>329.05</v>
      </c>
      <c r="N8" s="1">
        <f ca="1">IFERROR(__xludf.DUMMYFUNCTION("""COMPUTED_VALUE"""),136.07)</f>
        <v>136.07</v>
      </c>
      <c r="O8" s="1">
        <f ca="1">IFERROR(__xludf.DUMMYFUNCTION("""COMPUTED_VALUE"""),193.77)</f>
        <v>193.77</v>
      </c>
      <c r="P8" s="1">
        <f ca="1">IFERROR(__xludf.DUMMYFUNCTION("""COMPUTED_VALUE"""),145.06)</f>
        <v>145.06</v>
      </c>
      <c r="Q8" s="1">
        <f ca="1">IFERROR(__xludf.DUMMYFUNCTION("""COMPUTED_VALUE"""),295.13)</f>
        <v>295.13</v>
      </c>
      <c r="R8" s="1">
        <f ca="1">IFERROR(__xludf.DUMMYFUNCTION("""COMPUTED_VALUE"""),69.14)</f>
        <v>69.14</v>
      </c>
      <c r="S8" s="1">
        <f ca="1">IFERROR(__xludf.DUMMYFUNCTION("""COMPUTED_VALUE"""),60.89)</f>
        <v>60.89</v>
      </c>
      <c r="T8" s="1">
        <f ca="1">IFERROR(__xludf.DUMMYFUNCTION("""COMPUTED_VALUE"""),38.79)</f>
        <v>38.79</v>
      </c>
      <c r="U8" s="1">
        <f ca="1">IFERROR(__xludf.DUMMYFUNCTION("""COMPUTED_VALUE"""),100.9)</f>
        <v>100.9</v>
      </c>
      <c r="V8" s="1">
        <f ca="1">IFERROR(__xludf.DUMMYFUNCTION("""COMPUTED_VALUE"""),146.13)</f>
        <v>146.13</v>
      </c>
      <c r="W8" s="1">
        <f ca="1">IFERROR(__xludf.DUMMYFUNCTION("""COMPUTED_VALUE"""),413.83)</f>
        <v>413.83</v>
      </c>
      <c r="X8" s="1">
        <f ca="1">IFERROR(__xludf.DUMMYFUNCTION("""COMPUTED_VALUE"""),296.18)</f>
        <v>296.18</v>
      </c>
      <c r="Y8" s="1">
        <f ca="1">IFERROR(__xludf.DUMMYFUNCTION("""COMPUTED_VALUE"""),58.86)</f>
        <v>58.86</v>
      </c>
      <c r="Z8" s="1">
        <f ca="1">IFERROR(__xludf.DUMMYFUNCTION("""COMPUTED_VALUE"""),242.11)</f>
        <v>242.11</v>
      </c>
      <c r="AA8" s="1">
        <f ca="1">IFERROR(__xludf.DUMMYFUNCTION("""COMPUTED_VALUE"""),37.41)</f>
        <v>37.409999999999997</v>
      </c>
      <c r="AB8" s="1">
        <f ca="1">IFERROR(__xludf.DUMMYFUNCTION("""COMPUTED_VALUE"""),90.16)</f>
        <v>90.16</v>
      </c>
      <c r="AC8" s="1">
        <f ca="1">IFERROR(__xludf.DUMMYFUNCTION("""COMPUTED_VALUE"""),48.17)</f>
        <v>48.17</v>
      </c>
    </row>
    <row r="9" spans="1:29" x14ac:dyDescent="0.25">
      <c r="A9" s="2">
        <f ca="1">IFERROR(__xludf.DUMMYFUNCTION("""COMPUTED_VALUE"""),43843.6666666666)</f>
        <v>43843.666666666599</v>
      </c>
      <c r="B9" s="1">
        <f ca="1">IFERROR(__xludf.DUMMYFUNCTION("""COMPUTED_VALUE"""),79.24)</f>
        <v>79.239999999999995</v>
      </c>
      <c r="C9" s="1">
        <f ca="1">IFERROR(__xludf.DUMMYFUNCTION("""COMPUTED_VALUE"""),163.28)</f>
        <v>163.28</v>
      </c>
      <c r="D9" s="1">
        <f ca="1">IFERROR(__xludf.DUMMYFUNCTION("""COMPUTED_VALUE"""),94.57)</f>
        <v>94.57</v>
      </c>
      <c r="E9" s="1">
        <f ca="1">IFERROR(__xludf.DUMMYFUNCTION("""COMPUTED_VALUE"""),6.3)</f>
        <v>6.3</v>
      </c>
      <c r="F9" s="1">
        <f ca="1">IFERROR(__xludf.DUMMYFUNCTION("""COMPUTED_VALUE"""),221.91)</f>
        <v>221.91</v>
      </c>
      <c r="G9" s="1">
        <f ca="1">IFERROR(__xludf.DUMMYFUNCTION("""COMPUTED_VALUE"""),71.96)</f>
        <v>71.959999999999994</v>
      </c>
      <c r="H9" s="1">
        <f ca="1">IFERROR(__xludf.DUMMYFUNCTION("""COMPUTED_VALUE"""),34.99)</f>
        <v>34.99</v>
      </c>
      <c r="I9" s="1">
        <f ca="1">IFERROR(__xludf.DUMMYFUNCTION("""COMPUTED_VALUE"""),136.53)</f>
        <v>136.53</v>
      </c>
      <c r="J9" s="1">
        <f ca="1">IFERROR(__xludf.DUMMYFUNCTION("""COMPUTED_VALUE"""),299.87)</f>
        <v>299.87</v>
      </c>
      <c r="K9" s="1">
        <f ca="1">IFERROR(__xludf.DUMMYFUNCTION("""COMPUTED_VALUE"""),30.12)</f>
        <v>30.12</v>
      </c>
      <c r="L9" s="1">
        <f ca="1">IFERROR(__xludf.DUMMYFUNCTION("""COMPUTED_VALUE"""),345.63)</f>
        <v>345.63</v>
      </c>
      <c r="M9" s="1">
        <f ca="1">IFERROR(__xludf.DUMMYFUNCTION("""COMPUTED_VALUE"""),338.92)</f>
        <v>338.92</v>
      </c>
      <c r="N9" s="1">
        <f ca="1">IFERROR(__xludf.DUMMYFUNCTION("""COMPUTED_VALUE"""),137.2)</f>
        <v>137.19999999999999</v>
      </c>
      <c r="O9" s="1">
        <f ca="1">IFERROR(__xludf.DUMMYFUNCTION("""COMPUTED_VALUE"""),195.33)</f>
        <v>195.33</v>
      </c>
      <c r="P9" s="1">
        <f ca="1">IFERROR(__xludf.DUMMYFUNCTION("""COMPUTED_VALUE"""),145.7)</f>
        <v>145.69999999999999</v>
      </c>
      <c r="Q9" s="1">
        <f ca="1">IFERROR(__xludf.DUMMYFUNCTION("""COMPUTED_VALUE"""),285.85)</f>
        <v>285.85000000000002</v>
      </c>
      <c r="R9" s="1">
        <f ca="1">IFERROR(__xludf.DUMMYFUNCTION("""COMPUTED_VALUE"""),69.8)</f>
        <v>69.8</v>
      </c>
      <c r="S9" s="1">
        <f ca="1">IFERROR(__xludf.DUMMYFUNCTION("""COMPUTED_VALUE"""),61.6)</f>
        <v>61.6</v>
      </c>
      <c r="T9" s="1">
        <f ca="1">IFERROR(__xludf.DUMMYFUNCTION("""COMPUTED_VALUE"""),38.63)</f>
        <v>38.630000000000003</v>
      </c>
      <c r="U9" s="1">
        <f ca="1">IFERROR(__xludf.DUMMYFUNCTION("""COMPUTED_VALUE"""),102.16)</f>
        <v>102.16</v>
      </c>
      <c r="V9" s="1">
        <f ca="1">IFERROR(__xludf.DUMMYFUNCTION("""COMPUTED_VALUE"""),146.82)</f>
        <v>146.82</v>
      </c>
      <c r="W9" s="1">
        <f ca="1">IFERROR(__xludf.DUMMYFUNCTION("""COMPUTED_VALUE"""),419.02)</f>
        <v>419.02</v>
      </c>
      <c r="X9" s="1">
        <f ca="1">IFERROR(__xludf.DUMMYFUNCTION("""COMPUTED_VALUE"""),301.45)</f>
        <v>301.45</v>
      </c>
      <c r="Y9" s="1">
        <f ca="1">IFERROR(__xludf.DUMMYFUNCTION("""COMPUTED_VALUE"""),60.06)</f>
        <v>60.06</v>
      </c>
      <c r="Z9" s="1">
        <f ca="1">IFERROR(__xludf.DUMMYFUNCTION("""COMPUTED_VALUE"""),245.21)</f>
        <v>245.21</v>
      </c>
      <c r="AA9" s="1">
        <f ca="1">IFERROR(__xludf.DUMMYFUNCTION("""COMPUTED_VALUE"""),37.33)</f>
        <v>37.33</v>
      </c>
      <c r="AB9" s="1">
        <f ca="1">IFERROR(__xludf.DUMMYFUNCTION("""COMPUTED_VALUE"""),91.08)</f>
        <v>91.08</v>
      </c>
      <c r="AC9" s="1">
        <f ca="1">IFERROR(__xludf.DUMMYFUNCTION("""COMPUTED_VALUE"""),48.75)</f>
        <v>48.75</v>
      </c>
    </row>
    <row r="10" spans="1:29" x14ac:dyDescent="0.25">
      <c r="A10" s="2">
        <f ca="1">IFERROR(__xludf.DUMMYFUNCTION("""COMPUTED_VALUE"""),43844.6666666666)</f>
        <v>43844.666666666599</v>
      </c>
      <c r="B10" s="1">
        <f ca="1">IFERROR(__xludf.DUMMYFUNCTION("""COMPUTED_VALUE"""),78.17)</f>
        <v>78.17</v>
      </c>
      <c r="C10" s="1">
        <f ca="1">IFERROR(__xludf.DUMMYFUNCTION("""COMPUTED_VALUE"""),162.13)</f>
        <v>162.13</v>
      </c>
      <c r="D10" s="1">
        <f ca="1">IFERROR(__xludf.DUMMYFUNCTION("""COMPUTED_VALUE"""),93.47)</f>
        <v>93.47</v>
      </c>
      <c r="E10" s="1">
        <f ca="1">IFERROR(__xludf.DUMMYFUNCTION("""COMPUTED_VALUE"""),6.18)</f>
        <v>6.18</v>
      </c>
      <c r="F10" s="1">
        <f ca="1">IFERROR(__xludf.DUMMYFUNCTION("""COMPUTED_VALUE"""),219.06)</f>
        <v>219.06</v>
      </c>
      <c r="G10" s="1">
        <f ca="1">IFERROR(__xludf.DUMMYFUNCTION("""COMPUTED_VALUE"""),71.54)</f>
        <v>71.540000000000006</v>
      </c>
      <c r="H10" s="1">
        <f ca="1">IFERROR(__xludf.DUMMYFUNCTION("""COMPUTED_VALUE"""),35.86)</f>
        <v>35.86</v>
      </c>
      <c r="I10" s="1">
        <f ca="1">IFERROR(__xludf.DUMMYFUNCTION("""COMPUTED_VALUE"""),136.85)</f>
        <v>136.85</v>
      </c>
      <c r="J10" s="1">
        <f ca="1">IFERROR(__xludf.DUMMYFUNCTION("""COMPUTED_VALUE"""),299.75)</f>
        <v>299.75</v>
      </c>
      <c r="K10" s="1">
        <f ca="1">IFERROR(__xludf.DUMMYFUNCTION("""COMPUTED_VALUE"""),30.82)</f>
        <v>30.82</v>
      </c>
      <c r="L10" s="1">
        <f ca="1">IFERROR(__xludf.DUMMYFUNCTION("""COMPUTED_VALUE"""),344.63)</f>
        <v>344.63</v>
      </c>
      <c r="M10" s="1">
        <f ca="1">IFERROR(__xludf.DUMMYFUNCTION("""COMPUTED_VALUE"""),338.69)</f>
        <v>338.69</v>
      </c>
      <c r="N10" s="1">
        <f ca="1">IFERROR(__xludf.DUMMYFUNCTION("""COMPUTED_VALUE"""),138.8)</f>
        <v>138.80000000000001</v>
      </c>
      <c r="O10" s="1">
        <f ca="1">IFERROR(__xludf.DUMMYFUNCTION("""COMPUTED_VALUE"""),196.05)</f>
        <v>196.05</v>
      </c>
      <c r="P10" s="1">
        <f ca="1">IFERROR(__xludf.DUMMYFUNCTION("""COMPUTED_VALUE"""),146.52)</f>
        <v>146.52000000000001</v>
      </c>
      <c r="Q10" s="1">
        <f ca="1">IFERROR(__xludf.DUMMYFUNCTION("""COMPUTED_VALUE"""),288.24)</f>
        <v>288.24</v>
      </c>
      <c r="R10" s="1">
        <f ca="1">IFERROR(__xludf.DUMMYFUNCTION("""COMPUTED_VALUE"""),69.2)</f>
        <v>69.2</v>
      </c>
      <c r="S10" s="1">
        <f ca="1">IFERROR(__xludf.DUMMYFUNCTION("""COMPUTED_VALUE"""),61.93)</f>
        <v>61.93</v>
      </c>
      <c r="T10" s="1">
        <f ca="1">IFERROR(__xludf.DUMMYFUNCTION("""COMPUTED_VALUE"""),38.73)</f>
        <v>38.729999999999997</v>
      </c>
      <c r="U10" s="1">
        <f ca="1">IFERROR(__xludf.DUMMYFUNCTION("""COMPUTED_VALUE"""),102.92)</f>
        <v>102.92</v>
      </c>
      <c r="V10" s="1">
        <f ca="1">IFERROR(__xludf.DUMMYFUNCTION("""COMPUTED_VALUE"""),146.68)</f>
        <v>146.68</v>
      </c>
      <c r="W10" s="1">
        <f ca="1">IFERROR(__xludf.DUMMYFUNCTION("""COMPUTED_VALUE"""),416.14)</f>
        <v>416.14</v>
      </c>
      <c r="X10" s="1">
        <f ca="1">IFERROR(__xludf.DUMMYFUNCTION("""COMPUTED_VALUE"""),302.55)</f>
        <v>302.55</v>
      </c>
      <c r="Y10" s="1">
        <f ca="1">IFERROR(__xludf.DUMMYFUNCTION("""COMPUTED_VALUE"""),60.32)</f>
        <v>60.32</v>
      </c>
      <c r="Z10" s="1">
        <f ca="1">IFERROR(__xludf.DUMMYFUNCTION("""COMPUTED_VALUE"""),245.66)</f>
        <v>245.66</v>
      </c>
      <c r="AA10" s="1">
        <f ca="1">IFERROR(__xludf.DUMMYFUNCTION("""COMPUTED_VALUE"""),37.96)</f>
        <v>37.96</v>
      </c>
      <c r="AB10" s="1">
        <f ca="1">IFERROR(__xludf.DUMMYFUNCTION("""COMPUTED_VALUE"""),90.99)</f>
        <v>90.99</v>
      </c>
      <c r="AC10" s="1">
        <f ca="1">IFERROR(__xludf.DUMMYFUNCTION("""COMPUTED_VALUE"""),48.21)</f>
        <v>48.21</v>
      </c>
    </row>
    <row r="11" spans="1:29" x14ac:dyDescent="0.25">
      <c r="A11" s="2">
        <f ca="1">IFERROR(__xludf.DUMMYFUNCTION("""COMPUTED_VALUE"""),43845.6666666666)</f>
        <v>43845.666666666599</v>
      </c>
      <c r="B11" s="1">
        <f ca="1">IFERROR(__xludf.DUMMYFUNCTION("""COMPUTED_VALUE"""),77.83)</f>
        <v>77.83</v>
      </c>
      <c r="C11" s="1">
        <f ca="1">IFERROR(__xludf.DUMMYFUNCTION("""COMPUTED_VALUE"""),163.18)</f>
        <v>163.18</v>
      </c>
      <c r="D11" s="1">
        <f ca="1">IFERROR(__xludf.DUMMYFUNCTION("""COMPUTED_VALUE"""),93.1)</f>
        <v>93.1</v>
      </c>
      <c r="E11" s="1">
        <f ca="1">IFERROR(__xludf.DUMMYFUNCTION("""COMPUTED_VALUE"""),6.14)</f>
        <v>6.14</v>
      </c>
      <c r="F11" s="1">
        <f ca="1">IFERROR(__xludf.DUMMYFUNCTION("""COMPUTED_VALUE"""),221.15)</f>
        <v>221.15</v>
      </c>
      <c r="G11" s="1">
        <f ca="1">IFERROR(__xludf.DUMMYFUNCTION("""COMPUTED_VALUE"""),71.96)</f>
        <v>71.959999999999994</v>
      </c>
      <c r="H11" s="1">
        <f ca="1">IFERROR(__xludf.DUMMYFUNCTION("""COMPUTED_VALUE"""),34.57)</f>
        <v>34.57</v>
      </c>
      <c r="I11" s="1">
        <f ca="1">IFERROR(__xludf.DUMMYFUNCTION("""COMPUTED_VALUE"""),139.2)</f>
        <v>139.19999999999999</v>
      </c>
      <c r="J11" s="1">
        <f ca="1">IFERROR(__xludf.DUMMYFUNCTION("""COMPUTED_VALUE"""),300.82)</f>
        <v>300.82</v>
      </c>
      <c r="K11" s="1">
        <f ca="1">IFERROR(__xludf.DUMMYFUNCTION("""COMPUTED_VALUE"""),30.31)</f>
        <v>30.31</v>
      </c>
      <c r="L11" s="1">
        <f ca="1">IFERROR(__xludf.DUMMYFUNCTION("""COMPUTED_VALUE"""),342.94)</f>
        <v>342.94</v>
      </c>
      <c r="M11" s="1">
        <f ca="1">IFERROR(__xludf.DUMMYFUNCTION("""COMPUTED_VALUE"""),339.07)</f>
        <v>339.07</v>
      </c>
      <c r="N11" s="1">
        <f ca="1">IFERROR(__xludf.DUMMYFUNCTION("""COMPUTED_VALUE"""),136.72)</f>
        <v>136.72</v>
      </c>
      <c r="O11" s="1">
        <f ca="1">IFERROR(__xludf.DUMMYFUNCTION("""COMPUTED_VALUE"""),199.8)</f>
        <v>199.8</v>
      </c>
      <c r="P11" s="1">
        <f ca="1">IFERROR(__xludf.DUMMYFUNCTION("""COMPUTED_VALUE"""),147.01)</f>
        <v>147.01</v>
      </c>
      <c r="Q11" s="1">
        <f ca="1">IFERROR(__xludf.DUMMYFUNCTION("""COMPUTED_VALUE"""),296.41)</f>
        <v>296.41000000000003</v>
      </c>
      <c r="R11" s="1">
        <f ca="1">IFERROR(__xludf.DUMMYFUNCTION("""COMPUTED_VALUE"""),69.09)</f>
        <v>69.09</v>
      </c>
      <c r="S11" s="1">
        <f ca="1">IFERROR(__xludf.DUMMYFUNCTION("""COMPUTED_VALUE"""),62.9)</f>
        <v>62.9</v>
      </c>
      <c r="T11" s="1">
        <f ca="1">IFERROR(__xludf.DUMMYFUNCTION("""COMPUTED_VALUE"""),38.43)</f>
        <v>38.43</v>
      </c>
      <c r="U11" s="1">
        <f ca="1">IFERROR(__xludf.DUMMYFUNCTION("""COMPUTED_VALUE"""),102.79)</f>
        <v>102.79</v>
      </c>
      <c r="V11" s="1">
        <f ca="1">IFERROR(__xludf.DUMMYFUNCTION("""COMPUTED_VALUE"""),145.57)</f>
        <v>145.57</v>
      </c>
      <c r="W11" s="1">
        <f ca="1">IFERROR(__xludf.DUMMYFUNCTION("""COMPUTED_VALUE"""),420.95)</f>
        <v>420.95</v>
      </c>
      <c r="X11" s="1">
        <f ca="1">IFERROR(__xludf.DUMMYFUNCTION("""COMPUTED_VALUE"""),300.08)</f>
        <v>300.08</v>
      </c>
      <c r="Y11" s="1">
        <f ca="1">IFERROR(__xludf.DUMMYFUNCTION("""COMPUTED_VALUE"""),58.39)</f>
        <v>58.39</v>
      </c>
      <c r="Z11" s="1">
        <f ca="1">IFERROR(__xludf.DUMMYFUNCTION("""COMPUTED_VALUE"""),245.21)</f>
        <v>245.21</v>
      </c>
      <c r="AA11" s="1">
        <f ca="1">IFERROR(__xludf.DUMMYFUNCTION("""COMPUTED_VALUE"""),38.53)</f>
        <v>38.53</v>
      </c>
      <c r="AB11" s="1">
        <f ca="1">IFERROR(__xludf.DUMMYFUNCTION("""COMPUTED_VALUE"""),91.54)</f>
        <v>91.54</v>
      </c>
      <c r="AC11" s="1">
        <f ca="1">IFERROR(__xludf.DUMMYFUNCTION("""COMPUTED_VALUE"""),48.55)</f>
        <v>48.55</v>
      </c>
    </row>
    <row r="12" spans="1:29" x14ac:dyDescent="0.25">
      <c r="A12" s="2">
        <f ca="1">IFERROR(__xludf.DUMMYFUNCTION("""COMPUTED_VALUE"""),43846.6666666666)</f>
        <v>43846.666666666599</v>
      </c>
      <c r="B12" s="1">
        <f ca="1">IFERROR(__xludf.DUMMYFUNCTION("""COMPUTED_VALUE"""),78.81)</f>
        <v>78.81</v>
      </c>
      <c r="C12" s="1">
        <f ca="1">IFERROR(__xludf.DUMMYFUNCTION("""COMPUTED_VALUE"""),166.17)</f>
        <v>166.17</v>
      </c>
      <c r="D12" s="1">
        <f ca="1">IFERROR(__xludf.DUMMYFUNCTION("""COMPUTED_VALUE"""),93.9)</f>
        <v>93.9</v>
      </c>
      <c r="E12" s="1">
        <f ca="1">IFERROR(__xludf.DUMMYFUNCTION("""COMPUTED_VALUE"""),6.22)</f>
        <v>6.22</v>
      </c>
      <c r="F12" s="1">
        <f ca="1">IFERROR(__xludf.DUMMYFUNCTION("""COMPUTED_VALUE"""),221.77)</f>
        <v>221.77</v>
      </c>
      <c r="G12" s="1">
        <f ca="1">IFERROR(__xludf.DUMMYFUNCTION("""COMPUTED_VALUE"""),72.58)</f>
        <v>72.58</v>
      </c>
      <c r="H12" s="1">
        <f ca="1">IFERROR(__xludf.DUMMYFUNCTION("""COMPUTED_VALUE"""),34.23)</f>
        <v>34.229999999999997</v>
      </c>
      <c r="I12" s="1">
        <f ca="1">IFERROR(__xludf.DUMMYFUNCTION("""COMPUTED_VALUE"""),139.61)</f>
        <v>139.61000000000001</v>
      </c>
      <c r="J12" s="1">
        <f ca="1">IFERROR(__xludf.DUMMYFUNCTION("""COMPUTED_VALUE"""),303.03)</f>
        <v>303.02999999999997</v>
      </c>
      <c r="K12" s="1">
        <f ca="1">IFERROR(__xludf.DUMMYFUNCTION("""COMPUTED_VALUE"""),30.71)</f>
        <v>30.71</v>
      </c>
      <c r="L12" s="1">
        <f ca="1">IFERROR(__xludf.DUMMYFUNCTION("""COMPUTED_VALUE"""),345.38)</f>
        <v>345.38</v>
      </c>
      <c r="M12" s="1">
        <f ca="1">IFERROR(__xludf.DUMMYFUNCTION("""COMPUTED_VALUE"""),338.62)</f>
        <v>338.62</v>
      </c>
      <c r="N12" s="1">
        <f ca="1">IFERROR(__xludf.DUMMYFUNCTION("""COMPUTED_VALUE"""),137.25)</f>
        <v>137.25</v>
      </c>
      <c r="O12" s="1">
        <f ca="1">IFERROR(__xludf.DUMMYFUNCTION("""COMPUTED_VALUE"""),200.95)</f>
        <v>200.95</v>
      </c>
      <c r="P12" s="1">
        <f ca="1">IFERROR(__xludf.DUMMYFUNCTION("""COMPUTED_VALUE"""),148.2)</f>
        <v>148.19999999999999</v>
      </c>
      <c r="Q12" s="1">
        <f ca="1">IFERROR(__xludf.DUMMYFUNCTION("""COMPUTED_VALUE"""),300.74)</f>
        <v>300.74</v>
      </c>
      <c r="R12" s="1">
        <f ca="1">IFERROR(__xludf.DUMMYFUNCTION("""COMPUTED_VALUE"""),68.82)</f>
        <v>68.819999999999993</v>
      </c>
      <c r="S12" s="1">
        <f ca="1">IFERROR(__xludf.DUMMYFUNCTION("""COMPUTED_VALUE"""),63.07)</f>
        <v>63.07</v>
      </c>
      <c r="T12" s="1">
        <f ca="1">IFERROR(__xludf.DUMMYFUNCTION("""COMPUTED_VALUE"""),38.63)</f>
        <v>38.630000000000003</v>
      </c>
      <c r="U12" s="1">
        <f ca="1">IFERROR(__xludf.DUMMYFUNCTION("""COMPUTED_VALUE"""),103.37)</f>
        <v>103.37</v>
      </c>
      <c r="V12" s="1">
        <f ca="1">IFERROR(__xludf.DUMMYFUNCTION("""COMPUTED_VALUE"""),147.87)</f>
        <v>147.87</v>
      </c>
      <c r="W12" s="1">
        <f ca="1">IFERROR(__xludf.DUMMYFUNCTION("""COMPUTED_VALUE"""),425.7)</f>
        <v>425.7</v>
      </c>
      <c r="X12" s="1">
        <f ca="1">IFERROR(__xludf.DUMMYFUNCTION("""COMPUTED_VALUE"""),301.08)</f>
        <v>301.08</v>
      </c>
      <c r="Y12" s="1">
        <f ca="1">IFERROR(__xludf.DUMMYFUNCTION("""COMPUTED_VALUE"""),58.75)</f>
        <v>58.75</v>
      </c>
      <c r="Z12" s="1">
        <f ca="1">IFERROR(__xludf.DUMMYFUNCTION("""COMPUTED_VALUE"""),249.72)</f>
        <v>249.72</v>
      </c>
      <c r="AA12" s="1">
        <f ca="1">IFERROR(__xludf.DUMMYFUNCTION("""COMPUTED_VALUE"""),38.47)</f>
        <v>38.47</v>
      </c>
      <c r="AB12" s="1">
        <f ca="1">IFERROR(__xludf.DUMMYFUNCTION("""COMPUTED_VALUE"""),92.58)</f>
        <v>92.58</v>
      </c>
      <c r="AC12" s="1">
        <f ca="1">IFERROR(__xludf.DUMMYFUNCTION("""COMPUTED_VALUE"""),49.77)</f>
        <v>49.77</v>
      </c>
    </row>
    <row r="13" spans="1:29" x14ac:dyDescent="0.25">
      <c r="A13" s="2">
        <f ca="1">IFERROR(__xludf.DUMMYFUNCTION("""COMPUTED_VALUE"""),43847.6666666666)</f>
        <v>43847.666666666599</v>
      </c>
      <c r="B13" s="1">
        <f ca="1">IFERROR(__xludf.DUMMYFUNCTION("""COMPUTED_VALUE"""),79.68)</f>
        <v>79.680000000000007</v>
      </c>
      <c r="C13" s="1">
        <f ca="1">IFERROR(__xludf.DUMMYFUNCTION("""COMPUTED_VALUE"""),167.1)</f>
        <v>167.1</v>
      </c>
      <c r="D13" s="1">
        <f ca="1">IFERROR(__xludf.DUMMYFUNCTION("""COMPUTED_VALUE"""),93.24)</f>
        <v>93.24</v>
      </c>
      <c r="E13" s="1">
        <f ca="1">IFERROR(__xludf.DUMMYFUNCTION("""COMPUTED_VALUE"""),6.23)</f>
        <v>6.23</v>
      </c>
      <c r="F13" s="1">
        <f ca="1">IFERROR(__xludf.DUMMYFUNCTION("""COMPUTED_VALUE"""),222.14)</f>
        <v>222.14</v>
      </c>
      <c r="G13" s="1">
        <f ca="1">IFERROR(__xludf.DUMMYFUNCTION("""COMPUTED_VALUE"""),74.02)</f>
        <v>74.02</v>
      </c>
      <c r="H13" s="1">
        <f ca="1">IFERROR(__xludf.DUMMYFUNCTION("""COMPUTED_VALUE"""),34.03)</f>
        <v>34.03</v>
      </c>
      <c r="I13" s="1">
        <f ca="1">IFERROR(__xludf.DUMMYFUNCTION("""COMPUTED_VALUE"""),141.26)</f>
        <v>141.26</v>
      </c>
      <c r="J13" s="1">
        <f ca="1">IFERROR(__xludf.DUMMYFUNCTION("""COMPUTED_VALUE"""),304.68)</f>
        <v>304.68</v>
      </c>
      <c r="K13" s="1">
        <f ca="1">IFERROR(__xludf.DUMMYFUNCTION("""COMPUTED_VALUE"""),30.88)</f>
        <v>30.88</v>
      </c>
      <c r="L13" s="1">
        <f ca="1">IFERROR(__xludf.DUMMYFUNCTION("""COMPUTED_VALUE"""),349.74)</f>
        <v>349.74</v>
      </c>
      <c r="M13" s="1">
        <f ca="1">IFERROR(__xludf.DUMMYFUNCTION("""COMPUTED_VALUE"""),339.67)</f>
        <v>339.67</v>
      </c>
      <c r="N13" s="1">
        <f ca="1">IFERROR(__xludf.DUMMYFUNCTION("""COMPUTED_VALUE"""),138.2)</f>
        <v>138.19999999999999</v>
      </c>
      <c r="O13" s="1">
        <f ca="1">IFERROR(__xludf.DUMMYFUNCTION("""COMPUTED_VALUE"""),204.7)</f>
        <v>204.7</v>
      </c>
      <c r="P13" s="1">
        <f ca="1">IFERROR(__xludf.DUMMYFUNCTION("""COMPUTED_VALUE"""),149.17)</f>
        <v>149.16999999999999</v>
      </c>
      <c r="Q13" s="1">
        <f ca="1">IFERROR(__xludf.DUMMYFUNCTION("""COMPUTED_VALUE"""),298.47)</f>
        <v>298.47000000000003</v>
      </c>
      <c r="R13" s="1">
        <f ca="1">IFERROR(__xludf.DUMMYFUNCTION("""COMPUTED_VALUE"""),68.56)</f>
        <v>68.56</v>
      </c>
      <c r="S13" s="1">
        <f ca="1">IFERROR(__xludf.DUMMYFUNCTION("""COMPUTED_VALUE"""),63.35)</f>
        <v>63.35</v>
      </c>
      <c r="T13" s="1">
        <f ca="1">IFERROR(__xludf.DUMMYFUNCTION("""COMPUTED_VALUE"""),38.32)</f>
        <v>38.32</v>
      </c>
      <c r="U13" s="1">
        <f ca="1">IFERROR(__xludf.DUMMYFUNCTION("""COMPUTED_VALUE"""),104.53)</f>
        <v>104.53</v>
      </c>
      <c r="V13" s="1">
        <f ca="1">IFERROR(__xludf.DUMMYFUNCTION("""COMPUTED_VALUE"""),147.78)</f>
        <v>147.78</v>
      </c>
      <c r="W13" s="1">
        <f ca="1">IFERROR(__xludf.DUMMYFUNCTION("""COMPUTED_VALUE"""),425.66)</f>
        <v>425.66</v>
      </c>
      <c r="X13" s="1">
        <f ca="1">IFERROR(__xludf.DUMMYFUNCTION("""COMPUTED_VALUE"""),300.04)</f>
        <v>300.04000000000002</v>
      </c>
      <c r="Y13" s="1">
        <f ca="1">IFERROR(__xludf.DUMMYFUNCTION("""COMPUTED_VALUE"""),58.58)</f>
        <v>58.58</v>
      </c>
      <c r="Z13" s="1">
        <f ca="1">IFERROR(__xludf.DUMMYFUNCTION("""COMPUTED_VALUE"""),249.46)</f>
        <v>249.46</v>
      </c>
      <c r="AA13" s="1">
        <f ca="1">IFERROR(__xludf.DUMMYFUNCTION("""COMPUTED_VALUE"""),38.38)</f>
        <v>38.380000000000003</v>
      </c>
      <c r="AB13" s="1">
        <f ca="1">IFERROR(__xludf.DUMMYFUNCTION("""COMPUTED_VALUE"""),93.62)</f>
        <v>93.62</v>
      </c>
      <c r="AC13" s="1">
        <f ca="1">IFERROR(__xludf.DUMMYFUNCTION("""COMPUTED_VALUE"""),50.93)</f>
        <v>50.93</v>
      </c>
    </row>
    <row r="14" spans="1:29" x14ac:dyDescent="0.25">
      <c r="A14" s="2">
        <f ca="1">IFERROR(__xludf.DUMMYFUNCTION("""COMPUTED_VALUE"""),43851.6666666666)</f>
        <v>43851.666666666599</v>
      </c>
      <c r="B14" s="1">
        <f ca="1">IFERROR(__xludf.DUMMYFUNCTION("""COMPUTED_VALUE"""),79.14)</f>
        <v>79.14</v>
      </c>
      <c r="C14" s="1">
        <f ca="1">IFERROR(__xludf.DUMMYFUNCTION("""COMPUTED_VALUE"""),166.5)</f>
        <v>166.5</v>
      </c>
      <c r="D14" s="1">
        <f ca="1">IFERROR(__xludf.DUMMYFUNCTION("""COMPUTED_VALUE"""),94.6)</f>
        <v>94.6</v>
      </c>
      <c r="E14" s="1">
        <f ca="1">IFERROR(__xludf.DUMMYFUNCTION("""COMPUTED_VALUE"""),6.2)</f>
        <v>6.2</v>
      </c>
      <c r="F14" s="1">
        <f ca="1">IFERROR(__xludf.DUMMYFUNCTION("""COMPUTED_VALUE"""),221.44)</f>
        <v>221.44</v>
      </c>
      <c r="G14" s="1">
        <f ca="1">IFERROR(__xludf.DUMMYFUNCTION("""COMPUTED_VALUE"""),74.22)</f>
        <v>74.22</v>
      </c>
      <c r="H14" s="1">
        <f ca="1">IFERROR(__xludf.DUMMYFUNCTION("""COMPUTED_VALUE"""),36.48)</f>
        <v>36.479999999999997</v>
      </c>
      <c r="I14" s="1">
        <f ca="1">IFERROR(__xludf.DUMMYFUNCTION("""COMPUTED_VALUE"""),141.86)</f>
        <v>141.86000000000001</v>
      </c>
      <c r="J14" s="1">
        <f ca="1">IFERROR(__xludf.DUMMYFUNCTION("""COMPUTED_VALUE"""),313.26)</f>
        <v>313.26</v>
      </c>
      <c r="K14" s="1">
        <f ca="1">IFERROR(__xludf.DUMMYFUNCTION("""COMPUTED_VALUE"""),30.81)</f>
        <v>30.81</v>
      </c>
      <c r="L14" s="1">
        <f ca="1">IFERROR(__xludf.DUMMYFUNCTION("""COMPUTED_VALUE"""),350)</f>
        <v>350</v>
      </c>
      <c r="M14" s="1">
        <f ca="1">IFERROR(__xludf.DUMMYFUNCTION("""COMPUTED_VALUE"""),338.11)</f>
        <v>338.11</v>
      </c>
      <c r="N14" s="1">
        <f ca="1">IFERROR(__xludf.DUMMYFUNCTION("""COMPUTED_VALUE"""),136.84)</f>
        <v>136.84</v>
      </c>
      <c r="O14" s="1">
        <f ca="1">IFERROR(__xludf.DUMMYFUNCTION("""COMPUTED_VALUE"""),207.29)</f>
        <v>207.29</v>
      </c>
      <c r="P14" s="1">
        <f ca="1">IFERROR(__xludf.DUMMYFUNCTION("""COMPUTED_VALUE"""),149.27)</f>
        <v>149.27000000000001</v>
      </c>
      <c r="Q14" s="1">
        <f ca="1">IFERROR(__xludf.DUMMYFUNCTION("""COMPUTED_VALUE"""),300.53)</f>
        <v>300.52999999999997</v>
      </c>
      <c r="R14" s="1">
        <f ca="1">IFERROR(__xludf.DUMMYFUNCTION("""COMPUTED_VALUE"""),67.58)</f>
        <v>67.58</v>
      </c>
      <c r="S14" s="1">
        <f ca="1">IFERROR(__xludf.DUMMYFUNCTION("""COMPUTED_VALUE"""),64.22)</f>
        <v>64.22</v>
      </c>
      <c r="T14" s="1">
        <f ca="1">IFERROR(__xludf.DUMMYFUNCTION("""COMPUTED_VALUE"""),38.53)</f>
        <v>38.53</v>
      </c>
      <c r="U14" s="1">
        <f ca="1">IFERROR(__xludf.DUMMYFUNCTION("""COMPUTED_VALUE"""),104.58)</f>
        <v>104.58</v>
      </c>
      <c r="V14" s="1">
        <f ca="1">IFERROR(__xludf.DUMMYFUNCTION("""COMPUTED_VALUE"""),145.85)</f>
        <v>145.85</v>
      </c>
      <c r="W14" s="1">
        <f ca="1">IFERROR(__xludf.DUMMYFUNCTION("""COMPUTED_VALUE"""),426.15)</f>
        <v>426.15</v>
      </c>
      <c r="X14" s="1">
        <f ca="1">IFERROR(__xludf.DUMMYFUNCTION("""COMPUTED_VALUE"""),298.4)</f>
        <v>298.39999999999998</v>
      </c>
      <c r="Y14" s="1">
        <f ca="1">IFERROR(__xludf.DUMMYFUNCTION("""COMPUTED_VALUE"""),58.24)</f>
        <v>58.24</v>
      </c>
      <c r="Z14" s="1">
        <f ca="1">IFERROR(__xludf.DUMMYFUNCTION("""COMPUTED_VALUE"""),245.7)</f>
        <v>245.7</v>
      </c>
      <c r="AA14" s="1">
        <f ca="1">IFERROR(__xludf.DUMMYFUNCTION("""COMPUTED_VALUE"""),38.22)</f>
        <v>38.22</v>
      </c>
      <c r="AB14" s="1">
        <f ca="1">IFERROR(__xludf.DUMMYFUNCTION("""COMPUTED_VALUE"""),92.53)</f>
        <v>92.53</v>
      </c>
      <c r="AC14" s="1">
        <f ca="1">IFERROR(__xludf.DUMMYFUNCTION("""COMPUTED_VALUE"""),51.05)</f>
        <v>51.05</v>
      </c>
    </row>
    <row r="15" spans="1:29" x14ac:dyDescent="0.25">
      <c r="A15" s="2">
        <f ca="1">IFERROR(__xludf.DUMMYFUNCTION("""COMPUTED_VALUE"""),43852.6666666666)</f>
        <v>43852.666666666599</v>
      </c>
      <c r="B15" s="1">
        <f ca="1">IFERROR(__xludf.DUMMYFUNCTION("""COMPUTED_VALUE"""),79.43)</f>
        <v>79.430000000000007</v>
      </c>
      <c r="C15" s="1">
        <f ca="1">IFERROR(__xludf.DUMMYFUNCTION("""COMPUTED_VALUE"""),165.7)</f>
        <v>165.7</v>
      </c>
      <c r="D15" s="1">
        <f ca="1">IFERROR(__xludf.DUMMYFUNCTION("""COMPUTED_VALUE"""),94.37)</f>
        <v>94.37</v>
      </c>
      <c r="E15" s="1">
        <f ca="1">IFERROR(__xludf.DUMMYFUNCTION("""COMPUTED_VALUE"""),6.25)</f>
        <v>6.25</v>
      </c>
      <c r="F15" s="1">
        <f ca="1">IFERROR(__xludf.DUMMYFUNCTION("""COMPUTED_VALUE"""),221.32)</f>
        <v>221.32</v>
      </c>
      <c r="G15" s="1">
        <f ca="1">IFERROR(__xludf.DUMMYFUNCTION("""COMPUTED_VALUE"""),74.3)</f>
        <v>74.3</v>
      </c>
      <c r="H15" s="1">
        <f ca="1">IFERROR(__xludf.DUMMYFUNCTION("""COMPUTED_VALUE"""),37.97)</f>
        <v>37.97</v>
      </c>
      <c r="I15" s="1">
        <f ca="1">IFERROR(__xludf.DUMMYFUNCTION("""COMPUTED_VALUE"""),143.38)</f>
        <v>143.38</v>
      </c>
      <c r="J15" s="1">
        <f ca="1">IFERROR(__xludf.DUMMYFUNCTION("""COMPUTED_VALUE"""),311.89)</f>
        <v>311.89</v>
      </c>
      <c r="K15" s="1">
        <f ca="1">IFERROR(__xludf.DUMMYFUNCTION("""COMPUTED_VALUE"""),31.29)</f>
        <v>31.29</v>
      </c>
      <c r="L15" s="1">
        <f ca="1">IFERROR(__xludf.DUMMYFUNCTION("""COMPUTED_VALUE"""),350.06)</f>
        <v>350.06</v>
      </c>
      <c r="M15" s="1">
        <f ca="1">IFERROR(__xludf.DUMMYFUNCTION("""COMPUTED_VALUE"""),326)</f>
        <v>326</v>
      </c>
      <c r="N15" s="1">
        <f ca="1">IFERROR(__xludf.DUMMYFUNCTION("""COMPUTED_VALUE"""),136.68)</f>
        <v>136.68</v>
      </c>
      <c r="O15" s="1">
        <f ca="1">IFERROR(__xludf.DUMMYFUNCTION("""COMPUTED_VALUE"""),207.9)</f>
        <v>207.9</v>
      </c>
      <c r="P15" s="1">
        <f ca="1">IFERROR(__xludf.DUMMYFUNCTION("""COMPUTED_VALUE"""),148.25)</f>
        <v>148.25</v>
      </c>
      <c r="Q15" s="1">
        <f ca="1">IFERROR(__xludf.DUMMYFUNCTION("""COMPUTED_VALUE"""),300.59)</f>
        <v>300.58999999999997</v>
      </c>
      <c r="R15" s="1">
        <f ca="1">IFERROR(__xludf.DUMMYFUNCTION("""COMPUTED_VALUE"""),67.19)</f>
        <v>67.19</v>
      </c>
      <c r="S15" s="1">
        <f ca="1">IFERROR(__xludf.DUMMYFUNCTION("""COMPUTED_VALUE"""),64.97)</f>
        <v>64.97</v>
      </c>
      <c r="T15" s="1">
        <f ca="1">IFERROR(__xludf.DUMMYFUNCTION("""COMPUTED_VALUE"""),38.7)</f>
        <v>38.700000000000003</v>
      </c>
      <c r="U15" s="1">
        <f ca="1">IFERROR(__xludf.DUMMYFUNCTION("""COMPUTED_VALUE"""),104.49)</f>
        <v>104.49</v>
      </c>
      <c r="V15" s="1">
        <f ca="1">IFERROR(__xludf.DUMMYFUNCTION("""COMPUTED_VALUE"""),142.63)</f>
        <v>142.63</v>
      </c>
      <c r="W15" s="1">
        <f ca="1">IFERROR(__xludf.DUMMYFUNCTION("""COMPUTED_VALUE"""),424.42)</f>
        <v>424.42</v>
      </c>
      <c r="X15" s="1">
        <f ca="1">IFERROR(__xludf.DUMMYFUNCTION("""COMPUTED_VALUE"""),296.25)</f>
        <v>296.25</v>
      </c>
      <c r="Y15" s="1">
        <f ca="1">IFERROR(__xludf.DUMMYFUNCTION("""COMPUTED_VALUE"""),58.35)</f>
        <v>58.35</v>
      </c>
      <c r="Z15" s="1">
        <f ca="1">IFERROR(__xludf.DUMMYFUNCTION("""COMPUTED_VALUE"""),247.05)</f>
        <v>247.05</v>
      </c>
      <c r="AA15" s="1">
        <f ca="1">IFERROR(__xludf.DUMMYFUNCTION("""COMPUTED_VALUE"""),38.07)</f>
        <v>38.07</v>
      </c>
      <c r="AB15" s="1">
        <f ca="1">IFERROR(__xludf.DUMMYFUNCTION("""COMPUTED_VALUE"""),92.53)</f>
        <v>92.53</v>
      </c>
      <c r="AC15" s="1">
        <f ca="1">IFERROR(__xludf.DUMMYFUNCTION("""COMPUTED_VALUE"""),51.43)</f>
        <v>51.43</v>
      </c>
    </row>
    <row r="16" spans="1:29" x14ac:dyDescent="0.25">
      <c r="A16" s="2">
        <f ca="1">IFERROR(__xludf.DUMMYFUNCTION("""COMPUTED_VALUE"""),43853.6666666666)</f>
        <v>43853.666666666599</v>
      </c>
      <c r="B16" s="1">
        <f ca="1">IFERROR(__xludf.DUMMYFUNCTION("""COMPUTED_VALUE"""),79.81)</f>
        <v>79.81</v>
      </c>
      <c r="C16" s="1">
        <f ca="1">IFERROR(__xludf.DUMMYFUNCTION("""COMPUTED_VALUE"""),166.72)</f>
        <v>166.72</v>
      </c>
      <c r="D16" s="1">
        <f ca="1">IFERROR(__xludf.DUMMYFUNCTION("""COMPUTED_VALUE"""),94.23)</f>
        <v>94.23</v>
      </c>
      <c r="E16" s="1">
        <f ca="1">IFERROR(__xludf.DUMMYFUNCTION("""COMPUTED_VALUE"""),6.32)</f>
        <v>6.32</v>
      </c>
      <c r="F16" s="1">
        <f ca="1">IFERROR(__xludf.DUMMYFUNCTION("""COMPUTED_VALUE"""),219.76)</f>
        <v>219.76</v>
      </c>
      <c r="G16" s="1">
        <f ca="1">IFERROR(__xludf.DUMMYFUNCTION("""COMPUTED_VALUE"""),74.33)</f>
        <v>74.33</v>
      </c>
      <c r="H16" s="1">
        <f ca="1">IFERROR(__xludf.DUMMYFUNCTION("""COMPUTED_VALUE"""),38.15)</f>
        <v>38.15</v>
      </c>
      <c r="I16" s="1">
        <f ca="1">IFERROR(__xludf.DUMMYFUNCTION("""COMPUTED_VALUE"""),143.65)</f>
        <v>143.65</v>
      </c>
      <c r="J16" s="1">
        <f ca="1">IFERROR(__xludf.DUMMYFUNCTION("""COMPUTED_VALUE"""),312.88)</f>
        <v>312.88</v>
      </c>
      <c r="K16" s="1">
        <f ca="1">IFERROR(__xludf.DUMMYFUNCTION("""COMPUTED_VALUE"""),31.97)</f>
        <v>31.97</v>
      </c>
      <c r="L16" s="1">
        <f ca="1">IFERROR(__xludf.DUMMYFUNCTION("""COMPUTED_VALUE"""),351.76)</f>
        <v>351.76</v>
      </c>
      <c r="M16" s="1">
        <f ca="1">IFERROR(__xludf.DUMMYFUNCTION("""COMPUTED_VALUE"""),349.6)</f>
        <v>349.6</v>
      </c>
      <c r="N16" s="1">
        <f ca="1">IFERROR(__xludf.DUMMYFUNCTION("""COMPUTED_VALUE"""),136.54)</f>
        <v>136.54</v>
      </c>
      <c r="O16" s="1">
        <f ca="1">IFERROR(__xludf.DUMMYFUNCTION("""COMPUTED_VALUE"""),206.52)</f>
        <v>206.52</v>
      </c>
      <c r="P16" s="1">
        <f ca="1">IFERROR(__xludf.DUMMYFUNCTION("""COMPUTED_VALUE"""),148.53)</f>
        <v>148.53</v>
      </c>
      <c r="Q16" s="1">
        <f ca="1">IFERROR(__xludf.DUMMYFUNCTION("""COMPUTED_VALUE"""),299.46)</f>
        <v>299.45999999999998</v>
      </c>
      <c r="R16" s="1">
        <f ca="1">IFERROR(__xludf.DUMMYFUNCTION("""COMPUTED_VALUE"""),66.77)</f>
        <v>66.77</v>
      </c>
      <c r="S16" s="1">
        <f ca="1">IFERROR(__xludf.DUMMYFUNCTION("""COMPUTED_VALUE"""),65.02)</f>
        <v>65.02</v>
      </c>
      <c r="T16" s="1">
        <f ca="1">IFERROR(__xludf.DUMMYFUNCTION("""COMPUTED_VALUE"""),38.6)</f>
        <v>38.6</v>
      </c>
      <c r="U16" s="1">
        <f ca="1">IFERROR(__xludf.DUMMYFUNCTION("""COMPUTED_VALUE"""),103.02)</f>
        <v>103.02</v>
      </c>
      <c r="V16" s="1">
        <f ca="1">IFERROR(__xludf.DUMMYFUNCTION("""COMPUTED_VALUE"""),142.75)</f>
        <v>142.75</v>
      </c>
      <c r="W16" s="1">
        <f ca="1">IFERROR(__xludf.DUMMYFUNCTION("""COMPUTED_VALUE"""),428.78)</f>
        <v>428.78</v>
      </c>
      <c r="X16" s="1">
        <f ca="1">IFERROR(__xludf.DUMMYFUNCTION("""COMPUTED_VALUE"""),294.32)</f>
        <v>294.32</v>
      </c>
      <c r="Y16" s="1">
        <f ca="1">IFERROR(__xludf.DUMMYFUNCTION("""COMPUTED_VALUE"""),57.48)</f>
        <v>57.48</v>
      </c>
      <c r="Z16" s="1">
        <f ca="1">IFERROR(__xludf.DUMMYFUNCTION("""COMPUTED_VALUE"""),245.58)</f>
        <v>245.58</v>
      </c>
      <c r="AA16" s="1">
        <f ca="1">IFERROR(__xludf.DUMMYFUNCTION("""COMPUTED_VALUE"""),38.57)</f>
        <v>38.57</v>
      </c>
      <c r="AB16" s="1">
        <f ca="1">IFERROR(__xludf.DUMMYFUNCTION("""COMPUTED_VALUE"""),93.75)</f>
        <v>93.75</v>
      </c>
      <c r="AC16" s="1">
        <f ca="1">IFERROR(__xludf.DUMMYFUNCTION("""COMPUTED_VALUE"""),51.71)</f>
        <v>51.71</v>
      </c>
    </row>
    <row r="17" spans="1:29" x14ac:dyDescent="0.25">
      <c r="A17" s="2">
        <f ca="1">IFERROR(__xludf.DUMMYFUNCTION("""COMPUTED_VALUE"""),43854.6666666666)</f>
        <v>43854.666666666599</v>
      </c>
      <c r="B17" s="1">
        <f ca="1">IFERROR(__xludf.DUMMYFUNCTION("""COMPUTED_VALUE"""),79.58)</f>
        <v>79.58</v>
      </c>
      <c r="C17" s="1">
        <f ca="1">IFERROR(__xludf.DUMMYFUNCTION("""COMPUTED_VALUE"""),165.04)</f>
        <v>165.04</v>
      </c>
      <c r="D17" s="1">
        <f ca="1">IFERROR(__xludf.DUMMYFUNCTION("""COMPUTED_VALUE"""),93.08)</f>
        <v>93.08</v>
      </c>
      <c r="E17" s="1">
        <f ca="1">IFERROR(__xludf.DUMMYFUNCTION("""COMPUTED_VALUE"""),6.26)</f>
        <v>6.26</v>
      </c>
      <c r="F17" s="1">
        <f ca="1">IFERROR(__xludf.DUMMYFUNCTION("""COMPUTED_VALUE"""),217.94)</f>
        <v>217.94</v>
      </c>
      <c r="G17" s="1">
        <f ca="1">IFERROR(__xludf.DUMMYFUNCTION("""COMPUTED_VALUE"""),73.34)</f>
        <v>73.34</v>
      </c>
      <c r="H17" s="1">
        <f ca="1">IFERROR(__xludf.DUMMYFUNCTION("""COMPUTED_VALUE"""),37.65)</f>
        <v>37.65</v>
      </c>
      <c r="I17" s="1">
        <f ca="1">IFERROR(__xludf.DUMMYFUNCTION("""COMPUTED_VALUE"""),142.92)</f>
        <v>142.91999999999999</v>
      </c>
      <c r="J17" s="1">
        <f ca="1">IFERROR(__xludf.DUMMYFUNCTION("""COMPUTED_VALUE"""),310.51)</f>
        <v>310.51</v>
      </c>
      <c r="K17" s="1">
        <f ca="1">IFERROR(__xludf.DUMMYFUNCTION("""COMPUTED_VALUE"""),32.4)</f>
        <v>32.4</v>
      </c>
      <c r="L17" s="1">
        <f ca="1">IFERROR(__xludf.DUMMYFUNCTION("""COMPUTED_VALUE"""),351.37)</f>
        <v>351.37</v>
      </c>
      <c r="M17" s="1">
        <f ca="1">IFERROR(__xludf.DUMMYFUNCTION("""COMPUTED_VALUE"""),353.16)</f>
        <v>353.16</v>
      </c>
      <c r="N17" s="1">
        <f ca="1">IFERROR(__xludf.DUMMYFUNCTION("""COMPUTED_VALUE"""),133.15)</f>
        <v>133.15</v>
      </c>
      <c r="O17" s="1">
        <f ca="1">IFERROR(__xludf.DUMMYFUNCTION("""COMPUTED_VALUE"""),205)</f>
        <v>205</v>
      </c>
      <c r="P17" s="1">
        <f ca="1">IFERROR(__xludf.DUMMYFUNCTION("""COMPUTED_VALUE"""),148.32)</f>
        <v>148.32</v>
      </c>
      <c r="Q17" s="1">
        <f ca="1">IFERROR(__xludf.DUMMYFUNCTION("""COMPUTED_VALUE"""),292.81)</f>
        <v>292.81</v>
      </c>
      <c r="R17" s="1">
        <f ca="1">IFERROR(__xludf.DUMMYFUNCTION("""COMPUTED_VALUE"""),66.32)</f>
        <v>66.319999999999993</v>
      </c>
      <c r="S17" s="1">
        <f ca="1">IFERROR(__xludf.DUMMYFUNCTION("""COMPUTED_VALUE"""),65.93)</f>
        <v>65.930000000000007</v>
      </c>
      <c r="T17" s="1">
        <f ca="1">IFERROR(__xludf.DUMMYFUNCTION("""COMPUTED_VALUE"""),38.12)</f>
        <v>38.119999999999997</v>
      </c>
      <c r="U17" s="1">
        <f ca="1">IFERROR(__xludf.DUMMYFUNCTION("""COMPUTED_VALUE"""),102.03)</f>
        <v>102.03</v>
      </c>
      <c r="V17" s="1">
        <f ca="1">IFERROR(__xludf.DUMMYFUNCTION("""COMPUTED_VALUE"""),140.38)</f>
        <v>140.38</v>
      </c>
      <c r="W17" s="1">
        <f ca="1">IFERROR(__xludf.DUMMYFUNCTION("""COMPUTED_VALUE"""),432.5)</f>
        <v>432.5</v>
      </c>
      <c r="X17" s="1">
        <f ca="1">IFERROR(__xludf.DUMMYFUNCTION("""COMPUTED_VALUE"""),295.83)</f>
        <v>295.83</v>
      </c>
      <c r="Y17" s="1">
        <f ca="1">IFERROR(__xludf.DUMMYFUNCTION("""COMPUTED_VALUE"""),57.73)</f>
        <v>57.73</v>
      </c>
      <c r="Z17" s="1">
        <f ca="1">IFERROR(__xludf.DUMMYFUNCTION("""COMPUTED_VALUE"""),241.92)</f>
        <v>241.92</v>
      </c>
      <c r="AA17" s="1">
        <f ca="1">IFERROR(__xludf.DUMMYFUNCTION("""COMPUTED_VALUE"""),37.72)</f>
        <v>37.72</v>
      </c>
      <c r="AB17" s="1">
        <f ca="1">IFERROR(__xludf.DUMMYFUNCTION("""COMPUTED_VALUE"""),92.03)</f>
        <v>92.03</v>
      </c>
      <c r="AC17" s="1">
        <f ca="1">IFERROR(__xludf.DUMMYFUNCTION("""COMPUTED_VALUE"""),50.35)</f>
        <v>50.35</v>
      </c>
    </row>
    <row r="18" spans="1:29" x14ac:dyDescent="0.25">
      <c r="A18" s="2">
        <f ca="1">IFERROR(__xludf.DUMMYFUNCTION("""COMPUTED_VALUE"""),43857.6666666666)</f>
        <v>43857.666666666599</v>
      </c>
      <c r="B18" s="1">
        <f ca="1">IFERROR(__xludf.DUMMYFUNCTION("""COMPUTED_VALUE"""),77.24)</f>
        <v>77.239999999999995</v>
      </c>
      <c r="C18" s="1">
        <f ca="1">IFERROR(__xludf.DUMMYFUNCTION("""COMPUTED_VALUE"""),162.28)</f>
        <v>162.28</v>
      </c>
      <c r="D18" s="1">
        <f ca="1">IFERROR(__xludf.DUMMYFUNCTION("""COMPUTED_VALUE"""),91.42)</f>
        <v>91.42</v>
      </c>
      <c r="E18" s="1">
        <f ca="1">IFERROR(__xludf.DUMMYFUNCTION("""COMPUTED_VALUE"""),6.01)</f>
        <v>6.01</v>
      </c>
      <c r="F18" s="1">
        <f ca="1">IFERROR(__xludf.DUMMYFUNCTION("""COMPUTED_VALUE"""),214.87)</f>
        <v>214.87</v>
      </c>
      <c r="G18" s="1">
        <f ca="1">IFERROR(__xludf.DUMMYFUNCTION("""COMPUTED_VALUE"""),71.69)</f>
        <v>71.69</v>
      </c>
      <c r="H18" s="1">
        <f ca="1">IFERROR(__xludf.DUMMYFUNCTION("""COMPUTED_VALUE"""),37.2)</f>
        <v>37.200000000000003</v>
      </c>
      <c r="I18" s="1">
        <f ca="1">IFERROR(__xludf.DUMMYFUNCTION("""COMPUTED_VALUE"""),142.14)</f>
        <v>142.13999999999999</v>
      </c>
      <c r="J18" s="1">
        <f ca="1">IFERROR(__xludf.DUMMYFUNCTION("""COMPUTED_VALUE"""),309.45)</f>
        <v>309.45</v>
      </c>
      <c r="K18" s="1">
        <f ca="1">IFERROR(__xludf.DUMMYFUNCTION("""COMPUTED_VALUE"""),30.9)</f>
        <v>30.9</v>
      </c>
      <c r="L18" s="1">
        <f ca="1">IFERROR(__xludf.DUMMYFUNCTION("""COMPUTED_VALUE"""),346.9)</f>
        <v>346.9</v>
      </c>
      <c r="M18" s="1">
        <f ca="1">IFERROR(__xludf.DUMMYFUNCTION("""COMPUTED_VALUE"""),342.88)</f>
        <v>342.88</v>
      </c>
      <c r="N18" s="1">
        <f ca="1">IFERROR(__xludf.DUMMYFUNCTION("""COMPUTED_VALUE"""),132.03)</f>
        <v>132.03</v>
      </c>
      <c r="O18" s="1">
        <f ca="1">IFERROR(__xludf.DUMMYFUNCTION("""COMPUTED_VALUE"""),201.69)</f>
        <v>201.69</v>
      </c>
      <c r="P18" s="1">
        <f ca="1">IFERROR(__xludf.DUMMYFUNCTION("""COMPUTED_VALUE"""),148.75)</f>
        <v>148.75</v>
      </c>
      <c r="Q18" s="1">
        <f ca="1">IFERROR(__xludf.DUMMYFUNCTION("""COMPUTED_VALUE"""),284.09)</f>
        <v>284.08999999999997</v>
      </c>
      <c r="R18" s="1">
        <f ca="1">IFERROR(__xludf.DUMMYFUNCTION("""COMPUTED_VALUE"""),64.74)</f>
        <v>64.739999999999995</v>
      </c>
      <c r="S18" s="1">
        <f ca="1">IFERROR(__xludf.DUMMYFUNCTION("""COMPUTED_VALUE"""),66.69)</f>
        <v>66.69</v>
      </c>
      <c r="T18" s="1">
        <f ca="1">IFERROR(__xludf.DUMMYFUNCTION("""COMPUTED_VALUE"""),38.62)</f>
        <v>38.619999999999997</v>
      </c>
      <c r="U18" s="1">
        <f ca="1">IFERROR(__xludf.DUMMYFUNCTION("""COMPUTED_VALUE"""),100.24)</f>
        <v>100.24</v>
      </c>
      <c r="V18" s="1">
        <f ca="1">IFERROR(__xludf.DUMMYFUNCTION("""COMPUTED_VALUE"""),135.73)</f>
        <v>135.72999999999999</v>
      </c>
      <c r="W18" s="1">
        <f ca="1">IFERROR(__xludf.DUMMYFUNCTION("""COMPUTED_VALUE"""),432.38)</f>
        <v>432.38</v>
      </c>
      <c r="X18" s="1">
        <f ca="1">IFERROR(__xludf.DUMMYFUNCTION("""COMPUTED_VALUE"""),284.28)</f>
        <v>284.27999999999997</v>
      </c>
      <c r="Y18" s="1">
        <f ca="1">IFERROR(__xludf.DUMMYFUNCTION("""COMPUTED_VALUE"""),55.26)</f>
        <v>55.26</v>
      </c>
      <c r="Z18" s="1">
        <f ca="1">IFERROR(__xludf.DUMMYFUNCTION("""COMPUTED_VALUE"""),238.14)</f>
        <v>238.14</v>
      </c>
      <c r="AA18" s="1">
        <f ca="1">IFERROR(__xludf.DUMMYFUNCTION("""COMPUTED_VALUE"""),38.04)</f>
        <v>38.04</v>
      </c>
      <c r="AB18" s="1">
        <f ca="1">IFERROR(__xludf.DUMMYFUNCTION("""COMPUTED_VALUE"""),88.73)</f>
        <v>88.73</v>
      </c>
      <c r="AC18" s="1">
        <f ca="1">IFERROR(__xludf.DUMMYFUNCTION("""COMPUTED_VALUE"""),49.26)</f>
        <v>49.26</v>
      </c>
    </row>
    <row r="19" spans="1:29" x14ac:dyDescent="0.25">
      <c r="A19" s="2">
        <f ca="1">IFERROR(__xludf.DUMMYFUNCTION("""COMPUTED_VALUE"""),43858.6666666666)</f>
        <v>43858.666666666599</v>
      </c>
      <c r="B19" s="1">
        <f ca="1">IFERROR(__xludf.DUMMYFUNCTION("""COMPUTED_VALUE"""),79.42)</f>
        <v>79.42</v>
      </c>
      <c r="C19" s="1">
        <f ca="1">IFERROR(__xludf.DUMMYFUNCTION("""COMPUTED_VALUE"""),165.46)</f>
        <v>165.46</v>
      </c>
      <c r="D19" s="1">
        <f ca="1">IFERROR(__xludf.DUMMYFUNCTION("""COMPUTED_VALUE"""),92.66)</f>
        <v>92.66</v>
      </c>
      <c r="E19" s="1">
        <f ca="1">IFERROR(__xludf.DUMMYFUNCTION("""COMPUTED_VALUE"""),6.2)</f>
        <v>6.2</v>
      </c>
      <c r="F19" s="1">
        <f ca="1">IFERROR(__xludf.DUMMYFUNCTION("""COMPUTED_VALUE"""),217.79)</f>
        <v>217.79</v>
      </c>
      <c r="G19" s="1">
        <f ca="1">IFERROR(__xludf.DUMMYFUNCTION("""COMPUTED_VALUE"""),72.63)</f>
        <v>72.63</v>
      </c>
      <c r="H19" s="1">
        <f ca="1">IFERROR(__xludf.DUMMYFUNCTION("""COMPUTED_VALUE"""),37.79)</f>
        <v>37.79</v>
      </c>
      <c r="I19" s="1">
        <f ca="1">IFERROR(__xludf.DUMMYFUNCTION("""COMPUTED_VALUE"""),142.44)</f>
        <v>142.44</v>
      </c>
      <c r="J19" s="1">
        <f ca="1">IFERROR(__xludf.DUMMYFUNCTION("""COMPUTED_VALUE"""),310.85)</f>
        <v>310.85000000000002</v>
      </c>
      <c r="K19" s="1">
        <f ca="1">IFERROR(__xludf.DUMMYFUNCTION("""COMPUTED_VALUE"""),31.83)</f>
        <v>31.83</v>
      </c>
      <c r="L19" s="1">
        <f ca="1">IFERROR(__xludf.DUMMYFUNCTION("""COMPUTED_VALUE"""),354.63)</f>
        <v>354.63</v>
      </c>
      <c r="M19" s="1">
        <f ca="1">IFERROR(__xludf.DUMMYFUNCTION("""COMPUTED_VALUE"""),348.52)</f>
        <v>348.52</v>
      </c>
      <c r="N19" s="1">
        <f ca="1">IFERROR(__xludf.DUMMYFUNCTION("""COMPUTED_VALUE"""),134.43)</f>
        <v>134.43</v>
      </c>
      <c r="O19" s="1">
        <f ca="1">IFERROR(__xludf.DUMMYFUNCTION("""COMPUTED_VALUE"""),202.85)</f>
        <v>202.85</v>
      </c>
      <c r="P19" s="1">
        <f ca="1">IFERROR(__xludf.DUMMYFUNCTION("""COMPUTED_VALUE"""),149.5)</f>
        <v>149.5</v>
      </c>
      <c r="Q19" s="1">
        <f ca="1">IFERROR(__xludf.DUMMYFUNCTION("""COMPUTED_VALUE"""),285.87)</f>
        <v>285.87</v>
      </c>
      <c r="R19" s="1">
        <f ca="1">IFERROR(__xludf.DUMMYFUNCTION("""COMPUTED_VALUE"""),64.65)</f>
        <v>64.650000000000006</v>
      </c>
      <c r="S19" s="1">
        <f ca="1">IFERROR(__xludf.DUMMYFUNCTION("""COMPUTED_VALUE"""),66.45)</f>
        <v>66.45</v>
      </c>
      <c r="T19" s="1">
        <f ca="1">IFERROR(__xludf.DUMMYFUNCTION("""COMPUTED_VALUE"""),38.87)</f>
        <v>38.869999999999997</v>
      </c>
      <c r="U19" s="1">
        <f ca="1">IFERROR(__xludf.DUMMYFUNCTION("""COMPUTED_VALUE"""),100.41)</f>
        <v>100.41</v>
      </c>
      <c r="V19" s="1">
        <f ca="1">IFERROR(__xludf.DUMMYFUNCTION("""COMPUTED_VALUE"""),136.74)</f>
        <v>136.74</v>
      </c>
      <c r="W19" s="1">
        <f ca="1">IFERROR(__xludf.DUMMYFUNCTION("""COMPUTED_VALUE"""),437.17)</f>
        <v>437.17</v>
      </c>
      <c r="X19" s="1">
        <f ca="1">IFERROR(__xludf.DUMMYFUNCTION("""COMPUTED_VALUE"""),290.18)</f>
        <v>290.18</v>
      </c>
      <c r="Y19" s="1">
        <f ca="1">IFERROR(__xludf.DUMMYFUNCTION("""COMPUTED_VALUE"""),57.09)</f>
        <v>57.09</v>
      </c>
      <c r="Z19" s="1">
        <f ca="1">IFERROR(__xludf.DUMMYFUNCTION("""COMPUTED_VALUE"""),242.58)</f>
        <v>242.58</v>
      </c>
      <c r="AA19" s="1">
        <f ca="1">IFERROR(__xludf.DUMMYFUNCTION("""COMPUTED_VALUE"""),36.13)</f>
        <v>36.130000000000003</v>
      </c>
      <c r="AB19" s="1">
        <f ca="1">IFERROR(__xludf.DUMMYFUNCTION("""COMPUTED_VALUE"""),88.6)</f>
        <v>88.6</v>
      </c>
      <c r="AC19" s="1">
        <f ca="1">IFERROR(__xludf.DUMMYFUNCTION("""COMPUTED_VALUE"""),50.53)</f>
        <v>50.53</v>
      </c>
    </row>
    <row r="20" spans="1:29" x14ac:dyDescent="0.25">
      <c r="A20" s="2">
        <f ca="1">IFERROR(__xludf.DUMMYFUNCTION("""COMPUTED_VALUE"""),43859.6666666666)</f>
        <v>43859.666666666599</v>
      </c>
      <c r="B20" s="1">
        <f ca="1">IFERROR(__xludf.DUMMYFUNCTION("""COMPUTED_VALUE"""),81.08)</f>
        <v>81.08</v>
      </c>
      <c r="C20" s="1">
        <f ca="1">IFERROR(__xludf.DUMMYFUNCTION("""COMPUTED_VALUE"""),168.04)</f>
        <v>168.04</v>
      </c>
      <c r="D20" s="1">
        <f ca="1">IFERROR(__xludf.DUMMYFUNCTION("""COMPUTED_VALUE"""),92.9)</f>
        <v>92.9</v>
      </c>
      <c r="E20" s="1">
        <f ca="1">IFERROR(__xludf.DUMMYFUNCTION("""COMPUTED_VALUE"""),6.14)</f>
        <v>6.14</v>
      </c>
      <c r="F20" s="1">
        <f ca="1">IFERROR(__xludf.DUMMYFUNCTION("""COMPUTED_VALUE"""),223.23)</f>
        <v>223.23</v>
      </c>
      <c r="G20" s="1">
        <f ca="1">IFERROR(__xludf.DUMMYFUNCTION("""COMPUTED_VALUE"""),72.93)</f>
        <v>72.930000000000007</v>
      </c>
      <c r="H20" s="1">
        <f ca="1">IFERROR(__xludf.DUMMYFUNCTION("""COMPUTED_VALUE"""),38.73)</f>
        <v>38.729999999999997</v>
      </c>
      <c r="I20" s="1">
        <f ca="1">IFERROR(__xludf.DUMMYFUNCTION("""COMPUTED_VALUE"""),141.73)</f>
        <v>141.72999999999999</v>
      </c>
      <c r="J20" s="1">
        <f ca="1">IFERROR(__xludf.DUMMYFUNCTION("""COMPUTED_VALUE"""),309.58)</f>
        <v>309.58</v>
      </c>
      <c r="K20" s="1">
        <f ca="1">IFERROR(__xludf.DUMMYFUNCTION("""COMPUTED_VALUE"""),31.75)</f>
        <v>31.75</v>
      </c>
      <c r="L20" s="1">
        <f ca="1">IFERROR(__xludf.DUMMYFUNCTION("""COMPUTED_VALUE"""),351.66)</f>
        <v>351.66</v>
      </c>
      <c r="M20" s="1">
        <f ca="1">IFERROR(__xludf.DUMMYFUNCTION("""COMPUTED_VALUE"""),343.16)</f>
        <v>343.16</v>
      </c>
      <c r="N20" s="1">
        <f ca="1">IFERROR(__xludf.DUMMYFUNCTION("""COMPUTED_VALUE"""),134.23)</f>
        <v>134.22999999999999</v>
      </c>
      <c r="O20" s="1">
        <f ca="1">IFERROR(__xludf.DUMMYFUNCTION("""COMPUTED_VALUE"""),204.86)</f>
        <v>204.86</v>
      </c>
      <c r="P20" s="1">
        <f ca="1">IFERROR(__xludf.DUMMYFUNCTION("""COMPUTED_VALUE"""),150.54)</f>
        <v>150.54</v>
      </c>
      <c r="Q20" s="1">
        <f ca="1">IFERROR(__xludf.DUMMYFUNCTION("""COMPUTED_VALUE"""),282.9)</f>
        <v>282.89999999999998</v>
      </c>
      <c r="R20" s="1">
        <f ca="1">IFERROR(__xludf.DUMMYFUNCTION("""COMPUTED_VALUE"""),64.11)</f>
        <v>64.11</v>
      </c>
      <c r="S20" s="1">
        <f ca="1">IFERROR(__xludf.DUMMYFUNCTION("""COMPUTED_VALUE"""),66.44)</f>
        <v>66.44</v>
      </c>
      <c r="T20" s="1">
        <f ca="1">IFERROR(__xludf.DUMMYFUNCTION("""COMPUTED_VALUE"""),38.63)</f>
        <v>38.630000000000003</v>
      </c>
      <c r="U20" s="1">
        <f ca="1">IFERROR(__xludf.DUMMYFUNCTION("""COMPUTED_VALUE"""),99.84)</f>
        <v>99.84</v>
      </c>
      <c r="V20" s="1">
        <f ca="1">IFERROR(__xludf.DUMMYFUNCTION("""COMPUTED_VALUE"""),135.78)</f>
        <v>135.78</v>
      </c>
      <c r="W20" s="1">
        <f ca="1">IFERROR(__xludf.DUMMYFUNCTION("""COMPUTED_VALUE"""),433.84)</f>
        <v>433.84</v>
      </c>
      <c r="X20" s="1">
        <f ca="1">IFERROR(__xludf.DUMMYFUNCTION("""COMPUTED_VALUE"""),296.14)</f>
        <v>296.14</v>
      </c>
      <c r="Y20" s="1">
        <f ca="1">IFERROR(__xludf.DUMMYFUNCTION("""COMPUTED_VALUE"""),57.19)</f>
        <v>57.19</v>
      </c>
      <c r="Z20" s="1">
        <f ca="1">IFERROR(__xludf.DUMMYFUNCTION("""COMPUTED_VALUE"""),240.12)</f>
        <v>240.12</v>
      </c>
      <c r="AA20" s="1">
        <f ca="1">IFERROR(__xludf.DUMMYFUNCTION("""COMPUTED_VALUE"""),35.6)</f>
        <v>35.6</v>
      </c>
      <c r="AB20" s="1">
        <f ca="1">IFERROR(__xludf.DUMMYFUNCTION("""COMPUTED_VALUE"""),86.72)</f>
        <v>86.72</v>
      </c>
      <c r="AC20" s="1">
        <f ca="1">IFERROR(__xludf.DUMMYFUNCTION("""COMPUTED_VALUE"""),47.51)</f>
        <v>47.51</v>
      </c>
    </row>
    <row r="21" spans="1:29" x14ac:dyDescent="0.25">
      <c r="A21" s="2">
        <f ca="1">IFERROR(__xludf.DUMMYFUNCTION("""COMPUTED_VALUE"""),43860.6666666666)</f>
        <v>43860.666666666599</v>
      </c>
      <c r="B21" s="1">
        <f ca="1">IFERROR(__xludf.DUMMYFUNCTION("""COMPUTED_VALUE"""),80.97)</f>
        <v>80.97</v>
      </c>
      <c r="C21" s="1">
        <f ca="1">IFERROR(__xludf.DUMMYFUNCTION("""COMPUTED_VALUE"""),172.78)</f>
        <v>172.78</v>
      </c>
      <c r="D21" s="1">
        <f ca="1">IFERROR(__xludf.DUMMYFUNCTION("""COMPUTED_VALUE"""),93.53)</f>
        <v>93.53</v>
      </c>
      <c r="E21" s="1">
        <f ca="1">IFERROR(__xludf.DUMMYFUNCTION("""COMPUTED_VALUE"""),6.15)</f>
        <v>6.15</v>
      </c>
      <c r="F21" s="1">
        <f ca="1">IFERROR(__xludf.DUMMYFUNCTION("""COMPUTED_VALUE"""),209.53)</f>
        <v>209.53</v>
      </c>
      <c r="G21" s="1">
        <f ca="1">IFERROR(__xludf.DUMMYFUNCTION("""COMPUTED_VALUE"""),72.79)</f>
        <v>72.790000000000006</v>
      </c>
      <c r="H21" s="1">
        <f ca="1">IFERROR(__xludf.DUMMYFUNCTION("""COMPUTED_VALUE"""),42.72)</f>
        <v>42.72</v>
      </c>
      <c r="I21" s="1">
        <f ca="1">IFERROR(__xludf.DUMMYFUNCTION("""COMPUTED_VALUE"""),143.83)</f>
        <v>143.83000000000001</v>
      </c>
      <c r="J21" s="1">
        <f ca="1">IFERROR(__xludf.DUMMYFUNCTION("""COMPUTED_VALUE"""),309.47)</f>
        <v>309.47000000000003</v>
      </c>
      <c r="K21" s="1">
        <f ca="1">IFERROR(__xludf.DUMMYFUNCTION("""COMPUTED_VALUE"""),31.52)</f>
        <v>31.52</v>
      </c>
      <c r="L21" s="1">
        <f ca="1">IFERROR(__xludf.DUMMYFUNCTION("""COMPUTED_VALUE"""),356.74)</f>
        <v>356.74</v>
      </c>
      <c r="M21" s="1">
        <f ca="1">IFERROR(__xludf.DUMMYFUNCTION("""COMPUTED_VALUE"""),347.74)</f>
        <v>347.74</v>
      </c>
      <c r="N21" s="1">
        <f ca="1">IFERROR(__xludf.DUMMYFUNCTION("""COMPUTED_VALUE"""),135.89)</f>
        <v>135.88999999999999</v>
      </c>
      <c r="O21" s="1">
        <f ca="1">IFERROR(__xludf.DUMMYFUNCTION("""COMPUTED_VALUE"""),208.21)</f>
        <v>208.21</v>
      </c>
      <c r="P21" s="1">
        <f ca="1">IFERROR(__xludf.DUMMYFUNCTION("""COMPUTED_VALUE"""),150.36)</f>
        <v>150.36000000000001</v>
      </c>
      <c r="Q21" s="1">
        <f ca="1">IFERROR(__xludf.DUMMYFUNCTION("""COMPUTED_VALUE"""),280.98)</f>
        <v>280.98</v>
      </c>
      <c r="R21" s="1">
        <f ca="1">IFERROR(__xludf.DUMMYFUNCTION("""COMPUTED_VALUE"""),64.79)</f>
        <v>64.790000000000006</v>
      </c>
      <c r="S21" s="1">
        <f ca="1">IFERROR(__xludf.DUMMYFUNCTION("""COMPUTED_VALUE"""),67.48)</f>
        <v>67.48</v>
      </c>
      <c r="T21" s="1">
        <f ca="1">IFERROR(__xludf.DUMMYFUNCTION("""COMPUTED_VALUE"""),38.86)</f>
        <v>38.86</v>
      </c>
      <c r="U21" s="1">
        <f ca="1">IFERROR(__xludf.DUMMYFUNCTION("""COMPUTED_VALUE"""),98.19)</f>
        <v>98.19</v>
      </c>
      <c r="V21" s="1">
        <f ca="1">IFERROR(__xludf.DUMMYFUNCTION("""COMPUTED_VALUE"""),135.37)</f>
        <v>135.37</v>
      </c>
      <c r="W21" s="1">
        <f ca="1">IFERROR(__xludf.DUMMYFUNCTION("""COMPUTED_VALUE"""),435.9)</f>
        <v>435.9</v>
      </c>
      <c r="X21" s="1">
        <f ca="1">IFERROR(__xludf.DUMMYFUNCTION("""COMPUTED_VALUE"""),294.38)</f>
        <v>294.38</v>
      </c>
      <c r="Y21" s="1">
        <f ca="1">IFERROR(__xludf.DUMMYFUNCTION("""COMPUTED_VALUE"""),55.8)</f>
        <v>55.8</v>
      </c>
      <c r="Z21" s="1">
        <f ca="1">IFERROR(__xludf.DUMMYFUNCTION("""COMPUTED_VALUE"""),244.13)</f>
        <v>244.13</v>
      </c>
      <c r="AA21" s="1">
        <f ca="1">IFERROR(__xludf.DUMMYFUNCTION("""COMPUTED_VALUE"""),35.12)</f>
        <v>35.119999999999997</v>
      </c>
      <c r="AB21" s="1">
        <f ca="1">IFERROR(__xludf.DUMMYFUNCTION("""COMPUTED_VALUE"""),85.84)</f>
        <v>85.84</v>
      </c>
      <c r="AC21" s="1">
        <f ca="1">IFERROR(__xludf.DUMMYFUNCTION("""COMPUTED_VALUE"""),48.78)</f>
        <v>48.78</v>
      </c>
    </row>
    <row r="22" spans="1:29" x14ac:dyDescent="0.25">
      <c r="A22" s="2">
        <f ca="1">IFERROR(__xludf.DUMMYFUNCTION("""COMPUTED_VALUE"""),43861.6666666666)</f>
        <v>43861.666666666599</v>
      </c>
      <c r="B22" s="1">
        <f ca="1">IFERROR(__xludf.DUMMYFUNCTION("""COMPUTED_VALUE"""),77.38)</f>
        <v>77.38</v>
      </c>
      <c r="C22" s="1">
        <f ca="1">IFERROR(__xludf.DUMMYFUNCTION("""COMPUTED_VALUE"""),170.23)</f>
        <v>170.23</v>
      </c>
      <c r="D22" s="1">
        <f ca="1">IFERROR(__xludf.DUMMYFUNCTION("""COMPUTED_VALUE"""),100.44)</f>
        <v>100.44</v>
      </c>
      <c r="E22" s="1">
        <f ca="1">IFERROR(__xludf.DUMMYFUNCTION("""COMPUTED_VALUE"""),5.91)</f>
        <v>5.91</v>
      </c>
      <c r="F22" s="1">
        <f ca="1">IFERROR(__xludf.DUMMYFUNCTION("""COMPUTED_VALUE"""),201.91)</f>
        <v>201.91</v>
      </c>
      <c r="G22" s="1">
        <f ca="1">IFERROR(__xludf.DUMMYFUNCTION("""COMPUTED_VALUE"""),71.71)</f>
        <v>71.709999999999994</v>
      </c>
      <c r="H22" s="1">
        <f ca="1">IFERROR(__xludf.DUMMYFUNCTION("""COMPUTED_VALUE"""),43.37)</f>
        <v>43.37</v>
      </c>
      <c r="I22" s="1">
        <f ca="1">IFERROR(__xludf.DUMMYFUNCTION("""COMPUTED_VALUE"""),142.02)</f>
        <v>142.02000000000001</v>
      </c>
      <c r="J22" s="1">
        <f ca="1">IFERROR(__xludf.DUMMYFUNCTION("""COMPUTED_VALUE"""),305.52)</f>
        <v>305.52</v>
      </c>
      <c r="K22" s="1">
        <f ca="1">IFERROR(__xludf.DUMMYFUNCTION("""COMPUTED_VALUE"""),30.52)</f>
        <v>30.52</v>
      </c>
      <c r="L22" s="1">
        <f ca="1">IFERROR(__xludf.DUMMYFUNCTION("""COMPUTED_VALUE"""),351.14)</f>
        <v>351.14</v>
      </c>
      <c r="M22" s="1">
        <f ca="1">IFERROR(__xludf.DUMMYFUNCTION("""COMPUTED_VALUE"""),345.09)</f>
        <v>345.09</v>
      </c>
      <c r="N22" s="1">
        <f ca="1">IFERROR(__xludf.DUMMYFUNCTION("""COMPUTED_VALUE"""),132.36)</f>
        <v>132.36000000000001</v>
      </c>
      <c r="O22" s="1">
        <f ca="1">IFERROR(__xludf.DUMMYFUNCTION("""COMPUTED_VALUE"""),198.97)</f>
        <v>198.97</v>
      </c>
      <c r="P22" s="1">
        <f ca="1">IFERROR(__xludf.DUMMYFUNCTION("""COMPUTED_VALUE"""),148.87)</f>
        <v>148.87</v>
      </c>
      <c r="Q22" s="1">
        <f ca="1">IFERROR(__xludf.DUMMYFUNCTION("""COMPUTED_VALUE"""),272.45)</f>
        <v>272.45</v>
      </c>
      <c r="R22" s="1">
        <f ca="1">IFERROR(__xludf.DUMMYFUNCTION("""COMPUTED_VALUE"""),62.12)</f>
        <v>62.12</v>
      </c>
      <c r="S22" s="1">
        <f ca="1">IFERROR(__xludf.DUMMYFUNCTION("""COMPUTED_VALUE"""),67.05)</f>
        <v>67.05</v>
      </c>
      <c r="T22" s="1">
        <f ca="1">IFERROR(__xludf.DUMMYFUNCTION("""COMPUTED_VALUE"""),38.16)</f>
        <v>38.159999999999997</v>
      </c>
      <c r="U22" s="1">
        <f ca="1">IFERROR(__xludf.DUMMYFUNCTION("""COMPUTED_VALUE"""),96.3)</f>
        <v>96.3</v>
      </c>
      <c r="V22" s="1">
        <f ca="1">IFERROR(__xludf.DUMMYFUNCTION("""COMPUTED_VALUE"""),131.35)</f>
        <v>131.35</v>
      </c>
      <c r="W22" s="1">
        <f ca="1">IFERROR(__xludf.DUMMYFUNCTION("""COMPUTED_VALUE"""),428.12)</f>
        <v>428.12</v>
      </c>
      <c r="X22" s="1">
        <f ca="1">IFERROR(__xludf.DUMMYFUNCTION("""COMPUTED_VALUE"""),280.66)</f>
        <v>280.66000000000003</v>
      </c>
      <c r="Y22" s="1">
        <f ca="1">IFERROR(__xludf.DUMMYFUNCTION("""COMPUTED_VALUE"""),53.94)</f>
        <v>53.94</v>
      </c>
      <c r="Z22" s="1">
        <f ca="1">IFERROR(__xludf.DUMMYFUNCTION("""COMPUTED_VALUE"""),237.75)</f>
        <v>237.75</v>
      </c>
      <c r="AA22" s="1">
        <f ca="1">IFERROR(__xludf.DUMMYFUNCTION("""COMPUTED_VALUE"""),35.28)</f>
        <v>35.28</v>
      </c>
      <c r="AB22" s="1">
        <f ca="1">IFERROR(__xludf.DUMMYFUNCTION("""COMPUTED_VALUE"""),84.83)</f>
        <v>84.83</v>
      </c>
      <c r="AC22" s="1">
        <f ca="1">IFERROR(__xludf.DUMMYFUNCTION("""COMPUTED_VALUE"""),47)</f>
        <v>47</v>
      </c>
    </row>
    <row r="23" spans="1:29" x14ac:dyDescent="0.25">
      <c r="A23" s="2">
        <f ca="1">IFERROR(__xludf.DUMMYFUNCTION("""COMPUTED_VALUE"""),43864.6666666666)</f>
        <v>43864.666666666599</v>
      </c>
      <c r="B23" s="1">
        <f ca="1">IFERROR(__xludf.DUMMYFUNCTION("""COMPUTED_VALUE"""),77.17)</f>
        <v>77.17</v>
      </c>
      <c r="C23" s="1">
        <f ca="1">IFERROR(__xludf.DUMMYFUNCTION("""COMPUTED_VALUE"""),174.38)</f>
        <v>174.38</v>
      </c>
      <c r="D23" s="1">
        <f ca="1">IFERROR(__xludf.DUMMYFUNCTION("""COMPUTED_VALUE"""),100.21)</f>
        <v>100.21</v>
      </c>
      <c r="E23" s="1">
        <f ca="1">IFERROR(__xludf.DUMMYFUNCTION("""COMPUTED_VALUE"""),6.01)</f>
        <v>6.01</v>
      </c>
      <c r="F23" s="1">
        <f ca="1">IFERROR(__xludf.DUMMYFUNCTION("""COMPUTED_VALUE"""),204.19)</f>
        <v>204.19</v>
      </c>
      <c r="G23" s="1">
        <f ca="1">IFERROR(__xludf.DUMMYFUNCTION("""COMPUTED_VALUE"""),74.3)</f>
        <v>74.3</v>
      </c>
      <c r="H23" s="1">
        <f ca="1">IFERROR(__xludf.DUMMYFUNCTION("""COMPUTED_VALUE"""),52)</f>
        <v>52</v>
      </c>
      <c r="I23" s="1">
        <f ca="1">IFERROR(__xludf.DUMMYFUNCTION("""COMPUTED_VALUE"""),142.51)</f>
        <v>142.51</v>
      </c>
      <c r="J23" s="1">
        <f ca="1">IFERROR(__xludf.DUMMYFUNCTION("""COMPUTED_VALUE"""),302)</f>
        <v>302</v>
      </c>
      <c r="K23" s="1">
        <f ca="1">IFERROR(__xludf.DUMMYFUNCTION("""COMPUTED_VALUE"""),30.52)</f>
        <v>30.52</v>
      </c>
      <c r="L23" s="1">
        <f ca="1">IFERROR(__xludf.DUMMYFUNCTION("""COMPUTED_VALUE"""),358)</f>
        <v>358</v>
      </c>
      <c r="M23" s="1">
        <f ca="1">IFERROR(__xludf.DUMMYFUNCTION("""COMPUTED_VALUE"""),358)</f>
        <v>358</v>
      </c>
      <c r="N23" s="1">
        <f ca="1">IFERROR(__xludf.DUMMYFUNCTION("""COMPUTED_VALUE"""),133.37)</f>
        <v>133.37</v>
      </c>
      <c r="O23" s="1">
        <f ca="1">IFERROR(__xludf.DUMMYFUNCTION("""COMPUTED_VALUE"""),200.81)</f>
        <v>200.81</v>
      </c>
      <c r="P23" s="1">
        <f ca="1">IFERROR(__xludf.DUMMYFUNCTION("""COMPUTED_VALUE"""),150.17)</f>
        <v>150.16999999999999</v>
      </c>
      <c r="Q23" s="1">
        <f ca="1">IFERROR(__xludf.DUMMYFUNCTION("""COMPUTED_VALUE"""),274.02)</f>
        <v>274.02</v>
      </c>
      <c r="R23" s="1">
        <f ca="1">IFERROR(__xludf.DUMMYFUNCTION("""COMPUTED_VALUE"""),60.73)</f>
        <v>60.73</v>
      </c>
      <c r="S23" s="1">
        <f ca="1">IFERROR(__xludf.DUMMYFUNCTION("""COMPUTED_VALUE"""),66.7)</f>
        <v>66.7</v>
      </c>
      <c r="T23" s="1">
        <f ca="1">IFERROR(__xludf.DUMMYFUNCTION("""COMPUTED_VALUE"""),38.09)</f>
        <v>38.090000000000003</v>
      </c>
      <c r="U23" s="1">
        <f ca="1">IFERROR(__xludf.DUMMYFUNCTION("""COMPUTED_VALUE"""),99.27)</f>
        <v>99.27</v>
      </c>
      <c r="V23" s="1">
        <f ca="1">IFERROR(__xludf.DUMMYFUNCTION("""COMPUTED_VALUE"""),129.77)</f>
        <v>129.77000000000001</v>
      </c>
      <c r="W23" s="1">
        <f ca="1">IFERROR(__xludf.DUMMYFUNCTION("""COMPUTED_VALUE"""),423.86)</f>
        <v>423.86</v>
      </c>
      <c r="X23" s="1">
        <f ca="1">IFERROR(__xludf.DUMMYFUNCTION("""COMPUTED_VALUE"""),288.16)</f>
        <v>288.16000000000003</v>
      </c>
      <c r="Y23" s="1">
        <f ca="1">IFERROR(__xludf.DUMMYFUNCTION("""COMPUTED_VALUE"""),54.77)</f>
        <v>54.77</v>
      </c>
      <c r="Z23" s="1">
        <f ca="1">IFERROR(__xludf.DUMMYFUNCTION("""COMPUTED_VALUE"""),239.01)</f>
        <v>239.01</v>
      </c>
      <c r="AA23" s="1">
        <f ca="1">IFERROR(__xludf.DUMMYFUNCTION("""COMPUTED_VALUE"""),35.53)</f>
        <v>35.53</v>
      </c>
      <c r="AB23" s="1">
        <f ca="1">IFERROR(__xludf.DUMMYFUNCTION("""COMPUTED_VALUE"""),86.01)</f>
        <v>86.01</v>
      </c>
      <c r="AC23" s="1">
        <f ca="1">IFERROR(__xludf.DUMMYFUNCTION("""COMPUTED_VALUE"""),48.02)</f>
        <v>48.02</v>
      </c>
    </row>
    <row r="24" spans="1:29" x14ac:dyDescent="0.25">
      <c r="A24" s="2">
        <f ca="1">IFERROR(__xludf.DUMMYFUNCTION("""COMPUTED_VALUE"""),43865.6666666666)</f>
        <v>43865.666666666599</v>
      </c>
      <c r="B24" s="1">
        <f ca="1">IFERROR(__xludf.DUMMYFUNCTION("""COMPUTED_VALUE"""),79.71)</f>
        <v>79.709999999999994</v>
      </c>
      <c r="C24" s="1">
        <f ca="1">IFERROR(__xludf.DUMMYFUNCTION("""COMPUTED_VALUE"""),180.12)</f>
        <v>180.12</v>
      </c>
      <c r="D24" s="1">
        <f ca="1">IFERROR(__xludf.DUMMYFUNCTION("""COMPUTED_VALUE"""),102.48)</f>
        <v>102.48</v>
      </c>
      <c r="E24" s="1">
        <f ca="1">IFERROR(__xludf.DUMMYFUNCTION("""COMPUTED_VALUE"""),6.18)</f>
        <v>6.18</v>
      </c>
      <c r="F24" s="1">
        <f ca="1">IFERROR(__xludf.DUMMYFUNCTION("""COMPUTED_VALUE"""),209.83)</f>
        <v>209.83</v>
      </c>
      <c r="G24" s="1">
        <f ca="1">IFERROR(__xludf.DUMMYFUNCTION("""COMPUTED_VALUE"""),72.35)</f>
        <v>72.349999999999994</v>
      </c>
      <c r="H24" s="1">
        <f ca="1">IFERROR(__xludf.DUMMYFUNCTION("""COMPUTED_VALUE"""),59.14)</f>
        <v>59.14</v>
      </c>
      <c r="I24" s="1">
        <f ca="1">IFERROR(__xludf.DUMMYFUNCTION("""COMPUTED_VALUE"""),143.22)</f>
        <v>143.22</v>
      </c>
      <c r="J24" s="1">
        <f ca="1">IFERROR(__xludf.DUMMYFUNCTION("""COMPUTED_VALUE"""),304.9)</f>
        <v>304.89999999999998</v>
      </c>
      <c r="K24" s="1">
        <f ca="1">IFERROR(__xludf.DUMMYFUNCTION("""COMPUTED_VALUE"""),31.16)</f>
        <v>31.16</v>
      </c>
      <c r="L24" s="1">
        <f ca="1">IFERROR(__xludf.DUMMYFUNCTION("""COMPUTED_VALUE"""),366.74)</f>
        <v>366.74</v>
      </c>
      <c r="M24" s="1">
        <f ca="1">IFERROR(__xludf.DUMMYFUNCTION("""COMPUTED_VALUE"""),369.01)</f>
        <v>369.01</v>
      </c>
      <c r="N24" s="1">
        <f ca="1">IFERROR(__xludf.DUMMYFUNCTION("""COMPUTED_VALUE"""),135.29)</f>
        <v>135.29</v>
      </c>
      <c r="O24" s="1">
        <f ca="1">IFERROR(__xludf.DUMMYFUNCTION("""COMPUTED_VALUE"""),203.56)</f>
        <v>203.56</v>
      </c>
      <c r="P24" s="1">
        <f ca="1">IFERROR(__xludf.DUMMYFUNCTION("""COMPUTED_VALUE"""),151.6)</f>
        <v>151.6</v>
      </c>
      <c r="Q24" s="1">
        <f ca="1">IFERROR(__xludf.DUMMYFUNCTION("""COMPUTED_VALUE"""),280.84)</f>
        <v>280.83999999999997</v>
      </c>
      <c r="R24" s="1">
        <f ca="1">IFERROR(__xludf.DUMMYFUNCTION("""COMPUTED_VALUE"""),59.97)</f>
        <v>59.97</v>
      </c>
      <c r="S24" s="1">
        <f ca="1">IFERROR(__xludf.DUMMYFUNCTION("""COMPUTED_VALUE"""),66.14)</f>
        <v>66.14</v>
      </c>
      <c r="T24" s="1">
        <f ca="1">IFERROR(__xludf.DUMMYFUNCTION("""COMPUTED_VALUE"""),38.42)</f>
        <v>38.42</v>
      </c>
      <c r="U24" s="1">
        <f ca="1">IFERROR(__xludf.DUMMYFUNCTION("""COMPUTED_VALUE"""),101.38)</f>
        <v>101.38</v>
      </c>
      <c r="V24" s="1">
        <f ca="1">IFERROR(__xludf.DUMMYFUNCTION("""COMPUTED_VALUE"""),133.51)</f>
        <v>133.51</v>
      </c>
      <c r="W24" s="1">
        <f ca="1">IFERROR(__xludf.DUMMYFUNCTION("""COMPUTED_VALUE"""),430.78)</f>
        <v>430.78</v>
      </c>
      <c r="X24" s="1">
        <f ca="1">IFERROR(__xludf.DUMMYFUNCTION("""COMPUTED_VALUE"""),299.23)</f>
        <v>299.23</v>
      </c>
      <c r="Y24" s="1">
        <f ca="1">IFERROR(__xludf.DUMMYFUNCTION("""COMPUTED_VALUE"""),57.52)</f>
        <v>57.52</v>
      </c>
      <c r="Z24" s="1">
        <f ca="1">IFERROR(__xludf.DUMMYFUNCTION("""COMPUTED_VALUE"""),241.94)</f>
        <v>241.94</v>
      </c>
      <c r="AA24" s="1">
        <f ca="1">IFERROR(__xludf.DUMMYFUNCTION("""COMPUTED_VALUE"""),35.71)</f>
        <v>35.71</v>
      </c>
      <c r="AB24" s="1">
        <f ca="1">IFERROR(__xludf.DUMMYFUNCTION("""COMPUTED_VALUE"""),88.38)</f>
        <v>88.38</v>
      </c>
      <c r="AC24" s="1">
        <f ca="1">IFERROR(__xludf.DUMMYFUNCTION("""COMPUTED_VALUE"""),49.45)</f>
        <v>49.45</v>
      </c>
    </row>
    <row r="25" spans="1:29" x14ac:dyDescent="0.25">
      <c r="A25" s="2">
        <f ca="1">IFERROR(__xludf.DUMMYFUNCTION("""COMPUTED_VALUE"""),43866.6666666666)</f>
        <v>43866.666666666599</v>
      </c>
      <c r="B25" s="1">
        <f ca="1">IFERROR(__xludf.DUMMYFUNCTION("""COMPUTED_VALUE"""),80.36)</f>
        <v>80.36</v>
      </c>
      <c r="C25" s="1">
        <f ca="1">IFERROR(__xludf.DUMMYFUNCTION("""COMPUTED_VALUE"""),179.9)</f>
        <v>179.9</v>
      </c>
      <c r="D25" s="1">
        <f ca="1">IFERROR(__xludf.DUMMYFUNCTION("""COMPUTED_VALUE"""),101.99)</f>
        <v>101.99</v>
      </c>
      <c r="E25" s="1">
        <f ca="1">IFERROR(__xludf.DUMMYFUNCTION("""COMPUTED_VALUE"""),6.27)</f>
        <v>6.27</v>
      </c>
      <c r="F25" s="1">
        <f ca="1">IFERROR(__xludf.DUMMYFUNCTION("""COMPUTED_VALUE"""),210.11)</f>
        <v>210.11</v>
      </c>
      <c r="G25" s="1">
        <f ca="1">IFERROR(__xludf.DUMMYFUNCTION("""COMPUTED_VALUE"""),72.41)</f>
        <v>72.41</v>
      </c>
      <c r="H25" s="1">
        <f ca="1">IFERROR(__xludf.DUMMYFUNCTION("""COMPUTED_VALUE"""),48.98)</f>
        <v>48.98</v>
      </c>
      <c r="I25" s="1">
        <f ca="1">IFERROR(__xludf.DUMMYFUNCTION("""COMPUTED_VALUE"""),144.3)</f>
        <v>144.30000000000001</v>
      </c>
      <c r="J25" s="1">
        <f ca="1">IFERROR(__xludf.DUMMYFUNCTION("""COMPUTED_VALUE"""),308.95)</f>
        <v>308.95</v>
      </c>
      <c r="K25" s="1">
        <f ca="1">IFERROR(__xludf.DUMMYFUNCTION("""COMPUTED_VALUE"""),31.74)</f>
        <v>31.74</v>
      </c>
      <c r="L25" s="1">
        <f ca="1">IFERROR(__xludf.DUMMYFUNCTION("""COMPUTED_VALUE"""),365.55)</f>
        <v>365.55</v>
      </c>
      <c r="M25" s="1">
        <f ca="1">IFERROR(__xludf.DUMMYFUNCTION("""COMPUTED_VALUE"""),369.67)</f>
        <v>369.67</v>
      </c>
      <c r="N25" s="1">
        <f ca="1">IFERROR(__xludf.DUMMYFUNCTION("""COMPUTED_VALUE"""),137.59)</f>
        <v>137.59</v>
      </c>
      <c r="O25" s="1">
        <f ca="1">IFERROR(__xludf.DUMMYFUNCTION("""COMPUTED_VALUE"""),202.81)</f>
        <v>202.81</v>
      </c>
      <c r="P25" s="1">
        <f ca="1">IFERROR(__xludf.DUMMYFUNCTION("""COMPUTED_VALUE"""),153.99)</f>
        <v>153.99</v>
      </c>
      <c r="Q25" s="1">
        <f ca="1">IFERROR(__xludf.DUMMYFUNCTION("""COMPUTED_VALUE"""),295.73)</f>
        <v>295.73</v>
      </c>
      <c r="R25" s="1">
        <f ca="1">IFERROR(__xludf.DUMMYFUNCTION("""COMPUTED_VALUE"""),62.73)</f>
        <v>62.73</v>
      </c>
      <c r="S25" s="1">
        <f ca="1">IFERROR(__xludf.DUMMYFUNCTION("""COMPUTED_VALUE"""),66.68)</f>
        <v>66.680000000000007</v>
      </c>
      <c r="T25" s="1">
        <f ca="1">IFERROR(__xludf.DUMMYFUNCTION("""COMPUTED_VALUE"""),38.94)</f>
        <v>38.94</v>
      </c>
      <c r="U25" s="1">
        <f ca="1">IFERROR(__xludf.DUMMYFUNCTION("""COMPUTED_VALUE"""),100.54)</f>
        <v>100.54</v>
      </c>
      <c r="V25" s="1">
        <f ca="1">IFERROR(__xludf.DUMMYFUNCTION("""COMPUTED_VALUE"""),137.44)</f>
        <v>137.44</v>
      </c>
      <c r="W25" s="1">
        <f ca="1">IFERROR(__xludf.DUMMYFUNCTION("""COMPUTED_VALUE"""),435.19)</f>
        <v>435.19</v>
      </c>
      <c r="X25" s="1">
        <f ca="1">IFERROR(__xludf.DUMMYFUNCTION("""COMPUTED_VALUE"""),306.32)</f>
        <v>306.32</v>
      </c>
      <c r="Y25" s="1">
        <f ca="1">IFERROR(__xludf.DUMMYFUNCTION("""COMPUTED_VALUE"""),57.92)</f>
        <v>57.92</v>
      </c>
      <c r="Z25" s="1">
        <f ca="1">IFERROR(__xludf.DUMMYFUNCTION("""COMPUTED_VALUE"""),244.3)</f>
        <v>244.3</v>
      </c>
      <c r="AA25" s="1">
        <f ca="1">IFERROR(__xludf.DUMMYFUNCTION("""COMPUTED_VALUE"""),36.16)</f>
        <v>36.159999999999997</v>
      </c>
      <c r="AB25" s="1">
        <f ca="1">IFERROR(__xludf.DUMMYFUNCTION("""COMPUTED_VALUE"""),87.56)</f>
        <v>87.56</v>
      </c>
      <c r="AC25" s="1">
        <f ca="1">IFERROR(__xludf.DUMMYFUNCTION("""COMPUTED_VALUE"""),49.84)</f>
        <v>49.84</v>
      </c>
    </row>
    <row r="26" spans="1:29" x14ac:dyDescent="0.25">
      <c r="A26" s="2">
        <f ca="1">IFERROR(__xludf.DUMMYFUNCTION("""COMPUTED_VALUE"""),43867.6666666666)</f>
        <v>43867.666666666599</v>
      </c>
      <c r="B26" s="1">
        <f ca="1">IFERROR(__xludf.DUMMYFUNCTION("""COMPUTED_VALUE"""),81.3)</f>
        <v>81.3</v>
      </c>
      <c r="C26" s="1">
        <f ca="1">IFERROR(__xludf.DUMMYFUNCTION("""COMPUTED_VALUE"""),183.63)</f>
        <v>183.63</v>
      </c>
      <c r="D26" s="1">
        <f ca="1">IFERROR(__xludf.DUMMYFUNCTION("""COMPUTED_VALUE"""),102.51)</f>
        <v>102.51</v>
      </c>
      <c r="E26" s="1">
        <f ca="1">IFERROR(__xludf.DUMMYFUNCTION("""COMPUTED_VALUE"""),6.36)</f>
        <v>6.36</v>
      </c>
      <c r="F26" s="1">
        <f ca="1">IFERROR(__xludf.DUMMYFUNCTION("""COMPUTED_VALUE"""),210.85)</f>
        <v>210.85</v>
      </c>
      <c r="G26" s="1">
        <f ca="1">IFERROR(__xludf.DUMMYFUNCTION("""COMPUTED_VALUE"""),73.81)</f>
        <v>73.81</v>
      </c>
      <c r="H26" s="1">
        <f ca="1">IFERROR(__xludf.DUMMYFUNCTION("""COMPUTED_VALUE"""),49.93)</f>
        <v>49.93</v>
      </c>
      <c r="I26" s="1">
        <f ca="1">IFERROR(__xludf.DUMMYFUNCTION("""COMPUTED_VALUE"""),144.33)</f>
        <v>144.33000000000001</v>
      </c>
      <c r="J26" s="1">
        <f ca="1">IFERROR(__xludf.DUMMYFUNCTION("""COMPUTED_VALUE"""),310.61)</f>
        <v>310.61</v>
      </c>
      <c r="K26" s="1">
        <f ca="1">IFERROR(__xludf.DUMMYFUNCTION("""COMPUTED_VALUE"""),31.97)</f>
        <v>31.97</v>
      </c>
      <c r="L26" s="1">
        <f ca="1">IFERROR(__xludf.DUMMYFUNCTION("""COMPUTED_VALUE"""),367.46)</f>
        <v>367.46</v>
      </c>
      <c r="M26" s="1">
        <f ca="1">IFERROR(__xludf.DUMMYFUNCTION("""COMPUTED_VALUE"""),366.95)</f>
        <v>366.95</v>
      </c>
      <c r="N26" s="1">
        <f ca="1">IFERROR(__xludf.DUMMYFUNCTION("""COMPUTED_VALUE"""),137.61)</f>
        <v>137.61000000000001</v>
      </c>
      <c r="O26" s="1">
        <f ca="1">IFERROR(__xludf.DUMMYFUNCTION("""COMPUTED_VALUE"""),203.04)</f>
        <v>203.04</v>
      </c>
      <c r="P26" s="1">
        <f ca="1">IFERROR(__xludf.DUMMYFUNCTION("""COMPUTED_VALUE"""),153.53)</f>
        <v>153.53</v>
      </c>
      <c r="Q26" s="1">
        <f ca="1">IFERROR(__xludf.DUMMYFUNCTION("""COMPUTED_VALUE"""),292.46)</f>
        <v>292.45999999999998</v>
      </c>
      <c r="R26" s="1">
        <f ca="1">IFERROR(__xludf.DUMMYFUNCTION("""COMPUTED_VALUE"""),61.88)</f>
        <v>61.88</v>
      </c>
      <c r="S26" s="1">
        <f ca="1">IFERROR(__xludf.DUMMYFUNCTION("""COMPUTED_VALUE"""),67.08)</f>
        <v>67.08</v>
      </c>
      <c r="T26" s="1">
        <f ca="1">IFERROR(__xludf.DUMMYFUNCTION("""COMPUTED_VALUE"""),38.77)</f>
        <v>38.770000000000003</v>
      </c>
      <c r="U26" s="1">
        <f ca="1">IFERROR(__xludf.DUMMYFUNCTION("""COMPUTED_VALUE"""),100.27)</f>
        <v>100.27</v>
      </c>
      <c r="V26" s="1">
        <f ca="1">IFERROR(__xludf.DUMMYFUNCTION("""COMPUTED_VALUE"""),137.25)</f>
        <v>137.25</v>
      </c>
      <c r="W26" s="1">
        <f ca="1">IFERROR(__xludf.DUMMYFUNCTION("""COMPUTED_VALUE"""),438.97)</f>
        <v>438.97</v>
      </c>
      <c r="X26" s="1">
        <f ca="1">IFERROR(__xludf.DUMMYFUNCTION("""COMPUTED_VALUE"""),309.55)</f>
        <v>309.55</v>
      </c>
      <c r="Y26" s="1">
        <f ca="1">IFERROR(__xludf.DUMMYFUNCTION("""COMPUTED_VALUE"""),58.02)</f>
        <v>58.02</v>
      </c>
      <c r="Z26" s="1">
        <f ca="1">IFERROR(__xludf.DUMMYFUNCTION("""COMPUTED_VALUE"""),241.82)</f>
        <v>241.82</v>
      </c>
      <c r="AA26" s="1">
        <f ca="1">IFERROR(__xludf.DUMMYFUNCTION("""COMPUTED_VALUE"""),36.25)</f>
        <v>36.25</v>
      </c>
      <c r="AB26" s="1">
        <f ca="1">IFERROR(__xludf.DUMMYFUNCTION("""COMPUTED_VALUE"""),86.15)</f>
        <v>86.15</v>
      </c>
      <c r="AC26" s="1">
        <f ca="1">IFERROR(__xludf.DUMMYFUNCTION("""COMPUTED_VALUE"""),49.32)</f>
        <v>49.32</v>
      </c>
    </row>
    <row r="27" spans="1:29" x14ac:dyDescent="0.25">
      <c r="A27" s="2">
        <f ca="1">IFERROR(__xludf.DUMMYFUNCTION("""COMPUTED_VALUE"""),43868.6666666666)</f>
        <v>43868.666666666599</v>
      </c>
      <c r="B27" s="1">
        <f ca="1">IFERROR(__xludf.DUMMYFUNCTION("""COMPUTED_VALUE"""),80.01)</f>
        <v>80.010000000000005</v>
      </c>
      <c r="C27" s="1">
        <f ca="1">IFERROR(__xludf.DUMMYFUNCTION("""COMPUTED_VALUE"""),183.89)</f>
        <v>183.89</v>
      </c>
      <c r="D27" s="1">
        <f ca="1">IFERROR(__xludf.DUMMYFUNCTION("""COMPUTED_VALUE"""),103.96)</f>
        <v>103.96</v>
      </c>
      <c r="E27" s="1">
        <f ca="1">IFERROR(__xludf.DUMMYFUNCTION("""COMPUTED_VALUE"""),6.29)</f>
        <v>6.29</v>
      </c>
      <c r="F27" s="1">
        <f ca="1">IFERROR(__xludf.DUMMYFUNCTION("""COMPUTED_VALUE"""),212.33)</f>
        <v>212.33</v>
      </c>
      <c r="G27" s="1">
        <f ca="1">IFERROR(__xludf.DUMMYFUNCTION("""COMPUTED_VALUE"""),73.96)</f>
        <v>73.959999999999994</v>
      </c>
      <c r="H27" s="1">
        <f ca="1">IFERROR(__xludf.DUMMYFUNCTION("""COMPUTED_VALUE"""),49.87)</f>
        <v>49.87</v>
      </c>
      <c r="I27" s="1">
        <f ca="1">IFERROR(__xludf.DUMMYFUNCTION("""COMPUTED_VALUE"""),145.37)</f>
        <v>145.37</v>
      </c>
      <c r="J27" s="1">
        <f ca="1">IFERROR(__xludf.DUMMYFUNCTION("""COMPUTED_VALUE"""),313.63)</f>
        <v>313.63</v>
      </c>
      <c r="K27" s="1">
        <f ca="1">IFERROR(__xludf.DUMMYFUNCTION("""COMPUTED_VALUE"""),31.52)</f>
        <v>31.52</v>
      </c>
      <c r="L27" s="1">
        <f ca="1">IFERROR(__xludf.DUMMYFUNCTION("""COMPUTED_VALUE"""),366.09)</f>
        <v>366.09</v>
      </c>
      <c r="M27" s="1">
        <f ca="1">IFERROR(__xludf.DUMMYFUNCTION("""COMPUTED_VALUE"""),366.77)</f>
        <v>366.77</v>
      </c>
      <c r="N27" s="1">
        <f ca="1">IFERROR(__xludf.DUMMYFUNCTION("""COMPUTED_VALUE"""),137.17)</f>
        <v>137.16999999999999</v>
      </c>
      <c r="O27" s="1">
        <f ca="1">IFERROR(__xludf.DUMMYFUNCTION("""COMPUTED_VALUE"""),202.74)</f>
        <v>202.74</v>
      </c>
      <c r="P27" s="1">
        <f ca="1">IFERROR(__xludf.DUMMYFUNCTION("""COMPUTED_VALUE"""),151.89)</f>
        <v>151.88999999999999</v>
      </c>
      <c r="Q27" s="1">
        <f ca="1">IFERROR(__xludf.DUMMYFUNCTION("""COMPUTED_VALUE"""),289.22)</f>
        <v>289.22000000000003</v>
      </c>
      <c r="R27" s="1">
        <f ca="1">IFERROR(__xludf.DUMMYFUNCTION("""COMPUTED_VALUE"""),61.47)</f>
        <v>61.47</v>
      </c>
      <c r="S27" s="1">
        <f ca="1">IFERROR(__xludf.DUMMYFUNCTION("""COMPUTED_VALUE"""),67.39)</f>
        <v>67.39</v>
      </c>
      <c r="T27" s="1">
        <f ca="1">IFERROR(__xludf.DUMMYFUNCTION("""COMPUTED_VALUE"""),38.82)</f>
        <v>38.82</v>
      </c>
      <c r="U27" s="1">
        <f ca="1">IFERROR(__xludf.DUMMYFUNCTION("""COMPUTED_VALUE"""),99.44)</f>
        <v>99.44</v>
      </c>
      <c r="V27" s="1">
        <f ca="1">IFERROR(__xludf.DUMMYFUNCTION("""COMPUTED_VALUE"""),133.37)</f>
        <v>133.37</v>
      </c>
      <c r="W27" s="1">
        <f ca="1">IFERROR(__xludf.DUMMYFUNCTION("""COMPUTED_VALUE"""),439.17)</f>
        <v>439.17</v>
      </c>
      <c r="X27" s="1">
        <f ca="1">IFERROR(__xludf.DUMMYFUNCTION("""COMPUTED_VALUE"""),304.97)</f>
        <v>304.97000000000003</v>
      </c>
      <c r="Y27" s="1">
        <f ca="1">IFERROR(__xludf.DUMMYFUNCTION("""COMPUTED_VALUE"""),56.2)</f>
        <v>56.2</v>
      </c>
      <c r="Z27" s="1">
        <f ca="1">IFERROR(__xludf.DUMMYFUNCTION("""COMPUTED_VALUE"""),238)</f>
        <v>238</v>
      </c>
      <c r="AA27" s="1">
        <f ca="1">IFERROR(__xludf.DUMMYFUNCTION("""COMPUTED_VALUE"""),36.05)</f>
        <v>36.049999999999997</v>
      </c>
      <c r="AB27" s="1">
        <f ca="1">IFERROR(__xludf.DUMMYFUNCTION("""COMPUTED_VALUE"""),86.42)</f>
        <v>86.42</v>
      </c>
      <c r="AC27" s="1">
        <f ca="1">IFERROR(__xludf.DUMMYFUNCTION("""COMPUTED_VALUE"""),49.73)</f>
        <v>49.73</v>
      </c>
    </row>
    <row r="28" spans="1:29" x14ac:dyDescent="0.25">
      <c r="A28" s="2">
        <f ca="1">IFERROR(__xludf.DUMMYFUNCTION("""COMPUTED_VALUE"""),43871.6666666666)</f>
        <v>43871.666666666599</v>
      </c>
      <c r="B28" s="1">
        <f ca="1">IFERROR(__xludf.DUMMYFUNCTION("""COMPUTED_VALUE"""),80.39)</f>
        <v>80.39</v>
      </c>
      <c r="C28" s="1">
        <f ca="1">IFERROR(__xludf.DUMMYFUNCTION("""COMPUTED_VALUE"""),188.7)</f>
        <v>188.7</v>
      </c>
      <c r="D28" s="1">
        <f ca="1">IFERROR(__xludf.DUMMYFUNCTION("""COMPUTED_VALUE"""),106.7)</f>
        <v>106.7</v>
      </c>
      <c r="E28" s="1">
        <f ca="1">IFERROR(__xludf.DUMMYFUNCTION("""COMPUTED_VALUE"""),6.57)</f>
        <v>6.57</v>
      </c>
      <c r="F28" s="1">
        <f ca="1">IFERROR(__xludf.DUMMYFUNCTION("""COMPUTED_VALUE"""),213.06)</f>
        <v>213.06</v>
      </c>
      <c r="G28" s="1">
        <f ca="1">IFERROR(__xludf.DUMMYFUNCTION("""COMPUTED_VALUE"""),75.43)</f>
        <v>75.430000000000007</v>
      </c>
      <c r="H28" s="1">
        <f ca="1">IFERROR(__xludf.DUMMYFUNCTION("""COMPUTED_VALUE"""),51.42)</f>
        <v>51.42</v>
      </c>
      <c r="I28" s="1">
        <f ca="1">IFERROR(__xludf.DUMMYFUNCTION("""COMPUTED_VALUE"""),145.66)</f>
        <v>145.66</v>
      </c>
      <c r="J28" s="1">
        <f ca="1">IFERROR(__xludf.DUMMYFUNCTION("""COMPUTED_VALUE"""),313.79)</f>
        <v>313.79000000000002</v>
      </c>
      <c r="K28" s="1">
        <f ca="1">IFERROR(__xludf.DUMMYFUNCTION("""COMPUTED_VALUE"""),31.42)</f>
        <v>31.42</v>
      </c>
      <c r="L28" s="1">
        <f ca="1">IFERROR(__xludf.DUMMYFUNCTION("""COMPUTED_VALUE"""),370)</f>
        <v>370</v>
      </c>
      <c r="M28" s="1">
        <f ca="1">IFERROR(__xludf.DUMMYFUNCTION("""COMPUTED_VALUE"""),371.07)</f>
        <v>371.07</v>
      </c>
      <c r="N28" s="1">
        <f ca="1">IFERROR(__xludf.DUMMYFUNCTION("""COMPUTED_VALUE"""),137.74)</f>
        <v>137.74</v>
      </c>
      <c r="O28" s="1">
        <f ca="1">IFERROR(__xludf.DUMMYFUNCTION("""COMPUTED_VALUE"""),205.99)</f>
        <v>205.99</v>
      </c>
      <c r="P28" s="1">
        <f ca="1">IFERROR(__xludf.DUMMYFUNCTION("""COMPUTED_VALUE"""),151.86)</f>
        <v>151.86000000000001</v>
      </c>
      <c r="Q28" s="1">
        <f ca="1">IFERROR(__xludf.DUMMYFUNCTION("""COMPUTED_VALUE"""),287.03)</f>
        <v>287.02999999999997</v>
      </c>
      <c r="R28" s="1">
        <f ca="1">IFERROR(__xludf.DUMMYFUNCTION("""COMPUTED_VALUE"""),59.96)</f>
        <v>59.96</v>
      </c>
      <c r="S28" s="1">
        <f ca="1">IFERROR(__xludf.DUMMYFUNCTION("""COMPUTED_VALUE"""),67.94)</f>
        <v>67.94</v>
      </c>
      <c r="T28" s="1">
        <f ca="1">IFERROR(__xludf.DUMMYFUNCTION("""COMPUTED_VALUE"""),38.42)</f>
        <v>38.42</v>
      </c>
      <c r="U28" s="1">
        <f ca="1">IFERROR(__xludf.DUMMYFUNCTION("""COMPUTED_VALUE"""),100.02)</f>
        <v>100.02</v>
      </c>
      <c r="V28" s="1">
        <f ca="1">IFERROR(__xludf.DUMMYFUNCTION("""COMPUTED_VALUE"""),134.32)</f>
        <v>134.32</v>
      </c>
      <c r="W28" s="1">
        <f ca="1">IFERROR(__xludf.DUMMYFUNCTION("""COMPUTED_VALUE"""),439.76)</f>
        <v>439.76</v>
      </c>
      <c r="X28" s="1">
        <f ca="1">IFERROR(__xludf.DUMMYFUNCTION("""COMPUTED_VALUE"""),309.68)</f>
        <v>309.68</v>
      </c>
      <c r="Y28" s="1">
        <f ca="1">IFERROR(__xludf.DUMMYFUNCTION("""COMPUTED_VALUE"""),57.02)</f>
        <v>57.02</v>
      </c>
      <c r="Z28" s="1">
        <f ca="1">IFERROR(__xludf.DUMMYFUNCTION("""COMPUTED_VALUE"""),237.36)</f>
        <v>237.36</v>
      </c>
      <c r="AA28" s="1">
        <f ca="1">IFERROR(__xludf.DUMMYFUNCTION("""COMPUTED_VALUE"""),35.82)</f>
        <v>35.82</v>
      </c>
      <c r="AB28" s="1">
        <f ca="1">IFERROR(__xludf.DUMMYFUNCTION("""COMPUTED_VALUE"""),87.53)</f>
        <v>87.53</v>
      </c>
      <c r="AC28" s="1">
        <f ca="1">IFERROR(__xludf.DUMMYFUNCTION("""COMPUTED_VALUE"""),52.26)</f>
        <v>52.26</v>
      </c>
    </row>
    <row r="29" spans="1:29" x14ac:dyDescent="0.25">
      <c r="A29" s="2">
        <f ca="1">IFERROR(__xludf.DUMMYFUNCTION("""COMPUTED_VALUE"""),43872.6666666666)</f>
        <v>43872.666666666599</v>
      </c>
      <c r="B29" s="1">
        <f ca="1">IFERROR(__xludf.DUMMYFUNCTION("""COMPUTED_VALUE"""),79.9)</f>
        <v>79.900000000000006</v>
      </c>
      <c r="C29" s="1">
        <f ca="1">IFERROR(__xludf.DUMMYFUNCTION("""COMPUTED_VALUE"""),184.44)</f>
        <v>184.44</v>
      </c>
      <c r="D29" s="1">
        <f ca="1">IFERROR(__xludf.DUMMYFUNCTION("""COMPUTED_VALUE"""),107.54)</f>
        <v>107.54</v>
      </c>
      <c r="E29" s="1">
        <f ca="1">IFERROR(__xludf.DUMMYFUNCTION("""COMPUTED_VALUE"""),6.7)</f>
        <v>6.7</v>
      </c>
      <c r="F29" s="1">
        <f ca="1">IFERROR(__xludf.DUMMYFUNCTION("""COMPUTED_VALUE"""),207.19)</f>
        <v>207.19</v>
      </c>
      <c r="G29" s="1">
        <f ca="1">IFERROR(__xludf.DUMMYFUNCTION("""COMPUTED_VALUE"""),75.44)</f>
        <v>75.44</v>
      </c>
      <c r="H29" s="1">
        <f ca="1">IFERROR(__xludf.DUMMYFUNCTION("""COMPUTED_VALUE"""),51.63)</f>
        <v>51.63</v>
      </c>
      <c r="I29" s="1">
        <f ca="1">IFERROR(__xludf.DUMMYFUNCTION("""COMPUTED_VALUE"""),146.08)</f>
        <v>146.08000000000001</v>
      </c>
      <c r="J29" s="1">
        <f ca="1">IFERROR(__xludf.DUMMYFUNCTION("""COMPUTED_VALUE"""),310.68)</f>
        <v>310.68</v>
      </c>
      <c r="K29" s="1">
        <f ca="1">IFERROR(__xludf.DUMMYFUNCTION("""COMPUTED_VALUE"""),32.02)</f>
        <v>32.020000000000003</v>
      </c>
      <c r="L29" s="1">
        <f ca="1">IFERROR(__xludf.DUMMYFUNCTION("""COMPUTED_VALUE"""),369.28)</f>
        <v>369.28</v>
      </c>
      <c r="M29" s="1">
        <f ca="1">IFERROR(__xludf.DUMMYFUNCTION("""COMPUTED_VALUE"""),373.69)</f>
        <v>373.69</v>
      </c>
      <c r="N29" s="1">
        <f ca="1">IFERROR(__xludf.DUMMYFUNCTION("""COMPUTED_VALUE"""),138)</f>
        <v>138</v>
      </c>
      <c r="O29" s="1">
        <f ca="1">IFERROR(__xludf.DUMMYFUNCTION("""COMPUTED_VALUE"""),203.94)</f>
        <v>203.94</v>
      </c>
      <c r="P29" s="1">
        <f ca="1">IFERROR(__xludf.DUMMYFUNCTION("""COMPUTED_VALUE"""),151.99)</f>
        <v>151.99</v>
      </c>
      <c r="Q29" s="1">
        <f ca="1">IFERROR(__xludf.DUMMYFUNCTION("""COMPUTED_VALUE"""),290.79)</f>
        <v>290.79000000000002</v>
      </c>
      <c r="R29" s="1">
        <f ca="1">IFERROR(__xludf.DUMMYFUNCTION("""COMPUTED_VALUE"""),60.53)</f>
        <v>60.53</v>
      </c>
      <c r="S29" s="1">
        <f ca="1">IFERROR(__xludf.DUMMYFUNCTION("""COMPUTED_VALUE"""),68.04)</f>
        <v>68.040000000000006</v>
      </c>
      <c r="T29" s="1">
        <f ca="1">IFERROR(__xludf.DUMMYFUNCTION("""COMPUTED_VALUE"""),38.47)</f>
        <v>38.47</v>
      </c>
      <c r="U29" s="1">
        <f ca="1">IFERROR(__xludf.DUMMYFUNCTION("""COMPUTED_VALUE"""),100.02)</f>
        <v>100.02</v>
      </c>
      <c r="V29" s="1">
        <f ca="1">IFERROR(__xludf.DUMMYFUNCTION("""COMPUTED_VALUE"""),136.19)</f>
        <v>136.19</v>
      </c>
      <c r="W29" s="1">
        <f ca="1">IFERROR(__xludf.DUMMYFUNCTION("""COMPUTED_VALUE"""),439.85)</f>
        <v>439.85</v>
      </c>
      <c r="X29" s="1">
        <f ca="1">IFERROR(__xludf.DUMMYFUNCTION("""COMPUTED_VALUE"""),316.01)</f>
        <v>316.01</v>
      </c>
      <c r="Y29" s="1">
        <f ca="1">IFERROR(__xludf.DUMMYFUNCTION("""COMPUTED_VALUE"""),58.66)</f>
        <v>58.66</v>
      </c>
      <c r="Z29" s="1">
        <f ca="1">IFERROR(__xludf.DUMMYFUNCTION("""COMPUTED_VALUE"""),236.46)</f>
        <v>236.46</v>
      </c>
      <c r="AA29" s="1">
        <f ca="1">IFERROR(__xludf.DUMMYFUNCTION("""COMPUTED_VALUE"""),36.08)</f>
        <v>36.08</v>
      </c>
      <c r="AB29" s="1">
        <f ca="1">IFERROR(__xludf.DUMMYFUNCTION("""COMPUTED_VALUE"""),87.51)</f>
        <v>87.51</v>
      </c>
      <c r="AC29" s="1">
        <f ca="1">IFERROR(__xludf.DUMMYFUNCTION("""COMPUTED_VALUE"""),53.8)</f>
        <v>53.8</v>
      </c>
    </row>
    <row r="30" spans="1:29" x14ac:dyDescent="0.25">
      <c r="A30" s="2">
        <f ca="1">IFERROR(__xludf.DUMMYFUNCTION("""COMPUTED_VALUE"""),43873.6666666666)</f>
        <v>43873.666666666599</v>
      </c>
      <c r="B30" s="1">
        <f ca="1">IFERROR(__xludf.DUMMYFUNCTION("""COMPUTED_VALUE"""),81.8)</f>
        <v>81.8</v>
      </c>
      <c r="C30" s="1">
        <f ca="1">IFERROR(__xludf.DUMMYFUNCTION("""COMPUTED_VALUE"""),184.71)</f>
        <v>184.71</v>
      </c>
      <c r="D30" s="1">
        <f ca="1">IFERROR(__xludf.DUMMYFUNCTION("""COMPUTED_VALUE"""),108)</f>
        <v>108</v>
      </c>
      <c r="E30" s="1">
        <f ca="1">IFERROR(__xludf.DUMMYFUNCTION("""COMPUTED_VALUE"""),6.81)</f>
        <v>6.81</v>
      </c>
      <c r="F30" s="1">
        <f ca="1">IFERROR(__xludf.DUMMYFUNCTION("""COMPUTED_VALUE"""),210.76)</f>
        <v>210.76</v>
      </c>
      <c r="G30" s="1">
        <f ca="1">IFERROR(__xludf.DUMMYFUNCTION("""COMPUTED_VALUE"""),75.91)</f>
        <v>75.91</v>
      </c>
      <c r="H30" s="1">
        <f ca="1">IFERROR(__xludf.DUMMYFUNCTION("""COMPUTED_VALUE"""),51.15)</f>
        <v>51.15</v>
      </c>
      <c r="I30" s="1">
        <f ca="1">IFERROR(__xludf.DUMMYFUNCTION("""COMPUTED_VALUE"""),146.08)</f>
        <v>146.08000000000001</v>
      </c>
      <c r="J30" s="1">
        <f ca="1">IFERROR(__xludf.DUMMYFUNCTION("""COMPUTED_VALUE"""),315.12)</f>
        <v>315.12</v>
      </c>
      <c r="K30" s="1">
        <f ca="1">IFERROR(__xludf.DUMMYFUNCTION("""COMPUTED_VALUE"""),32.47)</f>
        <v>32.47</v>
      </c>
      <c r="L30" s="1">
        <f ca="1">IFERROR(__xludf.DUMMYFUNCTION("""COMPUTED_VALUE"""),374.29)</f>
        <v>374.29</v>
      </c>
      <c r="M30" s="1">
        <f ca="1">IFERROR(__xludf.DUMMYFUNCTION("""COMPUTED_VALUE"""),380.01)</f>
        <v>380.01</v>
      </c>
      <c r="N30" s="1">
        <f ca="1">IFERROR(__xludf.DUMMYFUNCTION("""COMPUTED_VALUE"""),138)</f>
        <v>138</v>
      </c>
      <c r="O30" s="1">
        <f ca="1">IFERROR(__xludf.DUMMYFUNCTION("""COMPUTED_VALUE"""),207.44)</f>
        <v>207.44</v>
      </c>
      <c r="P30" s="1">
        <f ca="1">IFERROR(__xludf.DUMMYFUNCTION("""COMPUTED_VALUE"""),151.09)</f>
        <v>151.09</v>
      </c>
      <c r="Q30" s="1">
        <f ca="1">IFERROR(__xludf.DUMMYFUNCTION("""COMPUTED_VALUE"""),303.48)</f>
        <v>303.48</v>
      </c>
      <c r="R30" s="1">
        <f ca="1">IFERROR(__xludf.DUMMYFUNCTION("""COMPUTED_VALUE"""),61.27)</f>
        <v>61.27</v>
      </c>
      <c r="S30" s="1">
        <f ca="1">IFERROR(__xludf.DUMMYFUNCTION("""COMPUTED_VALUE"""),67.57)</f>
        <v>67.569999999999993</v>
      </c>
      <c r="T30" s="1">
        <f ca="1">IFERROR(__xludf.DUMMYFUNCTION("""COMPUTED_VALUE"""),38.62)</f>
        <v>38.619999999999997</v>
      </c>
      <c r="U30" s="1">
        <f ca="1">IFERROR(__xludf.DUMMYFUNCTION("""COMPUTED_VALUE"""),103)</f>
        <v>103</v>
      </c>
      <c r="V30" s="1">
        <f ca="1">IFERROR(__xludf.DUMMYFUNCTION("""COMPUTED_VALUE"""),139.59)</f>
        <v>139.59</v>
      </c>
      <c r="W30" s="1">
        <f ca="1">IFERROR(__xludf.DUMMYFUNCTION("""COMPUTED_VALUE"""),436.6)</f>
        <v>436.6</v>
      </c>
      <c r="X30" s="1">
        <f ca="1">IFERROR(__xludf.DUMMYFUNCTION("""COMPUTED_VALUE"""),317.44)</f>
        <v>317.44</v>
      </c>
      <c r="Y30" s="1">
        <f ca="1">IFERROR(__xludf.DUMMYFUNCTION("""COMPUTED_VALUE"""),59.63)</f>
        <v>59.63</v>
      </c>
      <c r="Z30" s="1">
        <f ca="1">IFERROR(__xludf.DUMMYFUNCTION("""COMPUTED_VALUE"""),238.65)</f>
        <v>238.65</v>
      </c>
      <c r="AA30" s="1">
        <f ca="1">IFERROR(__xludf.DUMMYFUNCTION("""COMPUTED_VALUE"""),35.75)</f>
        <v>35.75</v>
      </c>
      <c r="AB30" s="1">
        <f ca="1">IFERROR(__xludf.DUMMYFUNCTION("""COMPUTED_VALUE"""),88.57)</f>
        <v>88.57</v>
      </c>
      <c r="AC30" s="1">
        <f ca="1">IFERROR(__xludf.DUMMYFUNCTION("""COMPUTED_VALUE"""),53.89)</f>
        <v>53.89</v>
      </c>
    </row>
    <row r="31" spans="1:29" x14ac:dyDescent="0.25">
      <c r="A31" s="2">
        <f ca="1">IFERROR(__xludf.DUMMYFUNCTION("""COMPUTED_VALUE"""),43874.6666666666)</f>
        <v>43874.666666666599</v>
      </c>
      <c r="B31" s="1">
        <f ca="1">IFERROR(__xludf.DUMMYFUNCTION("""COMPUTED_VALUE"""),81.22)</f>
        <v>81.22</v>
      </c>
      <c r="C31" s="1">
        <f ca="1">IFERROR(__xludf.DUMMYFUNCTION("""COMPUTED_VALUE"""),183.71)</f>
        <v>183.71</v>
      </c>
      <c r="D31" s="1">
        <f ca="1">IFERROR(__xludf.DUMMYFUNCTION("""COMPUTED_VALUE"""),107.49)</f>
        <v>107.49</v>
      </c>
      <c r="E31" s="1">
        <f ca="1">IFERROR(__xludf.DUMMYFUNCTION("""COMPUTED_VALUE"""),6.77)</f>
        <v>6.77</v>
      </c>
      <c r="F31" s="1">
        <f ca="1">IFERROR(__xludf.DUMMYFUNCTION("""COMPUTED_VALUE"""),213.14)</f>
        <v>213.14</v>
      </c>
      <c r="G31" s="1">
        <f ca="1">IFERROR(__xludf.DUMMYFUNCTION("""COMPUTED_VALUE"""),75.73)</f>
        <v>75.73</v>
      </c>
      <c r="H31" s="1">
        <f ca="1">IFERROR(__xludf.DUMMYFUNCTION("""COMPUTED_VALUE"""),53.6)</f>
        <v>53.6</v>
      </c>
      <c r="I31" s="1">
        <f ca="1">IFERROR(__xludf.DUMMYFUNCTION("""COMPUTED_VALUE"""),146.47)</f>
        <v>146.47</v>
      </c>
      <c r="J31" s="1">
        <f ca="1">IFERROR(__xludf.DUMMYFUNCTION("""COMPUTED_VALUE"""),318.2)</f>
        <v>318.2</v>
      </c>
      <c r="K31" s="1">
        <f ca="1">IFERROR(__xludf.DUMMYFUNCTION("""COMPUTED_VALUE"""),32.4)</f>
        <v>32.4</v>
      </c>
      <c r="L31" s="1">
        <f ca="1">IFERROR(__xludf.DUMMYFUNCTION("""COMPUTED_VALUE"""),374.84)</f>
        <v>374.84</v>
      </c>
      <c r="M31" s="1">
        <f ca="1">IFERROR(__xludf.DUMMYFUNCTION("""COMPUTED_VALUE"""),381.4)</f>
        <v>381.4</v>
      </c>
      <c r="N31" s="1">
        <f ca="1">IFERROR(__xludf.DUMMYFUNCTION("""COMPUTED_VALUE"""),137.88)</f>
        <v>137.88</v>
      </c>
      <c r="O31" s="1">
        <f ca="1">IFERROR(__xludf.DUMMYFUNCTION("""COMPUTED_VALUE"""),207.4)</f>
        <v>207.4</v>
      </c>
      <c r="P31" s="1">
        <f ca="1">IFERROR(__xludf.DUMMYFUNCTION("""COMPUTED_VALUE"""),150.09)</f>
        <v>150.09</v>
      </c>
      <c r="Q31" s="1">
        <f ca="1">IFERROR(__xludf.DUMMYFUNCTION("""COMPUTED_VALUE"""),302.2)</f>
        <v>302.2</v>
      </c>
      <c r="R31" s="1">
        <f ca="1">IFERROR(__xludf.DUMMYFUNCTION("""COMPUTED_VALUE"""),60.93)</f>
        <v>60.93</v>
      </c>
      <c r="S31" s="1">
        <f ca="1">IFERROR(__xludf.DUMMYFUNCTION("""COMPUTED_VALUE"""),68.87)</f>
        <v>68.87</v>
      </c>
      <c r="T31" s="1">
        <f ca="1">IFERROR(__xludf.DUMMYFUNCTION("""COMPUTED_VALUE"""),39.15)</f>
        <v>39.15</v>
      </c>
      <c r="U31" s="1">
        <f ca="1">IFERROR(__xludf.DUMMYFUNCTION("""COMPUTED_VALUE"""),103.37)</f>
        <v>103.37</v>
      </c>
      <c r="V31" s="1">
        <f ca="1">IFERROR(__xludf.DUMMYFUNCTION("""COMPUTED_VALUE"""),139.72)</f>
        <v>139.72</v>
      </c>
      <c r="W31" s="1">
        <f ca="1">IFERROR(__xludf.DUMMYFUNCTION("""COMPUTED_VALUE"""),434.7)</f>
        <v>434.7</v>
      </c>
      <c r="X31" s="1">
        <f ca="1">IFERROR(__xludf.DUMMYFUNCTION("""COMPUTED_VALUE"""),317.25)</f>
        <v>317.25</v>
      </c>
      <c r="Y31" s="1">
        <f ca="1">IFERROR(__xludf.DUMMYFUNCTION("""COMPUTED_VALUE"""),59.33)</f>
        <v>59.33</v>
      </c>
      <c r="Z31" s="1">
        <f ca="1">IFERROR(__xludf.DUMMYFUNCTION("""COMPUTED_VALUE"""),238.35)</f>
        <v>238.35</v>
      </c>
      <c r="AA31" s="1">
        <f ca="1">IFERROR(__xludf.DUMMYFUNCTION("""COMPUTED_VALUE"""),34.99)</f>
        <v>34.99</v>
      </c>
      <c r="AB31" s="1">
        <f ca="1">IFERROR(__xludf.DUMMYFUNCTION("""COMPUTED_VALUE"""),89.93)</f>
        <v>89.93</v>
      </c>
      <c r="AC31" s="1">
        <f ca="1">IFERROR(__xludf.DUMMYFUNCTION("""COMPUTED_VALUE"""),54.53)</f>
        <v>54.53</v>
      </c>
    </row>
    <row r="32" spans="1:29" x14ac:dyDescent="0.25">
      <c r="A32" s="2">
        <f ca="1">IFERROR(__xludf.DUMMYFUNCTION("""COMPUTED_VALUE"""),43875.6666666666)</f>
        <v>43875.666666666599</v>
      </c>
      <c r="B32" s="1">
        <f ca="1">IFERROR(__xludf.DUMMYFUNCTION("""COMPUTED_VALUE"""),81.24)</f>
        <v>81.239999999999995</v>
      </c>
      <c r="C32" s="1">
        <f ca="1">IFERROR(__xludf.DUMMYFUNCTION("""COMPUTED_VALUE"""),185.35)</f>
        <v>185.35</v>
      </c>
      <c r="D32" s="1">
        <f ca="1">IFERROR(__xludf.DUMMYFUNCTION("""COMPUTED_VALUE"""),106.74)</f>
        <v>106.74</v>
      </c>
      <c r="E32" s="1">
        <f ca="1">IFERROR(__xludf.DUMMYFUNCTION("""COMPUTED_VALUE"""),7.24)</f>
        <v>7.24</v>
      </c>
      <c r="F32" s="1">
        <f ca="1">IFERROR(__xludf.DUMMYFUNCTION("""COMPUTED_VALUE"""),214.18)</f>
        <v>214.18</v>
      </c>
      <c r="G32" s="1">
        <f ca="1">IFERROR(__xludf.DUMMYFUNCTION("""COMPUTED_VALUE"""),76.04)</f>
        <v>76.040000000000006</v>
      </c>
      <c r="H32" s="1">
        <f ca="1">IFERROR(__xludf.DUMMYFUNCTION("""COMPUTED_VALUE"""),53.34)</f>
        <v>53.34</v>
      </c>
      <c r="I32" s="1">
        <f ca="1">IFERROR(__xludf.DUMMYFUNCTION("""COMPUTED_VALUE"""),146.99)</f>
        <v>146.99</v>
      </c>
      <c r="J32" s="1">
        <f ca="1">IFERROR(__xludf.DUMMYFUNCTION("""COMPUTED_VALUE"""),318.31)</f>
        <v>318.31</v>
      </c>
      <c r="K32" s="1">
        <f ca="1">IFERROR(__xludf.DUMMYFUNCTION("""COMPUTED_VALUE"""),31.78)</f>
        <v>31.78</v>
      </c>
      <c r="L32" s="1">
        <f ca="1">IFERROR(__xludf.DUMMYFUNCTION("""COMPUTED_VALUE"""),379.67)</f>
        <v>379.67</v>
      </c>
      <c r="M32" s="1">
        <f ca="1">IFERROR(__xludf.DUMMYFUNCTION("""COMPUTED_VALUE"""),380.4)</f>
        <v>380.4</v>
      </c>
      <c r="N32" s="1">
        <f ca="1">IFERROR(__xludf.DUMMYFUNCTION("""COMPUTED_VALUE"""),137.46)</f>
        <v>137.46</v>
      </c>
      <c r="O32" s="1">
        <f ca="1">IFERROR(__xludf.DUMMYFUNCTION("""COMPUTED_VALUE"""),210.29)</f>
        <v>210.29</v>
      </c>
      <c r="P32" s="1">
        <f ca="1">IFERROR(__xludf.DUMMYFUNCTION("""COMPUTED_VALUE"""),150.13)</f>
        <v>150.13</v>
      </c>
      <c r="Q32" s="1">
        <f ca="1">IFERROR(__xludf.DUMMYFUNCTION("""COMPUTED_VALUE"""),298.78)</f>
        <v>298.77999999999997</v>
      </c>
      <c r="R32" s="1">
        <f ca="1">IFERROR(__xludf.DUMMYFUNCTION("""COMPUTED_VALUE"""),60.65)</f>
        <v>60.65</v>
      </c>
      <c r="S32" s="1">
        <f ca="1">IFERROR(__xludf.DUMMYFUNCTION("""COMPUTED_VALUE"""),69.63)</f>
        <v>69.63</v>
      </c>
      <c r="T32" s="1">
        <f ca="1">IFERROR(__xludf.DUMMYFUNCTION("""COMPUTED_VALUE"""),39.3)</f>
        <v>39.299999999999997</v>
      </c>
      <c r="U32" s="1">
        <f ca="1">IFERROR(__xludf.DUMMYFUNCTION("""COMPUTED_VALUE"""),103.54)</f>
        <v>103.54</v>
      </c>
      <c r="V32" s="1">
        <f ca="1">IFERROR(__xludf.DUMMYFUNCTION("""COMPUTED_VALUE"""),137.99)</f>
        <v>137.99</v>
      </c>
      <c r="W32" s="1">
        <f ca="1">IFERROR(__xludf.DUMMYFUNCTION("""COMPUTED_VALUE"""),437.85)</f>
        <v>437.85</v>
      </c>
      <c r="X32" s="1">
        <f ca="1">IFERROR(__xludf.DUMMYFUNCTION("""COMPUTED_VALUE"""),316.3)</f>
        <v>316.3</v>
      </c>
      <c r="Y32" s="1">
        <f ca="1">IFERROR(__xludf.DUMMYFUNCTION("""COMPUTED_VALUE"""),58.19)</f>
        <v>58.19</v>
      </c>
      <c r="Z32" s="1">
        <f ca="1">IFERROR(__xludf.DUMMYFUNCTION("""COMPUTED_VALUE"""),237.08)</f>
        <v>237.08</v>
      </c>
      <c r="AA32" s="1">
        <f ca="1">IFERROR(__xludf.DUMMYFUNCTION("""COMPUTED_VALUE"""),34.59)</f>
        <v>34.590000000000003</v>
      </c>
      <c r="AB32" s="1">
        <f ca="1">IFERROR(__xludf.DUMMYFUNCTION("""COMPUTED_VALUE"""),89.28)</f>
        <v>89.28</v>
      </c>
      <c r="AC32" s="1">
        <f ca="1">IFERROR(__xludf.DUMMYFUNCTION("""COMPUTED_VALUE"""),55.31)</f>
        <v>55.31</v>
      </c>
    </row>
    <row r="33" spans="1:29" x14ac:dyDescent="0.25">
      <c r="A33" s="2">
        <f ca="1">IFERROR(__xludf.DUMMYFUNCTION("""COMPUTED_VALUE"""),43879.6666666666)</f>
        <v>43879.666666666599</v>
      </c>
      <c r="B33" s="1">
        <f ca="1">IFERROR(__xludf.DUMMYFUNCTION("""COMPUTED_VALUE"""),79.75)</f>
        <v>79.75</v>
      </c>
      <c r="C33" s="1">
        <f ca="1">IFERROR(__xludf.DUMMYFUNCTION("""COMPUTED_VALUE"""),187.23)</f>
        <v>187.23</v>
      </c>
      <c r="D33" s="1">
        <f ca="1">IFERROR(__xludf.DUMMYFUNCTION("""COMPUTED_VALUE"""),107.78)</f>
        <v>107.78</v>
      </c>
      <c r="E33" s="1">
        <f ca="1">IFERROR(__xludf.DUMMYFUNCTION("""COMPUTED_VALUE"""),7.41)</f>
        <v>7.41</v>
      </c>
      <c r="F33" s="1">
        <f ca="1">IFERROR(__xludf.DUMMYFUNCTION("""COMPUTED_VALUE"""),217.8)</f>
        <v>217.8</v>
      </c>
      <c r="G33" s="1">
        <f ca="1">IFERROR(__xludf.DUMMYFUNCTION("""COMPUTED_VALUE"""),75.98)</f>
        <v>75.98</v>
      </c>
      <c r="H33" s="1">
        <f ca="1">IFERROR(__xludf.DUMMYFUNCTION("""COMPUTED_VALUE"""),57.23)</f>
        <v>57.23</v>
      </c>
      <c r="I33" s="1">
        <f ca="1">IFERROR(__xludf.DUMMYFUNCTION("""COMPUTED_VALUE"""),145.6)</f>
        <v>145.6</v>
      </c>
      <c r="J33" s="1">
        <f ca="1">IFERROR(__xludf.DUMMYFUNCTION("""COMPUTED_VALUE"""),322.05)</f>
        <v>322.05</v>
      </c>
      <c r="K33" s="1">
        <f ca="1">IFERROR(__xludf.DUMMYFUNCTION("""COMPUTED_VALUE"""),31.08)</f>
        <v>31.08</v>
      </c>
      <c r="L33" s="1">
        <f ca="1">IFERROR(__xludf.DUMMYFUNCTION("""COMPUTED_VALUE"""),378.85)</f>
        <v>378.85</v>
      </c>
      <c r="M33" s="1">
        <f ca="1">IFERROR(__xludf.DUMMYFUNCTION("""COMPUTED_VALUE"""),387.78)</f>
        <v>387.78</v>
      </c>
      <c r="N33" s="1">
        <f ca="1">IFERROR(__xludf.DUMMYFUNCTION("""COMPUTED_VALUE"""),135.64)</f>
        <v>135.63999999999999</v>
      </c>
      <c r="O33" s="1">
        <f ca="1">IFERROR(__xludf.DUMMYFUNCTION("""COMPUTED_VALUE"""),211.2)</f>
        <v>211.2</v>
      </c>
      <c r="P33" s="1">
        <f ca="1">IFERROR(__xludf.DUMMYFUNCTION("""COMPUTED_VALUE"""),149.14)</f>
        <v>149.13999999999999</v>
      </c>
      <c r="Q33" s="1">
        <f ca="1">IFERROR(__xludf.DUMMYFUNCTION("""COMPUTED_VALUE"""),302.14)</f>
        <v>302.14</v>
      </c>
      <c r="R33" s="1">
        <f ca="1">IFERROR(__xludf.DUMMYFUNCTION("""COMPUTED_VALUE"""),59.88)</f>
        <v>59.88</v>
      </c>
      <c r="S33" s="1">
        <f ca="1">IFERROR(__xludf.DUMMYFUNCTION("""COMPUTED_VALUE"""),70.51)</f>
        <v>70.510000000000005</v>
      </c>
      <c r="T33" s="1">
        <f ca="1">IFERROR(__xludf.DUMMYFUNCTION("""COMPUTED_VALUE"""),39.88)</f>
        <v>39.880000000000003</v>
      </c>
      <c r="U33" s="1">
        <f ca="1">IFERROR(__xludf.DUMMYFUNCTION("""COMPUTED_VALUE"""),102)</f>
        <v>102</v>
      </c>
      <c r="V33" s="1">
        <f ca="1">IFERROR(__xludf.DUMMYFUNCTION("""COMPUTED_VALUE"""),136.58)</f>
        <v>136.58000000000001</v>
      </c>
      <c r="W33" s="1">
        <f ca="1">IFERROR(__xludf.DUMMYFUNCTION("""COMPUTED_VALUE"""),435.55)</f>
        <v>435.55</v>
      </c>
      <c r="X33" s="1">
        <f ca="1">IFERROR(__xludf.DUMMYFUNCTION("""COMPUTED_VALUE"""),309.18)</f>
        <v>309.18</v>
      </c>
      <c r="Y33" s="1">
        <f ca="1">IFERROR(__xludf.DUMMYFUNCTION("""COMPUTED_VALUE"""),56.18)</f>
        <v>56.18</v>
      </c>
      <c r="Z33" s="1">
        <f ca="1">IFERROR(__xludf.DUMMYFUNCTION("""COMPUTED_VALUE"""),233.21)</f>
        <v>233.21</v>
      </c>
      <c r="AA33" s="1">
        <f ca="1">IFERROR(__xludf.DUMMYFUNCTION("""COMPUTED_VALUE"""),34.41)</f>
        <v>34.409999999999997</v>
      </c>
      <c r="AB33" s="1">
        <f ca="1">IFERROR(__xludf.DUMMYFUNCTION("""COMPUTED_VALUE"""),89.23)</f>
        <v>89.23</v>
      </c>
      <c r="AC33" s="1">
        <f ca="1">IFERROR(__xludf.DUMMYFUNCTION("""COMPUTED_VALUE"""),56.89)</f>
        <v>56.89</v>
      </c>
    </row>
    <row r="34" spans="1:29" x14ac:dyDescent="0.25">
      <c r="A34" s="2">
        <f ca="1">IFERROR(__xludf.DUMMYFUNCTION("""COMPUTED_VALUE"""),43880.6666666666)</f>
        <v>43880.666666666599</v>
      </c>
      <c r="B34" s="1">
        <f ca="1">IFERROR(__xludf.DUMMYFUNCTION("""COMPUTED_VALUE"""),80.91)</f>
        <v>80.91</v>
      </c>
      <c r="C34" s="1">
        <f ca="1">IFERROR(__xludf.DUMMYFUNCTION("""COMPUTED_VALUE"""),187.28)</f>
        <v>187.28</v>
      </c>
      <c r="D34" s="1">
        <f ca="1">IFERROR(__xludf.DUMMYFUNCTION("""COMPUTED_VALUE"""),108.51)</f>
        <v>108.51</v>
      </c>
      <c r="E34" s="1">
        <f ca="1">IFERROR(__xludf.DUMMYFUNCTION("""COMPUTED_VALUE"""),7.87)</f>
        <v>7.87</v>
      </c>
      <c r="F34" s="1">
        <f ca="1">IFERROR(__xludf.DUMMYFUNCTION("""COMPUTED_VALUE"""),217.49)</f>
        <v>217.49</v>
      </c>
      <c r="G34" s="1">
        <f ca="1">IFERROR(__xludf.DUMMYFUNCTION("""COMPUTED_VALUE"""),76.33)</f>
        <v>76.33</v>
      </c>
      <c r="H34" s="1">
        <f ca="1">IFERROR(__xludf.DUMMYFUNCTION("""COMPUTED_VALUE"""),61.16)</f>
        <v>61.16</v>
      </c>
      <c r="I34" s="1">
        <f ca="1">IFERROR(__xludf.DUMMYFUNCTION("""COMPUTED_VALUE"""),145.53)</f>
        <v>145.53</v>
      </c>
      <c r="J34" s="1">
        <f ca="1">IFERROR(__xludf.DUMMYFUNCTION("""COMPUTED_VALUE"""),323.02)</f>
        <v>323.02</v>
      </c>
      <c r="K34" s="1">
        <f ca="1">IFERROR(__xludf.DUMMYFUNCTION("""COMPUTED_VALUE"""),31.57)</f>
        <v>31.57</v>
      </c>
      <c r="L34" s="1">
        <f ca="1">IFERROR(__xludf.DUMMYFUNCTION("""COMPUTED_VALUE"""),383.28)</f>
        <v>383.28</v>
      </c>
      <c r="M34" s="1">
        <f ca="1">IFERROR(__xludf.DUMMYFUNCTION("""COMPUTED_VALUE"""),386.19)</f>
        <v>386.19</v>
      </c>
      <c r="N34" s="1">
        <f ca="1">IFERROR(__xludf.DUMMYFUNCTION("""COMPUTED_VALUE"""),137.49)</f>
        <v>137.49</v>
      </c>
      <c r="O34" s="1">
        <f ca="1">IFERROR(__xludf.DUMMYFUNCTION("""COMPUTED_VALUE"""),213.31)</f>
        <v>213.31</v>
      </c>
      <c r="P34" s="1">
        <f ca="1">IFERROR(__xludf.DUMMYFUNCTION("""COMPUTED_VALUE"""),148.94)</f>
        <v>148.94</v>
      </c>
      <c r="Q34" s="1">
        <f ca="1">IFERROR(__xludf.DUMMYFUNCTION("""COMPUTED_VALUE"""),305.31)</f>
        <v>305.31</v>
      </c>
      <c r="R34" s="1">
        <f ca="1">IFERROR(__xludf.DUMMYFUNCTION("""COMPUTED_VALUE"""),60.34)</f>
        <v>60.34</v>
      </c>
      <c r="S34" s="1">
        <f ca="1">IFERROR(__xludf.DUMMYFUNCTION("""COMPUTED_VALUE"""),68.67)</f>
        <v>68.67</v>
      </c>
      <c r="T34" s="1">
        <f ca="1">IFERROR(__xludf.DUMMYFUNCTION("""COMPUTED_VALUE"""),39.23)</f>
        <v>39.229999999999997</v>
      </c>
      <c r="U34" s="1">
        <f ca="1">IFERROR(__xludf.DUMMYFUNCTION("""COMPUTED_VALUE"""),102.46)</f>
        <v>102.46</v>
      </c>
      <c r="V34" s="1">
        <f ca="1">IFERROR(__xludf.DUMMYFUNCTION("""COMPUTED_VALUE"""),136.86)</f>
        <v>136.86000000000001</v>
      </c>
      <c r="W34" s="1">
        <f ca="1">IFERROR(__xludf.DUMMYFUNCTION("""COMPUTED_VALUE"""),434.48)</f>
        <v>434.48</v>
      </c>
      <c r="X34" s="1">
        <f ca="1">IFERROR(__xludf.DUMMYFUNCTION("""COMPUTED_VALUE"""),317.39)</f>
        <v>317.39</v>
      </c>
      <c r="Y34" s="1">
        <f ca="1">IFERROR(__xludf.DUMMYFUNCTION("""COMPUTED_VALUE"""),57.64)</f>
        <v>57.64</v>
      </c>
      <c r="Z34" s="1">
        <f ca="1">IFERROR(__xludf.DUMMYFUNCTION("""COMPUTED_VALUE"""),237.33)</f>
        <v>237.33</v>
      </c>
      <c r="AA34" s="1">
        <f ca="1">IFERROR(__xludf.DUMMYFUNCTION("""COMPUTED_VALUE"""),34.32)</f>
        <v>34.32</v>
      </c>
      <c r="AB34" s="1">
        <f ca="1">IFERROR(__xludf.DUMMYFUNCTION("""COMPUTED_VALUE"""),90.14)</f>
        <v>90.14</v>
      </c>
      <c r="AC34" s="1">
        <f ca="1">IFERROR(__xludf.DUMMYFUNCTION("""COMPUTED_VALUE"""),58.9)</f>
        <v>58.9</v>
      </c>
    </row>
    <row r="35" spans="1:29" x14ac:dyDescent="0.25">
      <c r="A35" s="2">
        <f ca="1">IFERROR(__xludf.DUMMYFUNCTION("""COMPUTED_VALUE"""),43881.6666666666)</f>
        <v>43881.666666666599</v>
      </c>
      <c r="B35" s="1">
        <f ca="1">IFERROR(__xludf.DUMMYFUNCTION("""COMPUTED_VALUE"""),80.08)</f>
        <v>80.08</v>
      </c>
      <c r="C35" s="1">
        <f ca="1">IFERROR(__xludf.DUMMYFUNCTION("""COMPUTED_VALUE"""),184.42)</f>
        <v>184.42</v>
      </c>
      <c r="D35" s="1">
        <f ca="1">IFERROR(__xludf.DUMMYFUNCTION("""COMPUTED_VALUE"""),107.66)</f>
        <v>107.66</v>
      </c>
      <c r="E35" s="1">
        <f ca="1">IFERROR(__xludf.DUMMYFUNCTION("""COMPUTED_VALUE"""),7.72)</f>
        <v>7.72</v>
      </c>
      <c r="F35" s="1">
        <f ca="1">IFERROR(__xludf.DUMMYFUNCTION("""COMPUTED_VALUE"""),214.58)</f>
        <v>214.58</v>
      </c>
      <c r="G35" s="1">
        <f ca="1">IFERROR(__xludf.DUMMYFUNCTION("""COMPUTED_VALUE"""),75.91)</f>
        <v>75.91</v>
      </c>
      <c r="H35" s="1">
        <f ca="1">IFERROR(__xludf.DUMMYFUNCTION("""COMPUTED_VALUE"""),59.96)</f>
        <v>59.96</v>
      </c>
      <c r="I35" s="1">
        <f ca="1">IFERROR(__xludf.DUMMYFUNCTION("""COMPUTED_VALUE"""),145.16)</f>
        <v>145.16</v>
      </c>
      <c r="J35" s="1">
        <f ca="1">IFERROR(__xludf.DUMMYFUNCTION("""COMPUTED_VALUE"""),324.08)</f>
        <v>324.08</v>
      </c>
      <c r="K35" s="1">
        <f ca="1">IFERROR(__xludf.DUMMYFUNCTION("""COMPUTED_VALUE"""),30.92)</f>
        <v>30.92</v>
      </c>
      <c r="L35" s="1">
        <f ca="1">IFERROR(__xludf.DUMMYFUNCTION("""COMPUTED_VALUE"""),378.96)</f>
        <v>378.96</v>
      </c>
      <c r="M35" s="1">
        <f ca="1">IFERROR(__xludf.DUMMYFUNCTION("""COMPUTED_VALUE"""),386)</f>
        <v>386</v>
      </c>
      <c r="N35" s="1">
        <f ca="1">IFERROR(__xludf.DUMMYFUNCTION("""COMPUTED_VALUE"""),137.49)</f>
        <v>137.49</v>
      </c>
      <c r="O35" s="1">
        <f ca="1">IFERROR(__xludf.DUMMYFUNCTION("""COMPUTED_VALUE"""),211.45)</f>
        <v>211.45</v>
      </c>
      <c r="P35" s="1">
        <f ca="1">IFERROR(__xludf.DUMMYFUNCTION("""COMPUTED_VALUE"""),148.37)</f>
        <v>148.37</v>
      </c>
      <c r="Q35" s="1">
        <f ca="1">IFERROR(__xludf.DUMMYFUNCTION("""COMPUTED_VALUE"""),302.13)</f>
        <v>302.13</v>
      </c>
      <c r="R35" s="1">
        <f ca="1">IFERROR(__xludf.DUMMYFUNCTION("""COMPUTED_VALUE"""),59.86)</f>
        <v>59.86</v>
      </c>
      <c r="S35" s="1">
        <f ca="1">IFERROR(__xludf.DUMMYFUNCTION("""COMPUTED_VALUE"""),69.26)</f>
        <v>69.260000000000005</v>
      </c>
      <c r="T35" s="1">
        <f ca="1">IFERROR(__xludf.DUMMYFUNCTION("""COMPUTED_VALUE"""),39.23)</f>
        <v>39.229999999999997</v>
      </c>
      <c r="U35" s="1">
        <f ca="1">IFERROR(__xludf.DUMMYFUNCTION("""COMPUTED_VALUE"""),102.53)</f>
        <v>102.53</v>
      </c>
      <c r="V35" s="1">
        <f ca="1">IFERROR(__xludf.DUMMYFUNCTION("""COMPUTED_VALUE"""),136.93)</f>
        <v>136.93</v>
      </c>
      <c r="W35" s="1">
        <f ca="1">IFERROR(__xludf.DUMMYFUNCTION("""COMPUTED_VALUE"""),425.97)</f>
        <v>425.97</v>
      </c>
      <c r="X35" s="1">
        <f ca="1">IFERROR(__xludf.DUMMYFUNCTION("""COMPUTED_VALUE"""),313.47)</f>
        <v>313.47000000000003</v>
      </c>
      <c r="Y35" s="1">
        <f ca="1">IFERROR(__xludf.DUMMYFUNCTION("""COMPUTED_VALUE"""),56.48)</f>
        <v>56.48</v>
      </c>
      <c r="Z35" s="1">
        <f ca="1">IFERROR(__xludf.DUMMYFUNCTION("""COMPUTED_VALUE"""),232.73)</f>
        <v>232.73</v>
      </c>
      <c r="AA35" s="1">
        <f ca="1">IFERROR(__xludf.DUMMYFUNCTION("""COMPUTED_VALUE"""),33.96)</f>
        <v>33.96</v>
      </c>
      <c r="AB35" s="1">
        <f ca="1">IFERROR(__xludf.DUMMYFUNCTION("""COMPUTED_VALUE"""),88.6)</f>
        <v>88.6</v>
      </c>
      <c r="AC35" s="1">
        <f ca="1">IFERROR(__xludf.DUMMYFUNCTION("""COMPUTED_VALUE"""),57.27)</f>
        <v>57.27</v>
      </c>
    </row>
    <row r="36" spans="1:29" x14ac:dyDescent="0.25">
      <c r="A36" s="2">
        <f ca="1">IFERROR(__xludf.DUMMYFUNCTION("""COMPUTED_VALUE"""),43882.6666666666)</f>
        <v>43882.666666666599</v>
      </c>
      <c r="B36" s="1">
        <f ca="1">IFERROR(__xludf.DUMMYFUNCTION("""COMPUTED_VALUE"""),78.26)</f>
        <v>78.260000000000005</v>
      </c>
      <c r="C36" s="1">
        <f ca="1">IFERROR(__xludf.DUMMYFUNCTION("""COMPUTED_VALUE"""),178.59)</f>
        <v>178.59</v>
      </c>
      <c r="D36" s="1">
        <f ca="1">IFERROR(__xludf.DUMMYFUNCTION("""COMPUTED_VALUE"""),104.8)</f>
        <v>104.8</v>
      </c>
      <c r="E36" s="1">
        <f ca="1">IFERROR(__xludf.DUMMYFUNCTION("""COMPUTED_VALUE"""),7.35)</f>
        <v>7.35</v>
      </c>
      <c r="F36" s="1">
        <f ca="1">IFERROR(__xludf.DUMMYFUNCTION("""COMPUTED_VALUE"""),210.18)</f>
        <v>210.18</v>
      </c>
      <c r="G36" s="1">
        <f ca="1">IFERROR(__xludf.DUMMYFUNCTION("""COMPUTED_VALUE"""),74.26)</f>
        <v>74.260000000000005</v>
      </c>
      <c r="H36" s="1">
        <f ca="1">IFERROR(__xludf.DUMMYFUNCTION("""COMPUTED_VALUE"""),60.07)</f>
        <v>60.07</v>
      </c>
      <c r="I36" s="1">
        <f ca="1">IFERROR(__xludf.DUMMYFUNCTION("""COMPUTED_VALUE"""),145.85)</f>
        <v>145.85</v>
      </c>
      <c r="J36" s="1">
        <f ca="1">IFERROR(__xludf.DUMMYFUNCTION("""COMPUTED_VALUE"""),321.95)</f>
        <v>321.95</v>
      </c>
      <c r="K36" s="1">
        <f ca="1">IFERROR(__xludf.DUMMYFUNCTION("""COMPUTED_VALUE"""),30.45)</f>
        <v>30.45</v>
      </c>
      <c r="L36" s="1">
        <f ca="1">IFERROR(__xludf.DUMMYFUNCTION("""COMPUTED_VALUE"""),372.95)</f>
        <v>372.95</v>
      </c>
      <c r="M36" s="1">
        <f ca="1">IFERROR(__xludf.DUMMYFUNCTION("""COMPUTED_VALUE"""),380.07)</f>
        <v>380.07</v>
      </c>
      <c r="N36" s="1">
        <f ca="1">IFERROR(__xludf.DUMMYFUNCTION("""COMPUTED_VALUE"""),135.81)</f>
        <v>135.81</v>
      </c>
      <c r="O36" s="1">
        <f ca="1">IFERROR(__xludf.DUMMYFUNCTION("""COMPUTED_VALUE"""),208.81)</f>
        <v>208.81</v>
      </c>
      <c r="P36" s="1">
        <f ca="1">IFERROR(__xludf.DUMMYFUNCTION("""COMPUTED_VALUE"""),149.93)</f>
        <v>149.93</v>
      </c>
      <c r="Q36" s="1">
        <f ca="1">IFERROR(__xludf.DUMMYFUNCTION("""COMPUTED_VALUE"""),301.43)</f>
        <v>301.43</v>
      </c>
      <c r="R36" s="1">
        <f ca="1">IFERROR(__xludf.DUMMYFUNCTION("""COMPUTED_VALUE"""),59.13)</f>
        <v>59.13</v>
      </c>
      <c r="S36" s="1">
        <f ca="1">IFERROR(__xludf.DUMMYFUNCTION("""COMPUTED_VALUE"""),69.4)</f>
        <v>69.400000000000006</v>
      </c>
      <c r="T36" s="1">
        <f ca="1">IFERROR(__xludf.DUMMYFUNCTION("""COMPUTED_VALUE"""),39.53)</f>
        <v>39.53</v>
      </c>
      <c r="U36" s="1">
        <f ca="1">IFERROR(__xludf.DUMMYFUNCTION("""COMPUTED_VALUE"""),100.25)</f>
        <v>100.25</v>
      </c>
      <c r="V36" s="1">
        <f ca="1">IFERROR(__xludf.DUMMYFUNCTION("""COMPUTED_VALUE"""),137.21)</f>
        <v>137.21</v>
      </c>
      <c r="W36" s="1">
        <f ca="1">IFERROR(__xludf.DUMMYFUNCTION("""COMPUTED_VALUE"""),427.8)</f>
        <v>427.8</v>
      </c>
      <c r="X36" s="1">
        <f ca="1">IFERROR(__xludf.DUMMYFUNCTION("""COMPUTED_VALUE"""),306)</f>
        <v>306</v>
      </c>
      <c r="Y36" s="1">
        <f ca="1">IFERROR(__xludf.DUMMYFUNCTION("""COMPUTED_VALUE"""),55.59)</f>
        <v>55.59</v>
      </c>
      <c r="Z36" s="1">
        <f ca="1">IFERROR(__xludf.DUMMYFUNCTION("""COMPUTED_VALUE"""),230.62)</f>
        <v>230.62</v>
      </c>
      <c r="AA36" s="1">
        <f ca="1">IFERROR(__xludf.DUMMYFUNCTION("""COMPUTED_VALUE"""),33.84)</f>
        <v>33.840000000000003</v>
      </c>
      <c r="AB36" s="1">
        <f ca="1">IFERROR(__xludf.DUMMYFUNCTION("""COMPUTED_VALUE"""),87.36)</f>
        <v>87.36</v>
      </c>
      <c r="AC36" s="1">
        <f ca="1">IFERROR(__xludf.DUMMYFUNCTION("""COMPUTED_VALUE"""),53.28)</f>
        <v>53.28</v>
      </c>
    </row>
    <row r="37" spans="1:29" x14ac:dyDescent="0.25">
      <c r="A37" s="2">
        <f ca="1">IFERROR(__xludf.DUMMYFUNCTION("""COMPUTED_VALUE"""),43885.6666666666)</f>
        <v>43885.666666666599</v>
      </c>
      <c r="B37" s="1">
        <f ca="1">IFERROR(__xludf.DUMMYFUNCTION("""COMPUTED_VALUE"""),74.55)</f>
        <v>74.55</v>
      </c>
      <c r="C37" s="1">
        <f ca="1">IFERROR(__xludf.DUMMYFUNCTION("""COMPUTED_VALUE"""),170.89)</f>
        <v>170.89</v>
      </c>
      <c r="D37" s="1">
        <f ca="1">IFERROR(__xludf.DUMMYFUNCTION("""COMPUTED_VALUE"""),100.46)</f>
        <v>100.46</v>
      </c>
      <c r="E37" s="1">
        <f ca="1">IFERROR(__xludf.DUMMYFUNCTION("""COMPUTED_VALUE"""),6.83)</f>
        <v>6.83</v>
      </c>
      <c r="F37" s="1">
        <f ca="1">IFERROR(__xludf.DUMMYFUNCTION("""COMPUTED_VALUE"""),200.72)</f>
        <v>200.72</v>
      </c>
      <c r="G37" s="1">
        <f ca="1">IFERROR(__xludf.DUMMYFUNCTION("""COMPUTED_VALUE"""),71.08)</f>
        <v>71.08</v>
      </c>
      <c r="H37" s="1">
        <f ca="1">IFERROR(__xludf.DUMMYFUNCTION("""COMPUTED_VALUE"""),55.59)</f>
        <v>55.59</v>
      </c>
      <c r="I37" s="1">
        <f ca="1">IFERROR(__xludf.DUMMYFUNCTION("""COMPUTED_VALUE"""),142.64)</f>
        <v>142.63999999999999</v>
      </c>
      <c r="J37" s="1">
        <f ca="1">IFERROR(__xludf.DUMMYFUNCTION("""COMPUTED_VALUE"""),313.62)</f>
        <v>313.62</v>
      </c>
      <c r="K37" s="1">
        <f ca="1">IFERROR(__xludf.DUMMYFUNCTION("""COMPUTED_VALUE"""),29.16)</f>
        <v>29.16</v>
      </c>
      <c r="L37" s="1">
        <f ca="1">IFERROR(__xludf.DUMMYFUNCTION("""COMPUTED_VALUE"""),357.41)</f>
        <v>357.41</v>
      </c>
      <c r="M37" s="1">
        <f ca="1">IFERROR(__xludf.DUMMYFUNCTION("""COMPUTED_VALUE"""),368.7)</f>
        <v>368.7</v>
      </c>
      <c r="N37" s="1">
        <f ca="1">IFERROR(__xludf.DUMMYFUNCTION("""COMPUTED_VALUE"""),132.16)</f>
        <v>132.16</v>
      </c>
      <c r="O37" s="1">
        <f ca="1">IFERROR(__xludf.DUMMYFUNCTION("""COMPUTED_VALUE"""),198.79)</f>
        <v>198.79</v>
      </c>
      <c r="P37" s="1">
        <f ca="1">IFERROR(__xludf.DUMMYFUNCTION("""COMPUTED_VALUE"""),145.91)</f>
        <v>145.91</v>
      </c>
      <c r="Q37" s="1">
        <f ca="1">IFERROR(__xludf.DUMMYFUNCTION("""COMPUTED_VALUE"""),277.79)</f>
        <v>277.79000000000002</v>
      </c>
      <c r="R37" s="1">
        <f ca="1">IFERROR(__xludf.DUMMYFUNCTION("""COMPUTED_VALUE"""),56.36)</f>
        <v>56.36</v>
      </c>
      <c r="S37" s="1">
        <f ca="1">IFERROR(__xludf.DUMMYFUNCTION("""COMPUTED_VALUE"""),68.49)</f>
        <v>68.489999999999995</v>
      </c>
      <c r="T37" s="1">
        <f ca="1">IFERROR(__xludf.DUMMYFUNCTION("""COMPUTED_VALUE"""),38.77)</f>
        <v>38.770000000000003</v>
      </c>
      <c r="U37" s="1">
        <f ca="1">IFERROR(__xludf.DUMMYFUNCTION("""COMPUTED_VALUE"""),95.91)</f>
        <v>95.91</v>
      </c>
      <c r="V37" s="1">
        <f ca="1">IFERROR(__xludf.DUMMYFUNCTION("""COMPUTED_VALUE"""),132.17)</f>
        <v>132.16999999999999</v>
      </c>
      <c r="W37" s="1">
        <f ca="1">IFERROR(__xludf.DUMMYFUNCTION("""COMPUTED_VALUE"""),419.35)</f>
        <v>419.35</v>
      </c>
      <c r="X37" s="1">
        <f ca="1">IFERROR(__xludf.DUMMYFUNCTION("""COMPUTED_VALUE"""),290.4)</f>
        <v>290.39999999999998</v>
      </c>
      <c r="Y37" s="1">
        <f ca="1">IFERROR(__xludf.DUMMYFUNCTION("""COMPUTED_VALUE"""),54.12)</f>
        <v>54.12</v>
      </c>
      <c r="Z37" s="1">
        <f ca="1">IFERROR(__xludf.DUMMYFUNCTION("""COMPUTED_VALUE"""),224.54)</f>
        <v>224.54</v>
      </c>
      <c r="AA37" s="1">
        <f ca="1">IFERROR(__xludf.DUMMYFUNCTION("""COMPUTED_VALUE"""),32.84)</f>
        <v>32.840000000000003</v>
      </c>
      <c r="AB37" s="1">
        <f ca="1">IFERROR(__xludf.DUMMYFUNCTION("""COMPUTED_VALUE"""),84.52)</f>
        <v>84.52</v>
      </c>
      <c r="AC37" s="1">
        <f ca="1">IFERROR(__xludf.DUMMYFUNCTION("""COMPUTED_VALUE"""),49.12)</f>
        <v>49.12</v>
      </c>
    </row>
    <row r="38" spans="1:29" x14ac:dyDescent="0.25">
      <c r="A38" s="2">
        <f ca="1">IFERROR(__xludf.DUMMYFUNCTION("""COMPUTED_VALUE"""),43886.6666666666)</f>
        <v>43886.666666666599</v>
      </c>
      <c r="B38" s="1">
        <f ca="1">IFERROR(__xludf.DUMMYFUNCTION("""COMPUTED_VALUE"""),72.02)</f>
        <v>72.02</v>
      </c>
      <c r="C38" s="1">
        <f ca="1">IFERROR(__xludf.DUMMYFUNCTION("""COMPUTED_VALUE"""),168.07)</f>
        <v>168.07</v>
      </c>
      <c r="D38" s="1">
        <f ca="1">IFERROR(__xludf.DUMMYFUNCTION("""COMPUTED_VALUE"""),98.64)</f>
        <v>98.64</v>
      </c>
      <c r="E38" s="1">
        <f ca="1">IFERROR(__xludf.DUMMYFUNCTION("""COMPUTED_VALUE"""),6.55)</f>
        <v>6.55</v>
      </c>
      <c r="F38" s="1">
        <f ca="1">IFERROR(__xludf.DUMMYFUNCTION("""COMPUTED_VALUE"""),196.77)</f>
        <v>196.77</v>
      </c>
      <c r="G38" s="1">
        <f ca="1">IFERROR(__xludf.DUMMYFUNCTION("""COMPUTED_VALUE"""),69.42)</f>
        <v>69.42</v>
      </c>
      <c r="H38" s="1">
        <f ca="1">IFERROR(__xludf.DUMMYFUNCTION("""COMPUTED_VALUE"""),53.33)</f>
        <v>53.33</v>
      </c>
      <c r="I38" s="1">
        <f ca="1">IFERROR(__xludf.DUMMYFUNCTION("""COMPUTED_VALUE"""),141.1)</f>
        <v>141.1</v>
      </c>
      <c r="J38" s="1">
        <f ca="1">IFERROR(__xludf.DUMMYFUNCTION("""COMPUTED_VALUE"""),304.87)</f>
        <v>304.87</v>
      </c>
      <c r="K38" s="1">
        <f ca="1">IFERROR(__xludf.DUMMYFUNCTION("""COMPUTED_VALUE"""),28.27)</f>
        <v>28.27</v>
      </c>
      <c r="L38" s="1">
        <f ca="1">IFERROR(__xludf.DUMMYFUNCTION("""COMPUTED_VALUE"""),347.8)</f>
        <v>347.8</v>
      </c>
      <c r="M38" s="1">
        <f ca="1">IFERROR(__xludf.DUMMYFUNCTION("""COMPUTED_VALUE"""),360.09)</f>
        <v>360.09</v>
      </c>
      <c r="N38" s="1">
        <f ca="1">IFERROR(__xludf.DUMMYFUNCTION("""COMPUTED_VALUE"""),126.26)</f>
        <v>126.26</v>
      </c>
      <c r="O38" s="1">
        <f ca="1">IFERROR(__xludf.DUMMYFUNCTION("""COMPUTED_VALUE"""),188.4)</f>
        <v>188.4</v>
      </c>
      <c r="P38" s="1">
        <f ca="1">IFERROR(__xludf.DUMMYFUNCTION("""COMPUTED_VALUE"""),144.65)</f>
        <v>144.65</v>
      </c>
      <c r="Q38" s="1">
        <f ca="1">IFERROR(__xludf.DUMMYFUNCTION("""COMPUTED_VALUE"""),263.39)</f>
        <v>263.39</v>
      </c>
      <c r="R38" s="1">
        <f ca="1">IFERROR(__xludf.DUMMYFUNCTION("""COMPUTED_VALUE"""),54.2)</f>
        <v>54.2</v>
      </c>
      <c r="S38" s="1">
        <f ca="1">IFERROR(__xludf.DUMMYFUNCTION("""COMPUTED_VALUE"""),67.58)</f>
        <v>67.58</v>
      </c>
      <c r="T38" s="1">
        <f ca="1">IFERROR(__xludf.DUMMYFUNCTION("""COMPUTED_VALUE"""),38.13)</f>
        <v>38.130000000000003</v>
      </c>
      <c r="U38" s="1">
        <f ca="1">IFERROR(__xludf.DUMMYFUNCTION("""COMPUTED_VALUE"""),92.9)</f>
        <v>92.9</v>
      </c>
      <c r="V38" s="1">
        <f ca="1">IFERROR(__xludf.DUMMYFUNCTION("""COMPUTED_VALUE"""),129)</f>
        <v>129</v>
      </c>
      <c r="W38" s="1">
        <f ca="1">IFERROR(__xludf.DUMMYFUNCTION("""COMPUTED_VALUE"""),400.36)</f>
        <v>400.36</v>
      </c>
      <c r="X38" s="1">
        <f ca="1">IFERROR(__xludf.DUMMYFUNCTION("""COMPUTED_VALUE"""),284.59)</f>
        <v>284.58999999999997</v>
      </c>
      <c r="Y38" s="1">
        <f ca="1">IFERROR(__xludf.DUMMYFUNCTION("""COMPUTED_VALUE"""),53.86)</f>
        <v>53.86</v>
      </c>
      <c r="Z38" s="1">
        <f ca="1">IFERROR(__xludf.DUMMYFUNCTION("""COMPUTED_VALUE"""),217.61)</f>
        <v>217.61</v>
      </c>
      <c r="AA38" s="1">
        <f ca="1">IFERROR(__xludf.DUMMYFUNCTION("""COMPUTED_VALUE"""),32.14)</f>
        <v>32.14</v>
      </c>
      <c r="AB38" s="1">
        <f ca="1">IFERROR(__xludf.DUMMYFUNCTION("""COMPUTED_VALUE"""),82.19)</f>
        <v>82.19</v>
      </c>
      <c r="AC38" s="1">
        <f ca="1">IFERROR(__xludf.DUMMYFUNCTION("""COMPUTED_VALUE"""),47.57)</f>
        <v>47.57</v>
      </c>
    </row>
    <row r="39" spans="1:29" x14ac:dyDescent="0.25">
      <c r="A39" s="2">
        <f ca="1">IFERROR(__xludf.DUMMYFUNCTION("""COMPUTED_VALUE"""),43887.6666666666)</f>
        <v>43887.666666666599</v>
      </c>
      <c r="B39" s="1">
        <f ca="1">IFERROR(__xludf.DUMMYFUNCTION("""COMPUTED_VALUE"""),73.16)</f>
        <v>73.16</v>
      </c>
      <c r="C39" s="1">
        <f ca="1">IFERROR(__xludf.DUMMYFUNCTION("""COMPUTED_VALUE"""),170.17)</f>
        <v>170.17</v>
      </c>
      <c r="D39" s="1">
        <f ca="1">IFERROR(__xludf.DUMMYFUNCTION("""COMPUTED_VALUE"""),98.98)</f>
        <v>98.98</v>
      </c>
      <c r="E39" s="1">
        <f ca="1">IFERROR(__xludf.DUMMYFUNCTION("""COMPUTED_VALUE"""),6.69)</f>
        <v>6.69</v>
      </c>
      <c r="F39" s="1">
        <f ca="1">IFERROR(__xludf.DUMMYFUNCTION("""COMPUTED_VALUE"""),197.2)</f>
        <v>197.2</v>
      </c>
      <c r="G39" s="1">
        <f ca="1">IFERROR(__xludf.DUMMYFUNCTION("""COMPUTED_VALUE"""),69.66)</f>
        <v>69.66</v>
      </c>
      <c r="H39" s="1">
        <f ca="1">IFERROR(__xludf.DUMMYFUNCTION("""COMPUTED_VALUE"""),51.92)</f>
        <v>51.92</v>
      </c>
      <c r="I39" s="1">
        <f ca="1">IFERROR(__xludf.DUMMYFUNCTION("""COMPUTED_VALUE"""),141.98)</f>
        <v>141.97999999999999</v>
      </c>
      <c r="J39" s="1">
        <f ca="1">IFERROR(__xludf.DUMMYFUNCTION("""COMPUTED_VALUE"""),305.69)</f>
        <v>305.69</v>
      </c>
      <c r="K39" s="1">
        <f ca="1">IFERROR(__xludf.DUMMYFUNCTION("""COMPUTED_VALUE"""),28.59)</f>
        <v>28.59</v>
      </c>
      <c r="L39" s="1">
        <f ca="1">IFERROR(__xludf.DUMMYFUNCTION("""COMPUTED_VALUE"""),351.34)</f>
        <v>351.34</v>
      </c>
      <c r="M39" s="1">
        <f ca="1">IFERROR(__xludf.DUMMYFUNCTION("""COMPUTED_VALUE"""),379.24)</f>
        <v>379.24</v>
      </c>
      <c r="N39" s="1">
        <f ca="1">IFERROR(__xludf.DUMMYFUNCTION("""COMPUTED_VALUE"""),126.64)</f>
        <v>126.64</v>
      </c>
      <c r="O39" s="1">
        <f ca="1">IFERROR(__xludf.DUMMYFUNCTION("""COMPUTED_VALUE"""),187.21)</f>
        <v>187.21</v>
      </c>
      <c r="P39" s="1">
        <f ca="1">IFERROR(__xludf.DUMMYFUNCTION("""COMPUTED_VALUE"""),143.68)</f>
        <v>143.68</v>
      </c>
      <c r="Q39" s="1">
        <f ca="1">IFERROR(__xludf.DUMMYFUNCTION("""COMPUTED_VALUE"""),263)</f>
        <v>263</v>
      </c>
      <c r="R39" s="1">
        <f ca="1">IFERROR(__xludf.DUMMYFUNCTION("""COMPUTED_VALUE"""),53.01)</f>
        <v>53.01</v>
      </c>
      <c r="S39" s="1">
        <f ca="1">IFERROR(__xludf.DUMMYFUNCTION("""COMPUTED_VALUE"""),67.37)</f>
        <v>67.37</v>
      </c>
      <c r="T39" s="1">
        <f ca="1">IFERROR(__xludf.DUMMYFUNCTION("""COMPUTED_VALUE"""),37.93)</f>
        <v>37.93</v>
      </c>
      <c r="U39" s="1">
        <f ca="1">IFERROR(__xludf.DUMMYFUNCTION("""COMPUTED_VALUE"""),92)</f>
        <v>92</v>
      </c>
      <c r="V39" s="1">
        <f ca="1">IFERROR(__xludf.DUMMYFUNCTION("""COMPUTED_VALUE"""),128.25)</f>
        <v>128.25</v>
      </c>
      <c r="W39" s="1">
        <f ca="1">IFERROR(__xludf.DUMMYFUNCTION("""COMPUTED_VALUE"""),400.9)</f>
        <v>400.9</v>
      </c>
      <c r="X39" s="1">
        <f ca="1">IFERROR(__xludf.DUMMYFUNCTION("""COMPUTED_VALUE"""),286.32)</f>
        <v>286.32</v>
      </c>
      <c r="Y39" s="1">
        <f ca="1">IFERROR(__xludf.DUMMYFUNCTION("""COMPUTED_VALUE"""),55.03)</f>
        <v>55.03</v>
      </c>
      <c r="Z39" s="1">
        <f ca="1">IFERROR(__xludf.DUMMYFUNCTION("""COMPUTED_VALUE"""),215.78)</f>
        <v>215.78</v>
      </c>
      <c r="AA39" s="1">
        <f ca="1">IFERROR(__xludf.DUMMYFUNCTION("""COMPUTED_VALUE"""),32.89)</f>
        <v>32.89</v>
      </c>
      <c r="AB39" s="1">
        <f ca="1">IFERROR(__xludf.DUMMYFUNCTION("""COMPUTED_VALUE"""),80.67)</f>
        <v>80.67</v>
      </c>
      <c r="AC39" s="1">
        <f ca="1">IFERROR(__xludf.DUMMYFUNCTION("""COMPUTED_VALUE"""),47.49)</f>
        <v>47.49</v>
      </c>
    </row>
    <row r="40" spans="1:29" x14ac:dyDescent="0.25">
      <c r="A40" s="2">
        <f ca="1">IFERROR(__xludf.DUMMYFUNCTION("""COMPUTED_VALUE"""),43888.6666666666)</f>
        <v>43888.666666666599</v>
      </c>
      <c r="B40" s="1">
        <f ca="1">IFERROR(__xludf.DUMMYFUNCTION("""COMPUTED_VALUE"""),68.38)</f>
        <v>68.38</v>
      </c>
      <c r="C40" s="1">
        <f ca="1">IFERROR(__xludf.DUMMYFUNCTION("""COMPUTED_VALUE"""),158.18)</f>
        <v>158.18</v>
      </c>
      <c r="D40" s="1">
        <f ca="1">IFERROR(__xludf.DUMMYFUNCTION("""COMPUTED_VALUE"""),94.22)</f>
        <v>94.22</v>
      </c>
      <c r="E40" s="1">
        <f ca="1">IFERROR(__xludf.DUMMYFUNCTION("""COMPUTED_VALUE"""),6.32)</f>
        <v>6.32</v>
      </c>
      <c r="F40" s="1">
        <f ca="1">IFERROR(__xludf.DUMMYFUNCTION("""COMPUTED_VALUE"""),189.75)</f>
        <v>189.75</v>
      </c>
      <c r="G40" s="1">
        <f ca="1">IFERROR(__xludf.DUMMYFUNCTION("""COMPUTED_VALUE"""),65.9)</f>
        <v>65.900000000000006</v>
      </c>
      <c r="H40" s="1">
        <f ca="1">IFERROR(__xludf.DUMMYFUNCTION("""COMPUTED_VALUE"""),45.27)</f>
        <v>45.27</v>
      </c>
      <c r="I40" s="1">
        <f ca="1">IFERROR(__xludf.DUMMYFUNCTION("""COMPUTED_VALUE"""),136.37)</f>
        <v>136.37</v>
      </c>
      <c r="J40" s="1">
        <f ca="1">IFERROR(__xludf.DUMMYFUNCTION("""COMPUTED_VALUE"""),293.13)</f>
        <v>293.13</v>
      </c>
      <c r="K40" s="1">
        <f ca="1">IFERROR(__xludf.DUMMYFUNCTION("""COMPUTED_VALUE"""),27.4)</f>
        <v>27.4</v>
      </c>
      <c r="L40" s="1">
        <f ca="1">IFERROR(__xludf.DUMMYFUNCTION("""COMPUTED_VALUE"""),337.52)</f>
        <v>337.52</v>
      </c>
      <c r="M40" s="1">
        <f ca="1">IFERROR(__xludf.DUMMYFUNCTION("""COMPUTED_VALUE"""),371.71)</f>
        <v>371.71</v>
      </c>
      <c r="N40" s="1">
        <f ca="1">IFERROR(__xludf.DUMMYFUNCTION("""COMPUTED_VALUE"""),121.37)</f>
        <v>121.37</v>
      </c>
      <c r="O40" s="1">
        <f ca="1">IFERROR(__xludf.DUMMYFUNCTION("""COMPUTED_VALUE"""),180.01)</f>
        <v>180.01</v>
      </c>
      <c r="P40" s="1">
        <f ca="1">IFERROR(__xludf.DUMMYFUNCTION("""COMPUTED_VALUE"""),139.12)</f>
        <v>139.12</v>
      </c>
      <c r="Q40" s="1">
        <f ca="1">IFERROR(__xludf.DUMMYFUNCTION("""COMPUTED_VALUE"""),253.92)</f>
        <v>253.92</v>
      </c>
      <c r="R40" s="1">
        <f ca="1">IFERROR(__xludf.DUMMYFUNCTION("""COMPUTED_VALUE"""),49.82)</f>
        <v>49.82</v>
      </c>
      <c r="S40" s="1">
        <f ca="1">IFERROR(__xludf.DUMMYFUNCTION("""COMPUTED_VALUE"""),63.96)</f>
        <v>63.96</v>
      </c>
      <c r="T40" s="1">
        <f ca="1">IFERROR(__xludf.DUMMYFUNCTION("""COMPUTED_VALUE"""),36.8)</f>
        <v>36.799999999999997</v>
      </c>
      <c r="U40" s="1">
        <f ca="1">IFERROR(__xludf.DUMMYFUNCTION("""COMPUTED_VALUE"""),88.55)</f>
        <v>88.55</v>
      </c>
      <c r="V40" s="1">
        <f ca="1">IFERROR(__xludf.DUMMYFUNCTION("""COMPUTED_VALUE"""),123.27)</f>
        <v>123.27</v>
      </c>
      <c r="W40" s="1">
        <f ca="1">IFERROR(__xludf.DUMMYFUNCTION("""COMPUTED_VALUE"""),384.6)</f>
        <v>384.6</v>
      </c>
      <c r="X40" s="1">
        <f ca="1">IFERROR(__xludf.DUMMYFUNCTION("""COMPUTED_VALUE"""),277.23)</f>
        <v>277.23</v>
      </c>
      <c r="Y40" s="1">
        <f ca="1">IFERROR(__xludf.DUMMYFUNCTION("""COMPUTED_VALUE"""),53.29)</f>
        <v>53.29</v>
      </c>
      <c r="Z40" s="1">
        <f ca="1">IFERROR(__xludf.DUMMYFUNCTION("""COMPUTED_VALUE"""),205.69)</f>
        <v>205.69</v>
      </c>
      <c r="AA40" s="1">
        <f ca="1">IFERROR(__xludf.DUMMYFUNCTION("""COMPUTED_VALUE"""),32.3)</f>
        <v>32.299999999999997</v>
      </c>
      <c r="AB40" s="1">
        <f ca="1">IFERROR(__xludf.DUMMYFUNCTION("""COMPUTED_VALUE"""),78.29)</f>
        <v>78.290000000000006</v>
      </c>
      <c r="AC40" s="1">
        <f ca="1">IFERROR(__xludf.DUMMYFUNCTION("""COMPUTED_VALUE"""),44.01)</f>
        <v>44.01</v>
      </c>
    </row>
    <row r="41" spans="1:29" x14ac:dyDescent="0.25">
      <c r="A41" s="2">
        <f ca="1">IFERROR(__xludf.DUMMYFUNCTION("""COMPUTED_VALUE"""),43889.6666666666)</f>
        <v>43889.666666666599</v>
      </c>
      <c r="B41" s="1">
        <f ca="1">IFERROR(__xludf.DUMMYFUNCTION("""COMPUTED_VALUE"""),68.34)</f>
        <v>68.34</v>
      </c>
      <c r="C41" s="1">
        <f ca="1">IFERROR(__xludf.DUMMYFUNCTION("""COMPUTED_VALUE"""),162.01)</f>
        <v>162.01</v>
      </c>
      <c r="D41" s="1">
        <f ca="1">IFERROR(__xludf.DUMMYFUNCTION("""COMPUTED_VALUE"""),94.19)</f>
        <v>94.19</v>
      </c>
      <c r="E41" s="1">
        <f ca="1">IFERROR(__xludf.DUMMYFUNCTION("""COMPUTED_VALUE"""),6.75)</f>
        <v>6.75</v>
      </c>
      <c r="F41" s="1">
        <f ca="1">IFERROR(__xludf.DUMMYFUNCTION("""COMPUTED_VALUE"""),192.47)</f>
        <v>192.47</v>
      </c>
      <c r="G41" s="1">
        <f ca="1">IFERROR(__xludf.DUMMYFUNCTION("""COMPUTED_VALUE"""),66.97)</f>
        <v>66.97</v>
      </c>
      <c r="H41" s="1">
        <f ca="1">IFERROR(__xludf.DUMMYFUNCTION("""COMPUTED_VALUE"""),44.53)</f>
        <v>44.53</v>
      </c>
      <c r="I41" s="1">
        <f ca="1">IFERROR(__xludf.DUMMYFUNCTION("""COMPUTED_VALUE"""),132.03)</f>
        <v>132.03</v>
      </c>
      <c r="J41" s="1">
        <f ca="1">IFERROR(__xludf.DUMMYFUNCTION("""COMPUTED_VALUE"""),281.14)</f>
        <v>281.14</v>
      </c>
      <c r="K41" s="1">
        <f ca="1">IFERROR(__xludf.DUMMYFUNCTION("""COMPUTED_VALUE"""),27.26)</f>
        <v>27.26</v>
      </c>
      <c r="L41" s="1">
        <f ca="1">IFERROR(__xludf.DUMMYFUNCTION("""COMPUTED_VALUE"""),345.12)</f>
        <v>345.12</v>
      </c>
      <c r="M41" s="1">
        <f ca="1">IFERROR(__xludf.DUMMYFUNCTION("""COMPUTED_VALUE"""),369.03)</f>
        <v>369.03</v>
      </c>
      <c r="N41" s="1">
        <f ca="1">IFERROR(__xludf.DUMMYFUNCTION("""COMPUTED_VALUE"""),116.11)</f>
        <v>116.11</v>
      </c>
      <c r="O41" s="1">
        <f ca="1">IFERROR(__xludf.DUMMYFUNCTION("""COMPUTED_VALUE"""),181.76)</f>
        <v>181.76</v>
      </c>
      <c r="P41" s="1">
        <f ca="1">IFERROR(__xludf.DUMMYFUNCTION("""COMPUTED_VALUE"""),134.48)</f>
        <v>134.47999999999999</v>
      </c>
      <c r="Q41" s="1">
        <f ca="1">IFERROR(__xludf.DUMMYFUNCTION("""COMPUTED_VALUE"""),254.96)</f>
        <v>254.96</v>
      </c>
      <c r="R41" s="1">
        <f ca="1">IFERROR(__xludf.DUMMYFUNCTION("""COMPUTED_VALUE"""),51.44)</f>
        <v>51.44</v>
      </c>
      <c r="S41" s="1">
        <f ca="1">IFERROR(__xludf.DUMMYFUNCTION("""COMPUTED_VALUE"""),63.19)</f>
        <v>63.19</v>
      </c>
      <c r="T41" s="1">
        <f ca="1">IFERROR(__xludf.DUMMYFUNCTION("""COMPUTED_VALUE"""),35.89)</f>
        <v>35.89</v>
      </c>
      <c r="U41" s="1">
        <f ca="1">IFERROR(__xludf.DUMMYFUNCTION("""COMPUTED_VALUE"""),89.38)</f>
        <v>89.38</v>
      </c>
      <c r="V41" s="1">
        <f ca="1">IFERROR(__xludf.DUMMYFUNCTION("""COMPUTED_VALUE"""),124.24)</f>
        <v>124.24</v>
      </c>
      <c r="W41" s="1">
        <f ca="1">IFERROR(__xludf.DUMMYFUNCTION("""COMPUTED_VALUE"""),369.87)</f>
        <v>369.87</v>
      </c>
      <c r="X41" s="1">
        <f ca="1">IFERROR(__xludf.DUMMYFUNCTION("""COMPUTED_VALUE"""),276.71)</f>
        <v>276.70999999999998</v>
      </c>
      <c r="Y41" s="1">
        <f ca="1">IFERROR(__xludf.DUMMYFUNCTION("""COMPUTED_VALUE"""),53.84)</f>
        <v>53.84</v>
      </c>
      <c r="Z41" s="1">
        <f ca="1">IFERROR(__xludf.DUMMYFUNCTION("""COMPUTED_VALUE"""),200.77)</f>
        <v>200.77</v>
      </c>
      <c r="AA41" s="1">
        <f ca="1">IFERROR(__xludf.DUMMYFUNCTION("""COMPUTED_VALUE"""),31.66)</f>
        <v>31.66</v>
      </c>
      <c r="AB41" s="1">
        <f ca="1">IFERROR(__xludf.DUMMYFUNCTION("""COMPUTED_VALUE"""),78.43)</f>
        <v>78.430000000000007</v>
      </c>
      <c r="AC41" s="1">
        <f ca="1">IFERROR(__xludf.DUMMYFUNCTION("""COMPUTED_VALUE"""),45.48)</f>
        <v>45.48</v>
      </c>
    </row>
    <row r="42" spans="1:29" x14ac:dyDescent="0.25">
      <c r="A42" s="2">
        <f ca="1">IFERROR(__xludf.DUMMYFUNCTION("""COMPUTED_VALUE"""),43892.6666666666)</f>
        <v>43892.666666666599</v>
      </c>
      <c r="B42" s="1">
        <f ca="1">IFERROR(__xludf.DUMMYFUNCTION("""COMPUTED_VALUE"""),74.7)</f>
        <v>74.7</v>
      </c>
      <c r="C42" s="1">
        <f ca="1">IFERROR(__xludf.DUMMYFUNCTION("""COMPUTED_VALUE"""),172.79)</f>
        <v>172.79</v>
      </c>
      <c r="D42" s="1">
        <f ca="1">IFERROR(__xludf.DUMMYFUNCTION("""COMPUTED_VALUE"""),97.7)</f>
        <v>97.7</v>
      </c>
      <c r="E42" s="1">
        <f ca="1">IFERROR(__xludf.DUMMYFUNCTION("""COMPUTED_VALUE"""),6.91)</f>
        <v>6.91</v>
      </c>
      <c r="F42" s="1">
        <f ca="1">IFERROR(__xludf.DUMMYFUNCTION("""COMPUTED_VALUE"""),196.44)</f>
        <v>196.44</v>
      </c>
      <c r="G42" s="1">
        <f ca="1">IFERROR(__xludf.DUMMYFUNCTION("""COMPUTED_VALUE"""),69.46)</f>
        <v>69.459999999999994</v>
      </c>
      <c r="H42" s="1">
        <f ca="1">IFERROR(__xludf.DUMMYFUNCTION("""COMPUTED_VALUE"""),49.57)</f>
        <v>49.57</v>
      </c>
      <c r="I42" s="1">
        <f ca="1">IFERROR(__xludf.DUMMYFUNCTION("""COMPUTED_VALUE"""),137.58)</f>
        <v>137.58000000000001</v>
      </c>
      <c r="J42" s="1">
        <f ca="1">IFERROR(__xludf.DUMMYFUNCTION("""COMPUTED_VALUE"""),309.14)</f>
        <v>309.14</v>
      </c>
      <c r="K42" s="1">
        <f ca="1">IFERROR(__xludf.DUMMYFUNCTION("""COMPUTED_VALUE"""),28.5)</f>
        <v>28.5</v>
      </c>
      <c r="L42" s="1">
        <f ca="1">IFERROR(__xludf.DUMMYFUNCTION("""COMPUTED_VALUE"""),360.28)</f>
        <v>360.28</v>
      </c>
      <c r="M42" s="1">
        <f ca="1">IFERROR(__xludf.DUMMYFUNCTION("""COMPUTED_VALUE"""),381.05)</f>
        <v>381.05</v>
      </c>
      <c r="N42" s="1">
        <f ca="1">IFERROR(__xludf.DUMMYFUNCTION("""COMPUTED_VALUE"""),121.52)</f>
        <v>121.52</v>
      </c>
      <c r="O42" s="1">
        <f ca="1">IFERROR(__xludf.DUMMYFUNCTION("""COMPUTED_VALUE"""),192.33)</f>
        <v>192.33</v>
      </c>
      <c r="P42" s="1">
        <f ca="1">IFERROR(__xludf.DUMMYFUNCTION("""COMPUTED_VALUE"""),140.02)</f>
        <v>140.02000000000001</v>
      </c>
      <c r="Q42" s="1">
        <f ca="1">IFERROR(__xludf.DUMMYFUNCTION("""COMPUTED_VALUE"""),273.11)</f>
        <v>273.11</v>
      </c>
      <c r="R42" s="1">
        <f ca="1">IFERROR(__xludf.DUMMYFUNCTION("""COMPUTED_VALUE"""),53.88)</f>
        <v>53.88</v>
      </c>
      <c r="S42" s="1">
        <f ca="1">IFERROR(__xludf.DUMMYFUNCTION("""COMPUTED_VALUE"""),67.09)</f>
        <v>67.09</v>
      </c>
      <c r="T42" s="1">
        <f ca="1">IFERROR(__xludf.DUMMYFUNCTION("""COMPUTED_VALUE"""),38.63)</f>
        <v>38.630000000000003</v>
      </c>
      <c r="U42" s="1">
        <f ca="1">IFERROR(__xludf.DUMMYFUNCTION("""COMPUTED_VALUE"""),92.68)</f>
        <v>92.68</v>
      </c>
      <c r="V42" s="1">
        <f ca="1">IFERROR(__xludf.DUMMYFUNCTION("""COMPUTED_VALUE"""),127.6)</f>
        <v>127.6</v>
      </c>
      <c r="W42" s="1">
        <f ca="1">IFERROR(__xludf.DUMMYFUNCTION("""COMPUTED_VALUE"""),381.35)</f>
        <v>381.35</v>
      </c>
      <c r="X42" s="1">
        <f ca="1">IFERROR(__xludf.DUMMYFUNCTION("""COMPUTED_VALUE"""),287.49)</f>
        <v>287.49</v>
      </c>
      <c r="Y42" s="1">
        <f ca="1">IFERROR(__xludf.DUMMYFUNCTION("""COMPUTED_VALUE"""),55.98)</f>
        <v>55.98</v>
      </c>
      <c r="Z42" s="1">
        <f ca="1">IFERROR(__xludf.DUMMYFUNCTION("""COMPUTED_VALUE"""),209.47)</f>
        <v>209.47</v>
      </c>
      <c r="AA42" s="1">
        <f ca="1">IFERROR(__xludf.DUMMYFUNCTION("""COMPUTED_VALUE"""),33.04)</f>
        <v>33.04</v>
      </c>
      <c r="AB42" s="1">
        <f ca="1">IFERROR(__xludf.DUMMYFUNCTION("""COMPUTED_VALUE"""),82.38)</f>
        <v>82.38</v>
      </c>
      <c r="AC42" s="1">
        <f ca="1">IFERROR(__xludf.DUMMYFUNCTION("""COMPUTED_VALUE"""),47.46)</f>
        <v>47.46</v>
      </c>
    </row>
    <row r="43" spans="1:29" x14ac:dyDescent="0.25">
      <c r="A43" s="2">
        <f ca="1">IFERROR(__xludf.DUMMYFUNCTION("""COMPUTED_VALUE"""),43893.6666666666)</f>
        <v>43893.666666666599</v>
      </c>
      <c r="B43" s="1">
        <f ca="1">IFERROR(__xludf.DUMMYFUNCTION("""COMPUTED_VALUE"""),72.33)</f>
        <v>72.33</v>
      </c>
      <c r="C43" s="1">
        <f ca="1">IFERROR(__xludf.DUMMYFUNCTION("""COMPUTED_VALUE"""),164.51)</f>
        <v>164.51</v>
      </c>
      <c r="D43" s="1">
        <f ca="1">IFERROR(__xludf.DUMMYFUNCTION("""COMPUTED_VALUE"""),95.45)</f>
        <v>95.45</v>
      </c>
      <c r="E43" s="1">
        <f ca="1">IFERROR(__xludf.DUMMYFUNCTION("""COMPUTED_VALUE"""),6.65)</f>
        <v>6.65</v>
      </c>
      <c r="F43" s="1">
        <f ca="1">IFERROR(__xludf.DUMMYFUNCTION("""COMPUTED_VALUE"""),185.89)</f>
        <v>185.89</v>
      </c>
      <c r="G43" s="1">
        <f ca="1">IFERROR(__xludf.DUMMYFUNCTION("""COMPUTED_VALUE"""),67.07)</f>
        <v>67.069999999999993</v>
      </c>
      <c r="H43" s="1">
        <f ca="1">IFERROR(__xludf.DUMMYFUNCTION("""COMPUTED_VALUE"""),49.7)</f>
        <v>49.7</v>
      </c>
      <c r="I43" s="1">
        <f ca="1">IFERROR(__xludf.DUMMYFUNCTION("""COMPUTED_VALUE"""),135.58)</f>
        <v>135.58000000000001</v>
      </c>
      <c r="J43" s="1">
        <f ca="1">IFERROR(__xludf.DUMMYFUNCTION("""COMPUTED_VALUE"""),302.73)</f>
        <v>302.73</v>
      </c>
      <c r="K43" s="1">
        <f ca="1">IFERROR(__xludf.DUMMYFUNCTION("""COMPUTED_VALUE"""),27.43)</f>
        <v>27.43</v>
      </c>
      <c r="L43" s="1">
        <f ca="1">IFERROR(__xludf.DUMMYFUNCTION("""COMPUTED_VALUE"""),348.34)</f>
        <v>348.34</v>
      </c>
      <c r="M43" s="1">
        <f ca="1">IFERROR(__xludf.DUMMYFUNCTION("""COMPUTED_VALUE"""),368.77)</f>
        <v>368.77</v>
      </c>
      <c r="N43" s="1">
        <f ca="1">IFERROR(__xludf.DUMMYFUNCTION("""COMPUTED_VALUE"""),116.96)</f>
        <v>116.96</v>
      </c>
      <c r="O43" s="1">
        <f ca="1">IFERROR(__xludf.DUMMYFUNCTION("""COMPUTED_VALUE"""),185.73)</f>
        <v>185.73</v>
      </c>
      <c r="P43" s="1">
        <f ca="1">IFERROR(__xludf.DUMMYFUNCTION("""COMPUTED_VALUE"""),135.59)</f>
        <v>135.59</v>
      </c>
      <c r="Q43" s="1">
        <f ca="1">IFERROR(__xludf.DUMMYFUNCTION("""COMPUTED_VALUE"""),261.4)</f>
        <v>261.39999999999998</v>
      </c>
      <c r="R43" s="1">
        <f ca="1">IFERROR(__xludf.DUMMYFUNCTION("""COMPUTED_VALUE"""),51.3)</f>
        <v>51.3</v>
      </c>
      <c r="S43" s="1">
        <f ca="1">IFERROR(__xludf.DUMMYFUNCTION("""COMPUTED_VALUE"""),66.29)</f>
        <v>66.290000000000006</v>
      </c>
      <c r="T43" s="1">
        <f ca="1">IFERROR(__xludf.DUMMYFUNCTION("""COMPUTED_VALUE"""),37.64)</f>
        <v>37.64</v>
      </c>
      <c r="U43" s="1">
        <f ca="1">IFERROR(__xludf.DUMMYFUNCTION("""COMPUTED_VALUE"""),90.93)</f>
        <v>90.93</v>
      </c>
      <c r="V43" s="1">
        <f ca="1">IFERROR(__xludf.DUMMYFUNCTION("""COMPUTED_VALUE"""),124.38)</f>
        <v>124.38</v>
      </c>
      <c r="W43" s="1">
        <f ca="1">IFERROR(__xludf.DUMMYFUNCTION("""COMPUTED_VALUE"""),377.4)</f>
        <v>377.4</v>
      </c>
      <c r="X43" s="1">
        <f ca="1">IFERROR(__xludf.DUMMYFUNCTION("""COMPUTED_VALUE"""),284.3)</f>
        <v>284.3</v>
      </c>
      <c r="Y43" s="1">
        <f ca="1">IFERROR(__xludf.DUMMYFUNCTION("""COMPUTED_VALUE"""),54.88)</f>
        <v>54.88</v>
      </c>
      <c r="Z43" s="1">
        <f ca="1">IFERROR(__xludf.DUMMYFUNCTION("""COMPUTED_VALUE"""),203.43)</f>
        <v>203.43</v>
      </c>
      <c r="AA43" s="1">
        <f ca="1">IFERROR(__xludf.DUMMYFUNCTION("""COMPUTED_VALUE"""),32.49)</f>
        <v>32.49</v>
      </c>
      <c r="AB43" s="1">
        <f ca="1">IFERROR(__xludf.DUMMYFUNCTION("""COMPUTED_VALUE"""),78.6)</f>
        <v>78.599999999999994</v>
      </c>
      <c r="AC43" s="1">
        <f ca="1">IFERROR(__xludf.DUMMYFUNCTION("""COMPUTED_VALUE"""),46.75)</f>
        <v>46.75</v>
      </c>
    </row>
    <row r="44" spans="1:29" x14ac:dyDescent="0.25">
      <c r="A44" s="2">
        <f ca="1">IFERROR(__xludf.DUMMYFUNCTION("""COMPUTED_VALUE"""),43894.6666666666)</f>
        <v>43894.666666666599</v>
      </c>
      <c r="B44" s="1">
        <f ca="1">IFERROR(__xludf.DUMMYFUNCTION("""COMPUTED_VALUE"""),75.69)</f>
        <v>75.69</v>
      </c>
      <c r="C44" s="1">
        <f ca="1">IFERROR(__xludf.DUMMYFUNCTION("""COMPUTED_VALUE"""),170.55)</f>
        <v>170.55</v>
      </c>
      <c r="D44" s="1">
        <f ca="1">IFERROR(__xludf.DUMMYFUNCTION("""COMPUTED_VALUE"""),98.79)</f>
        <v>98.79</v>
      </c>
      <c r="E44" s="1">
        <f ca="1">IFERROR(__xludf.DUMMYFUNCTION("""COMPUTED_VALUE"""),7.11)</f>
        <v>7.11</v>
      </c>
      <c r="F44" s="1">
        <f ca="1">IFERROR(__xludf.DUMMYFUNCTION("""COMPUTED_VALUE"""),191.76)</f>
        <v>191.76</v>
      </c>
      <c r="G44" s="1">
        <f ca="1">IFERROR(__xludf.DUMMYFUNCTION("""COMPUTED_VALUE"""),69.33)</f>
        <v>69.33</v>
      </c>
      <c r="H44" s="1">
        <f ca="1">IFERROR(__xludf.DUMMYFUNCTION("""COMPUTED_VALUE"""),49.97)</f>
        <v>49.97</v>
      </c>
      <c r="I44" s="1">
        <f ca="1">IFERROR(__xludf.DUMMYFUNCTION("""COMPUTED_VALUE"""),142.39)</f>
        <v>142.38999999999999</v>
      </c>
      <c r="J44" s="1">
        <f ca="1">IFERROR(__xludf.DUMMYFUNCTION("""COMPUTED_VALUE"""),320.74)</f>
        <v>320.74</v>
      </c>
      <c r="K44" s="1">
        <f ca="1">IFERROR(__xludf.DUMMYFUNCTION("""COMPUTED_VALUE"""),28.55)</f>
        <v>28.55</v>
      </c>
      <c r="L44" s="1">
        <f ca="1">IFERROR(__xludf.DUMMYFUNCTION("""COMPUTED_VALUE"""),363.85)</f>
        <v>363.85</v>
      </c>
      <c r="M44" s="1">
        <f ca="1">IFERROR(__xludf.DUMMYFUNCTION("""COMPUTED_VALUE"""),383.79)</f>
        <v>383.79</v>
      </c>
      <c r="N44" s="1">
        <f ca="1">IFERROR(__xludf.DUMMYFUNCTION("""COMPUTED_VALUE"""),119.85)</f>
        <v>119.85</v>
      </c>
      <c r="O44" s="1">
        <f ca="1">IFERROR(__xludf.DUMMYFUNCTION("""COMPUTED_VALUE"""),194.29)</f>
        <v>194.29</v>
      </c>
      <c r="P44" s="1">
        <f ca="1">IFERROR(__xludf.DUMMYFUNCTION("""COMPUTED_VALUE"""),143.48)</f>
        <v>143.47999999999999</v>
      </c>
      <c r="Q44" s="1">
        <f ca="1">IFERROR(__xludf.DUMMYFUNCTION("""COMPUTED_VALUE"""),289.42)</f>
        <v>289.42</v>
      </c>
      <c r="R44" s="1">
        <f ca="1">IFERROR(__xludf.DUMMYFUNCTION("""COMPUTED_VALUE"""),52.42)</f>
        <v>52.42</v>
      </c>
      <c r="S44" s="1">
        <f ca="1">IFERROR(__xludf.DUMMYFUNCTION("""COMPUTED_VALUE"""),70.56)</f>
        <v>70.56</v>
      </c>
      <c r="T44" s="1">
        <f ca="1">IFERROR(__xludf.DUMMYFUNCTION("""COMPUTED_VALUE"""),38.92)</f>
        <v>38.92</v>
      </c>
      <c r="U44" s="1">
        <f ca="1">IFERROR(__xludf.DUMMYFUNCTION("""COMPUTED_VALUE"""),93.79)</f>
        <v>93.79</v>
      </c>
      <c r="V44" s="1">
        <f ca="1">IFERROR(__xludf.DUMMYFUNCTION("""COMPUTED_VALUE"""),127.4)</f>
        <v>127.4</v>
      </c>
      <c r="W44" s="1">
        <f ca="1">IFERROR(__xludf.DUMMYFUNCTION("""COMPUTED_VALUE"""),402.03)</f>
        <v>402.03</v>
      </c>
      <c r="X44" s="1">
        <f ca="1">IFERROR(__xludf.DUMMYFUNCTION("""COMPUTED_VALUE"""),301.61)</f>
        <v>301.61</v>
      </c>
      <c r="Y44" s="1">
        <f ca="1">IFERROR(__xludf.DUMMYFUNCTION("""COMPUTED_VALUE"""),57.08)</f>
        <v>57.08</v>
      </c>
      <c r="Z44" s="1">
        <f ca="1">IFERROR(__xludf.DUMMYFUNCTION("""COMPUTED_VALUE"""),208.74)</f>
        <v>208.74</v>
      </c>
      <c r="AA44" s="1">
        <f ca="1">IFERROR(__xludf.DUMMYFUNCTION("""COMPUTED_VALUE"""),34.48)</f>
        <v>34.479999999999997</v>
      </c>
      <c r="AB44" s="1">
        <f ca="1">IFERROR(__xludf.DUMMYFUNCTION("""COMPUTED_VALUE"""),79.67)</f>
        <v>79.67</v>
      </c>
      <c r="AC44" s="1">
        <f ca="1">IFERROR(__xludf.DUMMYFUNCTION("""COMPUTED_VALUE"""),50.11)</f>
        <v>50.11</v>
      </c>
    </row>
    <row r="45" spans="1:29" x14ac:dyDescent="0.25">
      <c r="A45" s="2">
        <f ca="1">IFERROR(__xludf.DUMMYFUNCTION("""COMPUTED_VALUE"""),43895.6666666666)</f>
        <v>43895.666666666599</v>
      </c>
      <c r="B45" s="1">
        <f ca="1">IFERROR(__xludf.DUMMYFUNCTION("""COMPUTED_VALUE"""),73.23)</f>
        <v>73.23</v>
      </c>
      <c r="C45" s="1">
        <f ca="1">IFERROR(__xludf.DUMMYFUNCTION("""COMPUTED_VALUE"""),166.27)</f>
        <v>166.27</v>
      </c>
      <c r="D45" s="1">
        <f ca="1">IFERROR(__xludf.DUMMYFUNCTION("""COMPUTED_VALUE"""),96.2)</f>
        <v>96.2</v>
      </c>
      <c r="E45" s="1">
        <f ca="1">IFERROR(__xludf.DUMMYFUNCTION("""COMPUTED_VALUE"""),6.83)</f>
        <v>6.83</v>
      </c>
      <c r="F45" s="1">
        <f ca="1">IFERROR(__xludf.DUMMYFUNCTION("""COMPUTED_VALUE"""),185.17)</f>
        <v>185.17</v>
      </c>
      <c r="G45" s="1">
        <f ca="1">IFERROR(__xludf.DUMMYFUNCTION("""COMPUTED_VALUE"""),65.95)</f>
        <v>65.95</v>
      </c>
      <c r="H45" s="1">
        <f ca="1">IFERROR(__xludf.DUMMYFUNCTION("""COMPUTED_VALUE"""),48.3)</f>
        <v>48.3</v>
      </c>
      <c r="I45" s="1">
        <f ca="1">IFERROR(__xludf.DUMMYFUNCTION("""COMPUTED_VALUE"""),138.1)</f>
        <v>138.1</v>
      </c>
      <c r="J45" s="1">
        <f ca="1">IFERROR(__xludf.DUMMYFUNCTION("""COMPUTED_VALUE"""),315.76)</f>
        <v>315.76</v>
      </c>
      <c r="K45" s="1">
        <f ca="1">IFERROR(__xludf.DUMMYFUNCTION("""COMPUTED_VALUE"""),27.4)</f>
        <v>27.4</v>
      </c>
      <c r="L45" s="1">
        <f ca="1">IFERROR(__xludf.DUMMYFUNCTION("""COMPUTED_VALUE"""),351.03)</f>
        <v>351.03</v>
      </c>
      <c r="M45" s="1">
        <f ca="1">IFERROR(__xludf.DUMMYFUNCTION("""COMPUTED_VALUE"""),372.78)</f>
        <v>372.78</v>
      </c>
      <c r="N45" s="1">
        <f ca="1">IFERROR(__xludf.DUMMYFUNCTION("""COMPUTED_VALUE"""),113.97)</f>
        <v>113.97</v>
      </c>
      <c r="O45" s="1">
        <f ca="1">IFERROR(__xludf.DUMMYFUNCTION("""COMPUTED_VALUE"""),186.96)</f>
        <v>186.96</v>
      </c>
      <c r="P45" s="1">
        <f ca="1">IFERROR(__xludf.DUMMYFUNCTION("""COMPUTED_VALUE"""),142.01)</f>
        <v>142.01</v>
      </c>
      <c r="Q45" s="1">
        <f ca="1">IFERROR(__xludf.DUMMYFUNCTION("""COMPUTED_VALUE"""),282.96)</f>
        <v>282.95999999999998</v>
      </c>
      <c r="R45" s="1">
        <f ca="1">IFERROR(__xludf.DUMMYFUNCTION("""COMPUTED_VALUE"""),50.11)</f>
        <v>50.11</v>
      </c>
      <c r="S45" s="1">
        <f ca="1">IFERROR(__xludf.DUMMYFUNCTION("""COMPUTED_VALUE"""),69.04)</f>
        <v>69.040000000000006</v>
      </c>
      <c r="T45" s="1">
        <f ca="1">IFERROR(__xludf.DUMMYFUNCTION("""COMPUTED_VALUE"""),38.64)</f>
        <v>38.64</v>
      </c>
      <c r="U45" s="1">
        <f ca="1">IFERROR(__xludf.DUMMYFUNCTION("""COMPUTED_VALUE"""),90.58)</f>
        <v>90.58</v>
      </c>
      <c r="V45" s="1">
        <f ca="1">IFERROR(__xludf.DUMMYFUNCTION("""COMPUTED_VALUE"""),121.97)</f>
        <v>121.97</v>
      </c>
      <c r="W45" s="1">
        <f ca="1">IFERROR(__xludf.DUMMYFUNCTION("""COMPUTED_VALUE"""),384.7)</f>
        <v>384.7</v>
      </c>
      <c r="X45" s="1">
        <f ca="1">IFERROR(__xludf.DUMMYFUNCTION("""COMPUTED_VALUE"""),288.25)</f>
        <v>288.25</v>
      </c>
      <c r="Y45" s="1">
        <f ca="1">IFERROR(__xludf.DUMMYFUNCTION("""COMPUTED_VALUE"""),55.73)</f>
        <v>55.73</v>
      </c>
      <c r="Z45" s="1">
        <f ca="1">IFERROR(__xludf.DUMMYFUNCTION("""COMPUTED_VALUE"""),198.79)</f>
        <v>198.79</v>
      </c>
      <c r="AA45" s="1">
        <f ca="1">IFERROR(__xludf.DUMMYFUNCTION("""COMPUTED_VALUE"""),33.59)</f>
        <v>33.590000000000003</v>
      </c>
      <c r="AB45" s="1">
        <f ca="1">IFERROR(__xludf.DUMMYFUNCTION("""COMPUTED_VALUE"""),76.19)</f>
        <v>76.19</v>
      </c>
      <c r="AC45" s="1">
        <f ca="1">IFERROR(__xludf.DUMMYFUNCTION("""COMPUTED_VALUE"""),48.11)</f>
        <v>48.11</v>
      </c>
    </row>
    <row r="46" spans="1:29" x14ac:dyDescent="0.25">
      <c r="A46" s="2">
        <f ca="1">IFERROR(__xludf.DUMMYFUNCTION("""COMPUTED_VALUE"""),43896.6666666666)</f>
        <v>43896.666666666599</v>
      </c>
      <c r="B46" s="1">
        <f ca="1">IFERROR(__xludf.DUMMYFUNCTION("""COMPUTED_VALUE"""),72.26)</f>
        <v>72.260000000000005</v>
      </c>
      <c r="C46" s="1">
        <f ca="1">IFERROR(__xludf.DUMMYFUNCTION("""COMPUTED_VALUE"""),161.57)</f>
        <v>161.57</v>
      </c>
      <c r="D46" s="1">
        <f ca="1">IFERROR(__xludf.DUMMYFUNCTION("""COMPUTED_VALUE"""),95.05)</f>
        <v>95.05</v>
      </c>
      <c r="E46" s="1">
        <f ca="1">IFERROR(__xludf.DUMMYFUNCTION("""COMPUTED_VALUE"""),6.65)</f>
        <v>6.65</v>
      </c>
      <c r="F46" s="1">
        <f ca="1">IFERROR(__xludf.DUMMYFUNCTION("""COMPUTED_VALUE"""),181.09)</f>
        <v>181.09</v>
      </c>
      <c r="G46" s="1">
        <f ca="1">IFERROR(__xludf.DUMMYFUNCTION("""COMPUTED_VALUE"""),64.92)</f>
        <v>64.92</v>
      </c>
      <c r="H46" s="1">
        <f ca="1">IFERROR(__xludf.DUMMYFUNCTION("""COMPUTED_VALUE"""),46.9)</f>
        <v>46.9</v>
      </c>
      <c r="I46" s="1">
        <f ca="1">IFERROR(__xludf.DUMMYFUNCTION("""COMPUTED_VALUE"""),137.26)</f>
        <v>137.26</v>
      </c>
      <c r="J46" s="1">
        <f ca="1">IFERROR(__xludf.DUMMYFUNCTION("""COMPUTED_VALUE"""),311.34)</f>
        <v>311.33999999999997</v>
      </c>
      <c r="K46" s="1">
        <f ca="1">IFERROR(__xludf.DUMMYFUNCTION("""COMPUTED_VALUE"""),26.95)</f>
        <v>26.95</v>
      </c>
      <c r="L46" s="1">
        <f ca="1">IFERROR(__xludf.DUMMYFUNCTION("""COMPUTED_VALUE"""),336.77)</f>
        <v>336.77</v>
      </c>
      <c r="M46" s="1">
        <f ca="1">IFERROR(__xludf.DUMMYFUNCTION("""COMPUTED_VALUE"""),368.97)</f>
        <v>368.97</v>
      </c>
      <c r="N46" s="1">
        <f ca="1">IFERROR(__xludf.DUMMYFUNCTION("""COMPUTED_VALUE"""),108.08)</f>
        <v>108.08</v>
      </c>
      <c r="O46" s="1">
        <f ca="1">IFERROR(__xludf.DUMMYFUNCTION("""COMPUTED_VALUE"""),184.36)</f>
        <v>184.36</v>
      </c>
      <c r="P46" s="1">
        <f ca="1">IFERROR(__xludf.DUMMYFUNCTION("""COMPUTED_VALUE"""),142.03)</f>
        <v>142.03</v>
      </c>
      <c r="Q46" s="1">
        <f ca="1">IFERROR(__xludf.DUMMYFUNCTION("""COMPUTED_VALUE"""),283.87)</f>
        <v>283.87</v>
      </c>
      <c r="R46" s="1">
        <f ca="1">IFERROR(__xludf.DUMMYFUNCTION("""COMPUTED_VALUE"""),47.69)</f>
        <v>47.69</v>
      </c>
      <c r="S46" s="1">
        <f ca="1">IFERROR(__xludf.DUMMYFUNCTION("""COMPUTED_VALUE"""),67.96)</f>
        <v>67.959999999999994</v>
      </c>
      <c r="T46" s="1">
        <f ca="1">IFERROR(__xludf.DUMMYFUNCTION("""COMPUTED_VALUE"""),39.08)</f>
        <v>39.08</v>
      </c>
      <c r="U46" s="1">
        <f ca="1">IFERROR(__xludf.DUMMYFUNCTION("""COMPUTED_VALUE"""),88.36)</f>
        <v>88.36</v>
      </c>
      <c r="V46" s="1">
        <f ca="1">IFERROR(__xludf.DUMMYFUNCTION("""COMPUTED_VALUE"""),121.41)</f>
        <v>121.41</v>
      </c>
      <c r="W46" s="1">
        <f ca="1">IFERROR(__xludf.DUMMYFUNCTION("""COMPUTED_VALUE"""),382.47)</f>
        <v>382.47</v>
      </c>
      <c r="X46" s="1">
        <f ca="1">IFERROR(__xludf.DUMMYFUNCTION("""COMPUTED_VALUE"""),288.11)</f>
        <v>288.11</v>
      </c>
      <c r="Y46" s="1">
        <f ca="1">IFERROR(__xludf.DUMMYFUNCTION("""COMPUTED_VALUE"""),55.07)</f>
        <v>55.07</v>
      </c>
      <c r="Z46" s="1">
        <f ca="1">IFERROR(__xludf.DUMMYFUNCTION("""COMPUTED_VALUE"""),192.85)</f>
        <v>192.85</v>
      </c>
      <c r="AA46" s="1">
        <f ca="1">IFERROR(__xludf.DUMMYFUNCTION("""COMPUTED_VALUE"""),33.18)</f>
        <v>33.18</v>
      </c>
      <c r="AB46" s="1">
        <f ca="1">IFERROR(__xludf.DUMMYFUNCTION("""COMPUTED_VALUE"""),75.34)</f>
        <v>75.34</v>
      </c>
      <c r="AC46" s="1">
        <f ca="1">IFERROR(__xludf.DUMMYFUNCTION("""COMPUTED_VALUE"""),48.59)</f>
        <v>48.59</v>
      </c>
    </row>
    <row r="47" spans="1:29" x14ac:dyDescent="0.25">
      <c r="A47" s="2">
        <f ca="1">IFERROR(__xludf.DUMMYFUNCTION("""COMPUTED_VALUE"""),43899.6666666666)</f>
        <v>43899.666666666599</v>
      </c>
      <c r="B47" s="1">
        <f ca="1">IFERROR(__xludf.DUMMYFUNCTION("""COMPUTED_VALUE"""),66.54)</f>
        <v>66.540000000000006</v>
      </c>
      <c r="C47" s="1">
        <f ca="1">IFERROR(__xludf.DUMMYFUNCTION("""COMPUTED_VALUE"""),150.62)</f>
        <v>150.62</v>
      </c>
      <c r="D47" s="1">
        <f ca="1">IFERROR(__xludf.DUMMYFUNCTION("""COMPUTED_VALUE"""),90.03)</f>
        <v>90.03</v>
      </c>
      <c r="E47" s="1">
        <f ca="1">IFERROR(__xludf.DUMMYFUNCTION("""COMPUTED_VALUE"""),6.14)</f>
        <v>6.14</v>
      </c>
      <c r="F47" s="1">
        <f ca="1">IFERROR(__xludf.DUMMYFUNCTION("""COMPUTED_VALUE"""),169.5)</f>
        <v>169.5</v>
      </c>
      <c r="G47" s="1">
        <f ca="1">IFERROR(__xludf.DUMMYFUNCTION("""COMPUTED_VALUE"""),60.78)</f>
        <v>60.78</v>
      </c>
      <c r="H47" s="1">
        <f ca="1">IFERROR(__xludf.DUMMYFUNCTION("""COMPUTED_VALUE"""),40.53)</f>
        <v>40.53</v>
      </c>
      <c r="I47" s="1">
        <f ca="1">IFERROR(__xludf.DUMMYFUNCTION("""COMPUTED_VALUE"""),130.16)</f>
        <v>130.16</v>
      </c>
      <c r="J47" s="1">
        <f ca="1">IFERROR(__xludf.DUMMYFUNCTION("""COMPUTED_VALUE"""),301.98)</f>
        <v>301.98</v>
      </c>
      <c r="K47" s="1">
        <f ca="1">IFERROR(__xludf.DUMMYFUNCTION("""COMPUTED_VALUE"""),24.77)</f>
        <v>24.77</v>
      </c>
      <c r="L47" s="1">
        <f ca="1">IFERROR(__xludf.DUMMYFUNCTION("""COMPUTED_VALUE"""),305.79)</f>
        <v>305.79000000000002</v>
      </c>
      <c r="M47" s="1">
        <f ca="1">IFERROR(__xludf.DUMMYFUNCTION("""COMPUTED_VALUE"""),346.49)</f>
        <v>346.49</v>
      </c>
      <c r="N47" s="1">
        <f ca="1">IFERROR(__xludf.DUMMYFUNCTION("""COMPUTED_VALUE"""),93.44)</f>
        <v>93.44</v>
      </c>
      <c r="O47" s="1">
        <f ca="1">IFERROR(__xludf.DUMMYFUNCTION("""COMPUTED_VALUE"""),171.13)</f>
        <v>171.13</v>
      </c>
      <c r="P47" s="1">
        <f ca="1">IFERROR(__xludf.DUMMYFUNCTION("""COMPUTED_VALUE"""),136.44)</f>
        <v>136.44</v>
      </c>
      <c r="Q47" s="1">
        <f ca="1">IFERROR(__xludf.DUMMYFUNCTION("""COMPUTED_VALUE"""),273.44)</f>
        <v>273.44</v>
      </c>
      <c r="R47" s="1">
        <f ca="1">IFERROR(__xludf.DUMMYFUNCTION("""COMPUTED_VALUE"""),41.86)</f>
        <v>41.86</v>
      </c>
      <c r="S47" s="1">
        <f ca="1">IFERROR(__xludf.DUMMYFUNCTION("""COMPUTED_VALUE"""),65.32)</f>
        <v>65.319999999999993</v>
      </c>
      <c r="T47" s="1">
        <f ca="1">IFERROR(__xludf.DUMMYFUNCTION("""COMPUTED_VALUE"""),39.05)</f>
        <v>39.049999999999997</v>
      </c>
      <c r="U47" s="1">
        <f ca="1">IFERROR(__xludf.DUMMYFUNCTION("""COMPUTED_VALUE"""),84.11)</f>
        <v>84.11</v>
      </c>
      <c r="V47" s="1">
        <f ca="1">IFERROR(__xludf.DUMMYFUNCTION("""COMPUTED_VALUE"""),104.07)</f>
        <v>104.07</v>
      </c>
      <c r="W47" s="1">
        <f ca="1">IFERROR(__xludf.DUMMYFUNCTION("""COMPUTED_VALUE"""),352.03)</f>
        <v>352.03</v>
      </c>
      <c r="X47" s="1">
        <f ca="1">IFERROR(__xludf.DUMMYFUNCTION("""COMPUTED_VALUE"""),263.91)</f>
        <v>263.91000000000003</v>
      </c>
      <c r="Y47" s="1">
        <f ca="1">IFERROR(__xludf.DUMMYFUNCTION("""COMPUTED_VALUE"""),51.83)</f>
        <v>51.83</v>
      </c>
      <c r="Z47" s="1">
        <f ca="1">IFERROR(__xludf.DUMMYFUNCTION("""COMPUTED_VALUE"""),172.81)</f>
        <v>172.81</v>
      </c>
      <c r="AA47" s="1">
        <f ca="1">IFERROR(__xludf.DUMMYFUNCTION("""COMPUTED_VALUE"""),31.98)</f>
        <v>31.98</v>
      </c>
      <c r="AB47" s="1">
        <f ca="1">IFERROR(__xludf.DUMMYFUNCTION("""COMPUTED_VALUE"""),70.83)</f>
        <v>70.83</v>
      </c>
      <c r="AC47" s="1">
        <f ca="1">IFERROR(__xludf.DUMMYFUNCTION("""COMPUTED_VALUE"""),43.27)</f>
        <v>43.27</v>
      </c>
    </row>
    <row r="48" spans="1:29" x14ac:dyDescent="0.25">
      <c r="A48" s="2">
        <f ca="1">IFERROR(__xludf.DUMMYFUNCTION("""COMPUTED_VALUE"""),43900.6666666666)</f>
        <v>43900.666666666599</v>
      </c>
      <c r="B48" s="1">
        <f ca="1">IFERROR(__xludf.DUMMYFUNCTION("""COMPUTED_VALUE"""),71.33)</f>
        <v>71.33</v>
      </c>
      <c r="C48" s="1">
        <f ca="1">IFERROR(__xludf.DUMMYFUNCTION("""COMPUTED_VALUE"""),160.92)</f>
        <v>160.91999999999999</v>
      </c>
      <c r="D48" s="1">
        <f ca="1">IFERROR(__xludf.DUMMYFUNCTION("""COMPUTED_VALUE"""),94.59)</f>
        <v>94.59</v>
      </c>
      <c r="E48" s="1">
        <f ca="1">IFERROR(__xludf.DUMMYFUNCTION("""COMPUTED_VALUE"""),6.53)</f>
        <v>6.53</v>
      </c>
      <c r="F48" s="1">
        <f ca="1">IFERROR(__xludf.DUMMYFUNCTION("""COMPUTED_VALUE"""),178.19)</f>
        <v>178.19</v>
      </c>
      <c r="G48" s="1">
        <f ca="1">IFERROR(__xludf.DUMMYFUNCTION("""COMPUTED_VALUE"""),64.02)</f>
        <v>64.02</v>
      </c>
      <c r="H48" s="1">
        <f ca="1">IFERROR(__xludf.DUMMYFUNCTION("""COMPUTED_VALUE"""),43.02)</f>
        <v>43.02</v>
      </c>
      <c r="I48" s="1">
        <f ca="1">IFERROR(__xludf.DUMMYFUNCTION("""COMPUTED_VALUE"""),134.14)</f>
        <v>134.13999999999999</v>
      </c>
      <c r="J48" s="1">
        <f ca="1">IFERROR(__xludf.DUMMYFUNCTION("""COMPUTED_VALUE"""),309.4)</f>
        <v>309.39999999999998</v>
      </c>
      <c r="K48" s="1">
        <f ca="1">IFERROR(__xludf.DUMMYFUNCTION("""COMPUTED_VALUE"""),26.29)</f>
        <v>26.29</v>
      </c>
      <c r="L48" s="1">
        <f ca="1">IFERROR(__xludf.DUMMYFUNCTION("""COMPUTED_VALUE"""),332.38)</f>
        <v>332.38</v>
      </c>
      <c r="M48" s="1">
        <f ca="1">IFERROR(__xludf.DUMMYFUNCTION("""COMPUTED_VALUE"""),364.13)</f>
        <v>364.13</v>
      </c>
      <c r="N48" s="1">
        <f ca="1">IFERROR(__xludf.DUMMYFUNCTION("""COMPUTED_VALUE"""),100.7)</f>
        <v>100.7</v>
      </c>
      <c r="O48" s="1">
        <f ca="1">IFERROR(__xludf.DUMMYFUNCTION("""COMPUTED_VALUE"""),182.6)</f>
        <v>182.6</v>
      </c>
      <c r="P48" s="1">
        <f ca="1">IFERROR(__xludf.DUMMYFUNCTION("""COMPUTED_VALUE"""),141.64)</f>
        <v>141.63999999999999</v>
      </c>
      <c r="Q48" s="1">
        <f ca="1">IFERROR(__xludf.DUMMYFUNCTION("""COMPUTED_VALUE"""),280)</f>
        <v>280</v>
      </c>
      <c r="R48" s="1">
        <f ca="1">IFERROR(__xludf.DUMMYFUNCTION("""COMPUTED_VALUE"""),43.41)</f>
        <v>43.41</v>
      </c>
      <c r="S48" s="1">
        <f ca="1">IFERROR(__xludf.DUMMYFUNCTION("""COMPUTED_VALUE"""),63.93)</f>
        <v>63.93</v>
      </c>
      <c r="T48" s="1">
        <f ca="1">IFERROR(__xludf.DUMMYFUNCTION("""COMPUTED_VALUE"""),39.93)</f>
        <v>39.93</v>
      </c>
      <c r="U48" s="1">
        <f ca="1">IFERROR(__xludf.DUMMYFUNCTION("""COMPUTED_VALUE"""),88.3)</f>
        <v>88.3</v>
      </c>
      <c r="V48" s="1">
        <f ca="1">IFERROR(__xludf.DUMMYFUNCTION("""COMPUTED_VALUE"""),106.49)</f>
        <v>106.49</v>
      </c>
      <c r="W48" s="1">
        <f ca="1">IFERROR(__xludf.DUMMYFUNCTION("""COMPUTED_VALUE"""),367.17)</f>
        <v>367.17</v>
      </c>
      <c r="X48" s="1">
        <f ca="1">IFERROR(__xludf.DUMMYFUNCTION("""COMPUTED_VALUE"""),279.76)</f>
        <v>279.76</v>
      </c>
      <c r="Y48" s="1">
        <f ca="1">IFERROR(__xludf.DUMMYFUNCTION("""COMPUTED_VALUE"""),54.51)</f>
        <v>54.51</v>
      </c>
      <c r="Z48" s="1">
        <f ca="1">IFERROR(__xludf.DUMMYFUNCTION("""COMPUTED_VALUE"""),184.35)</f>
        <v>184.35</v>
      </c>
      <c r="AA48" s="1">
        <f ca="1">IFERROR(__xludf.DUMMYFUNCTION("""COMPUTED_VALUE"""),32.77)</f>
        <v>32.770000000000003</v>
      </c>
      <c r="AB48" s="1">
        <f ca="1">IFERROR(__xludf.DUMMYFUNCTION("""COMPUTED_VALUE"""),74.87)</f>
        <v>74.87</v>
      </c>
      <c r="AC48" s="1">
        <f ca="1">IFERROR(__xludf.DUMMYFUNCTION("""COMPUTED_VALUE"""),45.38)</f>
        <v>45.38</v>
      </c>
    </row>
    <row r="49" spans="1:29" x14ac:dyDescent="0.25">
      <c r="A49" s="2">
        <f ca="1">IFERROR(__xludf.DUMMYFUNCTION("""COMPUTED_VALUE"""),43901.6666666666)</f>
        <v>43901.666666666599</v>
      </c>
      <c r="B49" s="1">
        <f ca="1">IFERROR(__xludf.DUMMYFUNCTION("""COMPUTED_VALUE"""),68.86)</f>
        <v>68.86</v>
      </c>
      <c r="C49" s="1">
        <f ca="1">IFERROR(__xludf.DUMMYFUNCTION("""COMPUTED_VALUE"""),153.63)</f>
        <v>153.63</v>
      </c>
      <c r="D49" s="1">
        <f ca="1">IFERROR(__xludf.DUMMYFUNCTION("""COMPUTED_VALUE"""),91.04)</f>
        <v>91.04</v>
      </c>
      <c r="E49" s="1">
        <f ca="1">IFERROR(__xludf.DUMMYFUNCTION("""COMPUTED_VALUE"""),6.16)</f>
        <v>6.16</v>
      </c>
      <c r="F49" s="1">
        <f ca="1">IFERROR(__xludf.DUMMYFUNCTION("""COMPUTED_VALUE"""),170.24)</f>
        <v>170.24</v>
      </c>
      <c r="G49" s="1">
        <f ca="1">IFERROR(__xludf.DUMMYFUNCTION("""COMPUTED_VALUE"""),60.77)</f>
        <v>60.77</v>
      </c>
      <c r="H49" s="1">
        <f ca="1">IFERROR(__xludf.DUMMYFUNCTION("""COMPUTED_VALUE"""),42.28)</f>
        <v>42.28</v>
      </c>
      <c r="I49" s="1">
        <f ca="1">IFERROR(__xludf.DUMMYFUNCTION("""COMPUTED_VALUE"""),129.75)</f>
        <v>129.75</v>
      </c>
      <c r="J49" s="1">
        <f ca="1">IFERROR(__xludf.DUMMYFUNCTION("""COMPUTED_VALUE"""),297.43)</f>
        <v>297.43</v>
      </c>
      <c r="K49" s="1">
        <f ca="1">IFERROR(__xludf.DUMMYFUNCTION("""COMPUTED_VALUE"""),24.6)</f>
        <v>24.6</v>
      </c>
      <c r="L49" s="1">
        <f ca="1">IFERROR(__xludf.DUMMYFUNCTION("""COMPUTED_VALUE"""),315.23)</f>
        <v>315.23</v>
      </c>
      <c r="M49" s="1">
        <f ca="1">IFERROR(__xludf.DUMMYFUNCTION("""COMPUTED_VALUE"""),349.92)</f>
        <v>349.92</v>
      </c>
      <c r="N49" s="1">
        <f ca="1">IFERROR(__xludf.DUMMYFUNCTION("""COMPUTED_VALUE"""),95.96)</f>
        <v>95.96</v>
      </c>
      <c r="O49" s="1">
        <f ca="1">IFERROR(__xludf.DUMMYFUNCTION("""COMPUTED_VALUE"""),172.95)</f>
        <v>172.95</v>
      </c>
      <c r="P49" s="1">
        <f ca="1">IFERROR(__xludf.DUMMYFUNCTION("""COMPUTED_VALUE"""),131.8)</f>
        <v>131.80000000000001</v>
      </c>
      <c r="Q49" s="1">
        <f ca="1">IFERROR(__xludf.DUMMYFUNCTION("""COMPUTED_VALUE"""),277.78)</f>
        <v>277.77999999999997</v>
      </c>
      <c r="R49" s="1">
        <f ca="1">IFERROR(__xludf.DUMMYFUNCTION("""COMPUTED_VALUE"""),41.98)</f>
        <v>41.98</v>
      </c>
      <c r="S49" s="1">
        <f ca="1">IFERROR(__xludf.DUMMYFUNCTION("""COMPUTED_VALUE"""),60.32)</f>
        <v>60.32</v>
      </c>
      <c r="T49" s="1">
        <f ca="1">IFERROR(__xludf.DUMMYFUNCTION("""COMPUTED_VALUE"""),38.14)</f>
        <v>38.14</v>
      </c>
      <c r="U49" s="1">
        <f ca="1">IFERROR(__xludf.DUMMYFUNCTION("""COMPUTED_VALUE"""),84)</f>
        <v>84</v>
      </c>
      <c r="V49" s="1">
        <f ca="1">IFERROR(__xludf.DUMMYFUNCTION("""COMPUTED_VALUE"""),100.69)</f>
        <v>100.69</v>
      </c>
      <c r="W49" s="1">
        <f ca="1">IFERROR(__xludf.DUMMYFUNCTION("""COMPUTED_VALUE"""),356.93)</f>
        <v>356.93</v>
      </c>
      <c r="X49" s="1">
        <f ca="1">IFERROR(__xludf.DUMMYFUNCTION("""COMPUTED_VALUE"""),264.14)</f>
        <v>264.14</v>
      </c>
      <c r="Y49" s="1">
        <f ca="1">IFERROR(__xludf.DUMMYFUNCTION("""COMPUTED_VALUE"""),52.24)</f>
        <v>52.24</v>
      </c>
      <c r="Z49" s="1">
        <f ca="1">IFERROR(__xludf.DUMMYFUNCTION("""COMPUTED_VALUE"""),171.89)</f>
        <v>171.89</v>
      </c>
      <c r="AA49" s="1">
        <f ca="1">IFERROR(__xludf.DUMMYFUNCTION("""COMPUTED_VALUE"""),30.48)</f>
        <v>30.48</v>
      </c>
      <c r="AB49" s="1">
        <f ca="1">IFERROR(__xludf.DUMMYFUNCTION("""COMPUTED_VALUE"""),68.3)</f>
        <v>68.3</v>
      </c>
      <c r="AC49" s="1">
        <f ca="1">IFERROR(__xludf.DUMMYFUNCTION("""COMPUTED_VALUE"""),45.7)</f>
        <v>45.7</v>
      </c>
    </row>
    <row r="50" spans="1:29" x14ac:dyDescent="0.25">
      <c r="A50" s="2">
        <f ca="1">IFERROR(__xludf.DUMMYFUNCTION("""COMPUTED_VALUE"""),43902.6666666666)</f>
        <v>43902.666666666599</v>
      </c>
      <c r="B50" s="1">
        <f ca="1">IFERROR(__xludf.DUMMYFUNCTION("""COMPUTED_VALUE"""),62.06)</f>
        <v>62.06</v>
      </c>
      <c r="C50" s="1">
        <f ca="1">IFERROR(__xludf.DUMMYFUNCTION("""COMPUTED_VALUE"""),139.06)</f>
        <v>139.06</v>
      </c>
      <c r="D50" s="1">
        <f ca="1">IFERROR(__xludf.DUMMYFUNCTION("""COMPUTED_VALUE"""),83.83)</f>
        <v>83.83</v>
      </c>
      <c r="E50" s="1">
        <f ca="1">IFERROR(__xludf.DUMMYFUNCTION("""COMPUTED_VALUE"""),5.41)</f>
        <v>5.41</v>
      </c>
      <c r="F50" s="1">
        <f ca="1">IFERROR(__xludf.DUMMYFUNCTION("""COMPUTED_VALUE"""),154.47)</f>
        <v>154.47</v>
      </c>
      <c r="G50" s="1">
        <f ca="1">IFERROR(__xludf.DUMMYFUNCTION("""COMPUTED_VALUE"""),55.75)</f>
        <v>55.75</v>
      </c>
      <c r="H50" s="1">
        <f ca="1">IFERROR(__xludf.DUMMYFUNCTION("""COMPUTED_VALUE"""),37.37)</f>
        <v>37.369999999999997</v>
      </c>
      <c r="I50" s="1">
        <f ca="1">IFERROR(__xludf.DUMMYFUNCTION("""COMPUTED_VALUE"""),115.34)</f>
        <v>115.34</v>
      </c>
      <c r="J50" s="1">
        <f ca="1">IFERROR(__xludf.DUMMYFUNCTION("""COMPUTED_VALUE"""),279.85)</f>
        <v>279.85000000000002</v>
      </c>
      <c r="K50" s="1">
        <f ca="1">IFERROR(__xludf.DUMMYFUNCTION("""COMPUTED_VALUE"""),21.88)</f>
        <v>21.88</v>
      </c>
      <c r="L50" s="1">
        <f ca="1">IFERROR(__xludf.DUMMYFUNCTION("""COMPUTED_VALUE"""),285)</f>
        <v>285</v>
      </c>
      <c r="M50" s="1">
        <f ca="1">IFERROR(__xludf.DUMMYFUNCTION("""COMPUTED_VALUE"""),315.25)</f>
        <v>315.25</v>
      </c>
      <c r="N50" s="1">
        <f ca="1">IFERROR(__xludf.DUMMYFUNCTION("""COMPUTED_VALUE"""),88.05)</f>
        <v>88.05</v>
      </c>
      <c r="O50" s="1">
        <f ca="1">IFERROR(__xludf.DUMMYFUNCTION("""COMPUTED_VALUE"""),160.08)</f>
        <v>160.08000000000001</v>
      </c>
      <c r="P50" s="1">
        <f ca="1">IFERROR(__xludf.DUMMYFUNCTION("""COMPUTED_VALUE"""),125.41)</f>
        <v>125.41</v>
      </c>
      <c r="Q50" s="1">
        <f ca="1">IFERROR(__xludf.DUMMYFUNCTION("""COMPUTED_VALUE"""),250.41)</f>
        <v>250.41</v>
      </c>
      <c r="R50" s="1">
        <f ca="1">IFERROR(__xludf.DUMMYFUNCTION("""COMPUTED_VALUE"""),37.18)</f>
        <v>37.18</v>
      </c>
      <c r="S50" s="1">
        <f ca="1">IFERROR(__xludf.DUMMYFUNCTION("""COMPUTED_VALUE"""),52.22)</f>
        <v>52.22</v>
      </c>
      <c r="T50" s="1">
        <f ca="1">IFERROR(__xludf.DUMMYFUNCTION("""COMPUTED_VALUE"""),34.68)</f>
        <v>34.68</v>
      </c>
      <c r="U50" s="1">
        <f ca="1">IFERROR(__xludf.DUMMYFUNCTION("""COMPUTED_VALUE"""),74.2)</f>
        <v>74.2</v>
      </c>
      <c r="V50" s="1">
        <f ca="1">IFERROR(__xludf.DUMMYFUNCTION("""COMPUTED_VALUE"""),92.26)</f>
        <v>92.26</v>
      </c>
      <c r="W50" s="1">
        <f ca="1">IFERROR(__xludf.DUMMYFUNCTION("""COMPUTED_VALUE"""),311.38)</f>
        <v>311.38</v>
      </c>
      <c r="X50" s="1">
        <f ca="1">IFERROR(__xludf.DUMMYFUNCTION("""COMPUTED_VALUE"""),240.75)</f>
        <v>240.75</v>
      </c>
      <c r="Y50" s="1">
        <f ca="1">IFERROR(__xludf.DUMMYFUNCTION("""COMPUTED_VALUE"""),48.69)</f>
        <v>48.69</v>
      </c>
      <c r="Z50" s="1">
        <f ca="1">IFERROR(__xludf.DUMMYFUNCTION("""COMPUTED_VALUE"""),150.68)</f>
        <v>150.68</v>
      </c>
      <c r="AA50" s="1">
        <f ca="1">IFERROR(__xludf.DUMMYFUNCTION("""COMPUTED_VALUE"""),28.44)</f>
        <v>28.44</v>
      </c>
      <c r="AB50" s="1">
        <f ca="1">IFERROR(__xludf.DUMMYFUNCTION("""COMPUTED_VALUE"""),62.1)</f>
        <v>62.1</v>
      </c>
      <c r="AC50" s="1">
        <f ca="1">IFERROR(__xludf.DUMMYFUNCTION("""COMPUTED_VALUE"""),39.01)</f>
        <v>39.01</v>
      </c>
    </row>
    <row r="51" spans="1:29" x14ac:dyDescent="0.25">
      <c r="A51" s="2">
        <f ca="1">IFERROR(__xludf.DUMMYFUNCTION("""COMPUTED_VALUE"""),43903.6666666666)</f>
        <v>43903.666666666599</v>
      </c>
      <c r="B51" s="1">
        <f ca="1">IFERROR(__xludf.DUMMYFUNCTION("""COMPUTED_VALUE"""),69.49)</f>
        <v>69.489999999999995</v>
      </c>
      <c r="C51" s="1">
        <f ca="1">IFERROR(__xludf.DUMMYFUNCTION("""COMPUTED_VALUE"""),158.83)</f>
        <v>158.83000000000001</v>
      </c>
      <c r="D51" s="1">
        <f ca="1">IFERROR(__xludf.DUMMYFUNCTION("""COMPUTED_VALUE"""),89.25)</f>
        <v>89.25</v>
      </c>
      <c r="E51" s="1">
        <f ca="1">IFERROR(__xludf.DUMMYFUNCTION("""COMPUTED_VALUE"""),6.02)</f>
        <v>6.02</v>
      </c>
      <c r="F51" s="1">
        <f ca="1">IFERROR(__xludf.DUMMYFUNCTION("""COMPUTED_VALUE"""),170.28)</f>
        <v>170.28</v>
      </c>
      <c r="G51" s="1">
        <f ca="1">IFERROR(__xludf.DUMMYFUNCTION("""COMPUTED_VALUE"""),60.99)</f>
        <v>60.99</v>
      </c>
      <c r="H51" s="1">
        <f ca="1">IFERROR(__xludf.DUMMYFUNCTION("""COMPUTED_VALUE"""),36.44)</f>
        <v>36.44</v>
      </c>
      <c r="I51" s="1">
        <f ca="1">IFERROR(__xludf.DUMMYFUNCTION("""COMPUTED_VALUE"""),127.45)</f>
        <v>127.45</v>
      </c>
      <c r="J51" s="1">
        <f ca="1">IFERROR(__xludf.DUMMYFUNCTION("""COMPUTED_VALUE"""),302.27)</f>
        <v>302.27</v>
      </c>
      <c r="K51" s="1">
        <f ca="1">IFERROR(__xludf.DUMMYFUNCTION("""COMPUTED_VALUE"""),23.42)</f>
        <v>23.42</v>
      </c>
      <c r="L51" s="1">
        <f ca="1">IFERROR(__xludf.DUMMYFUNCTION("""COMPUTED_VALUE"""),335.5)</f>
        <v>335.5</v>
      </c>
      <c r="M51" s="1">
        <f ca="1">IFERROR(__xludf.DUMMYFUNCTION("""COMPUTED_VALUE"""),336.3)</f>
        <v>336.3</v>
      </c>
      <c r="N51" s="1">
        <f ca="1">IFERROR(__xludf.DUMMYFUNCTION("""COMPUTED_VALUE"""),103.91)</f>
        <v>103.91</v>
      </c>
      <c r="O51" s="1">
        <f ca="1">IFERROR(__xludf.DUMMYFUNCTION("""COMPUTED_VALUE"""),175.83)</f>
        <v>175.83</v>
      </c>
      <c r="P51" s="1">
        <f ca="1">IFERROR(__xludf.DUMMYFUNCTION("""COMPUTED_VALUE"""),134.29)</f>
        <v>134.29</v>
      </c>
      <c r="Q51" s="1">
        <f ca="1">IFERROR(__xludf.DUMMYFUNCTION("""COMPUTED_VALUE"""),272.04)</f>
        <v>272.04000000000002</v>
      </c>
      <c r="R51" s="1">
        <f ca="1">IFERROR(__xludf.DUMMYFUNCTION("""COMPUTED_VALUE"""),38.12)</f>
        <v>38.119999999999997</v>
      </c>
      <c r="S51" s="1">
        <f ca="1">IFERROR(__xludf.DUMMYFUNCTION("""COMPUTED_VALUE"""),55.39)</f>
        <v>55.39</v>
      </c>
      <c r="T51" s="1">
        <f ca="1">IFERROR(__xludf.DUMMYFUNCTION("""COMPUTED_VALUE"""),38.03)</f>
        <v>38.03</v>
      </c>
      <c r="U51" s="1">
        <f ca="1">IFERROR(__xludf.DUMMYFUNCTION("""COMPUTED_VALUE"""),75.58)</f>
        <v>75.58</v>
      </c>
      <c r="V51" s="1">
        <f ca="1">IFERROR(__xludf.DUMMYFUNCTION("""COMPUTED_VALUE"""),99.64)</f>
        <v>99.64</v>
      </c>
      <c r="W51" s="1">
        <f ca="1">IFERROR(__xludf.DUMMYFUNCTION("""COMPUTED_VALUE"""),328.59)</f>
        <v>328.59</v>
      </c>
      <c r="X51" s="1">
        <f ca="1">IFERROR(__xludf.DUMMYFUNCTION("""COMPUTED_VALUE"""),256.95)</f>
        <v>256.95</v>
      </c>
      <c r="Y51" s="1">
        <f ca="1">IFERROR(__xludf.DUMMYFUNCTION("""COMPUTED_VALUE"""),52.23)</f>
        <v>52.23</v>
      </c>
      <c r="Z51" s="1">
        <f ca="1">IFERROR(__xludf.DUMMYFUNCTION("""COMPUTED_VALUE"""),177.17)</f>
        <v>177.17</v>
      </c>
      <c r="AA51" s="1">
        <f ca="1">IFERROR(__xludf.DUMMYFUNCTION("""COMPUTED_VALUE"""),30.99)</f>
        <v>30.99</v>
      </c>
      <c r="AB51" s="1">
        <f ca="1">IFERROR(__xludf.DUMMYFUNCTION("""COMPUTED_VALUE"""),69.92)</f>
        <v>69.92</v>
      </c>
      <c r="AC51" s="1">
        <f ca="1">IFERROR(__xludf.DUMMYFUNCTION("""COMPUTED_VALUE"""),43.9)</f>
        <v>43.9</v>
      </c>
    </row>
    <row r="52" spans="1:29" x14ac:dyDescent="0.25">
      <c r="A52" s="2">
        <f ca="1">IFERROR(__xludf.DUMMYFUNCTION("""COMPUTED_VALUE"""),43906.6666666666)</f>
        <v>43906.666666666599</v>
      </c>
      <c r="B52" s="1">
        <f ca="1">IFERROR(__xludf.DUMMYFUNCTION("""COMPUTED_VALUE"""),60.55)</f>
        <v>60.55</v>
      </c>
      <c r="C52" s="1">
        <f ca="1">IFERROR(__xludf.DUMMYFUNCTION("""COMPUTED_VALUE"""),135.42)</f>
        <v>135.41999999999999</v>
      </c>
      <c r="D52" s="1">
        <f ca="1">IFERROR(__xludf.DUMMYFUNCTION("""COMPUTED_VALUE"""),84.46)</f>
        <v>84.46</v>
      </c>
      <c r="E52" s="1">
        <f ca="1">IFERROR(__xludf.DUMMYFUNCTION("""COMPUTED_VALUE"""),4.91)</f>
        <v>4.91</v>
      </c>
      <c r="F52" s="1">
        <f ca="1">IFERROR(__xludf.DUMMYFUNCTION("""COMPUTED_VALUE"""),146.01)</f>
        <v>146.01</v>
      </c>
      <c r="G52" s="1">
        <f ca="1">IFERROR(__xludf.DUMMYFUNCTION("""COMPUTED_VALUE"""),54.22)</f>
        <v>54.22</v>
      </c>
      <c r="H52" s="1">
        <f ca="1">IFERROR(__xludf.DUMMYFUNCTION("""COMPUTED_VALUE"""),29.67)</f>
        <v>29.67</v>
      </c>
      <c r="I52" s="1">
        <f ca="1">IFERROR(__xludf.DUMMYFUNCTION("""COMPUTED_VALUE"""),113.09)</f>
        <v>113.09</v>
      </c>
      <c r="J52" s="1">
        <f ca="1">IFERROR(__xludf.DUMMYFUNCTION("""COMPUTED_VALUE"""),283.18)</f>
        <v>283.18</v>
      </c>
      <c r="K52" s="1">
        <f ca="1">IFERROR(__xludf.DUMMYFUNCTION("""COMPUTED_VALUE"""),18.76)</f>
        <v>18.760000000000002</v>
      </c>
      <c r="L52" s="1">
        <f ca="1">IFERROR(__xludf.DUMMYFUNCTION("""COMPUTED_VALUE"""),286.03)</f>
        <v>286.02999999999997</v>
      </c>
      <c r="M52" s="1">
        <f ca="1">IFERROR(__xludf.DUMMYFUNCTION("""COMPUTED_VALUE"""),298.84)</f>
        <v>298.83999999999997</v>
      </c>
      <c r="N52" s="1">
        <f ca="1">IFERROR(__xludf.DUMMYFUNCTION("""COMPUTED_VALUE"""),88.36)</f>
        <v>88.36</v>
      </c>
      <c r="O52" s="1">
        <f ca="1">IFERROR(__xludf.DUMMYFUNCTION("""COMPUTED_VALUE"""),152.01)</f>
        <v>152.01</v>
      </c>
      <c r="P52" s="1">
        <f ca="1">IFERROR(__xludf.DUMMYFUNCTION("""COMPUTED_VALUE"""),127.13)</f>
        <v>127.13</v>
      </c>
      <c r="Q52" s="1">
        <f ca="1">IFERROR(__xludf.DUMMYFUNCTION("""COMPUTED_VALUE"""),225.04)</f>
        <v>225.04</v>
      </c>
      <c r="R52" s="1">
        <f ca="1">IFERROR(__xludf.DUMMYFUNCTION("""COMPUTED_VALUE"""),34.49)</f>
        <v>34.49</v>
      </c>
      <c r="S52" s="1">
        <f ca="1">IFERROR(__xludf.DUMMYFUNCTION("""COMPUTED_VALUE"""),50.34)</f>
        <v>50.34</v>
      </c>
      <c r="T52" s="1">
        <f ca="1">IFERROR(__xludf.DUMMYFUNCTION("""COMPUTED_VALUE"""),35.59)</f>
        <v>35.590000000000003</v>
      </c>
      <c r="U52" s="1">
        <f ca="1">IFERROR(__xludf.DUMMYFUNCTION("""COMPUTED_VALUE"""),66.79)</f>
        <v>66.790000000000006</v>
      </c>
      <c r="V52" s="1">
        <f ca="1">IFERROR(__xludf.DUMMYFUNCTION("""COMPUTED_VALUE"""),93.41)</f>
        <v>93.41</v>
      </c>
      <c r="W52" s="1">
        <f ca="1">IFERROR(__xludf.DUMMYFUNCTION("""COMPUTED_VALUE"""),287.94)</f>
        <v>287.94</v>
      </c>
      <c r="X52" s="1">
        <f ca="1">IFERROR(__xludf.DUMMYFUNCTION("""COMPUTED_VALUE"""),229.36)</f>
        <v>229.36</v>
      </c>
      <c r="Y52" s="1">
        <f ca="1">IFERROR(__xludf.DUMMYFUNCTION("""COMPUTED_VALUE"""),44.9)</f>
        <v>44.9</v>
      </c>
      <c r="Z52" s="1">
        <f ca="1">IFERROR(__xludf.DUMMYFUNCTION("""COMPUTED_VALUE"""),154.66)</f>
        <v>154.66</v>
      </c>
      <c r="AA52" s="1">
        <f ca="1">IFERROR(__xludf.DUMMYFUNCTION("""COMPUTED_VALUE"""),28.59)</f>
        <v>28.59</v>
      </c>
      <c r="AB52" s="1">
        <f ca="1">IFERROR(__xludf.DUMMYFUNCTION("""COMPUTED_VALUE"""),58.59)</f>
        <v>58.59</v>
      </c>
      <c r="AC52" s="1">
        <f ca="1">IFERROR(__xludf.DUMMYFUNCTION("""COMPUTED_VALUE"""),38.71)</f>
        <v>38.71</v>
      </c>
    </row>
    <row r="53" spans="1:29" x14ac:dyDescent="0.25">
      <c r="A53" s="2">
        <f ca="1">IFERROR(__xludf.DUMMYFUNCTION("""COMPUTED_VALUE"""),43907.6666666666)</f>
        <v>43907.666666666599</v>
      </c>
      <c r="B53" s="1">
        <f ca="1">IFERROR(__xludf.DUMMYFUNCTION("""COMPUTED_VALUE"""),63.22)</f>
        <v>63.22</v>
      </c>
      <c r="C53" s="1">
        <f ca="1">IFERROR(__xludf.DUMMYFUNCTION("""COMPUTED_VALUE"""),146.57)</f>
        <v>146.57</v>
      </c>
      <c r="D53" s="1">
        <f ca="1">IFERROR(__xludf.DUMMYFUNCTION("""COMPUTED_VALUE"""),90.39)</f>
        <v>90.39</v>
      </c>
      <c r="E53" s="1">
        <f ca="1">IFERROR(__xludf.DUMMYFUNCTION("""COMPUTED_VALUE"""),5.43)</f>
        <v>5.43</v>
      </c>
      <c r="F53" s="1">
        <f ca="1">IFERROR(__xludf.DUMMYFUNCTION("""COMPUTED_VALUE"""),149.42)</f>
        <v>149.41999999999999</v>
      </c>
      <c r="G53" s="1">
        <f ca="1">IFERROR(__xludf.DUMMYFUNCTION("""COMPUTED_VALUE"""),55.99)</f>
        <v>55.99</v>
      </c>
      <c r="H53" s="1">
        <f ca="1">IFERROR(__xludf.DUMMYFUNCTION("""COMPUTED_VALUE"""),28.68)</f>
        <v>28.68</v>
      </c>
      <c r="I53" s="1">
        <f ca="1">IFERROR(__xludf.DUMMYFUNCTION("""COMPUTED_VALUE"""),127.72)</f>
        <v>127.72</v>
      </c>
      <c r="J53" s="1">
        <f ca="1">IFERROR(__xludf.DUMMYFUNCTION("""COMPUTED_VALUE"""),306.99)</f>
        <v>306.99</v>
      </c>
      <c r="K53" s="1">
        <f ca="1">IFERROR(__xludf.DUMMYFUNCTION("""COMPUTED_VALUE"""),19.95)</f>
        <v>19.95</v>
      </c>
      <c r="L53" s="1">
        <f ca="1">IFERROR(__xludf.DUMMYFUNCTION("""COMPUTED_VALUE"""),311.81)</f>
        <v>311.81</v>
      </c>
      <c r="M53" s="1">
        <f ca="1">IFERROR(__xludf.DUMMYFUNCTION("""COMPUTED_VALUE"""),319.75)</f>
        <v>319.75</v>
      </c>
      <c r="N53" s="1">
        <f ca="1">IFERROR(__xludf.DUMMYFUNCTION("""COMPUTED_VALUE"""),93.76)</f>
        <v>93.76</v>
      </c>
      <c r="O53" s="1">
        <f ca="1">IFERROR(__xludf.DUMMYFUNCTION("""COMPUTED_VALUE"""),157.89)</f>
        <v>157.88999999999999</v>
      </c>
      <c r="P53" s="1">
        <f ca="1">IFERROR(__xludf.DUMMYFUNCTION("""COMPUTED_VALUE"""),136.59)</f>
        <v>136.59</v>
      </c>
      <c r="Q53" s="1">
        <f ca="1">IFERROR(__xludf.DUMMYFUNCTION("""COMPUTED_VALUE"""),244.22)</f>
        <v>244.22</v>
      </c>
      <c r="R53" s="1">
        <f ca="1">IFERROR(__xludf.DUMMYFUNCTION("""COMPUTED_VALUE"""),36.81)</f>
        <v>36.81</v>
      </c>
      <c r="S53" s="1">
        <f ca="1">IFERROR(__xludf.DUMMYFUNCTION("""COMPUTED_VALUE"""),55.44)</f>
        <v>55.44</v>
      </c>
      <c r="T53" s="1">
        <f ca="1">IFERROR(__xludf.DUMMYFUNCTION("""COMPUTED_VALUE"""),39.75)</f>
        <v>39.75</v>
      </c>
      <c r="U53" s="1">
        <f ca="1">IFERROR(__xludf.DUMMYFUNCTION("""COMPUTED_VALUE"""),69.84)</f>
        <v>69.84</v>
      </c>
      <c r="V53" s="1">
        <f ca="1">IFERROR(__xludf.DUMMYFUNCTION("""COMPUTED_VALUE"""),100.2)</f>
        <v>100.2</v>
      </c>
      <c r="W53" s="1">
        <f ca="1">IFERROR(__xludf.DUMMYFUNCTION("""COMPUTED_VALUE"""),318.83)</f>
        <v>318.83</v>
      </c>
      <c r="X53" s="1">
        <f ca="1">IFERROR(__xludf.DUMMYFUNCTION("""COMPUTED_VALUE"""),238.34)</f>
        <v>238.34</v>
      </c>
      <c r="Y53" s="1">
        <f ca="1">IFERROR(__xludf.DUMMYFUNCTION("""COMPUTED_VALUE"""),48.54)</f>
        <v>48.54</v>
      </c>
      <c r="Z53" s="1">
        <f ca="1">IFERROR(__xludf.DUMMYFUNCTION("""COMPUTED_VALUE"""),158.67)</f>
        <v>158.66999999999999</v>
      </c>
      <c r="AA53" s="1">
        <f ca="1">IFERROR(__xludf.DUMMYFUNCTION("""COMPUTED_VALUE"""),30.47)</f>
        <v>30.47</v>
      </c>
      <c r="AB53" s="1">
        <f ca="1">IFERROR(__xludf.DUMMYFUNCTION("""COMPUTED_VALUE"""),58.98)</f>
        <v>58.98</v>
      </c>
      <c r="AC53" s="1">
        <f ca="1">IFERROR(__xludf.DUMMYFUNCTION("""COMPUTED_VALUE"""),41.88)</f>
        <v>41.88</v>
      </c>
    </row>
    <row r="54" spans="1:29" x14ac:dyDescent="0.25">
      <c r="A54" s="2">
        <f ca="1">IFERROR(__xludf.DUMMYFUNCTION("""COMPUTED_VALUE"""),43908.6666666666)</f>
        <v>43908.666666666599</v>
      </c>
      <c r="B54" s="1">
        <f ca="1">IFERROR(__xludf.DUMMYFUNCTION("""COMPUTED_VALUE"""),61.67)</f>
        <v>61.67</v>
      </c>
      <c r="C54" s="1">
        <f ca="1">IFERROR(__xludf.DUMMYFUNCTION("""COMPUTED_VALUE"""),140.4)</f>
        <v>140.4</v>
      </c>
      <c r="D54" s="1">
        <f ca="1">IFERROR(__xludf.DUMMYFUNCTION("""COMPUTED_VALUE"""),91.5)</f>
        <v>91.5</v>
      </c>
      <c r="E54" s="1">
        <f ca="1">IFERROR(__xludf.DUMMYFUNCTION("""COMPUTED_VALUE"""),5.07)</f>
        <v>5.07</v>
      </c>
      <c r="F54" s="1">
        <f ca="1">IFERROR(__xludf.DUMMYFUNCTION("""COMPUTED_VALUE"""),146.96)</f>
        <v>146.96</v>
      </c>
      <c r="G54" s="1">
        <f ca="1">IFERROR(__xludf.DUMMYFUNCTION("""COMPUTED_VALUE"""),54.84)</f>
        <v>54.84</v>
      </c>
      <c r="H54" s="1">
        <f ca="1">IFERROR(__xludf.DUMMYFUNCTION("""COMPUTED_VALUE"""),24.08)</f>
        <v>24.08</v>
      </c>
      <c r="I54" s="1">
        <f ca="1">IFERROR(__xludf.DUMMYFUNCTION("""COMPUTED_VALUE"""),120.92)</f>
        <v>120.92</v>
      </c>
      <c r="J54" s="1">
        <f ca="1">IFERROR(__xludf.DUMMYFUNCTION("""COMPUTED_VALUE"""),307.5)</f>
        <v>307.5</v>
      </c>
      <c r="K54" s="1">
        <f ca="1">IFERROR(__xludf.DUMMYFUNCTION("""COMPUTED_VALUE"""),16.79)</f>
        <v>16.79</v>
      </c>
      <c r="L54" s="1">
        <f ca="1">IFERROR(__xludf.DUMMYFUNCTION("""COMPUTED_VALUE"""),294.61)</f>
        <v>294.61</v>
      </c>
      <c r="M54" s="1">
        <f ca="1">IFERROR(__xludf.DUMMYFUNCTION("""COMPUTED_VALUE"""),315.47)</f>
        <v>315.47000000000003</v>
      </c>
      <c r="N54" s="1">
        <f ca="1">IFERROR(__xludf.DUMMYFUNCTION("""COMPUTED_VALUE"""),83.89)</f>
        <v>83.89</v>
      </c>
      <c r="O54" s="1">
        <f ca="1">IFERROR(__xludf.DUMMYFUNCTION("""COMPUTED_VALUE"""),148.48)</f>
        <v>148.47999999999999</v>
      </c>
      <c r="P54" s="1">
        <f ca="1">IFERROR(__xludf.DUMMYFUNCTION("""COMPUTED_VALUE"""),134.96)</f>
        <v>134.96</v>
      </c>
      <c r="Q54" s="1">
        <f ca="1">IFERROR(__xludf.DUMMYFUNCTION("""COMPUTED_VALUE"""),217.06)</f>
        <v>217.06</v>
      </c>
      <c r="R54" s="1">
        <f ca="1">IFERROR(__xludf.DUMMYFUNCTION("""COMPUTED_VALUE"""),33.12)</f>
        <v>33.119999999999997</v>
      </c>
      <c r="S54" s="1">
        <f ca="1">IFERROR(__xludf.DUMMYFUNCTION("""COMPUTED_VALUE"""),52.66)</f>
        <v>52.66</v>
      </c>
      <c r="T54" s="1">
        <f ca="1">IFERROR(__xludf.DUMMYFUNCTION("""COMPUTED_VALUE"""),40.86)</f>
        <v>40.86</v>
      </c>
      <c r="U54" s="1">
        <f ca="1">IFERROR(__xludf.DUMMYFUNCTION("""COMPUTED_VALUE"""),68.04)</f>
        <v>68.040000000000006</v>
      </c>
      <c r="V54" s="1">
        <f ca="1">IFERROR(__xludf.DUMMYFUNCTION("""COMPUTED_VALUE"""),100.12)</f>
        <v>100.12</v>
      </c>
      <c r="W54" s="1">
        <f ca="1">IFERROR(__xludf.DUMMYFUNCTION("""COMPUTED_VALUE"""),333.41)</f>
        <v>333.41</v>
      </c>
      <c r="X54" s="1">
        <f ca="1">IFERROR(__xludf.DUMMYFUNCTION("""COMPUTED_VALUE"""),196.99)</f>
        <v>196.99</v>
      </c>
      <c r="Y54" s="1">
        <f ca="1">IFERROR(__xludf.DUMMYFUNCTION("""COMPUTED_VALUE"""),44.37)</f>
        <v>44.37</v>
      </c>
      <c r="Z54" s="1">
        <f ca="1">IFERROR(__xludf.DUMMYFUNCTION("""COMPUTED_VALUE"""),140.02)</f>
        <v>140.02000000000001</v>
      </c>
      <c r="AA54" s="1">
        <f ca="1">IFERROR(__xludf.DUMMYFUNCTION("""COMPUTED_VALUE"""),30.66)</f>
        <v>30.66</v>
      </c>
      <c r="AB54" s="1">
        <f ca="1">IFERROR(__xludf.DUMMYFUNCTION("""COMPUTED_VALUE"""),56.33)</f>
        <v>56.33</v>
      </c>
      <c r="AC54" s="1">
        <f ca="1">IFERROR(__xludf.DUMMYFUNCTION("""COMPUTED_VALUE"""),39.12)</f>
        <v>39.119999999999997</v>
      </c>
    </row>
    <row r="55" spans="1:29" x14ac:dyDescent="0.25">
      <c r="A55" s="2">
        <f ca="1">IFERROR(__xludf.DUMMYFUNCTION("""COMPUTED_VALUE"""),43909.6666666666)</f>
        <v>43909.666666666599</v>
      </c>
      <c r="B55" s="1">
        <f ca="1">IFERROR(__xludf.DUMMYFUNCTION("""COMPUTED_VALUE"""),61.2)</f>
        <v>61.2</v>
      </c>
      <c r="C55" s="1">
        <f ca="1">IFERROR(__xludf.DUMMYFUNCTION("""COMPUTED_VALUE"""),142.71)</f>
        <v>142.71</v>
      </c>
      <c r="D55" s="1">
        <f ca="1">IFERROR(__xludf.DUMMYFUNCTION("""COMPUTED_VALUE"""),94.05)</f>
        <v>94.05</v>
      </c>
      <c r="E55" s="1">
        <f ca="1">IFERROR(__xludf.DUMMYFUNCTION("""COMPUTED_VALUE"""),5.32)</f>
        <v>5.32</v>
      </c>
      <c r="F55" s="1">
        <f ca="1">IFERROR(__xludf.DUMMYFUNCTION("""COMPUTED_VALUE"""),153.13)</f>
        <v>153.13</v>
      </c>
      <c r="G55" s="1">
        <f ca="1">IFERROR(__xludf.DUMMYFUNCTION("""COMPUTED_VALUE"""),55.76)</f>
        <v>55.76</v>
      </c>
      <c r="H55" s="1">
        <f ca="1">IFERROR(__xludf.DUMMYFUNCTION("""COMPUTED_VALUE"""),28.51)</f>
        <v>28.51</v>
      </c>
      <c r="I55" s="1">
        <f ca="1">IFERROR(__xludf.DUMMYFUNCTION("""COMPUTED_VALUE"""),117.34)</f>
        <v>117.34</v>
      </c>
      <c r="J55" s="1">
        <f ca="1">IFERROR(__xludf.DUMMYFUNCTION("""COMPUTED_VALUE"""),305.22)</f>
        <v>305.22000000000003</v>
      </c>
      <c r="K55" s="1">
        <f ca="1">IFERROR(__xludf.DUMMYFUNCTION("""COMPUTED_VALUE"""),19.45)</f>
        <v>19.45</v>
      </c>
      <c r="L55" s="1">
        <f ca="1">IFERROR(__xludf.DUMMYFUNCTION("""COMPUTED_VALUE"""),307.51)</f>
        <v>307.51</v>
      </c>
      <c r="M55" s="1">
        <f ca="1">IFERROR(__xludf.DUMMYFUNCTION("""COMPUTED_VALUE"""),332.03)</f>
        <v>332.03</v>
      </c>
      <c r="N55" s="1">
        <f ca="1">IFERROR(__xludf.DUMMYFUNCTION("""COMPUTED_VALUE"""),85.3)</f>
        <v>85.3</v>
      </c>
      <c r="O55" s="1">
        <f ca="1">IFERROR(__xludf.DUMMYFUNCTION("""COMPUTED_VALUE"""),152.25)</f>
        <v>152.25</v>
      </c>
      <c r="P55" s="1">
        <f ca="1">IFERROR(__xludf.DUMMYFUNCTION("""COMPUTED_VALUE"""),127.05)</f>
        <v>127.05</v>
      </c>
      <c r="Q55" s="1">
        <f ca="1">IFERROR(__xludf.DUMMYFUNCTION("""COMPUTED_VALUE"""),219.8)</f>
        <v>219.8</v>
      </c>
      <c r="R55" s="1">
        <f ca="1">IFERROR(__xludf.DUMMYFUNCTION("""COMPUTED_VALUE"""),34.43)</f>
        <v>34.43</v>
      </c>
      <c r="S55" s="1">
        <f ca="1">IFERROR(__xludf.DUMMYFUNCTION("""COMPUTED_VALUE"""),51.78)</f>
        <v>51.78</v>
      </c>
      <c r="T55" s="1">
        <f ca="1">IFERROR(__xludf.DUMMYFUNCTION("""COMPUTED_VALUE"""),39.82)</f>
        <v>39.82</v>
      </c>
      <c r="U55" s="1">
        <f ca="1">IFERROR(__xludf.DUMMYFUNCTION("""COMPUTED_VALUE"""),70.34)</f>
        <v>70.34</v>
      </c>
      <c r="V55" s="1">
        <f ca="1">IFERROR(__xludf.DUMMYFUNCTION("""COMPUTED_VALUE"""),103.01)</f>
        <v>103.01</v>
      </c>
      <c r="W55" s="1">
        <f ca="1">IFERROR(__xludf.DUMMYFUNCTION("""COMPUTED_VALUE"""),314.2)</f>
        <v>314.2</v>
      </c>
      <c r="X55" s="1">
        <f ca="1">IFERROR(__xludf.DUMMYFUNCTION("""COMPUTED_VALUE"""),214.03)</f>
        <v>214.03</v>
      </c>
      <c r="Y55" s="1">
        <f ca="1">IFERROR(__xludf.DUMMYFUNCTION("""COMPUTED_VALUE"""),43.89)</f>
        <v>43.89</v>
      </c>
      <c r="Z55" s="1">
        <f ca="1">IFERROR(__xludf.DUMMYFUNCTION("""COMPUTED_VALUE"""),149.49)</f>
        <v>149.49</v>
      </c>
      <c r="AA55" s="1">
        <f ca="1">IFERROR(__xludf.DUMMYFUNCTION("""COMPUTED_VALUE"""),28.82)</f>
        <v>28.82</v>
      </c>
      <c r="AB55" s="1">
        <f ca="1">IFERROR(__xludf.DUMMYFUNCTION("""COMPUTED_VALUE"""),61.41)</f>
        <v>61.41</v>
      </c>
      <c r="AC55" s="1">
        <f ca="1">IFERROR(__xludf.DUMMYFUNCTION("""COMPUTED_VALUE"""),39.82)</f>
        <v>39.82</v>
      </c>
    </row>
    <row r="56" spans="1:29" x14ac:dyDescent="0.25">
      <c r="A56" s="2">
        <f ca="1">IFERROR(__xludf.DUMMYFUNCTION("""COMPUTED_VALUE"""),43910.6666666666)</f>
        <v>43910.666666666599</v>
      </c>
      <c r="B56" s="1">
        <f ca="1">IFERROR(__xludf.DUMMYFUNCTION("""COMPUTED_VALUE"""),57.31)</f>
        <v>57.31</v>
      </c>
      <c r="C56" s="1">
        <f ca="1">IFERROR(__xludf.DUMMYFUNCTION("""COMPUTED_VALUE"""),137.35)</f>
        <v>137.35</v>
      </c>
      <c r="D56" s="1">
        <f ca="1">IFERROR(__xludf.DUMMYFUNCTION("""COMPUTED_VALUE"""),92.3)</f>
        <v>92.3</v>
      </c>
      <c r="E56" s="1">
        <f ca="1">IFERROR(__xludf.DUMMYFUNCTION("""COMPUTED_VALUE"""),5.14)</f>
        <v>5.14</v>
      </c>
      <c r="F56" s="1">
        <f ca="1">IFERROR(__xludf.DUMMYFUNCTION("""COMPUTED_VALUE"""),149.73)</f>
        <v>149.72999999999999</v>
      </c>
      <c r="G56" s="1">
        <f ca="1">IFERROR(__xludf.DUMMYFUNCTION("""COMPUTED_VALUE"""),53.62)</f>
        <v>53.62</v>
      </c>
      <c r="H56" s="1">
        <f ca="1">IFERROR(__xludf.DUMMYFUNCTION("""COMPUTED_VALUE"""),28.5)</f>
        <v>28.5</v>
      </c>
      <c r="I56" s="1">
        <f ca="1">IFERROR(__xludf.DUMMYFUNCTION("""COMPUTED_VALUE"""),103.93)</f>
        <v>103.93</v>
      </c>
      <c r="J56" s="1">
        <f ca="1">IFERROR(__xludf.DUMMYFUNCTION("""COMPUTED_VALUE"""),290.42)</f>
        <v>290.42</v>
      </c>
      <c r="K56" s="1">
        <f ca="1">IFERROR(__xludf.DUMMYFUNCTION("""COMPUTED_VALUE"""),19.22)</f>
        <v>19.22</v>
      </c>
      <c r="L56" s="1">
        <f ca="1">IFERROR(__xludf.DUMMYFUNCTION("""COMPUTED_VALUE"""),295.34)</f>
        <v>295.33999999999997</v>
      </c>
      <c r="M56" s="1">
        <f ca="1">IFERROR(__xludf.DUMMYFUNCTION("""COMPUTED_VALUE"""),332.83)</f>
        <v>332.83</v>
      </c>
      <c r="N56" s="1">
        <f ca="1">IFERROR(__xludf.DUMMYFUNCTION("""COMPUTED_VALUE"""),83.5)</f>
        <v>83.5</v>
      </c>
      <c r="O56" s="1">
        <f ca="1">IFERROR(__xludf.DUMMYFUNCTION("""COMPUTED_VALUE"""),146.83)</f>
        <v>146.83000000000001</v>
      </c>
      <c r="P56" s="1">
        <f ca="1">IFERROR(__xludf.DUMMYFUNCTION("""COMPUTED_VALUE"""),119.89)</f>
        <v>119.89</v>
      </c>
      <c r="Q56" s="1">
        <f ca="1">IFERROR(__xludf.DUMMYFUNCTION("""COMPUTED_VALUE"""),206.59)</f>
        <v>206.59</v>
      </c>
      <c r="R56" s="1">
        <f ca="1">IFERROR(__xludf.DUMMYFUNCTION("""COMPUTED_VALUE"""),32.74)</f>
        <v>32.74</v>
      </c>
      <c r="S56" s="1">
        <f ca="1">IFERROR(__xludf.DUMMYFUNCTION("""COMPUTED_VALUE"""),47.94)</f>
        <v>47.94</v>
      </c>
      <c r="T56" s="1">
        <f ca="1">IFERROR(__xludf.DUMMYFUNCTION("""COMPUTED_VALUE"""),37.99)</f>
        <v>37.99</v>
      </c>
      <c r="U56" s="1">
        <f ca="1">IFERROR(__xludf.DUMMYFUNCTION("""COMPUTED_VALUE"""),67.45)</f>
        <v>67.45</v>
      </c>
      <c r="V56" s="1">
        <f ca="1">IFERROR(__xludf.DUMMYFUNCTION("""COMPUTED_VALUE"""),95.5)</f>
        <v>95.5</v>
      </c>
      <c r="W56" s="1">
        <f ca="1">IFERROR(__xludf.DUMMYFUNCTION("""COMPUTED_VALUE"""),291.22)</f>
        <v>291.22000000000003</v>
      </c>
      <c r="X56" s="1">
        <f ca="1">IFERROR(__xludf.DUMMYFUNCTION("""COMPUTED_VALUE"""),216.1)</f>
        <v>216.1</v>
      </c>
      <c r="Y56" s="1">
        <f ca="1">IFERROR(__xludf.DUMMYFUNCTION("""COMPUTED_VALUE"""),44.53)</f>
        <v>44.53</v>
      </c>
      <c r="Z56" s="1">
        <f ca="1">IFERROR(__xludf.DUMMYFUNCTION("""COMPUTED_VALUE"""),138.41)</f>
        <v>138.41</v>
      </c>
      <c r="AA56" s="1">
        <f ca="1">IFERROR(__xludf.DUMMYFUNCTION("""COMPUTED_VALUE"""),27.48)</f>
        <v>27.48</v>
      </c>
      <c r="AB56" s="1">
        <f ca="1">IFERROR(__xludf.DUMMYFUNCTION("""COMPUTED_VALUE"""),58.03)</f>
        <v>58.03</v>
      </c>
      <c r="AC56" s="1">
        <f ca="1">IFERROR(__xludf.DUMMYFUNCTION("""COMPUTED_VALUE"""),39.61)</f>
        <v>39.61</v>
      </c>
    </row>
    <row r="57" spans="1:29" x14ac:dyDescent="0.25">
      <c r="A57" s="2">
        <f ca="1">IFERROR(__xludf.DUMMYFUNCTION("""COMPUTED_VALUE"""),43913.6666666666)</f>
        <v>43913.666666666599</v>
      </c>
      <c r="B57" s="1">
        <f ca="1">IFERROR(__xludf.DUMMYFUNCTION("""COMPUTED_VALUE"""),56.09)</f>
        <v>56.09</v>
      </c>
      <c r="C57" s="1">
        <f ca="1">IFERROR(__xludf.DUMMYFUNCTION("""COMPUTED_VALUE"""),135.98)</f>
        <v>135.97999999999999</v>
      </c>
      <c r="D57" s="1">
        <f ca="1">IFERROR(__xludf.DUMMYFUNCTION("""COMPUTED_VALUE"""),95.14)</f>
        <v>95.14</v>
      </c>
      <c r="E57" s="1">
        <f ca="1">IFERROR(__xludf.DUMMYFUNCTION("""COMPUTED_VALUE"""),5.32)</f>
        <v>5.32</v>
      </c>
      <c r="F57" s="1">
        <f ca="1">IFERROR(__xludf.DUMMYFUNCTION("""COMPUTED_VALUE"""),148.1)</f>
        <v>148.1</v>
      </c>
      <c r="G57" s="1">
        <f ca="1">IFERROR(__xludf.DUMMYFUNCTION("""COMPUTED_VALUE"""),52.83)</f>
        <v>52.83</v>
      </c>
      <c r="H57" s="1">
        <f ca="1">IFERROR(__xludf.DUMMYFUNCTION("""COMPUTED_VALUE"""),28.95)</f>
        <v>28.95</v>
      </c>
      <c r="I57" s="1">
        <f ca="1">IFERROR(__xludf.DUMMYFUNCTION("""COMPUTED_VALUE"""),105.18)</f>
        <v>105.18</v>
      </c>
      <c r="J57" s="1">
        <f ca="1">IFERROR(__xludf.DUMMYFUNCTION("""COMPUTED_VALUE"""),285.53)</f>
        <v>285.52999999999997</v>
      </c>
      <c r="K57" s="1">
        <f ca="1">IFERROR(__xludf.DUMMYFUNCTION("""COMPUTED_VALUE"""),19.35)</f>
        <v>19.350000000000001</v>
      </c>
      <c r="L57" s="1">
        <f ca="1">IFERROR(__xludf.DUMMYFUNCTION("""COMPUTED_VALUE"""),307.27)</f>
        <v>307.27</v>
      </c>
      <c r="M57" s="1">
        <f ca="1">IFERROR(__xludf.DUMMYFUNCTION("""COMPUTED_VALUE"""),360.27)</f>
        <v>360.27</v>
      </c>
      <c r="N57" s="1">
        <f ca="1">IFERROR(__xludf.DUMMYFUNCTION("""COMPUTED_VALUE"""),79.03)</f>
        <v>79.03</v>
      </c>
      <c r="O57" s="1">
        <f ca="1">IFERROR(__xludf.DUMMYFUNCTION("""COMPUTED_VALUE"""),135.74)</f>
        <v>135.74</v>
      </c>
      <c r="P57" s="1">
        <f ca="1">IFERROR(__xludf.DUMMYFUNCTION("""COMPUTED_VALUE"""),111.14)</f>
        <v>111.14</v>
      </c>
      <c r="Q57" s="1">
        <f ca="1">IFERROR(__xludf.DUMMYFUNCTION("""COMPUTED_VALUE"""),194.86)</f>
        <v>194.86</v>
      </c>
      <c r="R57" s="1">
        <f ca="1">IFERROR(__xludf.DUMMYFUNCTION("""COMPUTED_VALUE"""),31.45)</f>
        <v>31.45</v>
      </c>
      <c r="S57" s="1">
        <f ca="1">IFERROR(__xludf.DUMMYFUNCTION("""COMPUTED_VALUE"""),45.42)</f>
        <v>45.42</v>
      </c>
      <c r="T57" s="1">
        <f ca="1">IFERROR(__xludf.DUMMYFUNCTION("""COMPUTED_VALUE"""),38.09)</f>
        <v>38.090000000000003</v>
      </c>
      <c r="U57" s="1">
        <f ca="1">IFERROR(__xludf.DUMMYFUNCTION("""COMPUTED_VALUE"""),62.8)</f>
        <v>62.8</v>
      </c>
      <c r="V57" s="1">
        <f ca="1">IFERROR(__xludf.DUMMYFUNCTION("""COMPUTED_VALUE"""),91.85)</f>
        <v>91.85</v>
      </c>
      <c r="W57" s="1">
        <f ca="1">IFERROR(__xludf.DUMMYFUNCTION("""COMPUTED_VALUE"""),276.8)</f>
        <v>276.8</v>
      </c>
      <c r="X57" s="1">
        <f ca="1">IFERROR(__xludf.DUMMYFUNCTION("""COMPUTED_VALUE"""),233.15)</f>
        <v>233.15</v>
      </c>
      <c r="Y57" s="1">
        <f ca="1">IFERROR(__xludf.DUMMYFUNCTION("""COMPUTED_VALUE"""),45.26)</f>
        <v>45.26</v>
      </c>
      <c r="Z57" s="1">
        <f ca="1">IFERROR(__xludf.DUMMYFUNCTION("""COMPUTED_VALUE"""),134.97)</f>
        <v>134.97</v>
      </c>
      <c r="AA57" s="1">
        <f ca="1">IFERROR(__xludf.DUMMYFUNCTION("""COMPUTED_VALUE"""),26.99)</f>
        <v>26.99</v>
      </c>
      <c r="AB57" s="1">
        <f ca="1">IFERROR(__xludf.DUMMYFUNCTION("""COMPUTED_VALUE"""),56.55)</f>
        <v>56.55</v>
      </c>
      <c r="AC57" s="1">
        <f ca="1">IFERROR(__xludf.DUMMYFUNCTION("""COMPUTED_VALUE"""),41.64)</f>
        <v>41.64</v>
      </c>
    </row>
    <row r="58" spans="1:29" x14ac:dyDescent="0.25">
      <c r="A58" s="2">
        <f ca="1">IFERROR(__xludf.DUMMYFUNCTION("""COMPUTED_VALUE"""),43914.6666666666)</f>
        <v>43914.666666666599</v>
      </c>
      <c r="B58" s="1">
        <f ca="1">IFERROR(__xludf.DUMMYFUNCTION("""COMPUTED_VALUE"""),61.72)</f>
        <v>61.72</v>
      </c>
      <c r="C58" s="1">
        <f ca="1">IFERROR(__xludf.DUMMYFUNCTION("""COMPUTED_VALUE"""),148.34)</f>
        <v>148.34</v>
      </c>
      <c r="D58" s="1">
        <f ca="1">IFERROR(__xludf.DUMMYFUNCTION("""COMPUTED_VALUE"""),97.01)</f>
        <v>97.01</v>
      </c>
      <c r="E58" s="1">
        <f ca="1">IFERROR(__xludf.DUMMYFUNCTION("""COMPUTED_VALUE"""),6.23)</f>
        <v>6.23</v>
      </c>
      <c r="F58" s="1">
        <f ca="1">IFERROR(__xludf.DUMMYFUNCTION("""COMPUTED_VALUE"""),160.98)</f>
        <v>160.97999999999999</v>
      </c>
      <c r="G58" s="1">
        <f ca="1">IFERROR(__xludf.DUMMYFUNCTION("""COMPUTED_VALUE"""),56.72)</f>
        <v>56.72</v>
      </c>
      <c r="H58" s="1">
        <f ca="1">IFERROR(__xludf.DUMMYFUNCTION("""COMPUTED_VALUE"""),33.67)</f>
        <v>33.67</v>
      </c>
      <c r="I58" s="1">
        <f ca="1">IFERROR(__xludf.DUMMYFUNCTION("""COMPUTED_VALUE"""),113.84)</f>
        <v>113.84</v>
      </c>
      <c r="J58" s="1">
        <f ca="1">IFERROR(__xludf.DUMMYFUNCTION("""COMPUTED_VALUE"""),284.94)</f>
        <v>284.94</v>
      </c>
      <c r="K58" s="1">
        <f ca="1">IFERROR(__xludf.DUMMYFUNCTION("""COMPUTED_VALUE"""),21.28)</f>
        <v>21.28</v>
      </c>
      <c r="L58" s="1">
        <f ca="1">IFERROR(__xludf.DUMMYFUNCTION("""COMPUTED_VALUE"""),310)</f>
        <v>310</v>
      </c>
      <c r="M58" s="1">
        <f ca="1">IFERROR(__xludf.DUMMYFUNCTION("""COMPUTED_VALUE"""),357.32)</f>
        <v>357.32</v>
      </c>
      <c r="N58" s="1">
        <f ca="1">IFERROR(__xludf.DUMMYFUNCTION("""COMPUTED_VALUE"""),88.43)</f>
        <v>88.43</v>
      </c>
      <c r="O58" s="1">
        <f ca="1">IFERROR(__xludf.DUMMYFUNCTION("""COMPUTED_VALUE"""),154.53)</f>
        <v>154.53</v>
      </c>
      <c r="P58" s="1">
        <f ca="1">IFERROR(__xludf.DUMMYFUNCTION("""COMPUTED_VALUE"""),119.18)</f>
        <v>119.18</v>
      </c>
      <c r="Q58" s="1">
        <f ca="1">IFERROR(__xludf.DUMMYFUNCTION("""COMPUTED_VALUE"""),219.8)</f>
        <v>219.8</v>
      </c>
      <c r="R58" s="1">
        <f ca="1">IFERROR(__xludf.DUMMYFUNCTION("""COMPUTED_VALUE"""),35.44)</f>
        <v>35.44</v>
      </c>
      <c r="S58" s="1">
        <f ca="1">IFERROR(__xludf.DUMMYFUNCTION("""COMPUTED_VALUE"""),51.63)</f>
        <v>51.63</v>
      </c>
      <c r="T58" s="1">
        <f ca="1">IFERROR(__xludf.DUMMYFUNCTION("""COMPUTED_VALUE"""),38.34)</f>
        <v>38.340000000000003</v>
      </c>
      <c r="U58" s="1">
        <f ca="1">IFERROR(__xludf.DUMMYFUNCTION("""COMPUTED_VALUE"""),72.33)</f>
        <v>72.33</v>
      </c>
      <c r="V58" s="1">
        <f ca="1">IFERROR(__xludf.DUMMYFUNCTION("""COMPUTED_VALUE"""),101.34)</f>
        <v>101.34</v>
      </c>
      <c r="W58" s="1">
        <f ca="1">IFERROR(__xludf.DUMMYFUNCTION("""COMPUTED_VALUE"""),288.91)</f>
        <v>288.91000000000003</v>
      </c>
      <c r="X58" s="1">
        <f ca="1">IFERROR(__xludf.DUMMYFUNCTION("""COMPUTED_VALUE"""),260.21)</f>
        <v>260.20999999999998</v>
      </c>
      <c r="Y58" s="1">
        <f ca="1">IFERROR(__xludf.DUMMYFUNCTION("""COMPUTED_VALUE"""),48.87)</f>
        <v>48.87</v>
      </c>
      <c r="Z58" s="1">
        <f ca="1">IFERROR(__xludf.DUMMYFUNCTION("""COMPUTED_VALUE"""),153.6)</f>
        <v>153.6</v>
      </c>
      <c r="AA58" s="1">
        <f ca="1">IFERROR(__xludf.DUMMYFUNCTION("""COMPUTED_VALUE"""),28.14)</f>
        <v>28.14</v>
      </c>
      <c r="AB58" s="1">
        <f ca="1">IFERROR(__xludf.DUMMYFUNCTION("""COMPUTED_VALUE"""),64.88)</f>
        <v>64.88</v>
      </c>
      <c r="AC58" s="1">
        <f ca="1">IFERROR(__xludf.DUMMYFUNCTION("""COMPUTED_VALUE"""),46.22)</f>
        <v>46.22</v>
      </c>
    </row>
    <row r="59" spans="1:29" x14ac:dyDescent="0.25">
      <c r="A59" s="2">
        <f ca="1">IFERROR(__xludf.DUMMYFUNCTION("""COMPUTED_VALUE"""),43915.6666666666)</f>
        <v>43915.666666666599</v>
      </c>
      <c r="B59" s="1">
        <f ca="1">IFERROR(__xludf.DUMMYFUNCTION("""COMPUTED_VALUE"""),61.38)</f>
        <v>61.38</v>
      </c>
      <c r="C59" s="1">
        <f ca="1">IFERROR(__xludf.DUMMYFUNCTION("""COMPUTED_VALUE"""),146.92)</f>
        <v>146.91999999999999</v>
      </c>
      <c r="D59" s="1">
        <f ca="1">IFERROR(__xludf.DUMMYFUNCTION("""COMPUTED_VALUE"""),94.29)</f>
        <v>94.29</v>
      </c>
      <c r="E59" s="1">
        <f ca="1">IFERROR(__xludf.DUMMYFUNCTION("""COMPUTED_VALUE"""),6.14)</f>
        <v>6.14</v>
      </c>
      <c r="F59" s="1">
        <f ca="1">IFERROR(__xludf.DUMMYFUNCTION("""COMPUTED_VALUE"""),156.21)</f>
        <v>156.21</v>
      </c>
      <c r="G59" s="1">
        <f ca="1">IFERROR(__xludf.DUMMYFUNCTION("""COMPUTED_VALUE"""),55.12)</f>
        <v>55.12</v>
      </c>
      <c r="H59" s="1">
        <f ca="1">IFERROR(__xludf.DUMMYFUNCTION("""COMPUTED_VALUE"""),35.95)</f>
        <v>35.950000000000003</v>
      </c>
      <c r="I59" s="1">
        <f ca="1">IFERROR(__xludf.DUMMYFUNCTION("""COMPUTED_VALUE"""),112.5)</f>
        <v>112.5</v>
      </c>
      <c r="J59" s="1">
        <f ca="1">IFERROR(__xludf.DUMMYFUNCTION("""COMPUTED_VALUE"""),280.86)</f>
        <v>280.86</v>
      </c>
      <c r="K59" s="1">
        <f ca="1">IFERROR(__xludf.DUMMYFUNCTION("""COMPUTED_VALUE"""),21.76)</f>
        <v>21.76</v>
      </c>
      <c r="L59" s="1">
        <f ca="1">IFERROR(__xludf.DUMMYFUNCTION("""COMPUTED_VALUE"""),305.91)</f>
        <v>305.91000000000003</v>
      </c>
      <c r="M59" s="1">
        <f ca="1">IFERROR(__xludf.DUMMYFUNCTION("""COMPUTED_VALUE"""),342.39)</f>
        <v>342.39</v>
      </c>
      <c r="N59" s="1">
        <f ca="1">IFERROR(__xludf.DUMMYFUNCTION("""COMPUTED_VALUE"""),91.73)</f>
        <v>91.73</v>
      </c>
      <c r="O59" s="1">
        <f ca="1">IFERROR(__xludf.DUMMYFUNCTION("""COMPUTED_VALUE"""),161.78)</f>
        <v>161.78</v>
      </c>
      <c r="P59" s="1">
        <f ca="1">IFERROR(__xludf.DUMMYFUNCTION("""COMPUTED_VALUE"""),119.4)</f>
        <v>119.4</v>
      </c>
      <c r="Q59" s="1">
        <f ca="1">IFERROR(__xludf.DUMMYFUNCTION("""COMPUTED_VALUE"""),234.49)</f>
        <v>234.49</v>
      </c>
      <c r="R59" s="1">
        <f ca="1">IFERROR(__xludf.DUMMYFUNCTION("""COMPUTED_VALUE"""),37.29)</f>
        <v>37.29</v>
      </c>
      <c r="S59" s="1">
        <f ca="1">IFERROR(__xludf.DUMMYFUNCTION("""COMPUTED_VALUE"""),52.57)</f>
        <v>52.57</v>
      </c>
      <c r="T59" s="1">
        <f ca="1">IFERROR(__xludf.DUMMYFUNCTION("""COMPUTED_VALUE"""),36.47)</f>
        <v>36.47</v>
      </c>
      <c r="U59" s="1">
        <f ca="1">IFERROR(__xludf.DUMMYFUNCTION("""COMPUTED_VALUE"""),79.01)</f>
        <v>79.010000000000005</v>
      </c>
      <c r="V59" s="1">
        <f ca="1">IFERROR(__xludf.DUMMYFUNCTION("""COMPUTED_VALUE"""),104.67)</f>
        <v>104.67</v>
      </c>
      <c r="W59" s="1">
        <f ca="1">IFERROR(__xludf.DUMMYFUNCTION("""COMPUTED_VALUE"""),319.67)</f>
        <v>319.67</v>
      </c>
      <c r="X59" s="1">
        <f ca="1">IFERROR(__xludf.DUMMYFUNCTION("""COMPUTED_VALUE"""),262.07)</f>
        <v>262.07</v>
      </c>
      <c r="Y59" s="1">
        <f ca="1">IFERROR(__xludf.DUMMYFUNCTION("""COMPUTED_VALUE"""),49)</f>
        <v>49</v>
      </c>
      <c r="Z59" s="1">
        <f ca="1">IFERROR(__xludf.DUMMYFUNCTION("""COMPUTED_VALUE"""),155.13)</f>
        <v>155.13</v>
      </c>
      <c r="AA59" s="1">
        <f ca="1">IFERROR(__xludf.DUMMYFUNCTION("""COMPUTED_VALUE"""),28.18)</f>
        <v>28.18</v>
      </c>
      <c r="AB59" s="1">
        <f ca="1">IFERROR(__xludf.DUMMYFUNCTION("""COMPUTED_VALUE"""),65.81)</f>
        <v>65.81</v>
      </c>
      <c r="AC59" s="1">
        <f ca="1">IFERROR(__xludf.DUMMYFUNCTION("""COMPUTED_VALUE"""),44.63)</f>
        <v>44.63</v>
      </c>
    </row>
    <row r="60" spans="1:29" x14ac:dyDescent="0.25">
      <c r="A60" s="2">
        <f ca="1">IFERROR(__xludf.DUMMYFUNCTION("""COMPUTED_VALUE"""),43916.6666666666)</f>
        <v>43916.666666666599</v>
      </c>
      <c r="B60" s="1">
        <f ca="1">IFERROR(__xludf.DUMMYFUNCTION("""COMPUTED_VALUE"""),64.61)</f>
        <v>64.61</v>
      </c>
      <c r="C60" s="1">
        <f ca="1">IFERROR(__xludf.DUMMYFUNCTION("""COMPUTED_VALUE"""),156.11)</f>
        <v>156.11000000000001</v>
      </c>
      <c r="D60" s="1">
        <f ca="1">IFERROR(__xludf.DUMMYFUNCTION("""COMPUTED_VALUE"""),97.77)</f>
        <v>97.77</v>
      </c>
      <c r="E60" s="1">
        <f ca="1">IFERROR(__xludf.DUMMYFUNCTION("""COMPUTED_VALUE"""),6.43)</f>
        <v>6.43</v>
      </c>
      <c r="F60" s="1">
        <f ca="1">IFERROR(__xludf.DUMMYFUNCTION("""COMPUTED_VALUE"""),163.34)</f>
        <v>163.34</v>
      </c>
      <c r="G60" s="1">
        <f ca="1">IFERROR(__xludf.DUMMYFUNCTION("""COMPUTED_VALUE"""),58.09)</f>
        <v>58.09</v>
      </c>
      <c r="H60" s="1">
        <f ca="1">IFERROR(__xludf.DUMMYFUNCTION("""COMPUTED_VALUE"""),35.21)</f>
        <v>35.21</v>
      </c>
      <c r="I60" s="1">
        <f ca="1">IFERROR(__xludf.DUMMYFUNCTION("""COMPUTED_VALUE"""),120.26)</f>
        <v>120.26</v>
      </c>
      <c r="J60" s="1">
        <f ca="1">IFERROR(__xludf.DUMMYFUNCTION("""COMPUTED_VALUE"""),292.3)</f>
        <v>292.3</v>
      </c>
      <c r="K60" s="1">
        <f ca="1">IFERROR(__xludf.DUMMYFUNCTION("""COMPUTED_VALUE"""),24.32)</f>
        <v>24.32</v>
      </c>
      <c r="L60" s="1">
        <f ca="1">IFERROR(__xludf.DUMMYFUNCTION("""COMPUTED_VALUE"""),322.67)</f>
        <v>322.67</v>
      </c>
      <c r="M60" s="1">
        <f ca="1">IFERROR(__xludf.DUMMYFUNCTION("""COMPUTED_VALUE"""),362.99)</f>
        <v>362.99</v>
      </c>
      <c r="N60" s="1">
        <f ca="1">IFERROR(__xludf.DUMMYFUNCTION("""COMPUTED_VALUE"""),98.12)</f>
        <v>98.12</v>
      </c>
      <c r="O60" s="1">
        <f ca="1">IFERROR(__xludf.DUMMYFUNCTION("""COMPUTED_VALUE"""),168.88)</f>
        <v>168.88</v>
      </c>
      <c r="P60" s="1">
        <f ca="1">IFERROR(__xludf.DUMMYFUNCTION("""COMPUTED_VALUE"""),126.57)</f>
        <v>126.57</v>
      </c>
      <c r="Q60" s="1">
        <f ca="1">IFERROR(__xludf.DUMMYFUNCTION("""COMPUTED_VALUE"""),255.39)</f>
        <v>255.39</v>
      </c>
      <c r="R60" s="1">
        <f ca="1">IFERROR(__xludf.DUMMYFUNCTION("""COMPUTED_VALUE"""),38.82)</f>
        <v>38.82</v>
      </c>
      <c r="S60" s="1">
        <f ca="1">IFERROR(__xludf.DUMMYFUNCTION("""COMPUTED_VALUE"""),57.78)</f>
        <v>57.78</v>
      </c>
      <c r="T60" s="1">
        <f ca="1">IFERROR(__xludf.DUMMYFUNCTION("""COMPUTED_VALUE"""),36.61)</f>
        <v>36.61</v>
      </c>
      <c r="U60" s="1">
        <f ca="1">IFERROR(__xludf.DUMMYFUNCTION("""COMPUTED_VALUE"""),84.3)</f>
        <v>84.3</v>
      </c>
      <c r="V60" s="1">
        <f ca="1">IFERROR(__xludf.DUMMYFUNCTION("""COMPUTED_VALUE"""),110.5)</f>
        <v>110.5</v>
      </c>
      <c r="W60" s="1">
        <f ca="1">IFERROR(__xludf.DUMMYFUNCTION("""COMPUTED_VALUE"""),350.33)</f>
        <v>350.33</v>
      </c>
      <c r="X60" s="1">
        <f ca="1">IFERROR(__xludf.DUMMYFUNCTION("""COMPUTED_VALUE"""),275.9)</f>
        <v>275.89999999999998</v>
      </c>
      <c r="Y60" s="1">
        <f ca="1">IFERROR(__xludf.DUMMYFUNCTION("""COMPUTED_VALUE"""),49.87)</f>
        <v>49.87</v>
      </c>
      <c r="Z60" s="1">
        <f ca="1">IFERROR(__xludf.DUMMYFUNCTION("""COMPUTED_VALUE"""),165.79)</f>
        <v>165.79</v>
      </c>
      <c r="AA60" s="1">
        <f ca="1">IFERROR(__xludf.DUMMYFUNCTION("""COMPUTED_VALUE"""),30.08)</f>
        <v>30.08</v>
      </c>
      <c r="AB60" s="1">
        <f ca="1">IFERROR(__xludf.DUMMYFUNCTION("""COMPUTED_VALUE"""),69.9)</f>
        <v>69.900000000000006</v>
      </c>
      <c r="AC60" s="1">
        <f ca="1">IFERROR(__xludf.DUMMYFUNCTION("""COMPUTED_VALUE"""),47.5)</f>
        <v>47.5</v>
      </c>
    </row>
    <row r="61" spans="1:29" x14ac:dyDescent="0.25">
      <c r="A61" s="2">
        <f ca="1">IFERROR(__xludf.DUMMYFUNCTION("""COMPUTED_VALUE"""),43917.6666666666)</f>
        <v>43917.666666666599</v>
      </c>
      <c r="B61" s="1">
        <f ca="1">IFERROR(__xludf.DUMMYFUNCTION("""COMPUTED_VALUE"""),61.94)</f>
        <v>61.94</v>
      </c>
      <c r="C61" s="1">
        <f ca="1">IFERROR(__xludf.DUMMYFUNCTION("""COMPUTED_VALUE"""),149.7)</f>
        <v>149.69999999999999</v>
      </c>
      <c r="D61" s="1">
        <f ca="1">IFERROR(__xludf.DUMMYFUNCTION("""COMPUTED_VALUE"""),95.01)</f>
        <v>95.01</v>
      </c>
      <c r="E61" s="1">
        <f ca="1">IFERROR(__xludf.DUMMYFUNCTION("""COMPUTED_VALUE"""),6.32)</f>
        <v>6.32</v>
      </c>
      <c r="F61" s="1">
        <f ca="1">IFERROR(__xludf.DUMMYFUNCTION("""COMPUTED_VALUE"""),156.79)</f>
        <v>156.79</v>
      </c>
      <c r="G61" s="1">
        <f ca="1">IFERROR(__xludf.DUMMYFUNCTION("""COMPUTED_VALUE"""),55.54)</f>
        <v>55.54</v>
      </c>
      <c r="H61" s="1">
        <f ca="1">IFERROR(__xludf.DUMMYFUNCTION("""COMPUTED_VALUE"""),34.29)</f>
        <v>34.29</v>
      </c>
      <c r="I61" s="1">
        <f ca="1">IFERROR(__xludf.DUMMYFUNCTION("""COMPUTED_VALUE"""),120.46)</f>
        <v>120.46</v>
      </c>
      <c r="J61" s="1">
        <f ca="1">IFERROR(__xludf.DUMMYFUNCTION("""COMPUTED_VALUE"""),284.33)</f>
        <v>284.33</v>
      </c>
      <c r="K61" s="1">
        <f ca="1">IFERROR(__xludf.DUMMYFUNCTION("""COMPUTED_VALUE"""),23.07)</f>
        <v>23.07</v>
      </c>
      <c r="L61" s="1">
        <f ca="1">IFERROR(__xludf.DUMMYFUNCTION("""COMPUTED_VALUE"""),305.83)</f>
        <v>305.83</v>
      </c>
      <c r="M61" s="1">
        <f ca="1">IFERROR(__xludf.DUMMYFUNCTION("""COMPUTED_VALUE"""),357.12)</f>
        <v>357.12</v>
      </c>
      <c r="N61" s="1">
        <f ca="1">IFERROR(__xludf.DUMMYFUNCTION("""COMPUTED_VALUE"""),91.13)</f>
        <v>91.13</v>
      </c>
      <c r="O61" s="1">
        <f ca="1">IFERROR(__xludf.DUMMYFUNCTION("""COMPUTED_VALUE"""),161.56)</f>
        <v>161.56</v>
      </c>
      <c r="P61" s="1">
        <f ca="1">IFERROR(__xludf.DUMMYFUNCTION("""COMPUTED_VALUE"""),123.16)</f>
        <v>123.16</v>
      </c>
      <c r="Q61" s="1">
        <f ca="1">IFERROR(__xludf.DUMMYFUNCTION("""COMPUTED_VALUE"""),242.45)</f>
        <v>242.45</v>
      </c>
      <c r="R61" s="1">
        <f ca="1">IFERROR(__xludf.DUMMYFUNCTION("""COMPUTED_VALUE"""),36.95)</f>
        <v>36.950000000000003</v>
      </c>
      <c r="S61" s="1">
        <f ca="1">IFERROR(__xludf.DUMMYFUNCTION("""COMPUTED_VALUE"""),57.99)</f>
        <v>57.99</v>
      </c>
      <c r="T61" s="1">
        <f ca="1">IFERROR(__xludf.DUMMYFUNCTION("""COMPUTED_VALUE"""),36.53)</f>
        <v>36.53</v>
      </c>
      <c r="U61" s="1">
        <f ca="1">IFERROR(__xludf.DUMMYFUNCTION("""COMPUTED_VALUE"""),83.23)</f>
        <v>83.23</v>
      </c>
      <c r="V61" s="1">
        <f ca="1">IFERROR(__xludf.DUMMYFUNCTION("""COMPUTED_VALUE"""),105.44)</f>
        <v>105.44</v>
      </c>
      <c r="W61" s="1">
        <f ca="1">IFERROR(__xludf.DUMMYFUNCTION("""COMPUTED_VALUE"""),348.38)</f>
        <v>348.38</v>
      </c>
      <c r="X61" s="1">
        <f ca="1">IFERROR(__xludf.DUMMYFUNCTION("""COMPUTED_VALUE"""),252.62)</f>
        <v>252.62</v>
      </c>
      <c r="Y61" s="1">
        <f ca="1">IFERROR(__xludf.DUMMYFUNCTION("""COMPUTED_VALUE"""),46.91)</f>
        <v>46.91</v>
      </c>
      <c r="Z61" s="1">
        <f ca="1">IFERROR(__xludf.DUMMYFUNCTION("""COMPUTED_VALUE"""),158.34)</f>
        <v>158.34</v>
      </c>
      <c r="AA61" s="1">
        <f ca="1">IFERROR(__xludf.DUMMYFUNCTION("""COMPUTED_VALUE"""),29.27)</f>
        <v>29.27</v>
      </c>
      <c r="AB61" s="1">
        <f ca="1">IFERROR(__xludf.DUMMYFUNCTION("""COMPUTED_VALUE"""),66.34)</f>
        <v>66.34</v>
      </c>
      <c r="AC61" s="1">
        <f ca="1">IFERROR(__xludf.DUMMYFUNCTION("""COMPUTED_VALUE"""),46.58)</f>
        <v>46.58</v>
      </c>
    </row>
    <row r="62" spans="1:29" x14ac:dyDescent="0.25">
      <c r="A62" s="2">
        <f ca="1">IFERROR(__xludf.DUMMYFUNCTION("""COMPUTED_VALUE"""),43920.6666666666)</f>
        <v>43920.666666666599</v>
      </c>
      <c r="B62" s="1">
        <f ca="1">IFERROR(__xludf.DUMMYFUNCTION("""COMPUTED_VALUE"""),63.7)</f>
        <v>63.7</v>
      </c>
      <c r="C62" s="1">
        <f ca="1">IFERROR(__xludf.DUMMYFUNCTION("""COMPUTED_VALUE"""),160.23)</f>
        <v>160.22999999999999</v>
      </c>
      <c r="D62" s="1">
        <f ca="1">IFERROR(__xludf.DUMMYFUNCTION("""COMPUTED_VALUE"""),98.2)</f>
        <v>98.2</v>
      </c>
      <c r="E62" s="1">
        <f ca="1">IFERROR(__xludf.DUMMYFUNCTION("""COMPUTED_VALUE"""),6.64)</f>
        <v>6.64</v>
      </c>
      <c r="F62" s="1">
        <f ca="1">IFERROR(__xludf.DUMMYFUNCTION("""COMPUTED_VALUE"""),165.95)</f>
        <v>165.95</v>
      </c>
      <c r="G62" s="1">
        <f ca="1">IFERROR(__xludf.DUMMYFUNCTION("""COMPUTED_VALUE"""),57.34)</f>
        <v>57.34</v>
      </c>
      <c r="H62" s="1">
        <f ca="1">IFERROR(__xludf.DUMMYFUNCTION("""COMPUTED_VALUE"""),33.48)</f>
        <v>33.479999999999997</v>
      </c>
      <c r="I62" s="1">
        <f ca="1">IFERROR(__xludf.DUMMYFUNCTION("""COMPUTED_VALUE"""),125.48)</f>
        <v>125.48</v>
      </c>
      <c r="J62" s="1">
        <f ca="1">IFERROR(__xludf.DUMMYFUNCTION("""COMPUTED_VALUE"""),291.12)</f>
        <v>291.12</v>
      </c>
      <c r="K62" s="1">
        <f ca="1">IFERROR(__xludf.DUMMYFUNCTION("""COMPUTED_VALUE"""),24.01)</f>
        <v>24.01</v>
      </c>
      <c r="L62" s="1">
        <f ca="1">IFERROR(__xludf.DUMMYFUNCTION("""COMPUTED_VALUE"""),318.39)</f>
        <v>318.39</v>
      </c>
      <c r="M62" s="1">
        <f ca="1">IFERROR(__xludf.DUMMYFUNCTION("""COMPUTED_VALUE"""),370.96)</f>
        <v>370.96</v>
      </c>
      <c r="N62" s="1">
        <f ca="1">IFERROR(__xludf.DUMMYFUNCTION("""COMPUTED_VALUE"""),93.5)</f>
        <v>93.5</v>
      </c>
      <c r="O62" s="1">
        <f ca="1">IFERROR(__xludf.DUMMYFUNCTION("""COMPUTED_VALUE"""),165.57)</f>
        <v>165.57</v>
      </c>
      <c r="P62" s="1">
        <f ca="1">IFERROR(__xludf.DUMMYFUNCTION("""COMPUTED_VALUE"""),133.01)</f>
        <v>133.01</v>
      </c>
      <c r="Q62" s="1">
        <f ca="1">IFERROR(__xludf.DUMMYFUNCTION("""COMPUTED_VALUE"""),251.28)</f>
        <v>251.28</v>
      </c>
      <c r="R62" s="1">
        <f ca="1">IFERROR(__xludf.DUMMYFUNCTION("""COMPUTED_VALUE"""),37.5)</f>
        <v>37.5</v>
      </c>
      <c r="S62" s="1">
        <f ca="1">IFERROR(__xludf.DUMMYFUNCTION("""COMPUTED_VALUE"""),61.5)</f>
        <v>61.5</v>
      </c>
      <c r="T62" s="1">
        <f ca="1">IFERROR(__xludf.DUMMYFUNCTION("""COMPUTED_VALUE"""),38.4)</f>
        <v>38.4</v>
      </c>
      <c r="U62" s="1">
        <f ca="1">IFERROR(__xludf.DUMMYFUNCTION("""COMPUTED_VALUE"""),85.38)</f>
        <v>85.38</v>
      </c>
      <c r="V62" s="1">
        <f ca="1">IFERROR(__xludf.DUMMYFUNCTION("""COMPUTED_VALUE"""),111.71)</f>
        <v>111.71</v>
      </c>
      <c r="W62" s="1">
        <f ca="1">IFERROR(__xludf.DUMMYFUNCTION("""COMPUTED_VALUE"""),348.85)</f>
        <v>348.85</v>
      </c>
      <c r="X62" s="1">
        <f ca="1">IFERROR(__xludf.DUMMYFUNCTION("""COMPUTED_VALUE"""),268.03)</f>
        <v>268.02999999999997</v>
      </c>
      <c r="Y62" s="1">
        <f ca="1">IFERROR(__xludf.DUMMYFUNCTION("""COMPUTED_VALUE"""),47.82)</f>
        <v>47.82</v>
      </c>
      <c r="Z62" s="1">
        <f ca="1">IFERROR(__xludf.DUMMYFUNCTION("""COMPUTED_VALUE"""),159.62)</f>
        <v>159.62</v>
      </c>
      <c r="AA62" s="1">
        <f ca="1">IFERROR(__xludf.DUMMYFUNCTION("""COMPUTED_VALUE"""),30.95)</f>
        <v>30.95</v>
      </c>
      <c r="AB62" s="1">
        <f ca="1">IFERROR(__xludf.DUMMYFUNCTION("""COMPUTED_VALUE"""),67.86)</f>
        <v>67.86</v>
      </c>
      <c r="AC62" s="1">
        <f ca="1">IFERROR(__xludf.DUMMYFUNCTION("""COMPUTED_VALUE"""),47.86)</f>
        <v>47.86</v>
      </c>
    </row>
    <row r="63" spans="1:29" x14ac:dyDescent="0.25">
      <c r="A63" s="2">
        <f ca="1">IFERROR(__xludf.DUMMYFUNCTION("""COMPUTED_VALUE"""),43921.6666666666)</f>
        <v>43921.666666666599</v>
      </c>
      <c r="B63" s="1">
        <f ca="1">IFERROR(__xludf.DUMMYFUNCTION("""COMPUTED_VALUE"""),63.57)</f>
        <v>63.57</v>
      </c>
      <c r="C63" s="1">
        <f ca="1">IFERROR(__xludf.DUMMYFUNCTION("""COMPUTED_VALUE"""),157.71)</f>
        <v>157.71</v>
      </c>
      <c r="D63" s="1">
        <f ca="1">IFERROR(__xludf.DUMMYFUNCTION("""COMPUTED_VALUE"""),97.49)</f>
        <v>97.49</v>
      </c>
      <c r="E63" s="1">
        <f ca="1">IFERROR(__xludf.DUMMYFUNCTION("""COMPUTED_VALUE"""),6.59)</f>
        <v>6.59</v>
      </c>
      <c r="F63" s="1">
        <f ca="1">IFERROR(__xludf.DUMMYFUNCTION("""COMPUTED_VALUE"""),166.8)</f>
        <v>166.8</v>
      </c>
      <c r="G63" s="1">
        <f ca="1">IFERROR(__xludf.DUMMYFUNCTION("""COMPUTED_VALUE"""),58.14)</f>
        <v>58.14</v>
      </c>
      <c r="H63" s="1">
        <f ca="1">IFERROR(__xludf.DUMMYFUNCTION("""COMPUTED_VALUE"""),34.93)</f>
        <v>34.93</v>
      </c>
      <c r="I63" s="1">
        <f ca="1">IFERROR(__xludf.DUMMYFUNCTION("""COMPUTED_VALUE"""),120.1)</f>
        <v>120.1</v>
      </c>
      <c r="J63" s="1">
        <f ca="1">IFERROR(__xludf.DUMMYFUNCTION("""COMPUTED_VALUE"""),285.13)</f>
        <v>285.13</v>
      </c>
      <c r="K63" s="1">
        <f ca="1">IFERROR(__xludf.DUMMYFUNCTION("""COMPUTED_VALUE"""),23.71)</f>
        <v>23.71</v>
      </c>
      <c r="L63" s="1">
        <f ca="1">IFERROR(__xludf.DUMMYFUNCTION("""COMPUTED_VALUE"""),318.24)</f>
        <v>318.24</v>
      </c>
      <c r="M63" s="1">
        <f ca="1">IFERROR(__xludf.DUMMYFUNCTION("""COMPUTED_VALUE"""),375.5)</f>
        <v>375.5</v>
      </c>
      <c r="N63" s="1">
        <f ca="1">IFERROR(__xludf.DUMMYFUNCTION("""COMPUTED_VALUE"""),90.03)</f>
        <v>90.03</v>
      </c>
      <c r="O63" s="1">
        <f ca="1">IFERROR(__xludf.DUMMYFUNCTION("""COMPUTED_VALUE"""),161.12)</f>
        <v>161.12</v>
      </c>
      <c r="P63" s="1">
        <f ca="1">IFERROR(__xludf.DUMMYFUNCTION("""COMPUTED_VALUE"""),131.13)</f>
        <v>131.13</v>
      </c>
      <c r="Q63" s="1">
        <f ca="1">IFERROR(__xludf.DUMMYFUNCTION("""COMPUTED_VALUE"""),249.38)</f>
        <v>249.38</v>
      </c>
      <c r="R63" s="1">
        <f ca="1">IFERROR(__xludf.DUMMYFUNCTION("""COMPUTED_VALUE"""),37.97)</f>
        <v>37.97</v>
      </c>
      <c r="S63" s="1">
        <f ca="1">IFERROR(__xludf.DUMMYFUNCTION("""COMPUTED_VALUE"""),60.16)</f>
        <v>60.16</v>
      </c>
      <c r="T63" s="1">
        <f ca="1">IFERROR(__xludf.DUMMYFUNCTION("""COMPUTED_VALUE"""),37.87)</f>
        <v>37.869999999999997</v>
      </c>
      <c r="U63" s="1">
        <f ca="1">IFERROR(__xludf.DUMMYFUNCTION("""COMPUTED_VALUE"""),82.74)</f>
        <v>82.74</v>
      </c>
      <c r="V63" s="1">
        <f ca="1">IFERROR(__xludf.DUMMYFUNCTION("""COMPUTED_VALUE"""),116.04)</f>
        <v>116.04</v>
      </c>
      <c r="W63" s="1">
        <f ca="1">IFERROR(__xludf.DUMMYFUNCTION("""COMPUTED_VALUE"""),338.95)</f>
        <v>338.95</v>
      </c>
      <c r="X63" s="1">
        <f ca="1">IFERROR(__xludf.DUMMYFUNCTION("""COMPUTED_VALUE"""),261.64)</f>
        <v>261.64</v>
      </c>
      <c r="Y63" s="1">
        <f ca="1">IFERROR(__xludf.DUMMYFUNCTION("""COMPUTED_VALUE"""),47.79)</f>
        <v>47.79</v>
      </c>
      <c r="Z63" s="1">
        <f ca="1">IFERROR(__xludf.DUMMYFUNCTION("""COMPUTED_VALUE"""),154.59)</f>
        <v>154.59</v>
      </c>
      <c r="AA63" s="1">
        <f ca="1">IFERROR(__xludf.DUMMYFUNCTION("""COMPUTED_VALUE"""),30.92)</f>
        <v>30.92</v>
      </c>
      <c r="AB63" s="1">
        <f ca="1">IFERROR(__xludf.DUMMYFUNCTION("""COMPUTED_VALUE"""),65.74)</f>
        <v>65.739999999999995</v>
      </c>
      <c r="AC63" s="1">
        <f ca="1">IFERROR(__xludf.DUMMYFUNCTION("""COMPUTED_VALUE"""),45.48)</f>
        <v>45.48</v>
      </c>
    </row>
    <row r="64" spans="1:29" x14ac:dyDescent="0.25">
      <c r="A64" s="2">
        <f ca="1">IFERROR(__xludf.DUMMYFUNCTION("""COMPUTED_VALUE"""),43922.6666666666)</f>
        <v>43922.666666666599</v>
      </c>
      <c r="B64" s="1">
        <f ca="1">IFERROR(__xludf.DUMMYFUNCTION("""COMPUTED_VALUE"""),60.23)</f>
        <v>60.23</v>
      </c>
      <c r="C64" s="1">
        <f ca="1">IFERROR(__xludf.DUMMYFUNCTION("""COMPUTED_VALUE"""),152.11)</f>
        <v>152.11000000000001</v>
      </c>
      <c r="D64" s="1">
        <f ca="1">IFERROR(__xludf.DUMMYFUNCTION("""COMPUTED_VALUE"""),95.39)</f>
        <v>95.39</v>
      </c>
      <c r="E64" s="1">
        <f ca="1">IFERROR(__xludf.DUMMYFUNCTION("""COMPUTED_VALUE"""),6.08)</f>
        <v>6.08</v>
      </c>
      <c r="F64" s="1">
        <f ca="1">IFERROR(__xludf.DUMMYFUNCTION("""COMPUTED_VALUE"""),159.6)</f>
        <v>159.6</v>
      </c>
      <c r="G64" s="1">
        <f ca="1">IFERROR(__xludf.DUMMYFUNCTION("""COMPUTED_VALUE"""),55.28)</f>
        <v>55.28</v>
      </c>
      <c r="H64" s="1">
        <f ca="1">IFERROR(__xludf.DUMMYFUNCTION("""COMPUTED_VALUE"""),32.1)</f>
        <v>32.1</v>
      </c>
      <c r="I64" s="1">
        <f ca="1">IFERROR(__xludf.DUMMYFUNCTION("""COMPUTED_VALUE"""),118.12)</f>
        <v>118.12</v>
      </c>
      <c r="J64" s="1">
        <f ca="1">IFERROR(__xludf.DUMMYFUNCTION("""COMPUTED_VALUE"""),286.78)</f>
        <v>286.77999999999997</v>
      </c>
      <c r="K64" s="1">
        <f ca="1">IFERROR(__xludf.DUMMYFUNCTION("""COMPUTED_VALUE"""),22.36)</f>
        <v>22.36</v>
      </c>
      <c r="L64" s="1">
        <f ca="1">IFERROR(__xludf.DUMMYFUNCTION("""COMPUTED_VALUE"""),301.21)</f>
        <v>301.20999999999998</v>
      </c>
      <c r="M64" s="1">
        <f ca="1">IFERROR(__xludf.DUMMYFUNCTION("""COMPUTED_VALUE"""),364.08)</f>
        <v>364.08</v>
      </c>
      <c r="N64" s="1">
        <f ca="1">IFERROR(__xludf.DUMMYFUNCTION("""COMPUTED_VALUE"""),84.36)</f>
        <v>84.36</v>
      </c>
      <c r="O64" s="1">
        <f ca="1">IFERROR(__xludf.DUMMYFUNCTION("""COMPUTED_VALUE"""),153.11)</f>
        <v>153.11000000000001</v>
      </c>
      <c r="P64" s="1">
        <f ca="1">IFERROR(__xludf.DUMMYFUNCTION("""COMPUTED_VALUE"""),128.81)</f>
        <v>128.81</v>
      </c>
      <c r="Q64" s="1">
        <f ca="1">IFERROR(__xludf.DUMMYFUNCTION("""COMPUTED_VALUE"""),237.32)</f>
        <v>237.32</v>
      </c>
      <c r="R64" s="1">
        <f ca="1">IFERROR(__xludf.DUMMYFUNCTION("""COMPUTED_VALUE"""),37.53)</f>
        <v>37.53</v>
      </c>
      <c r="S64" s="1">
        <f ca="1">IFERROR(__xludf.DUMMYFUNCTION("""COMPUTED_VALUE"""),54.56)</f>
        <v>54.56</v>
      </c>
      <c r="T64" s="1">
        <f ca="1">IFERROR(__xludf.DUMMYFUNCTION("""COMPUTED_VALUE"""),38.05)</f>
        <v>38.049999999999997</v>
      </c>
      <c r="U64" s="1">
        <f ca="1">IFERROR(__xludf.DUMMYFUNCTION("""COMPUTED_VALUE"""),79.23)</f>
        <v>79.23</v>
      </c>
      <c r="V64" s="1">
        <f ca="1">IFERROR(__xludf.DUMMYFUNCTION("""COMPUTED_VALUE"""),111.35)</f>
        <v>111.35</v>
      </c>
      <c r="W64" s="1">
        <f ca="1">IFERROR(__xludf.DUMMYFUNCTION("""COMPUTED_VALUE"""),338.52)</f>
        <v>338.52</v>
      </c>
      <c r="X64" s="1">
        <f ca="1">IFERROR(__xludf.DUMMYFUNCTION("""COMPUTED_VALUE"""),249.01)</f>
        <v>249.01</v>
      </c>
      <c r="Y64" s="1">
        <f ca="1">IFERROR(__xludf.DUMMYFUNCTION("""COMPUTED_VALUE"""),46.51)</f>
        <v>46.51</v>
      </c>
      <c r="Z64" s="1">
        <f ca="1">IFERROR(__xludf.DUMMYFUNCTION("""COMPUTED_VALUE"""),145.29)</f>
        <v>145.29</v>
      </c>
      <c r="AA64" s="1">
        <f ca="1">IFERROR(__xludf.DUMMYFUNCTION("""COMPUTED_VALUE"""),30.08)</f>
        <v>30.08</v>
      </c>
      <c r="AB64" s="1">
        <f ca="1">IFERROR(__xludf.DUMMYFUNCTION("""COMPUTED_VALUE"""),62.62)</f>
        <v>62.62</v>
      </c>
      <c r="AC64" s="1">
        <f ca="1">IFERROR(__xludf.DUMMYFUNCTION("""COMPUTED_VALUE"""),43.66)</f>
        <v>43.66</v>
      </c>
    </row>
    <row r="65" spans="1:29" x14ac:dyDescent="0.25">
      <c r="A65" s="2">
        <f ca="1">IFERROR(__xludf.DUMMYFUNCTION("""COMPUTED_VALUE"""),43923.6666666666)</f>
        <v>43923.666666666599</v>
      </c>
      <c r="B65" s="1">
        <f ca="1">IFERROR(__xludf.DUMMYFUNCTION("""COMPUTED_VALUE"""),61.23)</f>
        <v>61.23</v>
      </c>
      <c r="C65" s="1">
        <f ca="1">IFERROR(__xludf.DUMMYFUNCTION("""COMPUTED_VALUE"""),155.26)</f>
        <v>155.26</v>
      </c>
      <c r="D65" s="1">
        <f ca="1">IFERROR(__xludf.DUMMYFUNCTION("""COMPUTED_VALUE"""),95.94)</f>
        <v>95.94</v>
      </c>
      <c r="E65" s="1">
        <f ca="1">IFERROR(__xludf.DUMMYFUNCTION("""COMPUTED_VALUE"""),6.39)</f>
        <v>6.39</v>
      </c>
      <c r="F65" s="1">
        <f ca="1">IFERROR(__xludf.DUMMYFUNCTION("""COMPUTED_VALUE"""),158.19)</f>
        <v>158.19</v>
      </c>
      <c r="G65" s="1">
        <f ca="1">IFERROR(__xludf.DUMMYFUNCTION("""COMPUTED_VALUE"""),56.04)</f>
        <v>56.04</v>
      </c>
      <c r="H65" s="1">
        <f ca="1">IFERROR(__xludf.DUMMYFUNCTION("""COMPUTED_VALUE"""),30.3)</f>
        <v>30.3</v>
      </c>
      <c r="I65" s="1">
        <f ca="1">IFERROR(__xludf.DUMMYFUNCTION("""COMPUTED_VALUE"""),123.86)</f>
        <v>123.86</v>
      </c>
      <c r="J65" s="1">
        <f ca="1">IFERROR(__xludf.DUMMYFUNCTION("""COMPUTED_VALUE"""),291.48)</f>
        <v>291.48</v>
      </c>
      <c r="K65" s="1">
        <f ca="1">IFERROR(__xludf.DUMMYFUNCTION("""COMPUTED_VALUE"""),23.71)</f>
        <v>23.71</v>
      </c>
      <c r="L65" s="1">
        <f ca="1">IFERROR(__xludf.DUMMYFUNCTION("""COMPUTED_VALUE"""),303.96)</f>
        <v>303.95999999999998</v>
      </c>
      <c r="M65" s="1">
        <f ca="1">IFERROR(__xludf.DUMMYFUNCTION("""COMPUTED_VALUE"""),370.08)</f>
        <v>370.08</v>
      </c>
      <c r="N65" s="1">
        <f ca="1">IFERROR(__xludf.DUMMYFUNCTION("""COMPUTED_VALUE"""),87.51)</f>
        <v>87.51</v>
      </c>
      <c r="O65" s="1">
        <f ca="1">IFERROR(__xludf.DUMMYFUNCTION("""COMPUTED_VALUE"""),157.39)</f>
        <v>157.38999999999999</v>
      </c>
      <c r="P65" s="1">
        <f ca="1">IFERROR(__xludf.DUMMYFUNCTION("""COMPUTED_VALUE"""),133.15)</f>
        <v>133.15</v>
      </c>
      <c r="Q65" s="1">
        <f ca="1">IFERROR(__xludf.DUMMYFUNCTION("""COMPUTED_VALUE"""),240.44)</f>
        <v>240.44</v>
      </c>
      <c r="R65" s="1">
        <f ca="1">IFERROR(__xludf.DUMMYFUNCTION("""COMPUTED_VALUE"""),40.4)</f>
        <v>40.4</v>
      </c>
      <c r="S65" s="1">
        <f ca="1">IFERROR(__xludf.DUMMYFUNCTION("""COMPUTED_VALUE"""),56.61)</f>
        <v>56.61</v>
      </c>
      <c r="T65" s="1">
        <f ca="1">IFERROR(__xludf.DUMMYFUNCTION("""COMPUTED_VALUE"""),39.55)</f>
        <v>39.549999999999997</v>
      </c>
      <c r="U65" s="1">
        <f ca="1">IFERROR(__xludf.DUMMYFUNCTION("""COMPUTED_VALUE"""),80.14)</f>
        <v>80.14</v>
      </c>
      <c r="V65" s="1">
        <f ca="1">IFERROR(__xludf.DUMMYFUNCTION("""COMPUTED_VALUE"""),116.74)</f>
        <v>116.74</v>
      </c>
      <c r="W65" s="1">
        <f ca="1">IFERROR(__xludf.DUMMYFUNCTION("""COMPUTED_VALUE"""),353.96)</f>
        <v>353.96</v>
      </c>
      <c r="X65" s="1">
        <f ca="1">IFERROR(__xludf.DUMMYFUNCTION("""COMPUTED_VALUE"""),247.28)</f>
        <v>247.28</v>
      </c>
      <c r="Y65" s="1">
        <f ca="1">IFERROR(__xludf.DUMMYFUNCTION("""COMPUTED_VALUE"""),48.13)</f>
        <v>48.13</v>
      </c>
      <c r="Z65" s="1">
        <f ca="1">IFERROR(__xludf.DUMMYFUNCTION("""COMPUTED_VALUE"""),149.93)</f>
        <v>149.93</v>
      </c>
      <c r="AA65" s="1">
        <f ca="1">IFERROR(__xludf.DUMMYFUNCTION("""COMPUTED_VALUE"""),31.14)</f>
        <v>31.14</v>
      </c>
      <c r="AB65" s="1">
        <f ca="1">IFERROR(__xludf.DUMMYFUNCTION("""COMPUTED_VALUE"""),65)</f>
        <v>65</v>
      </c>
      <c r="AC65" s="1">
        <f ca="1">IFERROR(__xludf.DUMMYFUNCTION("""COMPUTED_VALUE"""),44.49)</f>
        <v>44.49</v>
      </c>
    </row>
    <row r="66" spans="1:29" x14ac:dyDescent="0.25">
      <c r="A66" s="2">
        <f ca="1">IFERROR(__xludf.DUMMYFUNCTION("""COMPUTED_VALUE"""),43924.6666666666)</f>
        <v>43924.666666666599</v>
      </c>
      <c r="B66" s="1">
        <f ca="1">IFERROR(__xludf.DUMMYFUNCTION("""COMPUTED_VALUE"""),60.35)</f>
        <v>60.35</v>
      </c>
      <c r="C66" s="1">
        <f ca="1">IFERROR(__xludf.DUMMYFUNCTION("""COMPUTED_VALUE"""),153.83)</f>
        <v>153.83000000000001</v>
      </c>
      <c r="D66" s="1">
        <f ca="1">IFERROR(__xludf.DUMMYFUNCTION("""COMPUTED_VALUE"""),95.33)</f>
        <v>95.33</v>
      </c>
      <c r="E66" s="1">
        <f ca="1">IFERROR(__xludf.DUMMYFUNCTION("""COMPUTED_VALUE"""),6.1)</f>
        <v>6.1</v>
      </c>
      <c r="F66" s="1">
        <f ca="1">IFERROR(__xludf.DUMMYFUNCTION("""COMPUTED_VALUE"""),154.18)</f>
        <v>154.18</v>
      </c>
      <c r="G66" s="1">
        <f ca="1">IFERROR(__xludf.DUMMYFUNCTION("""COMPUTED_VALUE"""),54.89)</f>
        <v>54.89</v>
      </c>
      <c r="H66" s="1">
        <f ca="1">IFERROR(__xludf.DUMMYFUNCTION("""COMPUTED_VALUE"""),32)</f>
        <v>32</v>
      </c>
      <c r="I66" s="1">
        <f ca="1">IFERROR(__xludf.DUMMYFUNCTION("""COMPUTED_VALUE"""),124.59)</f>
        <v>124.59</v>
      </c>
      <c r="J66" s="1">
        <f ca="1">IFERROR(__xludf.DUMMYFUNCTION("""COMPUTED_VALUE"""),288.65)</f>
        <v>288.64999999999998</v>
      </c>
      <c r="K66" s="1">
        <f ca="1">IFERROR(__xludf.DUMMYFUNCTION("""COMPUTED_VALUE"""),23.43)</f>
        <v>23.43</v>
      </c>
      <c r="L66" s="1">
        <f ca="1">IFERROR(__xludf.DUMMYFUNCTION("""COMPUTED_VALUE"""),293.61)</f>
        <v>293.61</v>
      </c>
      <c r="M66" s="1">
        <f ca="1">IFERROR(__xludf.DUMMYFUNCTION("""COMPUTED_VALUE"""),361.76)</f>
        <v>361.76</v>
      </c>
      <c r="N66" s="1">
        <f ca="1">IFERROR(__xludf.DUMMYFUNCTION("""COMPUTED_VALUE"""),84.05)</f>
        <v>84.05</v>
      </c>
      <c r="O66" s="1">
        <f ca="1">IFERROR(__xludf.DUMMYFUNCTION("""COMPUTED_VALUE"""),151.85)</f>
        <v>151.85</v>
      </c>
      <c r="P66" s="1">
        <f ca="1">IFERROR(__xludf.DUMMYFUNCTION("""COMPUTED_VALUE"""),134.17)</f>
        <v>134.16999999999999</v>
      </c>
      <c r="Q66" s="1">
        <f ca="1">IFERROR(__xludf.DUMMYFUNCTION("""COMPUTED_VALUE"""),229.49)</f>
        <v>229.49</v>
      </c>
      <c r="R66" s="1">
        <f ca="1">IFERROR(__xludf.DUMMYFUNCTION("""COMPUTED_VALUE"""),39.21)</f>
        <v>39.21</v>
      </c>
      <c r="S66" s="1">
        <f ca="1">IFERROR(__xludf.DUMMYFUNCTION("""COMPUTED_VALUE"""),55.41)</f>
        <v>55.41</v>
      </c>
      <c r="T66" s="1">
        <f ca="1">IFERROR(__xludf.DUMMYFUNCTION("""COMPUTED_VALUE"""),39.83)</f>
        <v>39.83</v>
      </c>
      <c r="U66" s="1">
        <f ca="1">IFERROR(__xludf.DUMMYFUNCTION("""COMPUTED_VALUE"""),78.86)</f>
        <v>78.86</v>
      </c>
      <c r="V66" s="1">
        <f ca="1">IFERROR(__xludf.DUMMYFUNCTION("""COMPUTED_VALUE"""),114.67)</f>
        <v>114.67</v>
      </c>
      <c r="W66" s="1">
        <f ca="1">IFERROR(__xludf.DUMMYFUNCTION("""COMPUTED_VALUE"""),350.5)</f>
        <v>350.5</v>
      </c>
      <c r="X66" s="1">
        <f ca="1">IFERROR(__xludf.DUMMYFUNCTION("""COMPUTED_VALUE"""),244.61)</f>
        <v>244.61</v>
      </c>
      <c r="Y66" s="1">
        <f ca="1">IFERROR(__xludf.DUMMYFUNCTION("""COMPUTED_VALUE"""),47.06)</f>
        <v>47.06</v>
      </c>
      <c r="Z66" s="1">
        <f ca="1">IFERROR(__xludf.DUMMYFUNCTION("""COMPUTED_VALUE"""),146.93)</f>
        <v>146.93</v>
      </c>
      <c r="AA66" s="1">
        <f ca="1">IFERROR(__xludf.DUMMYFUNCTION("""COMPUTED_VALUE"""),31.87)</f>
        <v>31.87</v>
      </c>
      <c r="AB66" s="1">
        <f ca="1">IFERROR(__xludf.DUMMYFUNCTION("""COMPUTED_VALUE"""),63.05)</f>
        <v>63.05</v>
      </c>
      <c r="AC66" s="1">
        <f ca="1">IFERROR(__xludf.DUMMYFUNCTION("""COMPUTED_VALUE"""),42.59)</f>
        <v>42.59</v>
      </c>
    </row>
    <row r="67" spans="1:29" x14ac:dyDescent="0.25">
      <c r="A67" s="2">
        <f ca="1">IFERROR(__xludf.DUMMYFUNCTION("""COMPUTED_VALUE"""),43927.6666666666)</f>
        <v>43927.666666666599</v>
      </c>
      <c r="B67" s="1">
        <f ca="1">IFERROR(__xludf.DUMMYFUNCTION("""COMPUTED_VALUE"""),65.62)</f>
        <v>65.62</v>
      </c>
      <c r="C67" s="1">
        <f ca="1">IFERROR(__xludf.DUMMYFUNCTION("""COMPUTED_VALUE"""),165.27)</f>
        <v>165.27</v>
      </c>
      <c r="D67" s="1">
        <f ca="1">IFERROR(__xludf.DUMMYFUNCTION("""COMPUTED_VALUE"""),99.88)</f>
        <v>99.88</v>
      </c>
      <c r="E67" s="1">
        <f ca="1">IFERROR(__xludf.DUMMYFUNCTION("""COMPUTED_VALUE"""),6.71)</f>
        <v>6.71</v>
      </c>
      <c r="F67" s="1">
        <f ca="1">IFERROR(__xludf.DUMMYFUNCTION("""COMPUTED_VALUE"""),165.55)</f>
        <v>165.55</v>
      </c>
      <c r="G67" s="1">
        <f ca="1">IFERROR(__xludf.DUMMYFUNCTION("""COMPUTED_VALUE"""),59.35)</f>
        <v>59.35</v>
      </c>
      <c r="H67" s="1">
        <f ca="1">IFERROR(__xludf.DUMMYFUNCTION("""COMPUTED_VALUE"""),34.42)</f>
        <v>34.42</v>
      </c>
      <c r="I67" s="1">
        <f ca="1">IFERROR(__xludf.DUMMYFUNCTION("""COMPUTED_VALUE"""),131.16)</f>
        <v>131.16</v>
      </c>
      <c r="J67" s="1">
        <f ca="1">IFERROR(__xludf.DUMMYFUNCTION("""COMPUTED_VALUE"""),305.12)</f>
        <v>305.12</v>
      </c>
      <c r="K67" s="1">
        <f ca="1">IFERROR(__xludf.DUMMYFUNCTION("""COMPUTED_VALUE"""),25.24)</f>
        <v>25.24</v>
      </c>
      <c r="L67" s="1">
        <f ca="1">IFERROR(__xludf.DUMMYFUNCTION("""COMPUTED_VALUE"""),319.13)</f>
        <v>319.13</v>
      </c>
      <c r="M67" s="1">
        <f ca="1">IFERROR(__xludf.DUMMYFUNCTION("""COMPUTED_VALUE"""),379.96)</f>
        <v>379.96</v>
      </c>
      <c r="N67" s="1">
        <f ca="1">IFERROR(__xludf.DUMMYFUNCTION("""COMPUTED_VALUE"""),89.46)</f>
        <v>89.46</v>
      </c>
      <c r="O67" s="1">
        <f ca="1">IFERROR(__xludf.DUMMYFUNCTION("""COMPUTED_VALUE"""),169.44)</f>
        <v>169.44</v>
      </c>
      <c r="P67" s="1">
        <f ca="1">IFERROR(__xludf.DUMMYFUNCTION("""COMPUTED_VALUE"""),139.76)</f>
        <v>139.76</v>
      </c>
      <c r="Q67" s="1">
        <f ca="1">IFERROR(__xludf.DUMMYFUNCTION("""COMPUTED_VALUE"""),248.34)</f>
        <v>248.34</v>
      </c>
      <c r="R67" s="1">
        <f ca="1">IFERROR(__xludf.DUMMYFUNCTION("""COMPUTED_VALUE"""),40.47)</f>
        <v>40.47</v>
      </c>
      <c r="S67" s="1">
        <f ca="1">IFERROR(__xludf.DUMMYFUNCTION("""COMPUTED_VALUE"""),58.63)</f>
        <v>58.63</v>
      </c>
      <c r="T67" s="1">
        <f ca="1">IFERROR(__xludf.DUMMYFUNCTION("""COMPUTED_VALUE"""),42.02)</f>
        <v>42.02</v>
      </c>
      <c r="U67" s="1">
        <f ca="1">IFERROR(__xludf.DUMMYFUNCTION("""COMPUTED_VALUE"""),84.63)</f>
        <v>84.63</v>
      </c>
      <c r="V67" s="1">
        <f ca="1">IFERROR(__xludf.DUMMYFUNCTION("""COMPUTED_VALUE"""),120.43)</f>
        <v>120.43</v>
      </c>
      <c r="W67" s="1">
        <f ca="1">IFERROR(__xludf.DUMMYFUNCTION("""COMPUTED_VALUE"""),367.95)</f>
        <v>367.95</v>
      </c>
      <c r="X67" s="1">
        <f ca="1">IFERROR(__xludf.DUMMYFUNCTION("""COMPUTED_VALUE"""),271.13)</f>
        <v>271.13</v>
      </c>
      <c r="Y67" s="1">
        <f ca="1">IFERROR(__xludf.DUMMYFUNCTION("""COMPUTED_VALUE"""),49.97)</f>
        <v>49.97</v>
      </c>
      <c r="Z67" s="1">
        <f ca="1">IFERROR(__xludf.DUMMYFUNCTION("""COMPUTED_VALUE"""),158.23)</f>
        <v>158.22999999999999</v>
      </c>
      <c r="AA67" s="1">
        <f ca="1">IFERROR(__xludf.DUMMYFUNCTION("""COMPUTED_VALUE"""),32.75)</f>
        <v>32.75</v>
      </c>
      <c r="AB67" s="1">
        <f ca="1">IFERROR(__xludf.DUMMYFUNCTION("""COMPUTED_VALUE"""),67.79)</f>
        <v>67.790000000000006</v>
      </c>
      <c r="AC67" s="1">
        <f ca="1">IFERROR(__xludf.DUMMYFUNCTION("""COMPUTED_VALUE"""),47.52)</f>
        <v>47.52</v>
      </c>
    </row>
    <row r="68" spans="1:29" x14ac:dyDescent="0.25">
      <c r="A68" s="2">
        <f ca="1">IFERROR(__xludf.DUMMYFUNCTION("""COMPUTED_VALUE"""),43928.6666666666)</f>
        <v>43928.666666666599</v>
      </c>
      <c r="B68" s="1">
        <f ca="1">IFERROR(__xludf.DUMMYFUNCTION("""COMPUTED_VALUE"""),64.86)</f>
        <v>64.86</v>
      </c>
      <c r="C68" s="1">
        <f ca="1">IFERROR(__xludf.DUMMYFUNCTION("""COMPUTED_VALUE"""),163.49)</f>
        <v>163.49</v>
      </c>
      <c r="D68" s="1">
        <f ca="1">IFERROR(__xludf.DUMMYFUNCTION("""COMPUTED_VALUE"""),100.58)</f>
        <v>100.58</v>
      </c>
      <c r="E68" s="1">
        <f ca="1">IFERROR(__xludf.DUMMYFUNCTION("""COMPUTED_VALUE"""),6.48)</f>
        <v>6.48</v>
      </c>
      <c r="F68" s="1">
        <f ca="1">IFERROR(__xludf.DUMMYFUNCTION("""COMPUTED_VALUE"""),168.83)</f>
        <v>168.83</v>
      </c>
      <c r="G68" s="1">
        <f ca="1">IFERROR(__xludf.DUMMYFUNCTION("""COMPUTED_VALUE"""),59.33)</f>
        <v>59.33</v>
      </c>
      <c r="H68" s="1">
        <f ca="1">IFERROR(__xludf.DUMMYFUNCTION("""COMPUTED_VALUE"""),36.36)</f>
        <v>36.36</v>
      </c>
      <c r="I68" s="1">
        <f ca="1">IFERROR(__xludf.DUMMYFUNCTION("""COMPUTED_VALUE"""),130.48)</f>
        <v>130.47999999999999</v>
      </c>
      <c r="J68" s="1">
        <f ca="1">IFERROR(__xludf.DUMMYFUNCTION("""COMPUTED_VALUE"""),303.63)</f>
        <v>303.63</v>
      </c>
      <c r="K68" s="1">
        <f ca="1">IFERROR(__xludf.DUMMYFUNCTION("""COMPUTED_VALUE"""),25.33)</f>
        <v>25.33</v>
      </c>
      <c r="L68" s="1">
        <f ca="1">IFERROR(__xludf.DUMMYFUNCTION("""COMPUTED_VALUE"""),308.93)</f>
        <v>308.93</v>
      </c>
      <c r="M68" s="1">
        <f ca="1">IFERROR(__xludf.DUMMYFUNCTION("""COMPUTED_VALUE"""),372.28)</f>
        <v>372.28</v>
      </c>
      <c r="N68" s="1">
        <f ca="1">IFERROR(__xludf.DUMMYFUNCTION("""COMPUTED_VALUE"""),90.64)</f>
        <v>90.64</v>
      </c>
      <c r="O68" s="1">
        <f ca="1">IFERROR(__xludf.DUMMYFUNCTION("""COMPUTED_VALUE"""),168.59)</f>
        <v>168.59</v>
      </c>
      <c r="P68" s="1">
        <f ca="1">IFERROR(__xludf.DUMMYFUNCTION("""COMPUTED_VALUE"""),137.48)</f>
        <v>137.47999999999999</v>
      </c>
      <c r="Q68" s="1">
        <f ca="1">IFERROR(__xludf.DUMMYFUNCTION("""COMPUTED_VALUE"""),248.04)</f>
        <v>248.04</v>
      </c>
      <c r="R68" s="1">
        <f ca="1">IFERROR(__xludf.DUMMYFUNCTION("""COMPUTED_VALUE"""),41.24)</f>
        <v>41.24</v>
      </c>
      <c r="S68" s="1">
        <f ca="1">IFERROR(__xludf.DUMMYFUNCTION("""COMPUTED_VALUE"""),57.12)</f>
        <v>57.12</v>
      </c>
      <c r="T68" s="1">
        <f ca="1">IFERROR(__xludf.DUMMYFUNCTION("""COMPUTED_VALUE"""),40.66)</f>
        <v>40.659999999999997</v>
      </c>
      <c r="U68" s="1">
        <f ca="1">IFERROR(__xludf.DUMMYFUNCTION("""COMPUTED_VALUE"""),84.16)</f>
        <v>84.16</v>
      </c>
      <c r="V68" s="1">
        <f ca="1">IFERROR(__xludf.DUMMYFUNCTION("""COMPUTED_VALUE"""),121.92)</f>
        <v>121.92</v>
      </c>
      <c r="W68" s="1">
        <f ca="1">IFERROR(__xludf.DUMMYFUNCTION("""COMPUTED_VALUE"""),355.28)</f>
        <v>355.28</v>
      </c>
      <c r="X68" s="1">
        <f ca="1">IFERROR(__xludf.DUMMYFUNCTION("""COMPUTED_VALUE"""),272.59)</f>
        <v>272.58999999999997</v>
      </c>
      <c r="Y68" s="1">
        <f ca="1">IFERROR(__xludf.DUMMYFUNCTION("""COMPUTED_VALUE"""),49.72)</f>
        <v>49.72</v>
      </c>
      <c r="Z68" s="1">
        <f ca="1">IFERROR(__xludf.DUMMYFUNCTION("""COMPUTED_VALUE"""),166.02)</f>
        <v>166.02</v>
      </c>
      <c r="AA68" s="1">
        <f ca="1">IFERROR(__xludf.DUMMYFUNCTION("""COMPUTED_VALUE"""),31.84)</f>
        <v>31.84</v>
      </c>
      <c r="AB68" s="1">
        <f ca="1">IFERROR(__xludf.DUMMYFUNCTION("""COMPUTED_VALUE"""),68.71)</f>
        <v>68.709999999999994</v>
      </c>
      <c r="AC68" s="1">
        <f ca="1">IFERROR(__xludf.DUMMYFUNCTION("""COMPUTED_VALUE"""),47.56)</f>
        <v>47.56</v>
      </c>
    </row>
    <row r="69" spans="1:29" x14ac:dyDescent="0.25">
      <c r="A69" s="2">
        <f ca="1">IFERROR(__xludf.DUMMYFUNCTION("""COMPUTED_VALUE"""),43929.6666666666)</f>
        <v>43929.666666666599</v>
      </c>
      <c r="B69" s="1">
        <f ca="1">IFERROR(__xludf.DUMMYFUNCTION("""COMPUTED_VALUE"""),66.52)</f>
        <v>66.52</v>
      </c>
      <c r="C69" s="1">
        <f ca="1">IFERROR(__xludf.DUMMYFUNCTION("""COMPUTED_VALUE"""),165.13)</f>
        <v>165.13</v>
      </c>
      <c r="D69" s="1">
        <f ca="1">IFERROR(__xludf.DUMMYFUNCTION("""COMPUTED_VALUE"""),102.15)</f>
        <v>102.15</v>
      </c>
      <c r="E69" s="1">
        <f ca="1">IFERROR(__xludf.DUMMYFUNCTION("""COMPUTED_VALUE"""),6.67)</f>
        <v>6.67</v>
      </c>
      <c r="F69" s="1">
        <f ca="1">IFERROR(__xludf.DUMMYFUNCTION("""COMPUTED_VALUE"""),174.28)</f>
        <v>174.28</v>
      </c>
      <c r="G69" s="1">
        <f ca="1">IFERROR(__xludf.DUMMYFUNCTION("""COMPUTED_VALUE"""),60.51)</f>
        <v>60.51</v>
      </c>
      <c r="H69" s="1">
        <f ca="1">IFERROR(__xludf.DUMMYFUNCTION("""COMPUTED_VALUE"""),36.59)</f>
        <v>36.590000000000003</v>
      </c>
      <c r="I69" s="1">
        <f ca="1">IFERROR(__xludf.DUMMYFUNCTION("""COMPUTED_VALUE"""),132.61)</f>
        <v>132.61000000000001</v>
      </c>
      <c r="J69" s="1">
        <f ca="1">IFERROR(__xludf.DUMMYFUNCTION("""COMPUTED_VALUE"""),305.97)</f>
        <v>305.97000000000003</v>
      </c>
      <c r="K69" s="1">
        <f ca="1">IFERROR(__xludf.DUMMYFUNCTION("""COMPUTED_VALUE"""),26.11)</f>
        <v>26.11</v>
      </c>
      <c r="L69" s="1">
        <f ca="1">IFERROR(__xludf.DUMMYFUNCTION("""COMPUTED_VALUE"""),317.18)</f>
        <v>317.18</v>
      </c>
      <c r="M69" s="1">
        <f ca="1">IFERROR(__xludf.DUMMYFUNCTION("""COMPUTED_VALUE"""),371.12)</f>
        <v>371.12</v>
      </c>
      <c r="N69" s="1">
        <f ca="1">IFERROR(__xludf.DUMMYFUNCTION("""COMPUTED_VALUE"""),94.3)</f>
        <v>94.3</v>
      </c>
      <c r="O69" s="1">
        <f ca="1">IFERROR(__xludf.DUMMYFUNCTION("""COMPUTED_VALUE"""),174.94)</f>
        <v>174.94</v>
      </c>
      <c r="P69" s="1">
        <f ca="1">IFERROR(__xludf.DUMMYFUNCTION("""COMPUTED_VALUE"""),143.26)</f>
        <v>143.26</v>
      </c>
      <c r="Q69" s="1">
        <f ca="1">IFERROR(__xludf.DUMMYFUNCTION("""COMPUTED_VALUE"""),267.83)</f>
        <v>267.83</v>
      </c>
      <c r="R69" s="1">
        <f ca="1">IFERROR(__xludf.DUMMYFUNCTION("""COMPUTED_VALUE"""),43.85)</f>
        <v>43.85</v>
      </c>
      <c r="S69" s="1">
        <f ca="1">IFERROR(__xludf.DUMMYFUNCTION("""COMPUTED_VALUE"""),58.38)</f>
        <v>58.38</v>
      </c>
      <c r="T69" s="1">
        <f ca="1">IFERROR(__xludf.DUMMYFUNCTION("""COMPUTED_VALUE"""),40.61)</f>
        <v>40.61</v>
      </c>
      <c r="U69" s="1">
        <f ca="1">IFERROR(__xludf.DUMMYFUNCTION("""COMPUTED_VALUE"""),85.3)</f>
        <v>85.3</v>
      </c>
      <c r="V69" s="1">
        <f ca="1">IFERROR(__xludf.DUMMYFUNCTION("""COMPUTED_VALUE"""),127.4)</f>
        <v>127.4</v>
      </c>
      <c r="W69" s="1">
        <f ca="1">IFERROR(__xludf.DUMMYFUNCTION("""COMPUTED_VALUE"""),361.41)</f>
        <v>361.41</v>
      </c>
      <c r="X69" s="1">
        <f ca="1">IFERROR(__xludf.DUMMYFUNCTION("""COMPUTED_VALUE"""),278.58)</f>
        <v>278.58</v>
      </c>
      <c r="Y69" s="1">
        <f ca="1">IFERROR(__xludf.DUMMYFUNCTION("""COMPUTED_VALUE"""),50.27)</f>
        <v>50.27</v>
      </c>
      <c r="Z69" s="1">
        <f ca="1">IFERROR(__xludf.DUMMYFUNCTION("""COMPUTED_VALUE"""),176.96)</f>
        <v>176.96</v>
      </c>
      <c r="AA69" s="1">
        <f ca="1">IFERROR(__xludf.DUMMYFUNCTION("""COMPUTED_VALUE"""),32.78)</f>
        <v>32.78</v>
      </c>
      <c r="AB69" s="1">
        <f ca="1">IFERROR(__xludf.DUMMYFUNCTION("""COMPUTED_VALUE"""),71.57)</f>
        <v>71.569999999999993</v>
      </c>
      <c r="AC69" s="1">
        <f ca="1">IFERROR(__xludf.DUMMYFUNCTION("""COMPUTED_VALUE"""),48.79)</f>
        <v>48.79</v>
      </c>
    </row>
    <row r="70" spans="1:29" x14ac:dyDescent="0.25">
      <c r="A70" s="2">
        <f ca="1">IFERROR(__xludf.DUMMYFUNCTION("""COMPUTED_VALUE"""),43930.6666666666)</f>
        <v>43930.666666666599</v>
      </c>
      <c r="B70" s="1">
        <f ca="1">IFERROR(__xludf.DUMMYFUNCTION("""COMPUTED_VALUE"""),67)</f>
        <v>67</v>
      </c>
      <c r="C70" s="1">
        <f ca="1">IFERROR(__xludf.DUMMYFUNCTION("""COMPUTED_VALUE"""),165.14)</f>
        <v>165.14</v>
      </c>
      <c r="D70" s="1">
        <f ca="1">IFERROR(__xludf.DUMMYFUNCTION("""COMPUTED_VALUE"""),102.14)</f>
        <v>102.14</v>
      </c>
      <c r="E70" s="1">
        <f ca="1">IFERROR(__xludf.DUMMYFUNCTION("""COMPUTED_VALUE"""),6.57)</f>
        <v>6.57</v>
      </c>
      <c r="F70" s="1">
        <f ca="1">IFERROR(__xludf.DUMMYFUNCTION("""COMPUTED_VALUE"""),175.19)</f>
        <v>175.19</v>
      </c>
      <c r="G70" s="1">
        <f ca="1">IFERROR(__xludf.DUMMYFUNCTION("""COMPUTED_VALUE"""),60.57)</f>
        <v>60.57</v>
      </c>
      <c r="H70" s="1">
        <f ca="1">IFERROR(__xludf.DUMMYFUNCTION("""COMPUTED_VALUE"""),38.2)</f>
        <v>38.200000000000003</v>
      </c>
      <c r="I70" s="1">
        <f ca="1">IFERROR(__xludf.DUMMYFUNCTION("""COMPUTED_VALUE"""),133.63)</f>
        <v>133.63</v>
      </c>
      <c r="J70" s="1">
        <f ca="1">IFERROR(__xludf.DUMMYFUNCTION("""COMPUTED_VALUE"""),300.01)</f>
        <v>300.01</v>
      </c>
      <c r="K70" s="1">
        <f ca="1">IFERROR(__xludf.DUMMYFUNCTION("""COMPUTED_VALUE"""),25.43)</f>
        <v>25.43</v>
      </c>
      <c r="L70" s="1">
        <f ca="1">IFERROR(__xludf.DUMMYFUNCTION("""COMPUTED_VALUE"""),318.7)</f>
        <v>318.7</v>
      </c>
      <c r="M70" s="1">
        <f ca="1">IFERROR(__xludf.DUMMYFUNCTION("""COMPUTED_VALUE"""),370.72)</f>
        <v>370.72</v>
      </c>
      <c r="N70" s="1">
        <f ca="1">IFERROR(__xludf.DUMMYFUNCTION("""COMPUTED_VALUE"""),102.76)</f>
        <v>102.76</v>
      </c>
      <c r="O70" s="1">
        <f ca="1">IFERROR(__xludf.DUMMYFUNCTION("""COMPUTED_VALUE"""),173.69)</f>
        <v>173.69</v>
      </c>
      <c r="P70" s="1">
        <f ca="1">IFERROR(__xludf.DUMMYFUNCTION("""COMPUTED_VALUE"""),141.23)</f>
        <v>141.22999999999999</v>
      </c>
      <c r="Q70" s="1">
        <f ca="1">IFERROR(__xludf.DUMMYFUNCTION("""COMPUTED_VALUE"""),264.13)</f>
        <v>264.13</v>
      </c>
      <c r="R70" s="1">
        <f ca="1">IFERROR(__xludf.DUMMYFUNCTION("""COMPUTED_VALUE"""),43.13)</f>
        <v>43.13</v>
      </c>
      <c r="S70" s="1">
        <f ca="1">IFERROR(__xludf.DUMMYFUNCTION("""COMPUTED_VALUE"""),61.32)</f>
        <v>61.32</v>
      </c>
      <c r="T70" s="1">
        <f ca="1">IFERROR(__xludf.DUMMYFUNCTION("""COMPUTED_VALUE"""),40.6)</f>
        <v>40.6</v>
      </c>
      <c r="U70" s="1">
        <f ca="1">IFERROR(__xludf.DUMMYFUNCTION("""COMPUTED_VALUE"""),86.79)</f>
        <v>86.79</v>
      </c>
      <c r="V70" s="1">
        <f ca="1">IFERROR(__xludf.DUMMYFUNCTION("""COMPUTED_VALUE"""),125.03)</f>
        <v>125.03</v>
      </c>
      <c r="W70" s="1">
        <f ca="1">IFERROR(__xludf.DUMMYFUNCTION("""COMPUTED_VALUE"""),371)</f>
        <v>371</v>
      </c>
      <c r="X70" s="1">
        <f ca="1">IFERROR(__xludf.DUMMYFUNCTION("""COMPUTED_VALUE"""),276.81)</f>
        <v>276.81</v>
      </c>
      <c r="Y70" s="1">
        <f ca="1">IFERROR(__xludf.DUMMYFUNCTION("""COMPUTED_VALUE"""),48.33)</f>
        <v>48.33</v>
      </c>
      <c r="Z70" s="1">
        <f ca="1">IFERROR(__xludf.DUMMYFUNCTION("""COMPUTED_VALUE"""),184.26)</f>
        <v>184.26</v>
      </c>
      <c r="AA70" s="1">
        <f ca="1">IFERROR(__xludf.DUMMYFUNCTION("""COMPUTED_VALUE"""),33.53)</f>
        <v>33.53</v>
      </c>
      <c r="AB70" s="1">
        <f ca="1">IFERROR(__xludf.DUMMYFUNCTION("""COMPUTED_VALUE"""),73.88)</f>
        <v>73.88</v>
      </c>
      <c r="AC70" s="1">
        <f ca="1">IFERROR(__xludf.DUMMYFUNCTION("""COMPUTED_VALUE"""),48.38)</f>
        <v>48.38</v>
      </c>
    </row>
    <row r="71" spans="1:29" x14ac:dyDescent="0.25">
      <c r="A71" s="2">
        <f ca="1">IFERROR(__xludf.DUMMYFUNCTION("""COMPUTED_VALUE"""),43934.6666666666)</f>
        <v>43934.666666666599</v>
      </c>
      <c r="B71" s="1">
        <f ca="1">IFERROR(__xludf.DUMMYFUNCTION("""COMPUTED_VALUE"""),68.31)</f>
        <v>68.31</v>
      </c>
      <c r="C71" s="1">
        <f ca="1">IFERROR(__xludf.DUMMYFUNCTION("""COMPUTED_VALUE"""),165.51)</f>
        <v>165.51</v>
      </c>
      <c r="D71" s="1">
        <f ca="1">IFERROR(__xludf.DUMMYFUNCTION("""COMPUTED_VALUE"""),108.44)</f>
        <v>108.44</v>
      </c>
      <c r="E71" s="1">
        <f ca="1">IFERROR(__xludf.DUMMYFUNCTION("""COMPUTED_VALUE"""),6.75)</f>
        <v>6.75</v>
      </c>
      <c r="F71" s="1">
        <f ca="1">IFERROR(__xludf.DUMMYFUNCTION("""COMPUTED_VALUE"""),174.79)</f>
        <v>174.79</v>
      </c>
      <c r="G71" s="1">
        <f ca="1">IFERROR(__xludf.DUMMYFUNCTION("""COMPUTED_VALUE"""),60.88)</f>
        <v>60.88</v>
      </c>
      <c r="H71" s="1">
        <f ca="1">IFERROR(__xludf.DUMMYFUNCTION("""COMPUTED_VALUE"""),43.4)</f>
        <v>43.4</v>
      </c>
      <c r="I71" s="1">
        <f ca="1">IFERROR(__xludf.DUMMYFUNCTION("""COMPUTED_VALUE"""),130.89)</f>
        <v>130.88999999999999</v>
      </c>
      <c r="J71" s="1">
        <f ca="1">IFERROR(__xludf.DUMMYFUNCTION("""COMPUTED_VALUE"""),299.62)</f>
        <v>299.62</v>
      </c>
      <c r="K71" s="1">
        <f ca="1">IFERROR(__xludf.DUMMYFUNCTION("""COMPUTED_VALUE"""),25.99)</f>
        <v>25.99</v>
      </c>
      <c r="L71" s="1">
        <f ca="1">IFERROR(__xludf.DUMMYFUNCTION("""COMPUTED_VALUE"""),320.65)</f>
        <v>320.64999999999998</v>
      </c>
      <c r="M71" s="1">
        <f ca="1">IFERROR(__xludf.DUMMYFUNCTION("""COMPUTED_VALUE"""),396.72)</f>
        <v>396.72</v>
      </c>
      <c r="N71" s="1">
        <f ca="1">IFERROR(__xludf.DUMMYFUNCTION("""COMPUTED_VALUE"""),98.19)</f>
        <v>98.19</v>
      </c>
      <c r="O71" s="1">
        <f ca="1">IFERROR(__xludf.DUMMYFUNCTION("""COMPUTED_VALUE"""),173.69)</f>
        <v>173.69</v>
      </c>
      <c r="P71" s="1">
        <f ca="1">IFERROR(__xludf.DUMMYFUNCTION("""COMPUTED_VALUE"""),139.77)</f>
        <v>139.77000000000001</v>
      </c>
      <c r="Q71" s="1">
        <f ca="1">IFERROR(__xludf.DUMMYFUNCTION("""COMPUTED_VALUE"""),263.51)</f>
        <v>263.51</v>
      </c>
      <c r="R71" s="1">
        <f ca="1">IFERROR(__xludf.DUMMYFUNCTION("""COMPUTED_VALUE"""),42.76)</f>
        <v>42.76</v>
      </c>
      <c r="S71" s="1">
        <f ca="1">IFERROR(__xludf.DUMMYFUNCTION("""COMPUTED_VALUE"""),59.05)</f>
        <v>59.05</v>
      </c>
      <c r="T71" s="1">
        <f ca="1">IFERROR(__xludf.DUMMYFUNCTION("""COMPUTED_VALUE"""),41.77)</f>
        <v>41.77</v>
      </c>
      <c r="U71" s="1">
        <f ca="1">IFERROR(__xludf.DUMMYFUNCTION("""COMPUTED_VALUE"""),84.46)</f>
        <v>84.46</v>
      </c>
      <c r="V71" s="1">
        <f ca="1">IFERROR(__xludf.DUMMYFUNCTION("""COMPUTED_VALUE"""),114.14)</f>
        <v>114.14</v>
      </c>
      <c r="W71" s="1">
        <f ca="1">IFERROR(__xludf.DUMMYFUNCTION("""COMPUTED_VALUE"""),369.94)</f>
        <v>369.94</v>
      </c>
      <c r="X71" s="1">
        <f ca="1">IFERROR(__xludf.DUMMYFUNCTION("""COMPUTED_VALUE"""),274.1)</f>
        <v>274.10000000000002</v>
      </c>
      <c r="Y71" s="1">
        <f ca="1">IFERROR(__xludf.DUMMYFUNCTION("""COMPUTED_VALUE"""),48.75)</f>
        <v>48.75</v>
      </c>
      <c r="Z71" s="1">
        <f ca="1">IFERROR(__xludf.DUMMYFUNCTION("""COMPUTED_VALUE"""),179.18)</f>
        <v>179.18</v>
      </c>
      <c r="AA71" s="1">
        <f ca="1">IFERROR(__xludf.DUMMYFUNCTION("""COMPUTED_VALUE"""),33.29)</f>
        <v>33.29</v>
      </c>
      <c r="AB71" s="1">
        <f ca="1">IFERROR(__xludf.DUMMYFUNCTION("""COMPUTED_VALUE"""),71.76)</f>
        <v>71.760000000000005</v>
      </c>
      <c r="AC71" s="1">
        <f ca="1">IFERROR(__xludf.DUMMYFUNCTION("""COMPUTED_VALUE"""),50.94)</f>
        <v>50.94</v>
      </c>
    </row>
    <row r="72" spans="1:29" x14ac:dyDescent="0.25">
      <c r="A72" s="2">
        <f ca="1">IFERROR(__xludf.DUMMYFUNCTION("""COMPUTED_VALUE"""),43935.6666666666)</f>
        <v>43935.666666666599</v>
      </c>
      <c r="B72" s="1">
        <f ca="1">IFERROR(__xludf.DUMMYFUNCTION("""COMPUTED_VALUE"""),71.76)</f>
        <v>71.760000000000005</v>
      </c>
      <c r="C72" s="1">
        <f ca="1">IFERROR(__xludf.DUMMYFUNCTION("""COMPUTED_VALUE"""),173.7)</f>
        <v>173.7</v>
      </c>
      <c r="D72" s="1">
        <f ca="1">IFERROR(__xludf.DUMMYFUNCTION("""COMPUTED_VALUE"""),114.17)</f>
        <v>114.17</v>
      </c>
      <c r="E72" s="1">
        <f ca="1">IFERROR(__xludf.DUMMYFUNCTION("""COMPUTED_VALUE"""),7.1)</f>
        <v>7.1</v>
      </c>
      <c r="F72" s="1">
        <f ca="1">IFERROR(__xludf.DUMMYFUNCTION("""COMPUTED_VALUE"""),178.17)</f>
        <v>178.17</v>
      </c>
      <c r="G72" s="1">
        <f ca="1">IFERROR(__xludf.DUMMYFUNCTION("""COMPUTED_VALUE"""),63.46)</f>
        <v>63.46</v>
      </c>
      <c r="H72" s="1">
        <f ca="1">IFERROR(__xludf.DUMMYFUNCTION("""COMPUTED_VALUE"""),47.33)</f>
        <v>47.33</v>
      </c>
      <c r="I72" s="1">
        <f ca="1">IFERROR(__xludf.DUMMYFUNCTION("""COMPUTED_VALUE"""),138.4)</f>
        <v>138.4</v>
      </c>
      <c r="J72" s="1">
        <f ca="1">IFERROR(__xludf.DUMMYFUNCTION("""COMPUTED_VALUE"""),314.14)</f>
        <v>314.14</v>
      </c>
      <c r="K72" s="1">
        <f ca="1">IFERROR(__xludf.DUMMYFUNCTION("""COMPUTED_VALUE"""),26.76)</f>
        <v>26.76</v>
      </c>
      <c r="L72" s="1">
        <f ca="1">IFERROR(__xludf.DUMMYFUNCTION("""COMPUTED_VALUE"""),340.77)</f>
        <v>340.77</v>
      </c>
      <c r="M72" s="1">
        <f ca="1">IFERROR(__xludf.DUMMYFUNCTION("""COMPUTED_VALUE"""),413.55)</f>
        <v>413.55</v>
      </c>
      <c r="N72" s="1">
        <f ca="1">IFERROR(__xludf.DUMMYFUNCTION("""COMPUTED_VALUE"""),95.5)</f>
        <v>95.5</v>
      </c>
      <c r="O72" s="1">
        <f ca="1">IFERROR(__xludf.DUMMYFUNCTION("""COMPUTED_VALUE"""),174.62)</f>
        <v>174.62</v>
      </c>
      <c r="P72" s="1">
        <f ca="1">IFERROR(__xludf.DUMMYFUNCTION("""COMPUTED_VALUE"""),146.03)</f>
        <v>146.03</v>
      </c>
      <c r="Q72" s="1">
        <f ca="1">IFERROR(__xludf.DUMMYFUNCTION("""COMPUTED_VALUE"""),270.5)</f>
        <v>270.5</v>
      </c>
      <c r="R72" s="1">
        <f ca="1">IFERROR(__xludf.DUMMYFUNCTION("""COMPUTED_VALUE"""),42.43)</f>
        <v>42.43</v>
      </c>
      <c r="S72" s="1">
        <f ca="1">IFERROR(__xludf.DUMMYFUNCTION("""COMPUTED_VALUE"""),60.6)</f>
        <v>60.6</v>
      </c>
      <c r="T72" s="1">
        <f ca="1">IFERROR(__xludf.DUMMYFUNCTION("""COMPUTED_VALUE"""),43)</f>
        <v>43</v>
      </c>
      <c r="U72" s="1">
        <f ca="1">IFERROR(__xludf.DUMMYFUNCTION("""COMPUTED_VALUE"""),87.47)</f>
        <v>87.47</v>
      </c>
      <c r="V72" s="1">
        <f ca="1">IFERROR(__xludf.DUMMYFUNCTION("""COMPUTED_VALUE"""),116.48)</f>
        <v>116.48</v>
      </c>
      <c r="W72" s="1">
        <f ca="1">IFERROR(__xludf.DUMMYFUNCTION("""COMPUTED_VALUE"""),380.03)</f>
        <v>380.03</v>
      </c>
      <c r="X72" s="1">
        <f ca="1">IFERROR(__xludf.DUMMYFUNCTION("""COMPUTED_VALUE"""),288.93)</f>
        <v>288.93</v>
      </c>
      <c r="Y72" s="1">
        <f ca="1">IFERROR(__xludf.DUMMYFUNCTION("""COMPUTED_VALUE"""),50.63)</f>
        <v>50.63</v>
      </c>
      <c r="Z72" s="1">
        <f ca="1">IFERROR(__xludf.DUMMYFUNCTION("""COMPUTED_VALUE"""),178.23)</f>
        <v>178.23</v>
      </c>
      <c r="AA72" s="1">
        <f ca="1">IFERROR(__xludf.DUMMYFUNCTION("""COMPUTED_VALUE"""),34.52)</f>
        <v>34.520000000000003</v>
      </c>
      <c r="AB72" s="1">
        <f ca="1">IFERROR(__xludf.DUMMYFUNCTION("""COMPUTED_VALUE"""),73.67)</f>
        <v>73.67</v>
      </c>
      <c r="AC72" s="1">
        <f ca="1">IFERROR(__xludf.DUMMYFUNCTION("""COMPUTED_VALUE"""),54.93)</f>
        <v>54.93</v>
      </c>
    </row>
    <row r="73" spans="1:29" x14ac:dyDescent="0.25">
      <c r="A73" s="2">
        <f ca="1">IFERROR(__xludf.DUMMYFUNCTION("""COMPUTED_VALUE"""),43936.6666666666)</f>
        <v>43936.666666666599</v>
      </c>
      <c r="B73" s="1">
        <f ca="1">IFERROR(__xludf.DUMMYFUNCTION("""COMPUTED_VALUE"""),71.11)</f>
        <v>71.11</v>
      </c>
      <c r="C73" s="1">
        <f ca="1">IFERROR(__xludf.DUMMYFUNCTION("""COMPUTED_VALUE"""),171.88)</f>
        <v>171.88</v>
      </c>
      <c r="D73" s="1">
        <f ca="1">IFERROR(__xludf.DUMMYFUNCTION("""COMPUTED_VALUE"""),115.38)</f>
        <v>115.38</v>
      </c>
      <c r="E73" s="1">
        <f ca="1">IFERROR(__xludf.DUMMYFUNCTION("""COMPUTED_VALUE"""),7.02)</f>
        <v>7.02</v>
      </c>
      <c r="F73" s="1">
        <f ca="1">IFERROR(__xludf.DUMMYFUNCTION("""COMPUTED_VALUE"""),176.97)</f>
        <v>176.97</v>
      </c>
      <c r="G73" s="1">
        <f ca="1">IFERROR(__xludf.DUMMYFUNCTION("""COMPUTED_VALUE"""),63.12)</f>
        <v>63.12</v>
      </c>
      <c r="H73" s="1">
        <f ca="1">IFERROR(__xludf.DUMMYFUNCTION("""COMPUTED_VALUE"""),48.66)</f>
        <v>48.66</v>
      </c>
      <c r="I73" s="1">
        <f ca="1">IFERROR(__xludf.DUMMYFUNCTION("""COMPUTED_VALUE"""),135.03)</f>
        <v>135.03</v>
      </c>
      <c r="J73" s="1">
        <f ca="1">IFERROR(__xludf.DUMMYFUNCTION("""COMPUTED_VALUE"""),310.27)</f>
        <v>310.27</v>
      </c>
      <c r="K73" s="1">
        <f ca="1">IFERROR(__xludf.DUMMYFUNCTION("""COMPUTED_VALUE"""),25.74)</f>
        <v>25.74</v>
      </c>
      <c r="L73" s="1">
        <f ca="1">IFERROR(__xludf.DUMMYFUNCTION("""COMPUTED_VALUE"""),332.55)</f>
        <v>332.55</v>
      </c>
      <c r="M73" s="1">
        <f ca="1">IFERROR(__xludf.DUMMYFUNCTION("""COMPUTED_VALUE"""),426.75)</f>
        <v>426.75</v>
      </c>
      <c r="N73" s="1">
        <f ca="1">IFERROR(__xludf.DUMMYFUNCTION("""COMPUTED_VALUE"""),90.79)</f>
        <v>90.79</v>
      </c>
      <c r="O73" s="1">
        <f ca="1">IFERROR(__xludf.DUMMYFUNCTION("""COMPUTED_VALUE"""),165.96)</f>
        <v>165.96</v>
      </c>
      <c r="P73" s="1">
        <f ca="1">IFERROR(__xludf.DUMMYFUNCTION("""COMPUTED_VALUE"""),147.66)</f>
        <v>147.66</v>
      </c>
      <c r="Q73" s="1">
        <f ca="1">IFERROR(__xludf.DUMMYFUNCTION("""COMPUTED_VALUE"""),281.68)</f>
        <v>281.68</v>
      </c>
      <c r="R73" s="1">
        <f ca="1">IFERROR(__xludf.DUMMYFUNCTION("""COMPUTED_VALUE"""),40.48)</f>
        <v>40.479999999999997</v>
      </c>
      <c r="S73" s="1">
        <f ca="1">IFERROR(__xludf.DUMMYFUNCTION("""COMPUTED_VALUE"""),59.31)</f>
        <v>59.31</v>
      </c>
      <c r="T73" s="1">
        <f ca="1">IFERROR(__xludf.DUMMYFUNCTION("""COMPUTED_VALUE"""),42.92)</f>
        <v>42.92</v>
      </c>
      <c r="U73" s="1">
        <f ca="1">IFERROR(__xludf.DUMMYFUNCTION("""COMPUTED_VALUE"""),85.04)</f>
        <v>85.04</v>
      </c>
      <c r="V73" s="1">
        <f ca="1">IFERROR(__xludf.DUMMYFUNCTION("""COMPUTED_VALUE"""),111.53)</f>
        <v>111.53</v>
      </c>
      <c r="W73" s="1">
        <f ca="1">IFERROR(__xludf.DUMMYFUNCTION("""COMPUTED_VALUE"""),374.38)</f>
        <v>374.38</v>
      </c>
      <c r="X73" s="1">
        <f ca="1">IFERROR(__xludf.DUMMYFUNCTION("""COMPUTED_VALUE"""),282.49)</f>
        <v>282.49</v>
      </c>
      <c r="Y73" s="1">
        <f ca="1">IFERROR(__xludf.DUMMYFUNCTION("""COMPUTED_VALUE"""),49.66)</f>
        <v>49.66</v>
      </c>
      <c r="Z73" s="1">
        <f ca="1">IFERROR(__xludf.DUMMYFUNCTION("""COMPUTED_VALUE"""),178.52)</f>
        <v>178.52</v>
      </c>
      <c r="AA73" s="1">
        <f ca="1">IFERROR(__xludf.DUMMYFUNCTION("""COMPUTED_VALUE"""),34.08)</f>
        <v>34.08</v>
      </c>
      <c r="AB73" s="1">
        <f ca="1">IFERROR(__xludf.DUMMYFUNCTION("""COMPUTED_VALUE"""),72.55)</f>
        <v>72.55</v>
      </c>
      <c r="AC73" s="1">
        <f ca="1">IFERROR(__xludf.DUMMYFUNCTION("""COMPUTED_VALUE"""),54.99)</f>
        <v>54.99</v>
      </c>
    </row>
    <row r="74" spans="1:29" x14ac:dyDescent="0.25">
      <c r="A74" s="2">
        <f ca="1">IFERROR(__xludf.DUMMYFUNCTION("""COMPUTED_VALUE"""),43937.6666666666)</f>
        <v>43937.666666666599</v>
      </c>
      <c r="B74" s="1">
        <f ca="1">IFERROR(__xludf.DUMMYFUNCTION("""COMPUTED_VALUE"""),71.67)</f>
        <v>71.67</v>
      </c>
      <c r="C74" s="1">
        <f ca="1">IFERROR(__xludf.DUMMYFUNCTION("""COMPUTED_VALUE"""),177.04)</f>
        <v>177.04</v>
      </c>
      <c r="D74" s="1">
        <f ca="1">IFERROR(__xludf.DUMMYFUNCTION("""COMPUTED_VALUE"""),120.41)</f>
        <v>120.41</v>
      </c>
      <c r="E74" s="1">
        <f ca="1">IFERROR(__xludf.DUMMYFUNCTION("""COMPUTED_VALUE"""),7.37)</f>
        <v>7.37</v>
      </c>
      <c r="F74" s="1">
        <f ca="1">IFERROR(__xludf.DUMMYFUNCTION("""COMPUTED_VALUE"""),176.25)</f>
        <v>176.25</v>
      </c>
      <c r="G74" s="1">
        <f ca="1">IFERROR(__xludf.DUMMYFUNCTION("""COMPUTED_VALUE"""),63.17)</f>
        <v>63.17</v>
      </c>
      <c r="H74" s="1">
        <f ca="1">IFERROR(__xludf.DUMMYFUNCTION("""COMPUTED_VALUE"""),49.68)</f>
        <v>49.68</v>
      </c>
      <c r="I74" s="1">
        <f ca="1">IFERROR(__xludf.DUMMYFUNCTION("""COMPUTED_VALUE"""),135.64)</f>
        <v>135.63999999999999</v>
      </c>
      <c r="J74" s="1">
        <f ca="1">IFERROR(__xludf.DUMMYFUNCTION("""COMPUTED_VALUE"""),321.56)</f>
        <v>321.56</v>
      </c>
      <c r="K74" s="1">
        <f ca="1">IFERROR(__xludf.DUMMYFUNCTION("""COMPUTED_VALUE"""),25.83)</f>
        <v>25.83</v>
      </c>
      <c r="L74" s="1">
        <f ca="1">IFERROR(__xludf.DUMMYFUNCTION("""COMPUTED_VALUE"""),342.7)</f>
        <v>342.7</v>
      </c>
      <c r="M74" s="1">
        <f ca="1">IFERROR(__xludf.DUMMYFUNCTION("""COMPUTED_VALUE"""),439.17)</f>
        <v>439.17</v>
      </c>
      <c r="N74" s="1">
        <f ca="1">IFERROR(__xludf.DUMMYFUNCTION("""COMPUTED_VALUE"""),87.33)</f>
        <v>87.33</v>
      </c>
      <c r="O74" s="1">
        <f ca="1">IFERROR(__xludf.DUMMYFUNCTION("""COMPUTED_VALUE"""),162.42)</f>
        <v>162.41999999999999</v>
      </c>
      <c r="P74" s="1">
        <f ca="1">IFERROR(__xludf.DUMMYFUNCTION("""COMPUTED_VALUE"""),149.67)</f>
        <v>149.66999999999999</v>
      </c>
      <c r="Q74" s="1">
        <f ca="1">IFERROR(__xludf.DUMMYFUNCTION("""COMPUTED_VALUE"""),298.43)</f>
        <v>298.43</v>
      </c>
      <c r="R74" s="1">
        <f ca="1">IFERROR(__xludf.DUMMYFUNCTION("""COMPUTED_VALUE"""),39.15)</f>
        <v>39.15</v>
      </c>
      <c r="S74" s="1">
        <f ca="1">IFERROR(__xludf.DUMMYFUNCTION("""COMPUTED_VALUE"""),59.37)</f>
        <v>59.37</v>
      </c>
      <c r="T74" s="1">
        <f ca="1">IFERROR(__xludf.DUMMYFUNCTION("""COMPUTED_VALUE"""),44.11)</f>
        <v>44.11</v>
      </c>
      <c r="U74" s="1">
        <f ca="1">IFERROR(__xludf.DUMMYFUNCTION("""COMPUTED_VALUE"""),86.3)</f>
        <v>86.3</v>
      </c>
      <c r="V74" s="1">
        <f ca="1">IFERROR(__xludf.DUMMYFUNCTION("""COMPUTED_VALUE"""),113.22)</f>
        <v>113.22</v>
      </c>
      <c r="W74" s="1">
        <f ca="1">IFERROR(__xludf.DUMMYFUNCTION("""COMPUTED_VALUE"""),377.88)</f>
        <v>377.88</v>
      </c>
      <c r="X74" s="1">
        <f ca="1">IFERROR(__xludf.DUMMYFUNCTION("""COMPUTED_VALUE"""),292.4)</f>
        <v>292.39999999999998</v>
      </c>
      <c r="Y74" s="1">
        <f ca="1">IFERROR(__xludf.DUMMYFUNCTION("""COMPUTED_VALUE"""),52.4)</f>
        <v>52.4</v>
      </c>
      <c r="Z74" s="1">
        <f ca="1">IFERROR(__xludf.DUMMYFUNCTION("""COMPUTED_VALUE"""),177.04)</f>
        <v>177.04</v>
      </c>
      <c r="AA74" s="1">
        <f ca="1">IFERROR(__xludf.DUMMYFUNCTION("""COMPUTED_VALUE"""),33.99)</f>
        <v>33.99</v>
      </c>
      <c r="AB74" s="1">
        <f ca="1">IFERROR(__xludf.DUMMYFUNCTION("""COMPUTED_VALUE"""),73.51)</f>
        <v>73.510000000000005</v>
      </c>
      <c r="AC74" s="1">
        <f ca="1">IFERROR(__xludf.DUMMYFUNCTION("""COMPUTED_VALUE"""),56.95)</f>
        <v>56.95</v>
      </c>
    </row>
    <row r="75" spans="1:29" x14ac:dyDescent="0.25">
      <c r="A75" s="2">
        <f ca="1">IFERROR(__xludf.DUMMYFUNCTION("""COMPUTED_VALUE"""),43938.6666666666)</f>
        <v>43938.666666666599</v>
      </c>
      <c r="B75" s="1">
        <f ca="1">IFERROR(__xludf.DUMMYFUNCTION("""COMPUTED_VALUE"""),70.7)</f>
        <v>70.7</v>
      </c>
      <c r="C75" s="1">
        <f ca="1">IFERROR(__xludf.DUMMYFUNCTION("""COMPUTED_VALUE"""),178.6)</f>
        <v>178.6</v>
      </c>
      <c r="D75" s="1">
        <f ca="1">IFERROR(__xludf.DUMMYFUNCTION("""COMPUTED_VALUE"""),118.75)</f>
        <v>118.75</v>
      </c>
      <c r="E75" s="1">
        <f ca="1">IFERROR(__xludf.DUMMYFUNCTION("""COMPUTED_VALUE"""),7.31)</f>
        <v>7.31</v>
      </c>
      <c r="F75" s="1">
        <f ca="1">IFERROR(__xludf.DUMMYFUNCTION("""COMPUTED_VALUE"""),179.24)</f>
        <v>179.24</v>
      </c>
      <c r="G75" s="1">
        <f ca="1">IFERROR(__xludf.DUMMYFUNCTION("""COMPUTED_VALUE"""),64.16)</f>
        <v>64.16</v>
      </c>
      <c r="H75" s="1">
        <f ca="1">IFERROR(__xludf.DUMMYFUNCTION("""COMPUTED_VALUE"""),50.26)</f>
        <v>50.26</v>
      </c>
      <c r="I75" s="1">
        <f ca="1">IFERROR(__xludf.DUMMYFUNCTION("""COMPUTED_VALUE"""),137.55)</f>
        <v>137.55000000000001</v>
      </c>
      <c r="J75" s="1">
        <f ca="1">IFERROR(__xludf.DUMMYFUNCTION("""COMPUTED_VALUE"""),317.92)</f>
        <v>317.92</v>
      </c>
      <c r="K75" s="1">
        <f ca="1">IFERROR(__xludf.DUMMYFUNCTION("""COMPUTED_VALUE"""),26.59)</f>
        <v>26.59</v>
      </c>
      <c r="L75" s="1">
        <f ca="1">IFERROR(__xludf.DUMMYFUNCTION("""COMPUTED_VALUE"""),344.11)</f>
        <v>344.11</v>
      </c>
      <c r="M75" s="1">
        <f ca="1">IFERROR(__xludf.DUMMYFUNCTION("""COMPUTED_VALUE"""),422.96)</f>
        <v>422.96</v>
      </c>
      <c r="N75" s="1">
        <f ca="1">IFERROR(__xludf.DUMMYFUNCTION("""COMPUTED_VALUE"""),95.18)</f>
        <v>95.18</v>
      </c>
      <c r="O75" s="1">
        <f ca="1">IFERROR(__xludf.DUMMYFUNCTION("""COMPUTED_VALUE"""),169.54)</f>
        <v>169.54</v>
      </c>
      <c r="P75" s="1">
        <f ca="1">IFERROR(__xludf.DUMMYFUNCTION("""COMPUTED_VALUE"""),152.02)</f>
        <v>152.02000000000001</v>
      </c>
      <c r="Q75" s="1">
        <f ca="1">IFERROR(__xludf.DUMMYFUNCTION("""COMPUTED_VALUE"""),290.56)</f>
        <v>290.56</v>
      </c>
      <c r="R75" s="1">
        <f ca="1">IFERROR(__xludf.DUMMYFUNCTION("""COMPUTED_VALUE"""),43.22)</f>
        <v>43.22</v>
      </c>
      <c r="S75" s="1">
        <f ca="1">IFERROR(__xludf.DUMMYFUNCTION("""COMPUTED_VALUE"""),61.57)</f>
        <v>61.57</v>
      </c>
      <c r="T75" s="1">
        <f ca="1">IFERROR(__xludf.DUMMYFUNCTION("""COMPUTED_VALUE"""),44.04)</f>
        <v>44.04</v>
      </c>
      <c r="U75" s="1">
        <f ca="1">IFERROR(__xludf.DUMMYFUNCTION("""COMPUTED_VALUE"""),89.91)</f>
        <v>89.91</v>
      </c>
      <c r="V75" s="1">
        <f ca="1">IFERROR(__xludf.DUMMYFUNCTION("""COMPUTED_VALUE"""),116.3)</f>
        <v>116.3</v>
      </c>
      <c r="W75" s="1">
        <f ca="1">IFERROR(__xludf.DUMMYFUNCTION("""COMPUTED_VALUE"""),401.51)</f>
        <v>401.51</v>
      </c>
      <c r="X75" s="1">
        <f ca="1">IFERROR(__xludf.DUMMYFUNCTION("""COMPUTED_VALUE"""),295.65)</f>
        <v>295.64999999999998</v>
      </c>
      <c r="Y75" s="1">
        <f ca="1">IFERROR(__xludf.DUMMYFUNCTION("""COMPUTED_VALUE"""),53.69)</f>
        <v>53.69</v>
      </c>
      <c r="Z75" s="1">
        <f ca="1">IFERROR(__xludf.DUMMYFUNCTION("""COMPUTED_VALUE"""),183.49)</f>
        <v>183.49</v>
      </c>
      <c r="AA75" s="1">
        <f ca="1">IFERROR(__xludf.DUMMYFUNCTION("""COMPUTED_VALUE"""),34.97)</f>
        <v>34.97</v>
      </c>
      <c r="AB75" s="1">
        <f ca="1">IFERROR(__xludf.DUMMYFUNCTION("""COMPUTED_VALUE"""),77.1)</f>
        <v>77.099999999999994</v>
      </c>
      <c r="AC75" s="1">
        <f ca="1">IFERROR(__xludf.DUMMYFUNCTION("""COMPUTED_VALUE"""),56.6)</f>
        <v>56.6</v>
      </c>
    </row>
    <row r="76" spans="1:29" x14ac:dyDescent="0.25">
      <c r="A76" s="2">
        <f ca="1">IFERROR(__xludf.DUMMYFUNCTION("""COMPUTED_VALUE"""),43941.6666666666)</f>
        <v>43941.666666666599</v>
      </c>
      <c r="B76" s="1">
        <f ca="1">IFERROR(__xludf.DUMMYFUNCTION("""COMPUTED_VALUE"""),69.23)</f>
        <v>69.23</v>
      </c>
      <c r="C76" s="1">
        <f ca="1">IFERROR(__xludf.DUMMYFUNCTION("""COMPUTED_VALUE"""),175.06)</f>
        <v>175.06</v>
      </c>
      <c r="D76" s="1">
        <f ca="1">IFERROR(__xludf.DUMMYFUNCTION("""COMPUTED_VALUE"""),119.68)</f>
        <v>119.68</v>
      </c>
      <c r="E76" s="1">
        <f ca="1">IFERROR(__xludf.DUMMYFUNCTION("""COMPUTED_VALUE"""),7.18)</f>
        <v>7.18</v>
      </c>
      <c r="F76" s="1">
        <f ca="1">IFERROR(__xludf.DUMMYFUNCTION("""COMPUTED_VALUE"""),178.24)</f>
        <v>178.24</v>
      </c>
      <c r="G76" s="1">
        <f ca="1">IFERROR(__xludf.DUMMYFUNCTION("""COMPUTED_VALUE"""),63.33)</f>
        <v>63.33</v>
      </c>
      <c r="H76" s="1">
        <f ca="1">IFERROR(__xludf.DUMMYFUNCTION("""COMPUTED_VALUE"""),49.76)</f>
        <v>49.76</v>
      </c>
      <c r="I76" s="1">
        <f ca="1">IFERROR(__xludf.DUMMYFUNCTION("""COMPUTED_VALUE"""),134.55)</f>
        <v>134.55000000000001</v>
      </c>
      <c r="J76" s="1">
        <f ca="1">IFERROR(__xludf.DUMMYFUNCTION("""COMPUTED_VALUE"""),312.08)</f>
        <v>312.08</v>
      </c>
      <c r="K76" s="1">
        <f ca="1">IFERROR(__xludf.DUMMYFUNCTION("""COMPUTED_VALUE"""),25.83)</f>
        <v>25.83</v>
      </c>
      <c r="L76" s="1">
        <f ca="1">IFERROR(__xludf.DUMMYFUNCTION("""COMPUTED_VALUE"""),344.88)</f>
        <v>344.88</v>
      </c>
      <c r="M76" s="1">
        <f ca="1">IFERROR(__xludf.DUMMYFUNCTION("""COMPUTED_VALUE"""),437.49)</f>
        <v>437.49</v>
      </c>
      <c r="N76" s="1">
        <f ca="1">IFERROR(__xludf.DUMMYFUNCTION("""COMPUTED_VALUE"""),91.71)</f>
        <v>91.71</v>
      </c>
      <c r="O76" s="1">
        <f ca="1">IFERROR(__xludf.DUMMYFUNCTION("""COMPUTED_VALUE"""),164.22)</f>
        <v>164.22</v>
      </c>
      <c r="P76" s="1">
        <f ca="1">IFERROR(__xludf.DUMMYFUNCTION("""COMPUTED_VALUE"""),151.67)</f>
        <v>151.66999999999999</v>
      </c>
      <c r="Q76" s="1">
        <f ca="1">IFERROR(__xludf.DUMMYFUNCTION("""COMPUTED_VALUE"""),282.14)</f>
        <v>282.14</v>
      </c>
      <c r="R76" s="1">
        <f ca="1">IFERROR(__xludf.DUMMYFUNCTION("""COMPUTED_VALUE"""),41.18)</f>
        <v>41.18</v>
      </c>
      <c r="S76" s="1">
        <f ca="1">IFERROR(__xludf.DUMMYFUNCTION("""COMPUTED_VALUE"""),59.4)</f>
        <v>59.4</v>
      </c>
      <c r="T76" s="1">
        <f ca="1">IFERROR(__xludf.DUMMYFUNCTION("""COMPUTED_VALUE"""),43.28)</f>
        <v>43.28</v>
      </c>
      <c r="U76" s="1">
        <f ca="1">IFERROR(__xludf.DUMMYFUNCTION("""COMPUTED_VALUE"""),87.9)</f>
        <v>87.9</v>
      </c>
      <c r="V76" s="1">
        <f ca="1">IFERROR(__xludf.DUMMYFUNCTION("""COMPUTED_VALUE"""),114.6)</f>
        <v>114.6</v>
      </c>
      <c r="W76" s="1">
        <f ca="1">IFERROR(__xludf.DUMMYFUNCTION("""COMPUTED_VALUE"""),383.21)</f>
        <v>383.21</v>
      </c>
      <c r="X76" s="1">
        <f ca="1">IFERROR(__xludf.DUMMYFUNCTION("""COMPUTED_VALUE"""),291.58)</f>
        <v>291.58</v>
      </c>
      <c r="Y76" s="1">
        <f ca="1">IFERROR(__xludf.DUMMYFUNCTION("""COMPUTED_VALUE"""),52.59)</f>
        <v>52.59</v>
      </c>
      <c r="Z76" s="1">
        <f ca="1">IFERROR(__xludf.DUMMYFUNCTION("""COMPUTED_VALUE"""),180.4)</f>
        <v>180.4</v>
      </c>
      <c r="AA76" s="1">
        <f ca="1">IFERROR(__xludf.DUMMYFUNCTION("""COMPUTED_VALUE"""),34.18)</f>
        <v>34.18</v>
      </c>
      <c r="AB76" s="1">
        <f ca="1">IFERROR(__xludf.DUMMYFUNCTION("""COMPUTED_VALUE"""),75.32)</f>
        <v>75.319999999999993</v>
      </c>
      <c r="AC76" s="1">
        <f ca="1">IFERROR(__xludf.DUMMYFUNCTION("""COMPUTED_VALUE"""),56.97)</f>
        <v>56.97</v>
      </c>
    </row>
    <row r="77" spans="1:29" x14ac:dyDescent="0.25">
      <c r="A77" s="2">
        <f ca="1">IFERROR(__xludf.DUMMYFUNCTION("""COMPUTED_VALUE"""),43942.6666666666)</f>
        <v>43942.666666666599</v>
      </c>
      <c r="B77" s="1">
        <f ca="1">IFERROR(__xludf.DUMMYFUNCTION("""COMPUTED_VALUE"""),67.09)</f>
        <v>67.09</v>
      </c>
      <c r="C77" s="1">
        <f ca="1">IFERROR(__xludf.DUMMYFUNCTION("""COMPUTED_VALUE"""),167.82)</f>
        <v>167.82</v>
      </c>
      <c r="D77" s="1">
        <f ca="1">IFERROR(__xludf.DUMMYFUNCTION("""COMPUTED_VALUE"""),116.41)</f>
        <v>116.41</v>
      </c>
      <c r="E77" s="1">
        <f ca="1">IFERROR(__xludf.DUMMYFUNCTION("""COMPUTED_VALUE"""),6.74)</f>
        <v>6.74</v>
      </c>
      <c r="F77" s="1">
        <f ca="1">IFERROR(__xludf.DUMMYFUNCTION("""COMPUTED_VALUE"""),170.8)</f>
        <v>170.8</v>
      </c>
      <c r="G77" s="1">
        <f ca="1">IFERROR(__xludf.DUMMYFUNCTION("""COMPUTED_VALUE"""),60.82)</f>
        <v>60.82</v>
      </c>
      <c r="H77" s="1">
        <f ca="1">IFERROR(__xludf.DUMMYFUNCTION("""COMPUTED_VALUE"""),45.78)</f>
        <v>45.78</v>
      </c>
      <c r="I77" s="1">
        <f ca="1">IFERROR(__xludf.DUMMYFUNCTION("""COMPUTED_VALUE"""),130.94)</f>
        <v>130.94</v>
      </c>
      <c r="J77" s="1">
        <f ca="1">IFERROR(__xludf.DUMMYFUNCTION("""COMPUTED_VALUE"""),301.33)</f>
        <v>301.33</v>
      </c>
      <c r="K77" s="1">
        <f ca="1">IFERROR(__xludf.DUMMYFUNCTION("""COMPUTED_VALUE"""),24.77)</f>
        <v>24.77</v>
      </c>
      <c r="L77" s="1">
        <f ca="1">IFERROR(__xludf.DUMMYFUNCTION("""COMPUTED_VALUE"""),328.99)</f>
        <v>328.99</v>
      </c>
      <c r="M77" s="1">
        <f ca="1">IFERROR(__xludf.DUMMYFUNCTION("""COMPUTED_VALUE"""),433.83)</f>
        <v>433.83</v>
      </c>
      <c r="N77" s="1">
        <f ca="1">IFERROR(__xludf.DUMMYFUNCTION("""COMPUTED_VALUE"""),89.05)</f>
        <v>89.05</v>
      </c>
      <c r="O77" s="1">
        <f ca="1">IFERROR(__xludf.DUMMYFUNCTION("""COMPUTED_VALUE"""),160.53)</f>
        <v>160.53</v>
      </c>
      <c r="P77" s="1">
        <f ca="1">IFERROR(__xludf.DUMMYFUNCTION("""COMPUTED_VALUE"""),149.68)</f>
        <v>149.68</v>
      </c>
      <c r="Q77" s="1">
        <f ca="1">IFERROR(__xludf.DUMMYFUNCTION("""COMPUTED_VALUE"""),274.19)</f>
        <v>274.19</v>
      </c>
      <c r="R77" s="1">
        <f ca="1">IFERROR(__xludf.DUMMYFUNCTION("""COMPUTED_VALUE"""),40.96)</f>
        <v>40.96</v>
      </c>
      <c r="S77" s="1">
        <f ca="1">IFERROR(__xludf.DUMMYFUNCTION("""COMPUTED_VALUE"""),58.86)</f>
        <v>58.86</v>
      </c>
      <c r="T77" s="1">
        <f ca="1">IFERROR(__xludf.DUMMYFUNCTION("""COMPUTED_VALUE"""),43.07)</f>
        <v>43.07</v>
      </c>
      <c r="U77" s="1">
        <f ca="1">IFERROR(__xludf.DUMMYFUNCTION("""COMPUTED_VALUE"""),85.2)</f>
        <v>85.2</v>
      </c>
      <c r="V77" s="1">
        <f ca="1">IFERROR(__xludf.DUMMYFUNCTION("""COMPUTED_VALUE"""),109.85)</f>
        <v>109.85</v>
      </c>
      <c r="W77" s="1">
        <f ca="1">IFERROR(__xludf.DUMMYFUNCTION("""COMPUTED_VALUE"""),373.44)</f>
        <v>373.44</v>
      </c>
      <c r="X77" s="1">
        <f ca="1">IFERROR(__xludf.DUMMYFUNCTION("""COMPUTED_VALUE"""),281.09)</f>
        <v>281.08999999999997</v>
      </c>
      <c r="Y77" s="1">
        <f ca="1">IFERROR(__xludf.DUMMYFUNCTION("""COMPUTED_VALUE"""),51.37)</f>
        <v>51.37</v>
      </c>
      <c r="Z77" s="1">
        <f ca="1">IFERROR(__xludf.DUMMYFUNCTION("""COMPUTED_VALUE"""),173.81)</f>
        <v>173.81</v>
      </c>
      <c r="AA77" s="1">
        <f ca="1">IFERROR(__xludf.DUMMYFUNCTION("""COMPUTED_VALUE"""),33.74)</f>
        <v>33.74</v>
      </c>
      <c r="AB77" s="1">
        <f ca="1">IFERROR(__xludf.DUMMYFUNCTION("""COMPUTED_VALUE"""),72.72)</f>
        <v>72.72</v>
      </c>
      <c r="AC77" s="1">
        <f ca="1">IFERROR(__xludf.DUMMYFUNCTION("""COMPUTED_VALUE"""),52.92)</f>
        <v>52.92</v>
      </c>
    </row>
    <row r="78" spans="1:29" x14ac:dyDescent="0.25">
      <c r="A78" s="2">
        <f ca="1">IFERROR(__xludf.DUMMYFUNCTION("""COMPUTED_VALUE"""),43943.6666666666)</f>
        <v>43943.666666666599</v>
      </c>
      <c r="B78" s="1">
        <f ca="1">IFERROR(__xludf.DUMMYFUNCTION("""COMPUTED_VALUE"""),69.03)</f>
        <v>69.03</v>
      </c>
      <c r="C78" s="1">
        <f ca="1">IFERROR(__xludf.DUMMYFUNCTION("""COMPUTED_VALUE"""),173.52)</f>
        <v>173.52</v>
      </c>
      <c r="D78" s="1">
        <f ca="1">IFERROR(__xludf.DUMMYFUNCTION("""COMPUTED_VALUE"""),118.17)</f>
        <v>118.17</v>
      </c>
      <c r="E78" s="1">
        <f ca="1">IFERROR(__xludf.DUMMYFUNCTION("""COMPUTED_VALUE"""),7.15)</f>
        <v>7.15</v>
      </c>
      <c r="F78" s="1">
        <f ca="1">IFERROR(__xludf.DUMMYFUNCTION("""COMPUTED_VALUE"""),182.28)</f>
        <v>182.28</v>
      </c>
      <c r="G78" s="1">
        <f ca="1">IFERROR(__xludf.DUMMYFUNCTION("""COMPUTED_VALUE"""),63.16)</f>
        <v>63.16</v>
      </c>
      <c r="H78" s="1">
        <f ca="1">IFERROR(__xludf.DUMMYFUNCTION("""COMPUTED_VALUE"""),48.81)</f>
        <v>48.81</v>
      </c>
      <c r="I78" s="1">
        <f ca="1">IFERROR(__xludf.DUMMYFUNCTION("""COMPUTED_VALUE"""),132.62)</f>
        <v>132.62</v>
      </c>
      <c r="J78" s="1">
        <f ca="1">IFERROR(__xludf.DUMMYFUNCTION("""COMPUTED_VALUE"""),309.42)</f>
        <v>309.42</v>
      </c>
      <c r="K78" s="1">
        <f ca="1">IFERROR(__xludf.DUMMYFUNCTION("""COMPUTED_VALUE"""),26)</f>
        <v>26</v>
      </c>
      <c r="L78" s="1">
        <f ca="1">IFERROR(__xludf.DUMMYFUNCTION("""COMPUTED_VALUE"""),336.77)</f>
        <v>336.77</v>
      </c>
      <c r="M78" s="1">
        <f ca="1">IFERROR(__xludf.DUMMYFUNCTION("""COMPUTED_VALUE"""),421.42)</f>
        <v>421.42</v>
      </c>
      <c r="N78" s="1">
        <f ca="1">IFERROR(__xludf.DUMMYFUNCTION("""COMPUTED_VALUE"""),89.34)</f>
        <v>89.34</v>
      </c>
      <c r="O78" s="1">
        <f ca="1">IFERROR(__xludf.DUMMYFUNCTION("""COMPUTED_VALUE"""),166.59)</f>
        <v>166.59</v>
      </c>
      <c r="P78" s="1">
        <f ca="1">IFERROR(__xludf.DUMMYFUNCTION("""COMPUTED_VALUE"""),152.99)</f>
        <v>152.99</v>
      </c>
      <c r="Q78" s="1">
        <f ca="1">IFERROR(__xludf.DUMMYFUNCTION("""COMPUTED_VALUE"""),277.02)</f>
        <v>277.02</v>
      </c>
      <c r="R78" s="1">
        <f ca="1">IFERROR(__xludf.DUMMYFUNCTION("""COMPUTED_VALUE"""),42.13)</f>
        <v>42.13</v>
      </c>
      <c r="S78" s="1">
        <f ca="1">IFERROR(__xludf.DUMMYFUNCTION("""COMPUTED_VALUE"""),61.79)</f>
        <v>61.79</v>
      </c>
      <c r="T78" s="1">
        <f ca="1">IFERROR(__xludf.DUMMYFUNCTION("""COMPUTED_VALUE"""),43.86)</f>
        <v>43.86</v>
      </c>
      <c r="U78" s="1">
        <f ca="1">IFERROR(__xludf.DUMMYFUNCTION("""COMPUTED_VALUE"""),88.77)</f>
        <v>88.77</v>
      </c>
      <c r="V78" s="1">
        <f ca="1">IFERROR(__xludf.DUMMYFUNCTION("""COMPUTED_VALUE"""),110.64)</f>
        <v>110.64</v>
      </c>
      <c r="W78" s="1">
        <f ca="1">IFERROR(__xludf.DUMMYFUNCTION("""COMPUTED_VALUE"""),380.4)</f>
        <v>380.4</v>
      </c>
      <c r="X78" s="1">
        <f ca="1">IFERROR(__xludf.DUMMYFUNCTION("""COMPUTED_VALUE"""),294.97)</f>
        <v>294.97000000000003</v>
      </c>
      <c r="Y78" s="1">
        <f ca="1">IFERROR(__xludf.DUMMYFUNCTION("""COMPUTED_VALUE"""),52.95)</f>
        <v>52.95</v>
      </c>
      <c r="Z78" s="1">
        <f ca="1">IFERROR(__xludf.DUMMYFUNCTION("""COMPUTED_VALUE"""),175.98)</f>
        <v>175.98</v>
      </c>
      <c r="AA78" s="1">
        <f ca="1">IFERROR(__xludf.DUMMYFUNCTION("""COMPUTED_VALUE"""),34.34)</f>
        <v>34.340000000000003</v>
      </c>
      <c r="AB78" s="1">
        <f ca="1">IFERROR(__xludf.DUMMYFUNCTION("""COMPUTED_VALUE"""),77.45)</f>
        <v>77.45</v>
      </c>
      <c r="AC78" s="1">
        <f ca="1">IFERROR(__xludf.DUMMYFUNCTION("""COMPUTED_VALUE"""),55.92)</f>
        <v>55.92</v>
      </c>
    </row>
    <row r="79" spans="1:29" x14ac:dyDescent="0.25">
      <c r="A79" s="2">
        <f ca="1">IFERROR(__xludf.DUMMYFUNCTION("""COMPUTED_VALUE"""),43944.6666666666)</f>
        <v>43944.666666666599</v>
      </c>
      <c r="B79" s="1">
        <f ca="1">IFERROR(__xludf.DUMMYFUNCTION("""COMPUTED_VALUE"""),68.76)</f>
        <v>68.760000000000005</v>
      </c>
      <c r="C79" s="1">
        <f ca="1">IFERROR(__xludf.DUMMYFUNCTION("""COMPUTED_VALUE"""),171.42)</f>
        <v>171.42</v>
      </c>
      <c r="D79" s="1">
        <f ca="1">IFERROR(__xludf.DUMMYFUNCTION("""COMPUTED_VALUE"""),119.97)</f>
        <v>119.97</v>
      </c>
      <c r="E79" s="1">
        <f ca="1">IFERROR(__xludf.DUMMYFUNCTION("""COMPUTED_VALUE"""),7.1)</f>
        <v>7.1</v>
      </c>
      <c r="F79" s="1">
        <f ca="1">IFERROR(__xludf.DUMMYFUNCTION("""COMPUTED_VALUE"""),185.13)</f>
        <v>185.13</v>
      </c>
      <c r="G79" s="1">
        <f ca="1">IFERROR(__xludf.DUMMYFUNCTION("""COMPUTED_VALUE"""),63.82)</f>
        <v>63.82</v>
      </c>
      <c r="H79" s="1">
        <f ca="1">IFERROR(__xludf.DUMMYFUNCTION("""COMPUTED_VALUE"""),47.04)</f>
        <v>47.04</v>
      </c>
      <c r="I79" s="1">
        <f ca="1">IFERROR(__xludf.DUMMYFUNCTION("""COMPUTED_VALUE"""),130.26)</f>
        <v>130.26</v>
      </c>
      <c r="J79" s="1">
        <f ca="1">IFERROR(__xludf.DUMMYFUNCTION("""COMPUTED_VALUE"""),305.4)</f>
        <v>305.39999999999998</v>
      </c>
      <c r="K79" s="1">
        <f ca="1">IFERROR(__xludf.DUMMYFUNCTION("""COMPUTED_VALUE"""),25.89)</f>
        <v>25.89</v>
      </c>
      <c r="L79" s="1">
        <f ca="1">IFERROR(__xludf.DUMMYFUNCTION("""COMPUTED_VALUE"""),335.37)</f>
        <v>335.37</v>
      </c>
      <c r="M79" s="1">
        <f ca="1">IFERROR(__xludf.DUMMYFUNCTION("""COMPUTED_VALUE"""),426.7)</f>
        <v>426.7</v>
      </c>
      <c r="N79" s="1">
        <f ca="1">IFERROR(__xludf.DUMMYFUNCTION("""COMPUTED_VALUE"""),89.39)</f>
        <v>89.39</v>
      </c>
      <c r="O79" s="1">
        <f ca="1">IFERROR(__xludf.DUMMYFUNCTION("""COMPUTED_VALUE"""),166.38)</f>
        <v>166.38</v>
      </c>
      <c r="P79" s="1">
        <f ca="1">IFERROR(__xludf.DUMMYFUNCTION("""COMPUTED_VALUE"""),155.51)</f>
        <v>155.51</v>
      </c>
      <c r="Q79" s="1">
        <f ca="1">IFERROR(__xludf.DUMMYFUNCTION("""COMPUTED_VALUE"""),285.33)</f>
        <v>285.33</v>
      </c>
      <c r="R79" s="1">
        <f ca="1">IFERROR(__xludf.DUMMYFUNCTION("""COMPUTED_VALUE"""),43.45)</f>
        <v>43.45</v>
      </c>
      <c r="S79" s="1">
        <f ca="1">IFERROR(__xludf.DUMMYFUNCTION("""COMPUTED_VALUE"""),60.29)</f>
        <v>60.29</v>
      </c>
      <c r="T79" s="1">
        <f ca="1">IFERROR(__xludf.DUMMYFUNCTION("""COMPUTED_VALUE"""),42.84)</f>
        <v>42.84</v>
      </c>
      <c r="U79" s="1">
        <f ca="1">IFERROR(__xludf.DUMMYFUNCTION("""COMPUTED_VALUE"""),87.35)</f>
        <v>87.35</v>
      </c>
      <c r="V79" s="1">
        <f ca="1">IFERROR(__xludf.DUMMYFUNCTION("""COMPUTED_VALUE"""),112.91)</f>
        <v>112.91</v>
      </c>
      <c r="W79" s="1">
        <f ca="1">IFERROR(__xludf.DUMMYFUNCTION("""COMPUTED_VALUE"""),376.73)</f>
        <v>376.73</v>
      </c>
      <c r="X79" s="1">
        <f ca="1">IFERROR(__xludf.DUMMYFUNCTION("""COMPUTED_VALUE"""),289.4)</f>
        <v>289.39999999999998</v>
      </c>
      <c r="Y79" s="1">
        <f ca="1">IFERROR(__xludf.DUMMYFUNCTION("""COMPUTED_VALUE"""),52.64)</f>
        <v>52.64</v>
      </c>
      <c r="Z79" s="1">
        <f ca="1">IFERROR(__xludf.DUMMYFUNCTION("""COMPUTED_VALUE"""),175.05)</f>
        <v>175.05</v>
      </c>
      <c r="AA79" s="1">
        <f ca="1">IFERROR(__xludf.DUMMYFUNCTION("""COMPUTED_VALUE"""),34.76)</f>
        <v>34.76</v>
      </c>
      <c r="AB79" s="1">
        <f ca="1">IFERROR(__xludf.DUMMYFUNCTION("""COMPUTED_VALUE"""),75.15)</f>
        <v>75.150000000000006</v>
      </c>
      <c r="AC79" s="1">
        <f ca="1">IFERROR(__xludf.DUMMYFUNCTION("""COMPUTED_VALUE"""),55.9)</f>
        <v>55.9</v>
      </c>
    </row>
    <row r="80" spans="1:29" x14ac:dyDescent="0.25">
      <c r="A80" s="2">
        <f ca="1">IFERROR(__xludf.DUMMYFUNCTION("""COMPUTED_VALUE"""),43945.6666666666)</f>
        <v>43945.666666666599</v>
      </c>
      <c r="B80" s="1">
        <f ca="1">IFERROR(__xludf.DUMMYFUNCTION("""COMPUTED_VALUE"""),70.74)</f>
        <v>70.739999999999995</v>
      </c>
      <c r="C80" s="1">
        <f ca="1">IFERROR(__xludf.DUMMYFUNCTION("""COMPUTED_VALUE"""),174.55)</f>
        <v>174.55</v>
      </c>
      <c r="D80" s="1">
        <f ca="1">IFERROR(__xludf.DUMMYFUNCTION("""COMPUTED_VALUE"""),120.51)</f>
        <v>120.51</v>
      </c>
      <c r="E80" s="1">
        <f ca="1">IFERROR(__xludf.DUMMYFUNCTION("""COMPUTED_VALUE"""),7.24)</f>
        <v>7.24</v>
      </c>
      <c r="F80" s="1">
        <f ca="1">IFERROR(__xludf.DUMMYFUNCTION("""COMPUTED_VALUE"""),190.07)</f>
        <v>190.07</v>
      </c>
      <c r="G80" s="1">
        <f ca="1">IFERROR(__xludf.DUMMYFUNCTION("""COMPUTED_VALUE"""),63.97)</f>
        <v>63.97</v>
      </c>
      <c r="H80" s="1">
        <f ca="1">IFERROR(__xludf.DUMMYFUNCTION("""COMPUTED_VALUE"""),48.34)</f>
        <v>48.34</v>
      </c>
      <c r="I80" s="1">
        <f ca="1">IFERROR(__xludf.DUMMYFUNCTION("""COMPUTED_VALUE"""),134.36)</f>
        <v>134.36000000000001</v>
      </c>
      <c r="J80" s="1">
        <f ca="1">IFERROR(__xludf.DUMMYFUNCTION("""COMPUTED_VALUE"""),310.55)</f>
        <v>310.55</v>
      </c>
      <c r="K80" s="1">
        <f ca="1">IFERROR(__xludf.DUMMYFUNCTION("""COMPUTED_VALUE"""),26.48)</f>
        <v>26.48</v>
      </c>
      <c r="L80" s="1">
        <f ca="1">IFERROR(__xludf.DUMMYFUNCTION("""COMPUTED_VALUE"""),344.1)</f>
        <v>344.1</v>
      </c>
      <c r="M80" s="1">
        <f ca="1">IFERROR(__xludf.DUMMYFUNCTION("""COMPUTED_VALUE"""),424.99)</f>
        <v>424.99</v>
      </c>
      <c r="N80" s="1">
        <f ca="1">IFERROR(__xludf.DUMMYFUNCTION("""COMPUTED_VALUE"""),90.71)</f>
        <v>90.71</v>
      </c>
      <c r="O80" s="1">
        <f ca="1">IFERROR(__xludf.DUMMYFUNCTION("""COMPUTED_VALUE"""),167.32)</f>
        <v>167.32</v>
      </c>
      <c r="P80" s="1">
        <f ca="1">IFERROR(__xludf.DUMMYFUNCTION("""COMPUTED_VALUE"""),154.86)</f>
        <v>154.86000000000001</v>
      </c>
      <c r="Q80" s="1">
        <f ca="1">IFERROR(__xludf.DUMMYFUNCTION("""COMPUTED_VALUE"""),291.29)</f>
        <v>291.29000000000002</v>
      </c>
      <c r="R80" s="1">
        <f ca="1">IFERROR(__xludf.DUMMYFUNCTION("""COMPUTED_VALUE"""),43.73)</f>
        <v>43.73</v>
      </c>
      <c r="S80" s="1">
        <f ca="1">IFERROR(__xludf.DUMMYFUNCTION("""COMPUTED_VALUE"""),59.93)</f>
        <v>59.93</v>
      </c>
      <c r="T80" s="1">
        <f ca="1">IFERROR(__xludf.DUMMYFUNCTION("""COMPUTED_VALUE"""),43.15)</f>
        <v>43.15</v>
      </c>
      <c r="U80" s="1">
        <f ca="1">IFERROR(__xludf.DUMMYFUNCTION("""COMPUTED_VALUE"""),88.37)</f>
        <v>88.37</v>
      </c>
      <c r="V80" s="1">
        <f ca="1">IFERROR(__xludf.DUMMYFUNCTION("""COMPUTED_VALUE"""),114.04)</f>
        <v>114.04</v>
      </c>
      <c r="W80" s="1">
        <f ca="1">IFERROR(__xludf.DUMMYFUNCTION("""COMPUTED_VALUE"""),381.77)</f>
        <v>381.77</v>
      </c>
      <c r="X80" s="1">
        <f ca="1">IFERROR(__xludf.DUMMYFUNCTION("""COMPUTED_VALUE"""),291.84)</f>
        <v>291.83999999999997</v>
      </c>
      <c r="Y80" s="1">
        <f ca="1">IFERROR(__xludf.DUMMYFUNCTION("""COMPUTED_VALUE"""),52.73)</f>
        <v>52.73</v>
      </c>
      <c r="Z80" s="1">
        <f ca="1">IFERROR(__xludf.DUMMYFUNCTION("""COMPUTED_VALUE"""),177)</f>
        <v>177</v>
      </c>
      <c r="AA80" s="1">
        <f ca="1">IFERROR(__xludf.DUMMYFUNCTION("""COMPUTED_VALUE"""),35.41)</f>
        <v>35.409999999999997</v>
      </c>
      <c r="AB80" s="1">
        <f ca="1">IFERROR(__xludf.DUMMYFUNCTION("""COMPUTED_VALUE"""),75.58)</f>
        <v>75.58</v>
      </c>
      <c r="AC80" s="1">
        <f ca="1">IFERROR(__xludf.DUMMYFUNCTION("""COMPUTED_VALUE"""),56.18)</f>
        <v>56.18</v>
      </c>
    </row>
    <row r="81" spans="1:29" x14ac:dyDescent="0.25">
      <c r="A81" s="2">
        <f ca="1">IFERROR(__xludf.DUMMYFUNCTION("""COMPUTED_VALUE"""),43948.6666666666)</f>
        <v>43948.666666666599</v>
      </c>
      <c r="B81" s="1">
        <f ca="1">IFERROR(__xludf.DUMMYFUNCTION("""COMPUTED_VALUE"""),70.79)</f>
        <v>70.790000000000006</v>
      </c>
      <c r="C81" s="1">
        <f ca="1">IFERROR(__xludf.DUMMYFUNCTION("""COMPUTED_VALUE"""),174.05)</f>
        <v>174.05</v>
      </c>
      <c r="D81" s="1">
        <f ca="1">IFERROR(__xludf.DUMMYFUNCTION("""COMPUTED_VALUE"""),118.8)</f>
        <v>118.8</v>
      </c>
      <c r="E81" s="1">
        <f ca="1">IFERROR(__xludf.DUMMYFUNCTION("""COMPUTED_VALUE"""),7.43)</f>
        <v>7.43</v>
      </c>
      <c r="F81" s="1">
        <f ca="1">IFERROR(__xludf.DUMMYFUNCTION("""COMPUTED_VALUE"""),187.5)</f>
        <v>187.5</v>
      </c>
      <c r="G81" s="1">
        <f ca="1">IFERROR(__xludf.DUMMYFUNCTION("""COMPUTED_VALUE"""),63.79)</f>
        <v>63.79</v>
      </c>
      <c r="H81" s="1">
        <f ca="1">IFERROR(__xludf.DUMMYFUNCTION("""COMPUTED_VALUE"""),53.25)</f>
        <v>53.25</v>
      </c>
      <c r="I81" s="1">
        <f ca="1">IFERROR(__xludf.DUMMYFUNCTION("""COMPUTED_VALUE"""),134.46)</f>
        <v>134.46</v>
      </c>
      <c r="J81" s="1">
        <f ca="1">IFERROR(__xludf.DUMMYFUNCTION("""COMPUTED_VALUE"""),308.78)</f>
        <v>308.77999999999997</v>
      </c>
      <c r="K81" s="1">
        <f ca="1">IFERROR(__xludf.DUMMYFUNCTION("""COMPUTED_VALUE"""),26.85)</f>
        <v>26.85</v>
      </c>
      <c r="L81" s="1">
        <f ca="1">IFERROR(__xludf.DUMMYFUNCTION("""COMPUTED_VALUE"""),348.5)</f>
        <v>348.5</v>
      </c>
      <c r="M81" s="1">
        <f ca="1">IFERROR(__xludf.DUMMYFUNCTION("""COMPUTED_VALUE"""),421.38)</f>
        <v>421.38</v>
      </c>
      <c r="N81" s="1">
        <f ca="1">IFERROR(__xludf.DUMMYFUNCTION("""COMPUTED_VALUE"""),94.62)</f>
        <v>94.62</v>
      </c>
      <c r="O81" s="1">
        <f ca="1">IFERROR(__xludf.DUMMYFUNCTION("""COMPUTED_VALUE"""),171.76)</f>
        <v>171.76</v>
      </c>
      <c r="P81" s="1">
        <f ca="1">IFERROR(__xludf.DUMMYFUNCTION("""COMPUTED_VALUE"""),154.29)</f>
        <v>154.29</v>
      </c>
      <c r="Q81" s="1">
        <f ca="1">IFERROR(__xludf.DUMMYFUNCTION("""COMPUTED_VALUE"""),293.98)</f>
        <v>293.98</v>
      </c>
      <c r="R81" s="1">
        <f ca="1">IFERROR(__xludf.DUMMYFUNCTION("""COMPUTED_VALUE"""),43.94)</f>
        <v>43.94</v>
      </c>
      <c r="S81" s="1">
        <f ca="1">IFERROR(__xludf.DUMMYFUNCTION("""COMPUTED_VALUE"""),60.9)</f>
        <v>60.9</v>
      </c>
      <c r="T81" s="1">
        <f ca="1">IFERROR(__xludf.DUMMYFUNCTION("""COMPUTED_VALUE"""),42.77)</f>
        <v>42.77</v>
      </c>
      <c r="U81" s="1">
        <f ca="1">IFERROR(__xludf.DUMMYFUNCTION("""COMPUTED_VALUE"""),89.37)</f>
        <v>89.37</v>
      </c>
      <c r="V81" s="1">
        <f ca="1">IFERROR(__xludf.DUMMYFUNCTION("""COMPUTED_VALUE"""),115.2)</f>
        <v>115.2</v>
      </c>
      <c r="W81" s="1">
        <f ca="1">IFERROR(__xludf.DUMMYFUNCTION("""COMPUTED_VALUE"""),378.57)</f>
        <v>378.57</v>
      </c>
      <c r="X81" s="1">
        <f ca="1">IFERROR(__xludf.DUMMYFUNCTION("""COMPUTED_VALUE"""),290.9)</f>
        <v>290.89999999999998</v>
      </c>
      <c r="Y81" s="1">
        <f ca="1">IFERROR(__xludf.DUMMYFUNCTION("""COMPUTED_VALUE"""),53.51)</f>
        <v>53.51</v>
      </c>
      <c r="Z81" s="1">
        <f ca="1">IFERROR(__xludf.DUMMYFUNCTION("""COMPUTED_VALUE"""),183.54)</f>
        <v>183.54</v>
      </c>
      <c r="AA81" s="1">
        <f ca="1">IFERROR(__xludf.DUMMYFUNCTION("""COMPUTED_VALUE"""),36.31)</f>
        <v>36.31</v>
      </c>
      <c r="AB81" s="1">
        <f ca="1">IFERROR(__xludf.DUMMYFUNCTION("""COMPUTED_VALUE"""),77.74)</f>
        <v>77.739999999999995</v>
      </c>
      <c r="AC81" s="1">
        <f ca="1">IFERROR(__xludf.DUMMYFUNCTION("""COMPUTED_VALUE"""),56.49)</f>
        <v>56.49</v>
      </c>
    </row>
    <row r="82" spans="1:29" x14ac:dyDescent="0.25">
      <c r="A82" s="2">
        <f ca="1">IFERROR(__xludf.DUMMYFUNCTION("""COMPUTED_VALUE"""),43949.6666666666)</f>
        <v>43949.666666666599</v>
      </c>
      <c r="B82" s="1">
        <f ca="1">IFERROR(__xludf.DUMMYFUNCTION("""COMPUTED_VALUE"""),69.65)</f>
        <v>69.650000000000006</v>
      </c>
      <c r="C82" s="1">
        <f ca="1">IFERROR(__xludf.DUMMYFUNCTION("""COMPUTED_VALUE"""),169.81)</f>
        <v>169.81</v>
      </c>
      <c r="D82" s="1">
        <f ca="1">IFERROR(__xludf.DUMMYFUNCTION("""COMPUTED_VALUE"""),115.7)</f>
        <v>115.7</v>
      </c>
      <c r="E82" s="1">
        <f ca="1">IFERROR(__xludf.DUMMYFUNCTION("""COMPUTED_VALUE"""),7.28)</f>
        <v>7.28</v>
      </c>
      <c r="F82" s="1">
        <f ca="1">IFERROR(__xludf.DUMMYFUNCTION("""COMPUTED_VALUE"""),182.91)</f>
        <v>182.91</v>
      </c>
      <c r="G82" s="1">
        <f ca="1">IFERROR(__xludf.DUMMYFUNCTION("""COMPUTED_VALUE"""),61.68)</f>
        <v>61.68</v>
      </c>
      <c r="H82" s="1">
        <f ca="1">IFERROR(__xludf.DUMMYFUNCTION("""COMPUTED_VALUE"""),51.27)</f>
        <v>51.27</v>
      </c>
      <c r="I82" s="1">
        <f ca="1">IFERROR(__xludf.DUMMYFUNCTION("""COMPUTED_VALUE"""),136.32)</f>
        <v>136.32</v>
      </c>
      <c r="J82" s="1">
        <f ca="1">IFERROR(__xludf.DUMMYFUNCTION("""COMPUTED_VALUE"""),304.95)</f>
        <v>304.95</v>
      </c>
      <c r="K82" s="1">
        <f ca="1">IFERROR(__xludf.DUMMYFUNCTION("""COMPUTED_VALUE"""),26.47)</f>
        <v>26.47</v>
      </c>
      <c r="L82" s="1">
        <f ca="1">IFERROR(__xludf.DUMMYFUNCTION("""COMPUTED_VALUE"""),333.45)</f>
        <v>333.45</v>
      </c>
      <c r="M82" s="1">
        <f ca="1">IFERROR(__xludf.DUMMYFUNCTION("""COMPUTED_VALUE"""),403.83)</f>
        <v>403.83</v>
      </c>
      <c r="N82" s="1">
        <f ca="1">IFERROR(__xludf.DUMMYFUNCTION("""COMPUTED_VALUE"""),95.29)</f>
        <v>95.29</v>
      </c>
      <c r="O82" s="1">
        <f ca="1">IFERROR(__xludf.DUMMYFUNCTION("""COMPUTED_VALUE"""),171.25)</f>
        <v>171.25</v>
      </c>
      <c r="P82" s="1">
        <f ca="1">IFERROR(__xludf.DUMMYFUNCTION("""COMPUTED_VALUE"""),151.39)</f>
        <v>151.38999999999999</v>
      </c>
      <c r="Q82" s="1">
        <f ca="1">IFERROR(__xludf.DUMMYFUNCTION("""COMPUTED_VALUE"""),288.36)</f>
        <v>288.36</v>
      </c>
      <c r="R82" s="1">
        <f ca="1">IFERROR(__xludf.DUMMYFUNCTION("""COMPUTED_VALUE"""),44.97)</f>
        <v>44.97</v>
      </c>
      <c r="S82" s="1">
        <f ca="1">IFERROR(__xludf.DUMMYFUNCTION("""COMPUTED_VALUE"""),59.83)</f>
        <v>59.83</v>
      </c>
      <c r="T82" s="1">
        <f ca="1">IFERROR(__xludf.DUMMYFUNCTION("""COMPUTED_VALUE"""),42.67)</f>
        <v>42.67</v>
      </c>
      <c r="U82" s="1">
        <f ca="1">IFERROR(__xludf.DUMMYFUNCTION("""COMPUTED_VALUE"""),88.8)</f>
        <v>88.8</v>
      </c>
      <c r="V82" s="1">
        <f ca="1">IFERROR(__xludf.DUMMYFUNCTION("""COMPUTED_VALUE"""),115.46)</f>
        <v>115.46</v>
      </c>
      <c r="W82" s="1">
        <f ca="1">IFERROR(__xludf.DUMMYFUNCTION("""COMPUTED_VALUE"""),384.73)</f>
        <v>384.73</v>
      </c>
      <c r="X82" s="1">
        <f ca="1">IFERROR(__xludf.DUMMYFUNCTION("""COMPUTED_VALUE"""),291.42)</f>
        <v>291.42</v>
      </c>
      <c r="Y82" s="1">
        <f ca="1">IFERROR(__xludf.DUMMYFUNCTION("""COMPUTED_VALUE"""),52.76)</f>
        <v>52.76</v>
      </c>
      <c r="Z82" s="1">
        <f ca="1">IFERROR(__xludf.DUMMYFUNCTION("""COMPUTED_VALUE"""),187.01)</f>
        <v>187.01</v>
      </c>
      <c r="AA82" s="1">
        <f ca="1">IFERROR(__xludf.DUMMYFUNCTION("""COMPUTED_VALUE"""),35.91)</f>
        <v>35.909999999999997</v>
      </c>
      <c r="AB82" s="1">
        <f ca="1">IFERROR(__xludf.DUMMYFUNCTION("""COMPUTED_VALUE"""),78.69)</f>
        <v>78.69</v>
      </c>
      <c r="AC82" s="1">
        <f ca="1">IFERROR(__xludf.DUMMYFUNCTION("""COMPUTED_VALUE"""),55.51)</f>
        <v>55.51</v>
      </c>
    </row>
    <row r="83" spans="1:29" x14ac:dyDescent="0.25">
      <c r="A83" s="2">
        <f ca="1">IFERROR(__xludf.DUMMYFUNCTION("""COMPUTED_VALUE"""),43950.6666666666)</f>
        <v>43950.666666666599</v>
      </c>
      <c r="B83" s="1">
        <f ca="1">IFERROR(__xludf.DUMMYFUNCTION("""COMPUTED_VALUE"""),71.93)</f>
        <v>71.930000000000007</v>
      </c>
      <c r="C83" s="1">
        <f ca="1">IFERROR(__xludf.DUMMYFUNCTION("""COMPUTED_VALUE"""),177.43)</f>
        <v>177.43</v>
      </c>
      <c r="D83" s="1">
        <f ca="1">IFERROR(__xludf.DUMMYFUNCTION("""COMPUTED_VALUE"""),118.64)</f>
        <v>118.64</v>
      </c>
      <c r="E83" s="1">
        <f ca="1">IFERROR(__xludf.DUMMYFUNCTION("""COMPUTED_VALUE"""),7.46)</f>
        <v>7.46</v>
      </c>
      <c r="F83" s="1">
        <f ca="1">IFERROR(__xludf.DUMMYFUNCTION("""COMPUTED_VALUE"""),194.19)</f>
        <v>194.19</v>
      </c>
      <c r="G83" s="1">
        <f ca="1">IFERROR(__xludf.DUMMYFUNCTION("""COMPUTED_VALUE"""),67.07)</f>
        <v>67.069999999999993</v>
      </c>
      <c r="H83" s="1">
        <f ca="1">IFERROR(__xludf.DUMMYFUNCTION("""COMPUTED_VALUE"""),53.37)</f>
        <v>53.37</v>
      </c>
      <c r="I83" s="1">
        <f ca="1">IFERROR(__xludf.DUMMYFUNCTION("""COMPUTED_VALUE"""),133.36)</f>
        <v>133.36000000000001</v>
      </c>
      <c r="J83" s="1">
        <f ca="1">IFERROR(__xludf.DUMMYFUNCTION("""COMPUTED_VALUE"""),307.09)</f>
        <v>307.08999999999997</v>
      </c>
      <c r="K83" s="1">
        <f ca="1">IFERROR(__xludf.DUMMYFUNCTION("""COMPUTED_VALUE"""),27.6)</f>
        <v>27.6</v>
      </c>
      <c r="L83" s="1">
        <f ca="1">IFERROR(__xludf.DUMMYFUNCTION("""COMPUTED_VALUE"""),349.17)</f>
        <v>349.17</v>
      </c>
      <c r="M83" s="1">
        <f ca="1">IFERROR(__xludf.DUMMYFUNCTION("""COMPUTED_VALUE"""),411.89)</f>
        <v>411.89</v>
      </c>
      <c r="N83" s="1">
        <f ca="1">IFERROR(__xludf.DUMMYFUNCTION("""COMPUTED_VALUE"""),97.86)</f>
        <v>97.86</v>
      </c>
      <c r="O83" s="1">
        <f ca="1">IFERROR(__xludf.DUMMYFUNCTION("""COMPUTED_VALUE"""),181.79)</f>
        <v>181.79</v>
      </c>
      <c r="P83" s="1">
        <f ca="1">IFERROR(__xludf.DUMMYFUNCTION("""COMPUTED_VALUE"""),150.24)</f>
        <v>150.24</v>
      </c>
      <c r="Q83" s="1">
        <f ca="1">IFERROR(__xludf.DUMMYFUNCTION("""COMPUTED_VALUE"""),287.65)</f>
        <v>287.64999999999998</v>
      </c>
      <c r="R83" s="1">
        <f ca="1">IFERROR(__xludf.DUMMYFUNCTION("""COMPUTED_VALUE"""),47.46)</f>
        <v>47.46</v>
      </c>
      <c r="S83" s="1">
        <f ca="1">IFERROR(__xludf.DUMMYFUNCTION("""COMPUTED_VALUE"""),58.78)</f>
        <v>58.78</v>
      </c>
      <c r="T83" s="1">
        <f ca="1">IFERROR(__xludf.DUMMYFUNCTION("""COMPUTED_VALUE"""),41.2)</f>
        <v>41.2</v>
      </c>
      <c r="U83" s="1">
        <f ca="1">IFERROR(__xludf.DUMMYFUNCTION("""COMPUTED_VALUE"""),88.07)</f>
        <v>88.07</v>
      </c>
      <c r="V83" s="1">
        <f ca="1">IFERROR(__xludf.DUMMYFUNCTION("""COMPUTED_VALUE"""),120.06)</f>
        <v>120.06</v>
      </c>
      <c r="W83" s="1">
        <f ca="1">IFERROR(__xludf.DUMMYFUNCTION("""COMPUTED_VALUE"""),387.91)</f>
        <v>387.91</v>
      </c>
      <c r="X83" s="1">
        <f ca="1">IFERROR(__xludf.DUMMYFUNCTION("""COMPUTED_VALUE"""),303.71)</f>
        <v>303.70999999999998</v>
      </c>
      <c r="Y83" s="1">
        <f ca="1">IFERROR(__xludf.DUMMYFUNCTION("""COMPUTED_VALUE"""),54.48)</f>
        <v>54.48</v>
      </c>
      <c r="Z83" s="1">
        <f ca="1">IFERROR(__xludf.DUMMYFUNCTION("""COMPUTED_VALUE"""),190.03)</f>
        <v>190.03</v>
      </c>
      <c r="AA83" s="1">
        <f ca="1">IFERROR(__xludf.DUMMYFUNCTION("""COMPUTED_VALUE"""),36.11)</f>
        <v>36.11</v>
      </c>
      <c r="AB83" s="1">
        <f ca="1">IFERROR(__xludf.DUMMYFUNCTION("""COMPUTED_VALUE"""),76.86)</f>
        <v>76.86</v>
      </c>
      <c r="AC83" s="1">
        <f ca="1">IFERROR(__xludf.DUMMYFUNCTION("""COMPUTED_VALUE"""),53.66)</f>
        <v>53.66</v>
      </c>
    </row>
    <row r="84" spans="1:29" x14ac:dyDescent="0.25">
      <c r="A84" s="2">
        <f ca="1">IFERROR(__xludf.DUMMYFUNCTION("""COMPUTED_VALUE"""),43951.6666666666)</f>
        <v>43951.666666666599</v>
      </c>
      <c r="B84" s="1">
        <f ca="1">IFERROR(__xludf.DUMMYFUNCTION("""COMPUTED_VALUE"""),73.45)</f>
        <v>73.45</v>
      </c>
      <c r="C84" s="1">
        <f ca="1">IFERROR(__xludf.DUMMYFUNCTION("""COMPUTED_VALUE"""),179.21)</f>
        <v>179.21</v>
      </c>
      <c r="D84" s="1">
        <f ca="1">IFERROR(__xludf.DUMMYFUNCTION("""COMPUTED_VALUE"""),123.7)</f>
        <v>123.7</v>
      </c>
      <c r="E84" s="1">
        <f ca="1">IFERROR(__xludf.DUMMYFUNCTION("""COMPUTED_VALUE"""),7.31)</f>
        <v>7.31</v>
      </c>
      <c r="F84" s="1">
        <f ca="1">IFERROR(__xludf.DUMMYFUNCTION("""COMPUTED_VALUE"""),204.71)</f>
        <v>204.71</v>
      </c>
      <c r="G84" s="1">
        <f ca="1">IFERROR(__xludf.DUMMYFUNCTION("""COMPUTED_VALUE"""),67.43)</f>
        <v>67.430000000000007</v>
      </c>
      <c r="H84" s="1">
        <f ca="1">IFERROR(__xludf.DUMMYFUNCTION("""COMPUTED_VALUE"""),52.13)</f>
        <v>52.13</v>
      </c>
      <c r="I84" s="1">
        <f ca="1">IFERROR(__xludf.DUMMYFUNCTION("""COMPUTED_VALUE"""),132.29)</f>
        <v>132.29</v>
      </c>
      <c r="J84" s="1">
        <f ca="1">IFERROR(__xludf.DUMMYFUNCTION("""COMPUTED_VALUE"""),303)</f>
        <v>303</v>
      </c>
      <c r="K84" s="1">
        <f ca="1">IFERROR(__xludf.DUMMYFUNCTION("""COMPUTED_VALUE"""),27.16)</f>
        <v>27.16</v>
      </c>
      <c r="L84" s="1">
        <f ca="1">IFERROR(__xludf.DUMMYFUNCTION("""COMPUTED_VALUE"""),353.64)</f>
        <v>353.64</v>
      </c>
      <c r="M84" s="1">
        <f ca="1">IFERROR(__xludf.DUMMYFUNCTION("""COMPUTED_VALUE"""),419.85)</f>
        <v>419.85</v>
      </c>
      <c r="N84" s="1">
        <f ca="1">IFERROR(__xludf.DUMMYFUNCTION("""COMPUTED_VALUE"""),95.76)</f>
        <v>95.76</v>
      </c>
      <c r="O84" s="1">
        <f ca="1">IFERROR(__xludf.DUMMYFUNCTION("""COMPUTED_VALUE"""),178.72)</f>
        <v>178.72</v>
      </c>
      <c r="P84" s="1">
        <f ca="1">IFERROR(__xludf.DUMMYFUNCTION("""COMPUTED_VALUE"""),150.04)</f>
        <v>150.04</v>
      </c>
      <c r="Q84" s="1">
        <f ca="1">IFERROR(__xludf.DUMMYFUNCTION("""COMPUTED_VALUE"""),292.47)</f>
        <v>292.47000000000003</v>
      </c>
      <c r="R84" s="1">
        <f ca="1">IFERROR(__xludf.DUMMYFUNCTION("""COMPUTED_VALUE"""),46.47)</f>
        <v>46.47</v>
      </c>
      <c r="S84" s="1">
        <f ca="1">IFERROR(__xludf.DUMMYFUNCTION("""COMPUTED_VALUE"""),57.78)</f>
        <v>57.78</v>
      </c>
      <c r="T84" s="1">
        <f ca="1">IFERROR(__xludf.DUMMYFUNCTION("""COMPUTED_VALUE"""),40.52)</f>
        <v>40.520000000000003</v>
      </c>
      <c r="U84" s="1">
        <f ca="1">IFERROR(__xludf.DUMMYFUNCTION("""COMPUTED_VALUE"""),87.18)</f>
        <v>87.18</v>
      </c>
      <c r="V84" s="1">
        <f ca="1">IFERROR(__xludf.DUMMYFUNCTION("""COMPUTED_VALUE"""),116.38)</f>
        <v>116.38</v>
      </c>
      <c r="W84" s="1">
        <f ca="1">IFERROR(__xludf.DUMMYFUNCTION("""COMPUTED_VALUE"""),389.06)</f>
        <v>389.06</v>
      </c>
      <c r="X84" s="1">
        <f ca="1">IFERROR(__xludf.DUMMYFUNCTION("""COMPUTED_VALUE"""),288.43)</f>
        <v>288.43</v>
      </c>
      <c r="Y84" s="1">
        <f ca="1">IFERROR(__xludf.DUMMYFUNCTION("""COMPUTED_VALUE"""),53.13)</f>
        <v>53.13</v>
      </c>
      <c r="Z84" s="1">
        <f ca="1">IFERROR(__xludf.DUMMYFUNCTION("""COMPUTED_VALUE"""),183.42)</f>
        <v>183.42</v>
      </c>
      <c r="AA84" s="1">
        <f ca="1">IFERROR(__xludf.DUMMYFUNCTION("""COMPUTED_VALUE"""),36.34)</f>
        <v>36.340000000000003</v>
      </c>
      <c r="AB84" s="1">
        <f ca="1">IFERROR(__xludf.DUMMYFUNCTION("""COMPUTED_VALUE"""),76.73)</f>
        <v>76.73</v>
      </c>
      <c r="AC84" s="1">
        <f ca="1">IFERROR(__xludf.DUMMYFUNCTION("""COMPUTED_VALUE"""),52.39)</f>
        <v>52.39</v>
      </c>
    </row>
    <row r="85" spans="1:29" x14ac:dyDescent="0.25">
      <c r="A85" s="2">
        <f ca="1">IFERROR(__xludf.DUMMYFUNCTION("""COMPUTED_VALUE"""),43952.6666666666)</f>
        <v>43952.666666666599</v>
      </c>
      <c r="B85" s="1">
        <f ca="1">IFERROR(__xludf.DUMMYFUNCTION("""COMPUTED_VALUE"""),72.27)</f>
        <v>72.27</v>
      </c>
      <c r="C85" s="1">
        <f ca="1">IFERROR(__xludf.DUMMYFUNCTION("""COMPUTED_VALUE"""),174.57)</f>
        <v>174.57</v>
      </c>
      <c r="D85" s="1">
        <f ca="1">IFERROR(__xludf.DUMMYFUNCTION("""COMPUTED_VALUE"""),114.3)</f>
        <v>114.3</v>
      </c>
      <c r="E85" s="1">
        <f ca="1">IFERROR(__xludf.DUMMYFUNCTION("""COMPUTED_VALUE"""),7.07)</f>
        <v>7.07</v>
      </c>
      <c r="F85" s="1">
        <f ca="1">IFERROR(__xludf.DUMMYFUNCTION("""COMPUTED_VALUE"""),202.27)</f>
        <v>202.27</v>
      </c>
      <c r="G85" s="1">
        <f ca="1">IFERROR(__xludf.DUMMYFUNCTION("""COMPUTED_VALUE"""),66.03)</f>
        <v>66.03</v>
      </c>
      <c r="H85" s="1">
        <f ca="1">IFERROR(__xludf.DUMMYFUNCTION("""COMPUTED_VALUE"""),46.75)</f>
        <v>46.75</v>
      </c>
      <c r="I85" s="1">
        <f ca="1">IFERROR(__xludf.DUMMYFUNCTION("""COMPUTED_VALUE"""),130.14)</f>
        <v>130.13999999999999</v>
      </c>
      <c r="J85" s="1">
        <f ca="1">IFERROR(__xludf.DUMMYFUNCTION("""COMPUTED_VALUE"""),301.92)</f>
        <v>301.92</v>
      </c>
      <c r="K85" s="1">
        <f ca="1">IFERROR(__xludf.DUMMYFUNCTION("""COMPUTED_VALUE"""),25.97)</f>
        <v>25.97</v>
      </c>
      <c r="L85" s="1">
        <f ca="1">IFERROR(__xludf.DUMMYFUNCTION("""COMPUTED_VALUE"""),343.84)</f>
        <v>343.84</v>
      </c>
      <c r="M85" s="1">
        <f ca="1">IFERROR(__xludf.DUMMYFUNCTION("""COMPUTED_VALUE"""),415.27)</f>
        <v>415.27</v>
      </c>
      <c r="N85" s="1">
        <f ca="1">IFERROR(__xludf.DUMMYFUNCTION("""COMPUTED_VALUE"""),93.25)</f>
        <v>93.25</v>
      </c>
      <c r="O85" s="1">
        <f ca="1">IFERROR(__xludf.DUMMYFUNCTION("""COMPUTED_VALUE"""),175.57)</f>
        <v>175.57</v>
      </c>
      <c r="P85" s="1">
        <f ca="1">IFERROR(__xludf.DUMMYFUNCTION("""COMPUTED_VALUE"""),148.29)</f>
        <v>148.29</v>
      </c>
      <c r="Q85" s="1">
        <f ca="1">IFERROR(__xludf.DUMMYFUNCTION("""COMPUTED_VALUE"""),284.51)</f>
        <v>284.51</v>
      </c>
      <c r="R85" s="1">
        <f ca="1">IFERROR(__xludf.DUMMYFUNCTION("""COMPUTED_VALUE"""),43.14)</f>
        <v>43.14</v>
      </c>
      <c r="S85" s="1">
        <f ca="1">IFERROR(__xludf.DUMMYFUNCTION("""COMPUTED_VALUE"""),56.76)</f>
        <v>56.76</v>
      </c>
      <c r="T85" s="1">
        <f ca="1">IFERROR(__xludf.DUMMYFUNCTION("""COMPUTED_VALUE"""),40.97)</f>
        <v>40.97</v>
      </c>
      <c r="U85" s="1">
        <f ca="1">IFERROR(__xludf.DUMMYFUNCTION("""COMPUTED_VALUE"""),85.54)</f>
        <v>85.54</v>
      </c>
      <c r="V85" s="1">
        <f ca="1">IFERROR(__xludf.DUMMYFUNCTION("""COMPUTED_VALUE"""),110.88)</f>
        <v>110.88</v>
      </c>
      <c r="W85" s="1">
        <f ca="1">IFERROR(__xludf.DUMMYFUNCTION("""COMPUTED_VALUE"""),383.47)</f>
        <v>383.47</v>
      </c>
      <c r="X85" s="1">
        <f ca="1">IFERROR(__xludf.DUMMYFUNCTION("""COMPUTED_VALUE"""),279.06)</f>
        <v>279.06</v>
      </c>
      <c r="Y85" s="1">
        <f ca="1">IFERROR(__xludf.DUMMYFUNCTION("""COMPUTED_VALUE"""),51.1)</f>
        <v>51.1</v>
      </c>
      <c r="Z85" s="1">
        <f ca="1">IFERROR(__xludf.DUMMYFUNCTION("""COMPUTED_VALUE"""),177.1)</f>
        <v>177.1</v>
      </c>
      <c r="AA85" s="1">
        <f ca="1">IFERROR(__xludf.DUMMYFUNCTION("""COMPUTED_VALUE"""),35.66)</f>
        <v>35.659999999999997</v>
      </c>
      <c r="AB85" s="1">
        <f ca="1">IFERROR(__xludf.DUMMYFUNCTION("""COMPUTED_VALUE"""),73.79)</f>
        <v>73.790000000000006</v>
      </c>
      <c r="AC85" s="1">
        <f ca="1">IFERROR(__xludf.DUMMYFUNCTION("""COMPUTED_VALUE"""),49.88)</f>
        <v>49.88</v>
      </c>
    </row>
    <row r="86" spans="1:29" x14ac:dyDescent="0.25">
      <c r="A86" s="2">
        <f ca="1">IFERROR(__xludf.DUMMYFUNCTION("""COMPUTED_VALUE"""),43955.6666666666)</f>
        <v>43955.666666666599</v>
      </c>
      <c r="B86" s="1">
        <f ca="1">IFERROR(__xludf.DUMMYFUNCTION("""COMPUTED_VALUE"""),73.29)</f>
        <v>73.290000000000006</v>
      </c>
      <c r="C86" s="1">
        <f ca="1">IFERROR(__xludf.DUMMYFUNCTION("""COMPUTED_VALUE"""),178.84)</f>
        <v>178.84</v>
      </c>
      <c r="D86" s="1">
        <f ca="1">IFERROR(__xludf.DUMMYFUNCTION("""COMPUTED_VALUE"""),115.8)</f>
        <v>115.8</v>
      </c>
      <c r="E86" s="1">
        <f ca="1">IFERROR(__xludf.DUMMYFUNCTION("""COMPUTED_VALUE"""),7.28)</f>
        <v>7.28</v>
      </c>
      <c r="F86" s="1">
        <f ca="1">IFERROR(__xludf.DUMMYFUNCTION("""COMPUTED_VALUE"""),205.26)</f>
        <v>205.26</v>
      </c>
      <c r="G86" s="1">
        <f ca="1">IFERROR(__xludf.DUMMYFUNCTION("""COMPUTED_VALUE"""),66.34)</f>
        <v>66.34</v>
      </c>
      <c r="H86" s="1">
        <f ca="1">IFERROR(__xludf.DUMMYFUNCTION("""COMPUTED_VALUE"""),50.75)</f>
        <v>50.75</v>
      </c>
      <c r="I86" s="1">
        <f ca="1">IFERROR(__xludf.DUMMYFUNCTION("""COMPUTED_VALUE"""),130.92)</f>
        <v>130.91999999999999</v>
      </c>
      <c r="J86" s="1">
        <f ca="1">IFERROR(__xludf.DUMMYFUNCTION("""COMPUTED_VALUE"""),304.49)</f>
        <v>304.49</v>
      </c>
      <c r="K86" s="1">
        <f ca="1">IFERROR(__xludf.DUMMYFUNCTION("""COMPUTED_VALUE"""),26.23)</f>
        <v>26.23</v>
      </c>
      <c r="L86" s="1">
        <f ca="1">IFERROR(__xludf.DUMMYFUNCTION("""COMPUTED_VALUE"""),349.11)</f>
        <v>349.11</v>
      </c>
      <c r="M86" s="1">
        <f ca="1">IFERROR(__xludf.DUMMYFUNCTION("""COMPUTED_VALUE"""),428.15)</f>
        <v>428.15</v>
      </c>
      <c r="N86" s="1">
        <f ca="1">IFERROR(__xludf.DUMMYFUNCTION("""COMPUTED_VALUE"""),92.14)</f>
        <v>92.14</v>
      </c>
      <c r="O86" s="1">
        <f ca="1">IFERROR(__xludf.DUMMYFUNCTION("""COMPUTED_VALUE"""),176.15)</f>
        <v>176.15</v>
      </c>
      <c r="P86" s="1">
        <f ca="1">IFERROR(__xludf.DUMMYFUNCTION("""COMPUTED_VALUE"""),148.27)</f>
        <v>148.27000000000001</v>
      </c>
      <c r="Q86" s="1">
        <f ca="1">IFERROR(__xludf.DUMMYFUNCTION("""COMPUTED_VALUE"""),287.54)</f>
        <v>287.54000000000002</v>
      </c>
      <c r="R86" s="1">
        <f ca="1">IFERROR(__xludf.DUMMYFUNCTION("""COMPUTED_VALUE"""),44.88)</f>
        <v>44.88</v>
      </c>
      <c r="S86" s="1">
        <f ca="1">IFERROR(__xludf.DUMMYFUNCTION("""COMPUTED_VALUE"""),57.52)</f>
        <v>57.52</v>
      </c>
      <c r="T86" s="1">
        <f ca="1">IFERROR(__xludf.DUMMYFUNCTION("""COMPUTED_VALUE"""),41.23)</f>
        <v>41.23</v>
      </c>
      <c r="U86" s="1">
        <f ca="1">IFERROR(__xludf.DUMMYFUNCTION("""COMPUTED_VALUE"""),85.75)</f>
        <v>85.75</v>
      </c>
      <c r="V86" s="1">
        <f ca="1">IFERROR(__xludf.DUMMYFUNCTION("""COMPUTED_VALUE"""),107.72)</f>
        <v>107.72</v>
      </c>
      <c r="W86" s="1">
        <f ca="1">IFERROR(__xludf.DUMMYFUNCTION("""COMPUTED_VALUE"""),380.16)</f>
        <v>380.16</v>
      </c>
      <c r="X86" s="1">
        <f ca="1">IFERROR(__xludf.DUMMYFUNCTION("""COMPUTED_VALUE"""),283.18)</f>
        <v>283.18</v>
      </c>
      <c r="Y86" s="1">
        <f ca="1">IFERROR(__xludf.DUMMYFUNCTION("""COMPUTED_VALUE"""),52.15)</f>
        <v>52.15</v>
      </c>
      <c r="Z86" s="1">
        <f ca="1">IFERROR(__xludf.DUMMYFUNCTION("""COMPUTED_VALUE"""),176.03)</f>
        <v>176.03</v>
      </c>
      <c r="AA86" s="1">
        <f ca="1">IFERROR(__xludf.DUMMYFUNCTION("""COMPUTED_VALUE"""),35.64)</f>
        <v>35.64</v>
      </c>
      <c r="AB86" s="1">
        <f ca="1">IFERROR(__xludf.DUMMYFUNCTION("""COMPUTED_VALUE"""),71.89)</f>
        <v>71.89</v>
      </c>
      <c r="AC86" s="1">
        <f ca="1">IFERROR(__xludf.DUMMYFUNCTION("""COMPUTED_VALUE"""),52.56)</f>
        <v>52.56</v>
      </c>
    </row>
    <row r="87" spans="1:29" x14ac:dyDescent="0.25">
      <c r="A87" s="2">
        <f ca="1">IFERROR(__xludf.DUMMYFUNCTION("""COMPUTED_VALUE"""),43956.6666666666)</f>
        <v>43956.666666666599</v>
      </c>
      <c r="B87" s="1">
        <f ca="1">IFERROR(__xludf.DUMMYFUNCTION("""COMPUTED_VALUE"""),74.39)</f>
        <v>74.39</v>
      </c>
      <c r="C87" s="1">
        <f ca="1">IFERROR(__xludf.DUMMYFUNCTION("""COMPUTED_VALUE"""),180.76)</f>
        <v>180.76</v>
      </c>
      <c r="D87" s="1">
        <f ca="1">IFERROR(__xludf.DUMMYFUNCTION("""COMPUTED_VALUE"""),115.89)</f>
        <v>115.89</v>
      </c>
      <c r="E87" s="1">
        <f ca="1">IFERROR(__xludf.DUMMYFUNCTION("""COMPUTED_VALUE"""),7.34)</f>
        <v>7.34</v>
      </c>
      <c r="F87" s="1">
        <f ca="1">IFERROR(__xludf.DUMMYFUNCTION("""COMPUTED_VALUE"""),207.07)</f>
        <v>207.07</v>
      </c>
      <c r="G87" s="1">
        <f ca="1">IFERROR(__xludf.DUMMYFUNCTION("""COMPUTED_VALUE"""),67.56)</f>
        <v>67.56</v>
      </c>
      <c r="H87" s="1">
        <f ca="1">IFERROR(__xludf.DUMMYFUNCTION("""COMPUTED_VALUE"""),51.21)</f>
        <v>51.21</v>
      </c>
      <c r="I87" s="1">
        <f ca="1">IFERROR(__xludf.DUMMYFUNCTION("""COMPUTED_VALUE"""),131.67)</f>
        <v>131.66999999999999</v>
      </c>
      <c r="J87" s="1">
        <f ca="1">IFERROR(__xludf.DUMMYFUNCTION("""COMPUTED_VALUE"""),307.92)</f>
        <v>307.92</v>
      </c>
      <c r="K87" s="1">
        <f ca="1">IFERROR(__xludf.DUMMYFUNCTION("""COMPUTED_VALUE"""),26.49)</f>
        <v>26.49</v>
      </c>
      <c r="L87" s="1">
        <f ca="1">IFERROR(__xludf.DUMMYFUNCTION("""COMPUTED_VALUE"""),356.13)</f>
        <v>356.13</v>
      </c>
      <c r="M87" s="1">
        <f ca="1">IFERROR(__xludf.DUMMYFUNCTION("""COMPUTED_VALUE"""),424.68)</f>
        <v>424.68</v>
      </c>
      <c r="N87" s="1">
        <f ca="1">IFERROR(__xludf.DUMMYFUNCTION("""COMPUTED_VALUE"""),92)</f>
        <v>92</v>
      </c>
      <c r="O87" s="1">
        <f ca="1">IFERROR(__xludf.DUMMYFUNCTION("""COMPUTED_VALUE"""),178.44)</f>
        <v>178.44</v>
      </c>
      <c r="P87" s="1">
        <f ca="1">IFERROR(__xludf.DUMMYFUNCTION("""COMPUTED_VALUE"""),149.5)</f>
        <v>149.5</v>
      </c>
      <c r="Q87" s="1">
        <f ca="1">IFERROR(__xludf.DUMMYFUNCTION("""COMPUTED_VALUE"""),293.04)</f>
        <v>293.04000000000002</v>
      </c>
      <c r="R87" s="1">
        <f ca="1">IFERROR(__xludf.DUMMYFUNCTION("""COMPUTED_VALUE"""),44.83)</f>
        <v>44.83</v>
      </c>
      <c r="S87" s="1">
        <f ca="1">IFERROR(__xludf.DUMMYFUNCTION("""COMPUTED_VALUE"""),57.53)</f>
        <v>57.53</v>
      </c>
      <c r="T87" s="1">
        <f ca="1">IFERROR(__xludf.DUMMYFUNCTION("""COMPUTED_VALUE"""),41.58)</f>
        <v>41.58</v>
      </c>
      <c r="U87" s="1">
        <f ca="1">IFERROR(__xludf.DUMMYFUNCTION("""COMPUTED_VALUE"""),87.2)</f>
        <v>87.2</v>
      </c>
      <c r="V87" s="1">
        <f ca="1">IFERROR(__xludf.DUMMYFUNCTION("""COMPUTED_VALUE"""),108.91)</f>
        <v>108.91</v>
      </c>
      <c r="W87" s="1">
        <f ca="1">IFERROR(__xludf.DUMMYFUNCTION("""COMPUTED_VALUE"""),390.3)</f>
        <v>390.3</v>
      </c>
      <c r="X87" s="1">
        <f ca="1">IFERROR(__xludf.DUMMYFUNCTION("""COMPUTED_VALUE"""),288.35)</f>
        <v>288.35000000000002</v>
      </c>
      <c r="Y87" s="1">
        <f ca="1">IFERROR(__xludf.DUMMYFUNCTION("""COMPUTED_VALUE"""),51.71)</f>
        <v>51.71</v>
      </c>
      <c r="Z87" s="1">
        <f ca="1">IFERROR(__xludf.DUMMYFUNCTION("""COMPUTED_VALUE"""),178.3)</f>
        <v>178.3</v>
      </c>
      <c r="AA87" s="1">
        <f ca="1">IFERROR(__xludf.DUMMYFUNCTION("""COMPUTED_VALUE"""),36.48)</f>
        <v>36.479999999999997</v>
      </c>
      <c r="AB87" s="1">
        <f ca="1">IFERROR(__xludf.DUMMYFUNCTION("""COMPUTED_VALUE"""),72.9)</f>
        <v>72.900000000000006</v>
      </c>
      <c r="AC87" s="1">
        <f ca="1">IFERROR(__xludf.DUMMYFUNCTION("""COMPUTED_VALUE"""),52.19)</f>
        <v>52.19</v>
      </c>
    </row>
    <row r="88" spans="1:29" x14ac:dyDescent="0.25">
      <c r="A88" s="2">
        <f ca="1">IFERROR(__xludf.DUMMYFUNCTION("""COMPUTED_VALUE"""),43957.6666666666)</f>
        <v>43957.666666666599</v>
      </c>
      <c r="B88" s="1">
        <f ca="1">IFERROR(__xludf.DUMMYFUNCTION("""COMPUTED_VALUE"""),75.16)</f>
        <v>75.16</v>
      </c>
      <c r="C88" s="1">
        <f ca="1">IFERROR(__xludf.DUMMYFUNCTION("""COMPUTED_VALUE"""),182.54)</f>
        <v>182.54</v>
      </c>
      <c r="D88" s="1">
        <f ca="1">IFERROR(__xludf.DUMMYFUNCTION("""COMPUTED_VALUE"""),117.56)</f>
        <v>117.56</v>
      </c>
      <c r="E88" s="1">
        <f ca="1">IFERROR(__xludf.DUMMYFUNCTION("""COMPUTED_VALUE"""),7.44)</f>
        <v>7.44</v>
      </c>
      <c r="F88" s="1">
        <f ca="1">IFERROR(__xludf.DUMMYFUNCTION("""COMPUTED_VALUE"""),208.47)</f>
        <v>208.47</v>
      </c>
      <c r="G88" s="1">
        <f ca="1">IFERROR(__xludf.DUMMYFUNCTION("""COMPUTED_VALUE"""),67.36)</f>
        <v>67.36</v>
      </c>
      <c r="H88" s="1">
        <f ca="1">IFERROR(__xludf.DUMMYFUNCTION("""COMPUTED_VALUE"""),52.17)</f>
        <v>52.17</v>
      </c>
      <c r="I88" s="1">
        <f ca="1">IFERROR(__xludf.DUMMYFUNCTION("""COMPUTED_VALUE"""),130.78)</f>
        <v>130.78</v>
      </c>
      <c r="J88" s="1">
        <f ca="1">IFERROR(__xludf.DUMMYFUNCTION("""COMPUTED_VALUE"""),308.89)</f>
        <v>308.89</v>
      </c>
      <c r="K88" s="1">
        <f ca="1">IFERROR(__xludf.DUMMYFUNCTION("""COMPUTED_VALUE"""),26.42)</f>
        <v>26.42</v>
      </c>
      <c r="L88" s="1">
        <f ca="1">IFERROR(__xludf.DUMMYFUNCTION("""COMPUTED_VALUE"""),362.52)</f>
        <v>362.52</v>
      </c>
      <c r="M88" s="1">
        <f ca="1">IFERROR(__xludf.DUMMYFUNCTION("""COMPUTED_VALUE"""),434.26)</f>
        <v>434.26</v>
      </c>
      <c r="N88" s="1">
        <f ca="1">IFERROR(__xludf.DUMMYFUNCTION("""COMPUTED_VALUE"""),90.27)</f>
        <v>90.27</v>
      </c>
      <c r="O88" s="1">
        <f ca="1">IFERROR(__xludf.DUMMYFUNCTION("""COMPUTED_VALUE"""),178.78)</f>
        <v>178.78</v>
      </c>
      <c r="P88" s="1">
        <f ca="1">IFERROR(__xludf.DUMMYFUNCTION("""COMPUTED_VALUE"""),148.08)</f>
        <v>148.08000000000001</v>
      </c>
      <c r="Q88" s="1">
        <f ca="1">IFERROR(__xludf.DUMMYFUNCTION("""COMPUTED_VALUE"""),288.77)</f>
        <v>288.77</v>
      </c>
      <c r="R88" s="1">
        <f ca="1">IFERROR(__xludf.DUMMYFUNCTION("""COMPUTED_VALUE"""),43.99)</f>
        <v>43.99</v>
      </c>
      <c r="S88" s="1">
        <f ca="1">IFERROR(__xludf.DUMMYFUNCTION("""COMPUTED_VALUE"""),55.67)</f>
        <v>55.67</v>
      </c>
      <c r="T88" s="1">
        <f ca="1">IFERROR(__xludf.DUMMYFUNCTION("""COMPUTED_VALUE"""),41.1)</f>
        <v>41.1</v>
      </c>
      <c r="U88" s="1">
        <f ca="1">IFERROR(__xludf.DUMMYFUNCTION("""COMPUTED_VALUE"""),88.44)</f>
        <v>88.44</v>
      </c>
      <c r="V88" s="1">
        <f ca="1">IFERROR(__xludf.DUMMYFUNCTION("""COMPUTED_VALUE"""),107.67)</f>
        <v>107.67</v>
      </c>
      <c r="W88" s="1">
        <f ca="1">IFERROR(__xludf.DUMMYFUNCTION("""COMPUTED_VALUE"""),378.58)</f>
        <v>378.58</v>
      </c>
      <c r="X88" s="1">
        <f ca="1">IFERROR(__xludf.DUMMYFUNCTION("""COMPUTED_VALUE"""),291.9)</f>
        <v>291.89999999999998</v>
      </c>
      <c r="Y88" s="1">
        <f ca="1">IFERROR(__xludf.DUMMYFUNCTION("""COMPUTED_VALUE"""),52.13)</f>
        <v>52.13</v>
      </c>
      <c r="Z88" s="1">
        <f ca="1">IFERROR(__xludf.DUMMYFUNCTION("""COMPUTED_VALUE"""),176.92)</f>
        <v>176.92</v>
      </c>
      <c r="AA88" s="1">
        <f ca="1">IFERROR(__xludf.DUMMYFUNCTION("""COMPUTED_VALUE"""),36.48)</f>
        <v>36.479999999999997</v>
      </c>
      <c r="AB88" s="1">
        <f ca="1">IFERROR(__xludf.DUMMYFUNCTION("""COMPUTED_VALUE"""),72.96)</f>
        <v>72.959999999999994</v>
      </c>
      <c r="AC88" s="1">
        <f ca="1">IFERROR(__xludf.DUMMYFUNCTION("""COMPUTED_VALUE"""),52.16)</f>
        <v>52.16</v>
      </c>
    </row>
    <row r="89" spans="1:29" x14ac:dyDescent="0.25">
      <c r="A89" s="2">
        <f ca="1">IFERROR(__xludf.DUMMYFUNCTION("""COMPUTED_VALUE"""),43958.6666666666)</f>
        <v>43958.666666666599</v>
      </c>
      <c r="B89" s="1">
        <f ca="1">IFERROR(__xludf.DUMMYFUNCTION("""COMPUTED_VALUE"""),75.94)</f>
        <v>75.94</v>
      </c>
      <c r="C89" s="1">
        <f ca="1">IFERROR(__xludf.DUMMYFUNCTION("""COMPUTED_VALUE"""),183.6)</f>
        <v>183.6</v>
      </c>
      <c r="D89" s="1">
        <f ca="1">IFERROR(__xludf.DUMMYFUNCTION("""COMPUTED_VALUE"""),118.38)</f>
        <v>118.38</v>
      </c>
      <c r="E89" s="1">
        <f ca="1">IFERROR(__xludf.DUMMYFUNCTION("""COMPUTED_VALUE"""),7.62)</f>
        <v>7.62</v>
      </c>
      <c r="F89" s="1">
        <f ca="1">IFERROR(__xludf.DUMMYFUNCTION("""COMPUTED_VALUE"""),211.26)</f>
        <v>211.26</v>
      </c>
      <c r="G89" s="1">
        <f ca="1">IFERROR(__xludf.DUMMYFUNCTION("""COMPUTED_VALUE"""),68.63)</f>
        <v>68.63</v>
      </c>
      <c r="H89" s="1">
        <f ca="1">IFERROR(__xludf.DUMMYFUNCTION("""COMPUTED_VALUE"""),52)</f>
        <v>52</v>
      </c>
      <c r="I89" s="1">
        <f ca="1">IFERROR(__xludf.DUMMYFUNCTION("""COMPUTED_VALUE"""),131.55)</f>
        <v>131.55000000000001</v>
      </c>
      <c r="J89" s="1">
        <f ca="1">IFERROR(__xludf.DUMMYFUNCTION("""COMPUTED_VALUE"""),305)</f>
        <v>305</v>
      </c>
      <c r="K89" s="1">
        <f ca="1">IFERROR(__xludf.DUMMYFUNCTION("""COMPUTED_VALUE"""),26.78)</f>
        <v>26.78</v>
      </c>
      <c r="L89" s="1">
        <f ca="1">IFERROR(__xludf.DUMMYFUNCTION("""COMPUTED_VALUE"""),366.78)</f>
        <v>366.78</v>
      </c>
      <c r="M89" s="1">
        <f ca="1">IFERROR(__xludf.DUMMYFUNCTION("""COMPUTED_VALUE"""),436.53)</f>
        <v>436.53</v>
      </c>
      <c r="N89" s="1">
        <f ca="1">IFERROR(__xludf.DUMMYFUNCTION("""COMPUTED_VALUE"""),91.21)</f>
        <v>91.21</v>
      </c>
      <c r="O89" s="1">
        <f ca="1">IFERROR(__xludf.DUMMYFUNCTION("""COMPUTED_VALUE"""),182.72)</f>
        <v>182.72</v>
      </c>
      <c r="P89" s="1">
        <f ca="1">IFERROR(__xludf.DUMMYFUNCTION("""COMPUTED_VALUE"""),147.59)</f>
        <v>147.59</v>
      </c>
      <c r="Q89" s="1">
        <f ca="1">IFERROR(__xludf.DUMMYFUNCTION("""COMPUTED_VALUE"""),285)</f>
        <v>285</v>
      </c>
      <c r="R89" s="1">
        <f ca="1">IFERROR(__xludf.DUMMYFUNCTION("""COMPUTED_VALUE"""),44.24)</f>
        <v>44.24</v>
      </c>
      <c r="S89" s="1">
        <f ca="1">IFERROR(__xludf.DUMMYFUNCTION("""COMPUTED_VALUE"""),56.12)</f>
        <v>56.12</v>
      </c>
      <c r="T89" s="1">
        <f ca="1">IFERROR(__xludf.DUMMYFUNCTION("""COMPUTED_VALUE"""),40.63)</f>
        <v>40.630000000000003</v>
      </c>
      <c r="U89" s="1">
        <f ca="1">IFERROR(__xludf.DUMMYFUNCTION("""COMPUTED_VALUE"""),88.56)</f>
        <v>88.56</v>
      </c>
      <c r="V89" s="1">
        <f ca="1">IFERROR(__xludf.DUMMYFUNCTION("""COMPUTED_VALUE"""),107.29)</f>
        <v>107.29</v>
      </c>
      <c r="W89" s="1">
        <f ca="1">IFERROR(__xludf.DUMMYFUNCTION("""COMPUTED_VALUE"""),376.54)</f>
        <v>376.54</v>
      </c>
      <c r="X89" s="1">
        <f ca="1">IFERROR(__xludf.DUMMYFUNCTION("""COMPUTED_VALUE"""),299.59)</f>
        <v>299.58999999999997</v>
      </c>
      <c r="Y89" s="1">
        <f ca="1">IFERROR(__xludf.DUMMYFUNCTION("""COMPUTED_VALUE"""),52.33)</f>
        <v>52.33</v>
      </c>
      <c r="Z89" s="1">
        <f ca="1">IFERROR(__xludf.DUMMYFUNCTION("""COMPUTED_VALUE"""),182.32)</f>
        <v>182.32</v>
      </c>
      <c r="AA89" s="1">
        <f ca="1">IFERROR(__xludf.DUMMYFUNCTION("""COMPUTED_VALUE"""),35.01)</f>
        <v>35.01</v>
      </c>
      <c r="AB89" s="1">
        <f ca="1">IFERROR(__xludf.DUMMYFUNCTION("""COMPUTED_VALUE"""),76)</f>
        <v>76</v>
      </c>
      <c r="AC89" s="1">
        <f ca="1">IFERROR(__xludf.DUMMYFUNCTION("""COMPUTED_VALUE"""),51.95)</f>
        <v>51.95</v>
      </c>
    </row>
    <row r="90" spans="1:29" x14ac:dyDescent="0.25">
      <c r="A90" s="2">
        <f ca="1">IFERROR(__xludf.DUMMYFUNCTION("""COMPUTED_VALUE"""),43959.6666666666)</f>
        <v>43959.666666666599</v>
      </c>
      <c r="B90" s="1">
        <f ca="1">IFERROR(__xludf.DUMMYFUNCTION("""COMPUTED_VALUE"""),77.53)</f>
        <v>77.53</v>
      </c>
      <c r="C90" s="1">
        <f ca="1">IFERROR(__xludf.DUMMYFUNCTION("""COMPUTED_VALUE"""),184.68)</f>
        <v>184.68</v>
      </c>
      <c r="D90" s="1">
        <f ca="1">IFERROR(__xludf.DUMMYFUNCTION("""COMPUTED_VALUE"""),118.98)</f>
        <v>118.98</v>
      </c>
      <c r="E90" s="1">
        <f ca="1">IFERROR(__xludf.DUMMYFUNCTION("""COMPUTED_VALUE"""),7.81)</f>
        <v>7.81</v>
      </c>
      <c r="F90" s="1">
        <f ca="1">IFERROR(__xludf.DUMMYFUNCTION("""COMPUTED_VALUE"""),212.35)</f>
        <v>212.35</v>
      </c>
      <c r="G90" s="1">
        <f ca="1">IFERROR(__xludf.DUMMYFUNCTION("""COMPUTED_VALUE"""),69.42)</f>
        <v>69.42</v>
      </c>
      <c r="H90" s="1">
        <f ca="1">IFERROR(__xludf.DUMMYFUNCTION("""COMPUTED_VALUE"""),54.63)</f>
        <v>54.63</v>
      </c>
      <c r="I90" s="1">
        <f ca="1">IFERROR(__xludf.DUMMYFUNCTION("""COMPUTED_VALUE"""),134.23)</f>
        <v>134.22999999999999</v>
      </c>
      <c r="J90" s="1">
        <f ca="1">IFERROR(__xludf.DUMMYFUNCTION("""COMPUTED_VALUE"""),305.94)</f>
        <v>305.94</v>
      </c>
      <c r="K90" s="1">
        <f ca="1">IFERROR(__xludf.DUMMYFUNCTION("""COMPUTED_VALUE"""),27.5)</f>
        <v>27.5</v>
      </c>
      <c r="L90" s="1">
        <f ca="1">IFERROR(__xludf.DUMMYFUNCTION("""COMPUTED_VALUE"""),367.51)</f>
        <v>367.51</v>
      </c>
      <c r="M90" s="1">
        <f ca="1">IFERROR(__xludf.DUMMYFUNCTION("""COMPUTED_VALUE"""),435.55)</f>
        <v>435.55</v>
      </c>
      <c r="N90" s="1">
        <f ca="1">IFERROR(__xludf.DUMMYFUNCTION("""COMPUTED_VALUE"""),92.7)</f>
        <v>92.7</v>
      </c>
      <c r="O90" s="1">
        <f ca="1">IFERROR(__xludf.DUMMYFUNCTION("""COMPUTED_VALUE"""),185.09)</f>
        <v>185.09</v>
      </c>
      <c r="P90" s="1">
        <f ca="1">IFERROR(__xludf.DUMMYFUNCTION("""COMPUTED_VALUE"""),148.7)</f>
        <v>148.69999999999999</v>
      </c>
      <c r="Q90" s="1">
        <f ca="1">IFERROR(__xludf.DUMMYFUNCTION("""COMPUTED_VALUE"""),287)</f>
        <v>287</v>
      </c>
      <c r="R90" s="1">
        <f ca="1">IFERROR(__xludf.DUMMYFUNCTION("""COMPUTED_VALUE"""),46.18)</f>
        <v>46.18</v>
      </c>
      <c r="S90" s="1">
        <f ca="1">IFERROR(__xludf.DUMMYFUNCTION("""COMPUTED_VALUE"""),57.43)</f>
        <v>57.43</v>
      </c>
      <c r="T90" s="1">
        <f ca="1">IFERROR(__xludf.DUMMYFUNCTION("""COMPUTED_VALUE"""),40.98)</f>
        <v>40.98</v>
      </c>
      <c r="U90" s="1">
        <f ca="1">IFERROR(__xludf.DUMMYFUNCTION("""COMPUTED_VALUE"""),90.46)</f>
        <v>90.46</v>
      </c>
      <c r="V90" s="1">
        <f ca="1">IFERROR(__xludf.DUMMYFUNCTION("""COMPUTED_VALUE"""),112.11)</f>
        <v>112.11</v>
      </c>
      <c r="W90" s="1">
        <f ca="1">IFERROR(__xludf.DUMMYFUNCTION("""COMPUTED_VALUE"""),378.4)</f>
        <v>378.4</v>
      </c>
      <c r="X90" s="1">
        <f ca="1">IFERROR(__xludf.DUMMYFUNCTION("""COMPUTED_VALUE"""),304.4)</f>
        <v>304.39999999999998</v>
      </c>
      <c r="Y90" s="1">
        <f ca="1">IFERROR(__xludf.DUMMYFUNCTION("""COMPUTED_VALUE"""),52.91)</f>
        <v>52.91</v>
      </c>
      <c r="Z90" s="1">
        <f ca="1">IFERROR(__xludf.DUMMYFUNCTION("""COMPUTED_VALUE"""),185.39)</f>
        <v>185.39</v>
      </c>
      <c r="AA90" s="1">
        <f ca="1">IFERROR(__xludf.DUMMYFUNCTION("""COMPUTED_VALUE"""),35.26)</f>
        <v>35.26</v>
      </c>
      <c r="AB90" s="1">
        <f ca="1">IFERROR(__xludf.DUMMYFUNCTION("""COMPUTED_VALUE"""),77.87)</f>
        <v>77.87</v>
      </c>
      <c r="AC90" s="1">
        <f ca="1">IFERROR(__xludf.DUMMYFUNCTION("""COMPUTED_VALUE"""),53.19)</f>
        <v>53.19</v>
      </c>
    </row>
    <row r="91" spans="1:29" x14ac:dyDescent="0.25">
      <c r="A91" s="2">
        <f ca="1">IFERROR(__xludf.DUMMYFUNCTION("""COMPUTED_VALUE"""),43962.6666666666)</f>
        <v>43962.666666666599</v>
      </c>
      <c r="B91" s="1">
        <f ca="1">IFERROR(__xludf.DUMMYFUNCTION("""COMPUTED_VALUE"""),78.75)</f>
        <v>78.75</v>
      </c>
      <c r="C91" s="1">
        <f ca="1">IFERROR(__xludf.DUMMYFUNCTION("""COMPUTED_VALUE"""),186.74)</f>
        <v>186.74</v>
      </c>
      <c r="D91" s="1">
        <f ca="1">IFERROR(__xludf.DUMMYFUNCTION("""COMPUTED_VALUE"""),120.45)</f>
        <v>120.45</v>
      </c>
      <c r="E91" s="1">
        <f ca="1">IFERROR(__xludf.DUMMYFUNCTION("""COMPUTED_VALUE"""),8.07)</f>
        <v>8.07</v>
      </c>
      <c r="F91" s="1">
        <f ca="1">IFERROR(__xludf.DUMMYFUNCTION("""COMPUTED_VALUE"""),213.18)</f>
        <v>213.18</v>
      </c>
      <c r="G91" s="1">
        <f ca="1">IFERROR(__xludf.DUMMYFUNCTION("""COMPUTED_VALUE"""),70.16)</f>
        <v>70.16</v>
      </c>
      <c r="H91" s="1">
        <f ca="1">IFERROR(__xludf.DUMMYFUNCTION("""COMPUTED_VALUE"""),54.09)</f>
        <v>54.09</v>
      </c>
      <c r="I91" s="1">
        <f ca="1">IFERROR(__xludf.DUMMYFUNCTION("""COMPUTED_VALUE"""),134.38)</f>
        <v>134.38</v>
      </c>
      <c r="J91" s="1">
        <f ca="1">IFERROR(__xludf.DUMMYFUNCTION("""COMPUTED_VALUE"""),310.33)</f>
        <v>310.33</v>
      </c>
      <c r="K91" s="1">
        <f ca="1">IFERROR(__xludf.DUMMYFUNCTION("""COMPUTED_VALUE"""),27.54)</f>
        <v>27.54</v>
      </c>
      <c r="L91" s="1">
        <f ca="1">IFERROR(__xludf.DUMMYFUNCTION("""COMPUTED_VALUE"""),371.42)</f>
        <v>371.42</v>
      </c>
      <c r="M91" s="1">
        <f ca="1">IFERROR(__xludf.DUMMYFUNCTION("""COMPUTED_VALUE"""),440.52)</f>
        <v>440.52</v>
      </c>
      <c r="N91" s="1">
        <f ca="1">IFERROR(__xludf.DUMMYFUNCTION("""COMPUTED_VALUE"""),89.97)</f>
        <v>89.97</v>
      </c>
      <c r="O91" s="1">
        <f ca="1">IFERROR(__xludf.DUMMYFUNCTION("""COMPUTED_VALUE"""),183.56)</f>
        <v>183.56</v>
      </c>
      <c r="P91" s="1">
        <f ca="1">IFERROR(__xludf.DUMMYFUNCTION("""COMPUTED_VALUE"""),149.11)</f>
        <v>149.11000000000001</v>
      </c>
      <c r="Q91" s="1">
        <f ca="1">IFERROR(__xludf.DUMMYFUNCTION("""COMPUTED_VALUE"""),288.69)</f>
        <v>288.69</v>
      </c>
      <c r="R91" s="1">
        <f ca="1">IFERROR(__xludf.DUMMYFUNCTION("""COMPUTED_VALUE"""),45.74)</f>
        <v>45.74</v>
      </c>
      <c r="S91" s="1">
        <f ca="1">IFERROR(__xludf.DUMMYFUNCTION("""COMPUTED_VALUE"""),56.85)</f>
        <v>56.85</v>
      </c>
      <c r="T91" s="1">
        <f ca="1">IFERROR(__xludf.DUMMYFUNCTION("""COMPUTED_VALUE"""),41.22)</f>
        <v>41.22</v>
      </c>
      <c r="U91" s="1">
        <f ca="1">IFERROR(__xludf.DUMMYFUNCTION("""COMPUTED_VALUE"""),90.93)</f>
        <v>90.93</v>
      </c>
      <c r="V91" s="1">
        <f ca="1">IFERROR(__xludf.DUMMYFUNCTION("""COMPUTED_VALUE"""),108.61)</f>
        <v>108.61</v>
      </c>
      <c r="W91" s="1">
        <f ca="1">IFERROR(__xludf.DUMMYFUNCTION("""COMPUTED_VALUE"""),376.56)</f>
        <v>376.56</v>
      </c>
      <c r="X91" s="1">
        <f ca="1">IFERROR(__xludf.DUMMYFUNCTION("""COMPUTED_VALUE"""),304.39)</f>
        <v>304.39</v>
      </c>
      <c r="Y91" s="1">
        <f ca="1">IFERROR(__xludf.DUMMYFUNCTION("""COMPUTED_VALUE"""),52.4)</f>
        <v>52.4</v>
      </c>
      <c r="Z91" s="1">
        <f ca="1">IFERROR(__xludf.DUMMYFUNCTION("""COMPUTED_VALUE"""),183.16)</f>
        <v>183.16</v>
      </c>
      <c r="AA91" s="1">
        <f ca="1">IFERROR(__xludf.DUMMYFUNCTION("""COMPUTED_VALUE"""),36.09)</f>
        <v>36.090000000000003</v>
      </c>
      <c r="AB91" s="1">
        <f ca="1">IFERROR(__xludf.DUMMYFUNCTION("""COMPUTED_VALUE"""),75.87)</f>
        <v>75.87</v>
      </c>
      <c r="AC91" s="1">
        <f ca="1">IFERROR(__xludf.DUMMYFUNCTION("""COMPUTED_VALUE"""),55.74)</f>
        <v>55.74</v>
      </c>
    </row>
    <row r="92" spans="1:29" x14ac:dyDescent="0.25">
      <c r="A92" s="2">
        <f ca="1">IFERROR(__xludf.DUMMYFUNCTION("""COMPUTED_VALUE"""),43963.6666666666)</f>
        <v>43963.666666666599</v>
      </c>
      <c r="B92" s="1">
        <f ca="1">IFERROR(__xludf.DUMMYFUNCTION("""COMPUTED_VALUE"""),77.85)</f>
        <v>77.849999999999994</v>
      </c>
      <c r="C92" s="1">
        <f ca="1">IFERROR(__xludf.DUMMYFUNCTION("""COMPUTED_VALUE"""),182.51)</f>
        <v>182.51</v>
      </c>
      <c r="D92" s="1">
        <f ca="1">IFERROR(__xludf.DUMMYFUNCTION("""COMPUTED_VALUE"""),117.85)</f>
        <v>117.85</v>
      </c>
      <c r="E92" s="1">
        <f ca="1">IFERROR(__xludf.DUMMYFUNCTION("""COMPUTED_VALUE"""),7.8)</f>
        <v>7.8</v>
      </c>
      <c r="F92" s="1">
        <f ca="1">IFERROR(__xludf.DUMMYFUNCTION("""COMPUTED_VALUE"""),210.1)</f>
        <v>210.1</v>
      </c>
      <c r="G92" s="1">
        <f ca="1">IFERROR(__xludf.DUMMYFUNCTION("""COMPUTED_VALUE"""),68.79)</f>
        <v>68.790000000000006</v>
      </c>
      <c r="H92" s="1">
        <f ca="1">IFERROR(__xludf.DUMMYFUNCTION("""COMPUTED_VALUE"""),53.96)</f>
        <v>53.96</v>
      </c>
      <c r="I92" s="1">
        <f ca="1">IFERROR(__xludf.DUMMYFUNCTION("""COMPUTED_VALUE"""),132.94)</f>
        <v>132.94</v>
      </c>
      <c r="J92" s="1">
        <f ca="1">IFERROR(__xludf.DUMMYFUNCTION("""COMPUTED_VALUE"""),304.84)</f>
        <v>304.83999999999997</v>
      </c>
      <c r="K92" s="1">
        <f ca="1">IFERROR(__xludf.DUMMYFUNCTION("""COMPUTED_VALUE"""),26.85)</f>
        <v>26.85</v>
      </c>
      <c r="L92" s="1">
        <f ca="1">IFERROR(__xludf.DUMMYFUNCTION("""COMPUTED_VALUE"""),365.1)</f>
        <v>365.1</v>
      </c>
      <c r="M92" s="1">
        <f ca="1">IFERROR(__xludf.DUMMYFUNCTION("""COMPUTED_VALUE"""),431.82)</f>
        <v>431.82</v>
      </c>
      <c r="N92" s="1">
        <f ca="1">IFERROR(__xludf.DUMMYFUNCTION("""COMPUTED_VALUE"""),87.03)</f>
        <v>87.03</v>
      </c>
      <c r="O92" s="1">
        <f ca="1">IFERROR(__xludf.DUMMYFUNCTION("""COMPUTED_VALUE"""),179.47)</f>
        <v>179.47</v>
      </c>
      <c r="P92" s="1">
        <f ca="1">IFERROR(__xludf.DUMMYFUNCTION("""COMPUTED_VALUE"""),147.14)</f>
        <v>147.13999999999999</v>
      </c>
      <c r="Q92" s="1">
        <f ca="1">IFERROR(__xludf.DUMMYFUNCTION("""COMPUTED_VALUE"""),287.7)</f>
        <v>287.7</v>
      </c>
      <c r="R92" s="1">
        <f ca="1">IFERROR(__xludf.DUMMYFUNCTION("""COMPUTED_VALUE"""),44.12)</f>
        <v>44.12</v>
      </c>
      <c r="S92" s="1">
        <f ca="1">IFERROR(__xludf.DUMMYFUNCTION("""COMPUTED_VALUE"""),56.98)</f>
        <v>56.98</v>
      </c>
      <c r="T92" s="1">
        <f ca="1">IFERROR(__xludf.DUMMYFUNCTION("""COMPUTED_VALUE"""),41.26)</f>
        <v>41.26</v>
      </c>
      <c r="U92" s="1">
        <f ca="1">IFERROR(__xludf.DUMMYFUNCTION("""COMPUTED_VALUE"""),88.26)</f>
        <v>88.26</v>
      </c>
      <c r="V92" s="1">
        <f ca="1">IFERROR(__xludf.DUMMYFUNCTION("""COMPUTED_VALUE"""),105)</f>
        <v>105</v>
      </c>
      <c r="W92" s="1">
        <f ca="1">IFERROR(__xludf.DUMMYFUNCTION("""COMPUTED_VALUE"""),371.11)</f>
        <v>371.11</v>
      </c>
      <c r="X92" s="1">
        <f ca="1">IFERROR(__xludf.DUMMYFUNCTION("""COMPUTED_VALUE"""),296.63)</f>
        <v>296.63</v>
      </c>
      <c r="Y92" s="1">
        <f ca="1">IFERROR(__xludf.DUMMYFUNCTION("""COMPUTED_VALUE"""),51.1)</f>
        <v>51.1</v>
      </c>
      <c r="Z92" s="1">
        <f ca="1">IFERROR(__xludf.DUMMYFUNCTION("""COMPUTED_VALUE"""),177.21)</f>
        <v>177.21</v>
      </c>
      <c r="AA92" s="1">
        <f ca="1">IFERROR(__xludf.DUMMYFUNCTION("""COMPUTED_VALUE"""),35.39)</f>
        <v>35.39</v>
      </c>
      <c r="AB92" s="1">
        <f ca="1">IFERROR(__xludf.DUMMYFUNCTION("""COMPUTED_VALUE"""),74.35)</f>
        <v>74.349999999999994</v>
      </c>
      <c r="AC92" s="1">
        <f ca="1">IFERROR(__xludf.DUMMYFUNCTION("""COMPUTED_VALUE"""),53.76)</f>
        <v>53.76</v>
      </c>
    </row>
    <row r="93" spans="1:29" x14ac:dyDescent="0.25">
      <c r="A93" s="2">
        <f ca="1">IFERROR(__xludf.DUMMYFUNCTION("""COMPUTED_VALUE"""),43964.6666666666)</f>
        <v>43964.666666666599</v>
      </c>
      <c r="B93" s="1">
        <f ca="1">IFERROR(__xludf.DUMMYFUNCTION("""COMPUTED_VALUE"""),76.91)</f>
        <v>76.91</v>
      </c>
      <c r="C93" s="1">
        <f ca="1">IFERROR(__xludf.DUMMYFUNCTION("""COMPUTED_VALUE"""),179.75)</f>
        <v>179.75</v>
      </c>
      <c r="D93" s="1">
        <f ca="1">IFERROR(__xludf.DUMMYFUNCTION("""COMPUTED_VALUE"""),118.4)</f>
        <v>118.4</v>
      </c>
      <c r="E93" s="1">
        <f ca="1">IFERROR(__xludf.DUMMYFUNCTION("""COMPUTED_VALUE"""),7.78)</f>
        <v>7.78</v>
      </c>
      <c r="F93" s="1">
        <f ca="1">IFERROR(__xludf.DUMMYFUNCTION("""COMPUTED_VALUE"""),205.1)</f>
        <v>205.1</v>
      </c>
      <c r="G93" s="1">
        <f ca="1">IFERROR(__xludf.DUMMYFUNCTION("""COMPUTED_VALUE"""),67.47)</f>
        <v>67.47</v>
      </c>
      <c r="H93" s="1">
        <f ca="1">IFERROR(__xludf.DUMMYFUNCTION("""COMPUTED_VALUE"""),52.73)</f>
        <v>52.73</v>
      </c>
      <c r="I93" s="1">
        <f ca="1">IFERROR(__xludf.DUMMYFUNCTION("""COMPUTED_VALUE"""),132.96)</f>
        <v>132.96</v>
      </c>
      <c r="J93" s="1">
        <f ca="1">IFERROR(__xludf.DUMMYFUNCTION("""COMPUTED_VALUE"""),302.14)</f>
        <v>302.14</v>
      </c>
      <c r="K93" s="1">
        <f ca="1">IFERROR(__xludf.DUMMYFUNCTION("""COMPUTED_VALUE"""),26.32)</f>
        <v>26.32</v>
      </c>
      <c r="L93" s="1">
        <f ca="1">IFERROR(__xludf.DUMMYFUNCTION("""COMPUTED_VALUE"""),358.56)</f>
        <v>358.56</v>
      </c>
      <c r="M93" s="1">
        <f ca="1">IFERROR(__xludf.DUMMYFUNCTION("""COMPUTED_VALUE"""),438.27)</f>
        <v>438.27</v>
      </c>
      <c r="N93" s="1">
        <f ca="1">IFERROR(__xludf.DUMMYFUNCTION("""COMPUTED_VALUE"""),84.03)</f>
        <v>84.03</v>
      </c>
      <c r="O93" s="1">
        <f ca="1">IFERROR(__xludf.DUMMYFUNCTION("""COMPUTED_VALUE"""),177.09)</f>
        <v>177.09</v>
      </c>
      <c r="P93" s="1">
        <f ca="1">IFERROR(__xludf.DUMMYFUNCTION("""COMPUTED_VALUE"""),147.13)</f>
        <v>147.13</v>
      </c>
      <c r="Q93" s="1">
        <f ca="1">IFERROR(__xludf.DUMMYFUNCTION("""COMPUTED_VALUE"""),278)</f>
        <v>278</v>
      </c>
      <c r="R93" s="1">
        <f ca="1">IFERROR(__xludf.DUMMYFUNCTION("""COMPUTED_VALUE"""),41.93)</f>
        <v>41.93</v>
      </c>
      <c r="S93" s="1">
        <f ca="1">IFERROR(__xludf.DUMMYFUNCTION("""COMPUTED_VALUE"""),57.53)</f>
        <v>57.53</v>
      </c>
      <c r="T93" s="1">
        <f ca="1">IFERROR(__xludf.DUMMYFUNCTION("""COMPUTED_VALUE"""),41.24)</f>
        <v>41.24</v>
      </c>
      <c r="U93" s="1">
        <f ca="1">IFERROR(__xludf.DUMMYFUNCTION("""COMPUTED_VALUE"""),86.02)</f>
        <v>86.02</v>
      </c>
      <c r="V93" s="1">
        <f ca="1">IFERROR(__xludf.DUMMYFUNCTION("""COMPUTED_VALUE"""),104.48)</f>
        <v>104.48</v>
      </c>
      <c r="W93" s="1">
        <f ca="1">IFERROR(__xludf.DUMMYFUNCTION("""COMPUTED_VALUE"""),364.18)</f>
        <v>364.18</v>
      </c>
      <c r="X93" s="1">
        <f ca="1">IFERROR(__xludf.DUMMYFUNCTION("""COMPUTED_VALUE"""),294.23)</f>
        <v>294.23</v>
      </c>
      <c r="Y93" s="1">
        <f ca="1">IFERROR(__xludf.DUMMYFUNCTION("""COMPUTED_VALUE"""),50.92)</f>
        <v>50.92</v>
      </c>
      <c r="Z93" s="1">
        <f ca="1">IFERROR(__xludf.DUMMYFUNCTION("""COMPUTED_VALUE"""),171.8)</f>
        <v>171.8</v>
      </c>
      <c r="AA93" s="1">
        <f ca="1">IFERROR(__xludf.DUMMYFUNCTION("""COMPUTED_VALUE"""),35.1)</f>
        <v>35.1</v>
      </c>
      <c r="AB93" s="1">
        <f ca="1">IFERROR(__xludf.DUMMYFUNCTION("""COMPUTED_VALUE"""),73.62)</f>
        <v>73.62</v>
      </c>
      <c r="AC93" s="1">
        <f ca="1">IFERROR(__xludf.DUMMYFUNCTION("""COMPUTED_VALUE"""),52.18)</f>
        <v>52.18</v>
      </c>
    </row>
    <row r="94" spans="1:29" x14ac:dyDescent="0.25">
      <c r="A94" s="2">
        <f ca="1">IFERROR(__xludf.DUMMYFUNCTION("""COMPUTED_VALUE"""),43965.6666666666)</f>
        <v>43965.666666666599</v>
      </c>
      <c r="B94" s="1">
        <f ca="1">IFERROR(__xludf.DUMMYFUNCTION("""COMPUTED_VALUE"""),77.39)</f>
        <v>77.39</v>
      </c>
      <c r="C94" s="1">
        <f ca="1">IFERROR(__xludf.DUMMYFUNCTION("""COMPUTED_VALUE"""),180.53)</f>
        <v>180.53</v>
      </c>
      <c r="D94" s="1">
        <f ca="1">IFERROR(__xludf.DUMMYFUNCTION("""COMPUTED_VALUE"""),119.44)</f>
        <v>119.44</v>
      </c>
      <c r="E94" s="1">
        <f ca="1">IFERROR(__xludf.DUMMYFUNCTION("""COMPUTED_VALUE"""),8.03)</f>
        <v>8.0299999999999994</v>
      </c>
      <c r="F94" s="1">
        <f ca="1">IFERROR(__xludf.DUMMYFUNCTION("""COMPUTED_VALUE"""),206.81)</f>
        <v>206.81</v>
      </c>
      <c r="G94" s="1">
        <f ca="1">IFERROR(__xludf.DUMMYFUNCTION("""COMPUTED_VALUE"""),67.81)</f>
        <v>67.81</v>
      </c>
      <c r="H94" s="1">
        <f ca="1">IFERROR(__xludf.DUMMYFUNCTION("""COMPUTED_VALUE"""),53.56)</f>
        <v>53.56</v>
      </c>
      <c r="I94" s="1">
        <f ca="1">IFERROR(__xludf.DUMMYFUNCTION("""COMPUTED_VALUE"""),133.08)</f>
        <v>133.08000000000001</v>
      </c>
      <c r="J94" s="1">
        <f ca="1">IFERROR(__xludf.DUMMYFUNCTION("""COMPUTED_VALUE"""),299.74)</f>
        <v>299.74</v>
      </c>
      <c r="K94" s="1">
        <f ca="1">IFERROR(__xludf.DUMMYFUNCTION("""COMPUTED_VALUE"""),26.66)</f>
        <v>26.66</v>
      </c>
      <c r="L94" s="1">
        <f ca="1">IFERROR(__xludf.DUMMYFUNCTION("""COMPUTED_VALUE"""),355.39)</f>
        <v>355.39</v>
      </c>
      <c r="M94" s="1">
        <f ca="1">IFERROR(__xludf.DUMMYFUNCTION("""COMPUTED_VALUE"""),441.95)</f>
        <v>441.95</v>
      </c>
      <c r="N94" s="1">
        <f ca="1">IFERROR(__xludf.DUMMYFUNCTION("""COMPUTED_VALUE"""),87.52)</f>
        <v>87.52</v>
      </c>
      <c r="O94" s="1">
        <f ca="1">IFERROR(__xludf.DUMMYFUNCTION("""COMPUTED_VALUE"""),180.9)</f>
        <v>180.9</v>
      </c>
      <c r="P94" s="1">
        <f ca="1">IFERROR(__xludf.DUMMYFUNCTION("""COMPUTED_VALUE"""),147.64)</f>
        <v>147.63999999999999</v>
      </c>
      <c r="Q94" s="1">
        <f ca="1">IFERROR(__xludf.DUMMYFUNCTION("""COMPUTED_VALUE"""),290.61)</f>
        <v>290.61</v>
      </c>
      <c r="R94" s="1">
        <f ca="1">IFERROR(__xludf.DUMMYFUNCTION("""COMPUTED_VALUE"""),42.3)</f>
        <v>42.3</v>
      </c>
      <c r="S94" s="1">
        <f ca="1">IFERROR(__xludf.DUMMYFUNCTION("""COMPUTED_VALUE"""),58.06)</f>
        <v>58.06</v>
      </c>
      <c r="T94" s="1">
        <f ca="1">IFERROR(__xludf.DUMMYFUNCTION("""COMPUTED_VALUE"""),41.14)</f>
        <v>41.14</v>
      </c>
      <c r="U94" s="1">
        <f ca="1">IFERROR(__xludf.DUMMYFUNCTION("""COMPUTED_VALUE"""),86.55)</f>
        <v>86.55</v>
      </c>
      <c r="V94" s="1">
        <f ca="1">IFERROR(__xludf.DUMMYFUNCTION("""COMPUTED_VALUE"""),106.19)</f>
        <v>106.19</v>
      </c>
      <c r="W94" s="1">
        <f ca="1">IFERROR(__xludf.DUMMYFUNCTION("""COMPUTED_VALUE"""),356.28)</f>
        <v>356.28</v>
      </c>
      <c r="X94" s="1">
        <f ca="1">IFERROR(__xludf.DUMMYFUNCTION("""COMPUTED_VALUE"""),302.55)</f>
        <v>302.55</v>
      </c>
      <c r="Y94" s="1">
        <f ca="1">IFERROR(__xludf.DUMMYFUNCTION("""COMPUTED_VALUE"""),52.1)</f>
        <v>52.1</v>
      </c>
      <c r="Z94" s="1">
        <f ca="1">IFERROR(__xludf.DUMMYFUNCTION("""COMPUTED_VALUE"""),174.45)</f>
        <v>174.45</v>
      </c>
      <c r="AA94" s="1">
        <f ca="1">IFERROR(__xludf.DUMMYFUNCTION("""COMPUTED_VALUE"""),35.92)</f>
        <v>35.92</v>
      </c>
      <c r="AB94" s="1">
        <f ca="1">IFERROR(__xludf.DUMMYFUNCTION("""COMPUTED_VALUE"""),74.19)</f>
        <v>74.19</v>
      </c>
      <c r="AC94" s="1">
        <f ca="1">IFERROR(__xludf.DUMMYFUNCTION("""COMPUTED_VALUE"""),54.51)</f>
        <v>54.51</v>
      </c>
    </row>
    <row r="95" spans="1:29" x14ac:dyDescent="0.25">
      <c r="A95" s="2">
        <f ca="1">IFERROR(__xludf.DUMMYFUNCTION("""COMPUTED_VALUE"""),43966.6666666666)</f>
        <v>43966.666666666599</v>
      </c>
      <c r="B95" s="1">
        <f ca="1">IFERROR(__xludf.DUMMYFUNCTION("""COMPUTED_VALUE"""),76.93)</f>
        <v>76.930000000000007</v>
      </c>
      <c r="C95" s="1">
        <f ca="1">IFERROR(__xludf.DUMMYFUNCTION("""COMPUTED_VALUE"""),183.16)</f>
        <v>183.16</v>
      </c>
      <c r="D95" s="1">
        <f ca="1">IFERROR(__xludf.DUMMYFUNCTION("""COMPUTED_VALUE"""),120.49)</f>
        <v>120.49</v>
      </c>
      <c r="E95" s="1">
        <f ca="1">IFERROR(__xludf.DUMMYFUNCTION("""COMPUTED_VALUE"""),8.49)</f>
        <v>8.49</v>
      </c>
      <c r="F95" s="1">
        <f ca="1">IFERROR(__xludf.DUMMYFUNCTION("""COMPUTED_VALUE"""),210.88)</f>
        <v>210.88</v>
      </c>
      <c r="G95" s="1">
        <f ca="1">IFERROR(__xludf.DUMMYFUNCTION("""COMPUTED_VALUE"""),68.66)</f>
        <v>68.66</v>
      </c>
      <c r="H95" s="1">
        <f ca="1">IFERROR(__xludf.DUMMYFUNCTION("""COMPUTED_VALUE"""),53.28)</f>
        <v>53.28</v>
      </c>
      <c r="I95" s="1">
        <f ca="1">IFERROR(__xludf.DUMMYFUNCTION("""COMPUTED_VALUE"""),135.95)</f>
        <v>135.94999999999999</v>
      </c>
      <c r="J95" s="1">
        <f ca="1">IFERROR(__xludf.DUMMYFUNCTION("""COMPUTED_VALUE"""),299.21)</f>
        <v>299.20999999999998</v>
      </c>
      <c r="K95" s="1">
        <f ca="1">IFERROR(__xludf.DUMMYFUNCTION("""COMPUTED_VALUE"""),26.04)</f>
        <v>26.04</v>
      </c>
      <c r="L95" s="1">
        <f ca="1">IFERROR(__xludf.DUMMYFUNCTION("""COMPUTED_VALUE"""),365.3)</f>
        <v>365.3</v>
      </c>
      <c r="M95" s="1">
        <f ca="1">IFERROR(__xludf.DUMMYFUNCTION("""COMPUTED_VALUE"""),454.19)</f>
        <v>454.19</v>
      </c>
      <c r="N95" s="1">
        <f ca="1">IFERROR(__xludf.DUMMYFUNCTION("""COMPUTED_VALUE"""),85.9)</f>
        <v>85.9</v>
      </c>
      <c r="O95" s="1">
        <f ca="1">IFERROR(__xludf.DUMMYFUNCTION("""COMPUTED_VALUE"""),183.49)</f>
        <v>183.49</v>
      </c>
      <c r="P95" s="1">
        <f ca="1">IFERROR(__xludf.DUMMYFUNCTION("""COMPUTED_VALUE"""),150.44)</f>
        <v>150.44</v>
      </c>
      <c r="Q95" s="1">
        <f ca="1">IFERROR(__xludf.DUMMYFUNCTION("""COMPUTED_VALUE"""),290.96)</f>
        <v>290.95999999999998</v>
      </c>
      <c r="R95" s="1">
        <f ca="1">IFERROR(__xludf.DUMMYFUNCTION("""COMPUTED_VALUE"""),42)</f>
        <v>42</v>
      </c>
      <c r="S95" s="1">
        <f ca="1">IFERROR(__xludf.DUMMYFUNCTION("""COMPUTED_VALUE"""),56.96)</f>
        <v>56.96</v>
      </c>
      <c r="T95" s="1">
        <f ca="1">IFERROR(__xludf.DUMMYFUNCTION("""COMPUTED_VALUE"""),41.98)</f>
        <v>41.98</v>
      </c>
      <c r="U95" s="1">
        <f ca="1">IFERROR(__xludf.DUMMYFUNCTION("""COMPUTED_VALUE"""),86.99)</f>
        <v>86.99</v>
      </c>
      <c r="V95" s="1">
        <f ca="1">IFERROR(__xludf.DUMMYFUNCTION("""COMPUTED_VALUE"""),107.92)</f>
        <v>107.92</v>
      </c>
      <c r="W95" s="1">
        <f ca="1">IFERROR(__xludf.DUMMYFUNCTION("""COMPUTED_VALUE"""),360.4)</f>
        <v>360.4</v>
      </c>
      <c r="X95" s="1">
        <f ca="1">IFERROR(__xludf.DUMMYFUNCTION("""COMPUTED_VALUE"""),292.54)</f>
        <v>292.54000000000002</v>
      </c>
      <c r="Y95" s="1">
        <f ca="1">IFERROR(__xludf.DUMMYFUNCTION("""COMPUTED_VALUE"""),49.8)</f>
        <v>49.8</v>
      </c>
      <c r="Z95" s="1">
        <f ca="1">IFERROR(__xludf.DUMMYFUNCTION("""COMPUTED_VALUE"""),171.87)</f>
        <v>171.87</v>
      </c>
      <c r="AA95" s="1">
        <f ca="1">IFERROR(__xludf.DUMMYFUNCTION("""COMPUTED_VALUE"""),35.77)</f>
        <v>35.770000000000003</v>
      </c>
      <c r="AB95" s="1">
        <f ca="1">IFERROR(__xludf.DUMMYFUNCTION("""COMPUTED_VALUE"""),74.16)</f>
        <v>74.16</v>
      </c>
      <c r="AC95" s="1">
        <f ca="1">IFERROR(__xludf.DUMMYFUNCTION("""COMPUTED_VALUE"""),54.2)</f>
        <v>54.2</v>
      </c>
    </row>
    <row r="96" spans="1:29" x14ac:dyDescent="0.25">
      <c r="A96" s="2">
        <f ca="1">IFERROR(__xludf.DUMMYFUNCTION("""COMPUTED_VALUE"""),43969.6666666666)</f>
        <v>43969.666666666599</v>
      </c>
      <c r="B96" s="1">
        <f ca="1">IFERROR(__xludf.DUMMYFUNCTION("""COMPUTED_VALUE"""),78.74)</f>
        <v>78.739999999999995</v>
      </c>
      <c r="C96" s="1">
        <f ca="1">IFERROR(__xludf.DUMMYFUNCTION("""COMPUTED_VALUE"""),184.91)</f>
        <v>184.91</v>
      </c>
      <c r="D96" s="1">
        <f ca="1">IFERROR(__xludf.DUMMYFUNCTION("""COMPUTED_VALUE"""),121.31)</f>
        <v>121.31</v>
      </c>
      <c r="E96" s="1">
        <f ca="1">IFERROR(__xludf.DUMMYFUNCTION("""COMPUTED_VALUE"""),8.75)</f>
        <v>8.75</v>
      </c>
      <c r="F96" s="1">
        <f ca="1">IFERROR(__xludf.DUMMYFUNCTION("""COMPUTED_VALUE"""),213.19)</f>
        <v>213.19</v>
      </c>
      <c r="G96" s="1">
        <f ca="1">IFERROR(__xludf.DUMMYFUNCTION("""COMPUTED_VALUE"""),69.2)</f>
        <v>69.2</v>
      </c>
      <c r="H96" s="1">
        <f ca="1">IFERROR(__xludf.DUMMYFUNCTION("""COMPUTED_VALUE"""),54.24)</f>
        <v>54.24</v>
      </c>
      <c r="I96" s="1">
        <f ca="1">IFERROR(__xludf.DUMMYFUNCTION("""COMPUTED_VALUE"""),135.52)</f>
        <v>135.52000000000001</v>
      </c>
      <c r="J96" s="1">
        <f ca="1">IFERROR(__xludf.DUMMYFUNCTION("""COMPUTED_VALUE"""),302.76)</f>
        <v>302.76</v>
      </c>
      <c r="K96" s="1">
        <f ca="1">IFERROR(__xludf.DUMMYFUNCTION("""COMPUTED_VALUE"""),27.35)</f>
        <v>27.35</v>
      </c>
      <c r="L96" s="1">
        <f ca="1">IFERROR(__xludf.DUMMYFUNCTION("""COMPUTED_VALUE"""),367.97)</f>
        <v>367.97</v>
      </c>
      <c r="M96" s="1">
        <f ca="1">IFERROR(__xludf.DUMMYFUNCTION("""COMPUTED_VALUE"""),452.58)</f>
        <v>452.58</v>
      </c>
      <c r="N96" s="1">
        <f ca="1">IFERROR(__xludf.DUMMYFUNCTION("""COMPUTED_VALUE"""),90.45)</f>
        <v>90.45</v>
      </c>
      <c r="O96" s="1">
        <f ca="1">IFERROR(__xludf.DUMMYFUNCTION("""COMPUTED_VALUE"""),191.38)</f>
        <v>191.38</v>
      </c>
      <c r="P96" s="1">
        <f ca="1">IFERROR(__xludf.DUMMYFUNCTION("""COMPUTED_VALUE"""),150.52)</f>
        <v>150.52000000000001</v>
      </c>
      <c r="Q96" s="1">
        <f ca="1">IFERROR(__xludf.DUMMYFUNCTION("""COMPUTED_VALUE"""),293.36)</f>
        <v>293.36</v>
      </c>
      <c r="R96" s="1">
        <f ca="1">IFERROR(__xludf.DUMMYFUNCTION("""COMPUTED_VALUE"""),45.34)</f>
        <v>45.34</v>
      </c>
      <c r="S96" s="1">
        <f ca="1">IFERROR(__xludf.DUMMYFUNCTION("""COMPUTED_VALUE"""),58.86)</f>
        <v>58.86</v>
      </c>
      <c r="T96" s="1">
        <f ca="1">IFERROR(__xludf.DUMMYFUNCTION("""COMPUTED_VALUE"""),42.55)</f>
        <v>42.55</v>
      </c>
      <c r="U96" s="1">
        <f ca="1">IFERROR(__xludf.DUMMYFUNCTION("""COMPUTED_VALUE"""),91.04)</f>
        <v>91.04</v>
      </c>
      <c r="V96" s="1">
        <f ca="1">IFERROR(__xludf.DUMMYFUNCTION("""COMPUTED_VALUE"""),115.02)</f>
        <v>115.02</v>
      </c>
      <c r="W96" s="1">
        <f ca="1">IFERROR(__xludf.DUMMYFUNCTION("""COMPUTED_VALUE"""),377.54)</f>
        <v>377.54</v>
      </c>
      <c r="X96" s="1">
        <f ca="1">IFERROR(__xludf.DUMMYFUNCTION("""COMPUTED_VALUE"""),304.89)</f>
        <v>304.89</v>
      </c>
      <c r="Y96" s="1">
        <f ca="1">IFERROR(__xludf.DUMMYFUNCTION("""COMPUTED_VALUE"""),51.87)</f>
        <v>51.87</v>
      </c>
      <c r="Z96" s="1">
        <f ca="1">IFERROR(__xludf.DUMMYFUNCTION("""COMPUTED_VALUE"""),181.88)</f>
        <v>181.88</v>
      </c>
      <c r="AA96" s="1">
        <f ca="1">IFERROR(__xludf.DUMMYFUNCTION("""COMPUTED_VALUE"""),36.07)</f>
        <v>36.07</v>
      </c>
      <c r="AB96" s="1">
        <f ca="1">IFERROR(__xludf.DUMMYFUNCTION("""COMPUTED_VALUE"""),76.23)</f>
        <v>76.23</v>
      </c>
      <c r="AC96" s="1">
        <f ca="1">IFERROR(__xludf.DUMMYFUNCTION("""COMPUTED_VALUE"""),54.59)</f>
        <v>54.59</v>
      </c>
    </row>
    <row r="97" spans="1:29" x14ac:dyDescent="0.25">
      <c r="A97" s="2">
        <f ca="1">IFERROR(__xludf.DUMMYFUNCTION("""COMPUTED_VALUE"""),43970.6666666666)</f>
        <v>43970.666666666599</v>
      </c>
      <c r="B97" s="1">
        <f ca="1">IFERROR(__xludf.DUMMYFUNCTION("""COMPUTED_VALUE"""),78.29)</f>
        <v>78.290000000000006</v>
      </c>
      <c r="C97" s="1">
        <f ca="1">IFERROR(__xludf.DUMMYFUNCTION("""COMPUTED_VALUE"""),183.63)</f>
        <v>183.63</v>
      </c>
      <c r="D97" s="1">
        <f ca="1">IFERROR(__xludf.DUMMYFUNCTION("""COMPUTED_VALUE"""),122.47)</f>
        <v>122.47</v>
      </c>
      <c r="E97" s="1">
        <f ca="1">IFERROR(__xludf.DUMMYFUNCTION("""COMPUTED_VALUE"""),8.81)</f>
        <v>8.81</v>
      </c>
      <c r="F97" s="1">
        <f ca="1">IFERROR(__xludf.DUMMYFUNCTION("""COMPUTED_VALUE"""),216.88)</f>
        <v>216.88</v>
      </c>
      <c r="G97" s="1">
        <f ca="1">IFERROR(__xludf.DUMMYFUNCTION("""COMPUTED_VALUE"""),68.67)</f>
        <v>68.67</v>
      </c>
      <c r="H97" s="1">
        <f ca="1">IFERROR(__xludf.DUMMYFUNCTION("""COMPUTED_VALUE"""),53.87)</f>
        <v>53.87</v>
      </c>
      <c r="I97" s="1">
        <f ca="1">IFERROR(__xludf.DUMMYFUNCTION("""COMPUTED_VALUE"""),131.73)</f>
        <v>131.72999999999999</v>
      </c>
      <c r="J97" s="1">
        <f ca="1">IFERROR(__xludf.DUMMYFUNCTION("""COMPUTED_VALUE"""),304.63)</f>
        <v>304.63</v>
      </c>
      <c r="K97" s="1">
        <f ca="1">IFERROR(__xludf.DUMMYFUNCTION("""COMPUTED_VALUE"""),27.2)</f>
        <v>27.2</v>
      </c>
      <c r="L97" s="1">
        <f ca="1">IFERROR(__xludf.DUMMYFUNCTION("""COMPUTED_VALUE"""),372.2)</f>
        <v>372.2</v>
      </c>
      <c r="M97" s="1">
        <f ca="1">IFERROR(__xludf.DUMMYFUNCTION("""COMPUTED_VALUE"""),451.04)</f>
        <v>451.04</v>
      </c>
      <c r="N97" s="1">
        <f ca="1">IFERROR(__xludf.DUMMYFUNCTION("""COMPUTED_VALUE"""),88.67)</f>
        <v>88.67</v>
      </c>
      <c r="O97" s="1">
        <f ca="1">IFERROR(__xludf.DUMMYFUNCTION("""COMPUTED_VALUE"""),189.36)</f>
        <v>189.36</v>
      </c>
      <c r="P97" s="1">
        <f ca="1">IFERROR(__xludf.DUMMYFUNCTION("""COMPUTED_VALUE"""),149.02)</f>
        <v>149.02000000000001</v>
      </c>
      <c r="Q97" s="1">
        <f ca="1">IFERROR(__xludf.DUMMYFUNCTION("""COMPUTED_VALUE"""),289.05)</f>
        <v>289.05</v>
      </c>
      <c r="R97" s="1">
        <f ca="1">IFERROR(__xludf.DUMMYFUNCTION("""COMPUTED_VALUE"""),43.94)</f>
        <v>43.94</v>
      </c>
      <c r="S97" s="1">
        <f ca="1">IFERROR(__xludf.DUMMYFUNCTION("""COMPUTED_VALUE"""),57.63)</f>
        <v>57.63</v>
      </c>
      <c r="T97" s="1">
        <f ca="1">IFERROR(__xludf.DUMMYFUNCTION("""COMPUTED_VALUE"""),41.65)</f>
        <v>41.65</v>
      </c>
      <c r="U97" s="1">
        <f ca="1">IFERROR(__xludf.DUMMYFUNCTION("""COMPUTED_VALUE"""),91.51)</f>
        <v>91.51</v>
      </c>
      <c r="V97" s="1">
        <f ca="1">IFERROR(__xludf.DUMMYFUNCTION("""COMPUTED_VALUE"""),112.08)</f>
        <v>112.08</v>
      </c>
      <c r="W97" s="1">
        <f ca="1">IFERROR(__xludf.DUMMYFUNCTION("""COMPUTED_VALUE"""),371.48)</f>
        <v>371.48</v>
      </c>
      <c r="X97" s="1">
        <f ca="1">IFERROR(__xludf.DUMMYFUNCTION("""COMPUTED_VALUE"""),306.25)</f>
        <v>306.25</v>
      </c>
      <c r="Y97" s="1">
        <f ca="1">IFERROR(__xludf.DUMMYFUNCTION("""COMPUTED_VALUE"""),50.81)</f>
        <v>50.81</v>
      </c>
      <c r="Z97" s="1">
        <f ca="1">IFERROR(__xludf.DUMMYFUNCTION("""COMPUTED_VALUE"""),177.83)</f>
        <v>177.83</v>
      </c>
      <c r="AA97" s="1">
        <f ca="1">IFERROR(__xludf.DUMMYFUNCTION("""COMPUTED_VALUE"""),35.7)</f>
        <v>35.700000000000003</v>
      </c>
      <c r="AB97" s="1">
        <f ca="1">IFERROR(__xludf.DUMMYFUNCTION("""COMPUTED_VALUE"""),75.86)</f>
        <v>75.86</v>
      </c>
      <c r="AC97" s="1">
        <f ca="1">IFERROR(__xludf.DUMMYFUNCTION("""COMPUTED_VALUE"""),55.47)</f>
        <v>55.47</v>
      </c>
    </row>
    <row r="98" spans="1:29" x14ac:dyDescent="0.25">
      <c r="A98" s="2">
        <f ca="1">IFERROR(__xludf.DUMMYFUNCTION("""COMPUTED_VALUE"""),43971.6666666666)</f>
        <v>43971.666666666599</v>
      </c>
      <c r="B98" s="1">
        <f ca="1">IFERROR(__xludf.DUMMYFUNCTION("""COMPUTED_VALUE"""),79.81)</f>
        <v>79.81</v>
      </c>
      <c r="C98" s="1">
        <f ca="1">IFERROR(__xludf.DUMMYFUNCTION("""COMPUTED_VALUE"""),185.66)</f>
        <v>185.66</v>
      </c>
      <c r="D98" s="1">
        <f ca="1">IFERROR(__xludf.DUMMYFUNCTION("""COMPUTED_VALUE"""),124.9)</f>
        <v>124.9</v>
      </c>
      <c r="E98" s="1">
        <f ca="1">IFERROR(__xludf.DUMMYFUNCTION("""COMPUTED_VALUE"""),8.97)</f>
        <v>8.9700000000000006</v>
      </c>
      <c r="F98" s="1">
        <f ca="1">IFERROR(__xludf.DUMMYFUNCTION("""COMPUTED_VALUE"""),229.97)</f>
        <v>229.97</v>
      </c>
      <c r="G98" s="1">
        <f ca="1">IFERROR(__xludf.DUMMYFUNCTION("""COMPUTED_VALUE"""),70.34)</f>
        <v>70.34</v>
      </c>
      <c r="H98" s="1">
        <f ca="1">IFERROR(__xludf.DUMMYFUNCTION("""COMPUTED_VALUE"""),54.37)</f>
        <v>54.37</v>
      </c>
      <c r="I98" s="1">
        <f ca="1">IFERROR(__xludf.DUMMYFUNCTION("""COMPUTED_VALUE"""),131.26)</f>
        <v>131.26</v>
      </c>
      <c r="J98" s="1">
        <f ca="1">IFERROR(__xludf.DUMMYFUNCTION("""COMPUTED_VALUE"""),304.91)</f>
        <v>304.91000000000003</v>
      </c>
      <c r="K98" s="1">
        <f ca="1">IFERROR(__xludf.DUMMYFUNCTION("""COMPUTED_VALUE"""),27.87)</f>
        <v>27.87</v>
      </c>
      <c r="L98" s="1">
        <f ca="1">IFERROR(__xludf.DUMMYFUNCTION("""COMPUTED_VALUE"""),383.63)</f>
        <v>383.63</v>
      </c>
      <c r="M98" s="1">
        <f ca="1">IFERROR(__xludf.DUMMYFUNCTION("""COMPUTED_VALUE"""),447.67)</f>
        <v>447.67</v>
      </c>
      <c r="N98" s="1">
        <f ca="1">IFERROR(__xludf.DUMMYFUNCTION("""COMPUTED_VALUE"""),91.33)</f>
        <v>91.33</v>
      </c>
      <c r="O98" s="1">
        <f ca="1">IFERROR(__xludf.DUMMYFUNCTION("""COMPUTED_VALUE"""),193.86)</f>
        <v>193.86</v>
      </c>
      <c r="P98" s="1">
        <f ca="1">IFERROR(__xludf.DUMMYFUNCTION("""COMPUTED_VALUE"""),147.68)</f>
        <v>147.68</v>
      </c>
      <c r="Q98" s="1">
        <f ca="1">IFERROR(__xludf.DUMMYFUNCTION("""COMPUTED_VALUE"""),287.99)</f>
        <v>287.99</v>
      </c>
      <c r="R98" s="1">
        <f ca="1">IFERROR(__xludf.DUMMYFUNCTION("""COMPUTED_VALUE"""),45.37)</f>
        <v>45.37</v>
      </c>
      <c r="S98" s="1">
        <f ca="1">IFERROR(__xludf.DUMMYFUNCTION("""COMPUTED_VALUE"""),58.2)</f>
        <v>58.2</v>
      </c>
      <c r="T98" s="1">
        <f ca="1">IFERROR(__xludf.DUMMYFUNCTION("""COMPUTED_VALUE"""),41.82)</f>
        <v>41.82</v>
      </c>
      <c r="U98" s="1">
        <f ca="1">IFERROR(__xludf.DUMMYFUNCTION("""COMPUTED_VALUE"""),92.95)</f>
        <v>92.95</v>
      </c>
      <c r="V98" s="1">
        <f ca="1">IFERROR(__xludf.DUMMYFUNCTION("""COMPUTED_VALUE"""),115.69)</f>
        <v>115.69</v>
      </c>
      <c r="W98" s="1">
        <f ca="1">IFERROR(__xludf.DUMMYFUNCTION("""COMPUTED_VALUE"""),362.51)</f>
        <v>362.51</v>
      </c>
      <c r="X98" s="1">
        <f ca="1">IFERROR(__xludf.DUMMYFUNCTION("""COMPUTED_VALUE"""),325.64)</f>
        <v>325.64</v>
      </c>
      <c r="Y98" s="1">
        <f ca="1">IFERROR(__xludf.DUMMYFUNCTION("""COMPUTED_VALUE"""),51.84)</f>
        <v>51.84</v>
      </c>
      <c r="Z98" s="1">
        <f ca="1">IFERROR(__xludf.DUMMYFUNCTION("""COMPUTED_VALUE"""),181.44)</f>
        <v>181.44</v>
      </c>
      <c r="AA98" s="1">
        <f ca="1">IFERROR(__xludf.DUMMYFUNCTION("""COMPUTED_VALUE"""),35.65)</f>
        <v>35.65</v>
      </c>
      <c r="AB98" s="1">
        <f ca="1">IFERROR(__xludf.DUMMYFUNCTION("""COMPUTED_VALUE"""),77.76)</f>
        <v>77.760000000000005</v>
      </c>
      <c r="AC98" s="1">
        <f ca="1">IFERROR(__xludf.DUMMYFUNCTION("""COMPUTED_VALUE"""),56.39)</f>
        <v>56.39</v>
      </c>
    </row>
    <row r="99" spans="1:29" x14ac:dyDescent="0.25">
      <c r="A99" s="2">
        <f ca="1">IFERROR(__xludf.DUMMYFUNCTION("""COMPUTED_VALUE"""),43972.6666666666)</f>
        <v>43972.666666666599</v>
      </c>
      <c r="B99" s="1">
        <f ca="1">IFERROR(__xludf.DUMMYFUNCTION("""COMPUTED_VALUE"""),79.21)</f>
        <v>79.209999999999994</v>
      </c>
      <c r="C99" s="1">
        <f ca="1">IFERROR(__xludf.DUMMYFUNCTION("""COMPUTED_VALUE"""),183.43)</f>
        <v>183.43</v>
      </c>
      <c r="D99" s="1">
        <f ca="1">IFERROR(__xludf.DUMMYFUNCTION("""COMPUTED_VALUE"""),122.34)</f>
        <v>122.34</v>
      </c>
      <c r="E99" s="1">
        <f ca="1">IFERROR(__xludf.DUMMYFUNCTION("""COMPUTED_VALUE"""),8.78)</f>
        <v>8.7799999999999994</v>
      </c>
      <c r="F99" s="1">
        <f ca="1">IFERROR(__xludf.DUMMYFUNCTION("""COMPUTED_VALUE"""),231.39)</f>
        <v>231.39</v>
      </c>
      <c r="G99" s="1">
        <f ca="1">IFERROR(__xludf.DUMMYFUNCTION("""COMPUTED_VALUE"""),70.14)</f>
        <v>70.14</v>
      </c>
      <c r="H99" s="1">
        <f ca="1">IFERROR(__xludf.DUMMYFUNCTION("""COMPUTED_VALUE"""),55.17)</f>
        <v>55.17</v>
      </c>
      <c r="I99" s="1">
        <f ca="1">IFERROR(__xludf.DUMMYFUNCTION("""COMPUTED_VALUE"""),130.21)</f>
        <v>130.21</v>
      </c>
      <c r="J99" s="1">
        <f ca="1">IFERROR(__xludf.DUMMYFUNCTION("""COMPUTED_VALUE"""),301.97)</f>
        <v>301.97000000000003</v>
      </c>
      <c r="K99" s="1">
        <f ca="1">IFERROR(__xludf.DUMMYFUNCTION("""COMPUTED_VALUE"""),27.48)</f>
        <v>27.48</v>
      </c>
      <c r="L99" s="1">
        <f ca="1">IFERROR(__xludf.DUMMYFUNCTION("""COMPUTED_VALUE"""),382.17)</f>
        <v>382.17</v>
      </c>
      <c r="M99" s="1">
        <f ca="1">IFERROR(__xludf.DUMMYFUNCTION("""COMPUTED_VALUE"""),436.25)</f>
        <v>436.25</v>
      </c>
      <c r="N99" s="1">
        <f ca="1">IFERROR(__xludf.DUMMYFUNCTION("""COMPUTED_VALUE"""),90.17)</f>
        <v>90.17</v>
      </c>
      <c r="O99" s="1">
        <f ca="1">IFERROR(__xludf.DUMMYFUNCTION("""COMPUTED_VALUE"""),190.62)</f>
        <v>190.62</v>
      </c>
      <c r="P99" s="1">
        <f ca="1">IFERROR(__xludf.DUMMYFUNCTION("""COMPUTED_VALUE"""),146.71)</f>
        <v>146.71</v>
      </c>
      <c r="Q99" s="1">
        <f ca="1">IFERROR(__xludf.DUMMYFUNCTION("""COMPUTED_VALUE"""),286.91)</f>
        <v>286.91000000000003</v>
      </c>
      <c r="R99" s="1">
        <f ca="1">IFERROR(__xludf.DUMMYFUNCTION("""COMPUTED_VALUE"""),44.56)</f>
        <v>44.56</v>
      </c>
      <c r="S99" s="1">
        <f ca="1">IFERROR(__xludf.DUMMYFUNCTION("""COMPUTED_VALUE"""),57.23)</f>
        <v>57.23</v>
      </c>
      <c r="T99" s="1">
        <f ca="1">IFERROR(__xludf.DUMMYFUNCTION("""COMPUTED_VALUE"""),41.66)</f>
        <v>41.66</v>
      </c>
      <c r="U99" s="1">
        <f ca="1">IFERROR(__xludf.DUMMYFUNCTION("""COMPUTED_VALUE"""),94.26)</f>
        <v>94.26</v>
      </c>
      <c r="V99" s="1">
        <f ca="1">IFERROR(__xludf.DUMMYFUNCTION("""COMPUTED_VALUE"""),114.06)</f>
        <v>114.06</v>
      </c>
      <c r="W99" s="1">
        <f ca="1">IFERROR(__xludf.DUMMYFUNCTION("""COMPUTED_VALUE"""),368.82)</f>
        <v>368.82</v>
      </c>
      <c r="X99" s="1">
        <f ca="1">IFERROR(__xludf.DUMMYFUNCTION("""COMPUTED_VALUE"""),318.99)</f>
        <v>318.99</v>
      </c>
      <c r="Y99" s="1">
        <f ca="1">IFERROR(__xludf.DUMMYFUNCTION("""COMPUTED_VALUE"""),50.75)</f>
        <v>50.75</v>
      </c>
      <c r="Z99" s="1">
        <f ca="1">IFERROR(__xludf.DUMMYFUNCTION("""COMPUTED_VALUE"""),180.1)</f>
        <v>180.1</v>
      </c>
      <c r="AA99" s="1">
        <f ca="1">IFERROR(__xludf.DUMMYFUNCTION("""COMPUTED_VALUE"""),35.3)</f>
        <v>35.299999999999997</v>
      </c>
      <c r="AB99" s="1">
        <f ca="1">IFERROR(__xludf.DUMMYFUNCTION("""COMPUTED_VALUE"""),78.05)</f>
        <v>78.05</v>
      </c>
      <c r="AC99" s="1">
        <f ca="1">IFERROR(__xludf.DUMMYFUNCTION("""COMPUTED_VALUE"""),54.65)</f>
        <v>54.65</v>
      </c>
    </row>
    <row r="100" spans="1:29" x14ac:dyDescent="0.25">
      <c r="A100" s="2">
        <f ca="1">IFERROR(__xludf.DUMMYFUNCTION("""COMPUTED_VALUE"""),43973.6666666666)</f>
        <v>43973.666666666599</v>
      </c>
      <c r="B100" s="1">
        <f ca="1">IFERROR(__xludf.DUMMYFUNCTION("""COMPUTED_VALUE"""),79.72)</f>
        <v>79.72</v>
      </c>
      <c r="C100" s="1">
        <f ca="1">IFERROR(__xludf.DUMMYFUNCTION("""COMPUTED_VALUE"""),183.51)</f>
        <v>183.51</v>
      </c>
      <c r="D100" s="1">
        <f ca="1">IFERROR(__xludf.DUMMYFUNCTION("""COMPUTED_VALUE"""),121.84)</f>
        <v>121.84</v>
      </c>
      <c r="E100" s="1">
        <f ca="1">IFERROR(__xludf.DUMMYFUNCTION("""COMPUTED_VALUE"""),9.03)</f>
        <v>9.0299999999999994</v>
      </c>
      <c r="F100" s="1">
        <f ca="1">IFERROR(__xludf.DUMMYFUNCTION("""COMPUTED_VALUE"""),234.91)</f>
        <v>234.91</v>
      </c>
      <c r="G100" s="1">
        <f ca="1">IFERROR(__xludf.DUMMYFUNCTION("""COMPUTED_VALUE"""),70.52)</f>
        <v>70.52</v>
      </c>
      <c r="H100" s="1">
        <f ca="1">IFERROR(__xludf.DUMMYFUNCTION("""COMPUTED_VALUE"""),54.46)</f>
        <v>54.46</v>
      </c>
      <c r="I100" s="1">
        <f ca="1">IFERROR(__xludf.DUMMYFUNCTION("""COMPUTED_VALUE"""),130.48)</f>
        <v>130.47999999999999</v>
      </c>
      <c r="J100" s="1">
        <f ca="1">IFERROR(__xludf.DUMMYFUNCTION("""COMPUTED_VALUE"""),302.43)</f>
        <v>302.43</v>
      </c>
      <c r="K100" s="1">
        <f ca="1">IFERROR(__xludf.DUMMYFUNCTION("""COMPUTED_VALUE"""),27.67)</f>
        <v>27.67</v>
      </c>
      <c r="L100" s="1">
        <f ca="1">IFERROR(__xludf.DUMMYFUNCTION("""COMPUTED_VALUE"""),385.26)</f>
        <v>385.26</v>
      </c>
      <c r="M100" s="1">
        <f ca="1">IFERROR(__xludf.DUMMYFUNCTION("""COMPUTED_VALUE"""),429.32)</f>
        <v>429.32</v>
      </c>
      <c r="N100" s="1">
        <f ca="1">IFERROR(__xludf.DUMMYFUNCTION("""COMPUTED_VALUE"""),89.47)</f>
        <v>89.47</v>
      </c>
      <c r="O100" s="1">
        <f ca="1">IFERROR(__xludf.DUMMYFUNCTION("""COMPUTED_VALUE"""),190.86)</f>
        <v>190.86</v>
      </c>
      <c r="P100" s="1">
        <f ca="1">IFERROR(__xludf.DUMMYFUNCTION("""COMPUTED_VALUE"""),144.37)</f>
        <v>144.37</v>
      </c>
      <c r="Q100" s="1">
        <f ca="1">IFERROR(__xludf.DUMMYFUNCTION("""COMPUTED_VALUE"""),289.94)</f>
        <v>289.94</v>
      </c>
      <c r="R100" s="1">
        <f ca="1">IFERROR(__xludf.DUMMYFUNCTION("""COMPUTED_VALUE"""),44.6)</f>
        <v>44.6</v>
      </c>
      <c r="S100" s="1">
        <f ca="1">IFERROR(__xludf.DUMMYFUNCTION("""COMPUTED_VALUE"""),58.46)</f>
        <v>58.46</v>
      </c>
      <c r="T100" s="1">
        <f ca="1">IFERROR(__xludf.DUMMYFUNCTION("""COMPUTED_VALUE"""),41.44)</f>
        <v>41.44</v>
      </c>
      <c r="U100" s="1">
        <f ca="1">IFERROR(__xludf.DUMMYFUNCTION("""COMPUTED_VALUE"""),93.75)</f>
        <v>93.75</v>
      </c>
      <c r="V100" s="1">
        <f ca="1">IFERROR(__xludf.DUMMYFUNCTION("""COMPUTED_VALUE"""),112.47)</f>
        <v>112.47</v>
      </c>
      <c r="W100" s="1">
        <f ca="1">IFERROR(__xludf.DUMMYFUNCTION("""COMPUTED_VALUE"""),369)</f>
        <v>369</v>
      </c>
      <c r="X100" s="1">
        <f ca="1">IFERROR(__xludf.DUMMYFUNCTION("""COMPUTED_VALUE"""),319.36)</f>
        <v>319.36</v>
      </c>
      <c r="Y100" s="1">
        <f ca="1">IFERROR(__xludf.DUMMYFUNCTION("""COMPUTED_VALUE"""),49.8)</f>
        <v>49.8</v>
      </c>
      <c r="Z100" s="1">
        <f ca="1">IFERROR(__xludf.DUMMYFUNCTION("""COMPUTED_VALUE"""),179.93)</f>
        <v>179.93</v>
      </c>
      <c r="AA100" s="1">
        <f ca="1">IFERROR(__xludf.DUMMYFUNCTION("""COMPUTED_VALUE"""),35.53)</f>
        <v>35.53</v>
      </c>
      <c r="AB100" s="1">
        <f ca="1">IFERROR(__xludf.DUMMYFUNCTION("""COMPUTED_VALUE"""),77.62)</f>
        <v>77.62</v>
      </c>
      <c r="AC100" s="1">
        <f ca="1">IFERROR(__xludf.DUMMYFUNCTION("""COMPUTED_VALUE"""),55.17)</f>
        <v>55.17</v>
      </c>
    </row>
    <row r="101" spans="1:29" x14ac:dyDescent="0.25">
      <c r="A101" s="2">
        <f ca="1">IFERROR(__xludf.DUMMYFUNCTION("""COMPUTED_VALUE"""),43977.6666666666)</f>
        <v>43977.666666666599</v>
      </c>
      <c r="B101" s="1">
        <f ca="1">IFERROR(__xludf.DUMMYFUNCTION("""COMPUTED_VALUE"""),79.18)</f>
        <v>79.180000000000007</v>
      </c>
      <c r="C101" s="1">
        <f ca="1">IFERROR(__xludf.DUMMYFUNCTION("""COMPUTED_VALUE"""),181.57)</f>
        <v>181.57</v>
      </c>
      <c r="D101" s="1">
        <f ca="1">IFERROR(__xludf.DUMMYFUNCTION("""COMPUTED_VALUE"""),121.09)</f>
        <v>121.09</v>
      </c>
      <c r="E101" s="1">
        <f ca="1">IFERROR(__xludf.DUMMYFUNCTION("""COMPUTED_VALUE"""),8.72)</f>
        <v>8.7200000000000006</v>
      </c>
      <c r="F101" s="1">
        <f ca="1">IFERROR(__xludf.DUMMYFUNCTION("""COMPUTED_VALUE"""),232.2)</f>
        <v>232.2</v>
      </c>
      <c r="G101" s="1">
        <f ca="1">IFERROR(__xludf.DUMMYFUNCTION("""COMPUTED_VALUE"""),70.85)</f>
        <v>70.849999999999994</v>
      </c>
      <c r="H101" s="1">
        <f ca="1">IFERROR(__xludf.DUMMYFUNCTION("""COMPUTED_VALUE"""),54.59)</f>
        <v>54.59</v>
      </c>
      <c r="I101" s="1">
        <f ca="1">IFERROR(__xludf.DUMMYFUNCTION("""COMPUTED_VALUE"""),129.75)</f>
        <v>129.75</v>
      </c>
      <c r="J101" s="1">
        <f ca="1">IFERROR(__xludf.DUMMYFUNCTION("""COMPUTED_VALUE"""),304.8)</f>
        <v>304.8</v>
      </c>
      <c r="K101" s="1">
        <f ca="1">IFERROR(__xludf.DUMMYFUNCTION("""COMPUTED_VALUE"""),28.2)</f>
        <v>28.2</v>
      </c>
      <c r="L101" s="1">
        <f ca="1">IFERROR(__xludf.DUMMYFUNCTION("""COMPUTED_VALUE"""),376.63)</f>
        <v>376.63</v>
      </c>
      <c r="M101" s="1">
        <f ca="1">IFERROR(__xludf.DUMMYFUNCTION("""COMPUTED_VALUE"""),414.77)</f>
        <v>414.77</v>
      </c>
      <c r="N101" s="1">
        <f ca="1">IFERROR(__xludf.DUMMYFUNCTION("""COMPUTED_VALUE"""),95.82)</f>
        <v>95.82</v>
      </c>
      <c r="O101" s="1">
        <f ca="1">IFERROR(__xludf.DUMMYFUNCTION("""COMPUTED_VALUE"""),193.22)</f>
        <v>193.22</v>
      </c>
      <c r="P101" s="1">
        <f ca="1">IFERROR(__xludf.DUMMYFUNCTION("""COMPUTED_VALUE"""),144.56)</f>
        <v>144.56</v>
      </c>
      <c r="Q101" s="1">
        <f ca="1">IFERROR(__xludf.DUMMYFUNCTION("""COMPUTED_VALUE"""),294.89)</f>
        <v>294.89</v>
      </c>
      <c r="R101" s="1">
        <f ca="1">IFERROR(__xludf.DUMMYFUNCTION("""COMPUTED_VALUE"""),45.91)</f>
        <v>45.91</v>
      </c>
      <c r="S101" s="1">
        <f ca="1">IFERROR(__xludf.DUMMYFUNCTION("""COMPUTED_VALUE"""),58.58)</f>
        <v>58.58</v>
      </c>
      <c r="T101" s="1">
        <f ca="1">IFERROR(__xludf.DUMMYFUNCTION("""COMPUTED_VALUE"""),41.29)</f>
        <v>41.29</v>
      </c>
      <c r="U101" s="1">
        <f ca="1">IFERROR(__xludf.DUMMYFUNCTION("""COMPUTED_VALUE"""),96.62)</f>
        <v>96.62</v>
      </c>
      <c r="V101" s="1">
        <f ca="1">IFERROR(__xludf.DUMMYFUNCTION("""COMPUTED_VALUE"""),117.41)</f>
        <v>117.41</v>
      </c>
      <c r="W101" s="1">
        <f ca="1">IFERROR(__xludf.DUMMYFUNCTION("""COMPUTED_VALUE"""),372.2)</f>
        <v>372.2</v>
      </c>
      <c r="X101" s="1">
        <f ca="1">IFERROR(__xludf.DUMMYFUNCTION("""COMPUTED_VALUE"""),319.86)</f>
        <v>319.86</v>
      </c>
      <c r="Y101" s="1">
        <f ca="1">IFERROR(__xludf.DUMMYFUNCTION("""COMPUTED_VALUE"""),50.82)</f>
        <v>50.82</v>
      </c>
      <c r="Z101" s="1">
        <f ca="1">IFERROR(__xludf.DUMMYFUNCTION("""COMPUTED_VALUE"""),196.06)</f>
        <v>196.06</v>
      </c>
      <c r="AA101" s="1">
        <f ca="1">IFERROR(__xludf.DUMMYFUNCTION("""COMPUTED_VALUE"""),35.52)</f>
        <v>35.520000000000003</v>
      </c>
      <c r="AB101" s="1">
        <f ca="1">IFERROR(__xludf.DUMMYFUNCTION("""COMPUTED_VALUE"""),77.76)</f>
        <v>77.760000000000005</v>
      </c>
      <c r="AC101" s="1">
        <f ca="1">IFERROR(__xludf.DUMMYFUNCTION("""COMPUTED_VALUE"""),53.19)</f>
        <v>53.19</v>
      </c>
    </row>
    <row r="102" spans="1:29" x14ac:dyDescent="0.25">
      <c r="A102" s="2">
        <f ca="1">IFERROR(__xludf.DUMMYFUNCTION("""COMPUTED_VALUE"""),43978.6666666666)</f>
        <v>43978.666666666599</v>
      </c>
      <c r="B102" s="1">
        <f ca="1">IFERROR(__xludf.DUMMYFUNCTION("""COMPUTED_VALUE"""),79.53)</f>
        <v>79.53</v>
      </c>
      <c r="C102" s="1">
        <f ca="1">IFERROR(__xludf.DUMMYFUNCTION("""COMPUTED_VALUE"""),181.81)</f>
        <v>181.81</v>
      </c>
      <c r="D102" s="1">
        <f ca="1">IFERROR(__xludf.DUMMYFUNCTION("""COMPUTED_VALUE"""),120.52)</f>
        <v>120.52</v>
      </c>
      <c r="E102" s="1">
        <f ca="1">IFERROR(__xludf.DUMMYFUNCTION("""COMPUTED_VALUE"""),8.53)</f>
        <v>8.5299999999999994</v>
      </c>
      <c r="F102" s="1">
        <f ca="1">IFERROR(__xludf.DUMMYFUNCTION("""COMPUTED_VALUE"""),229.14)</f>
        <v>229.14</v>
      </c>
      <c r="G102" s="1">
        <f ca="1">IFERROR(__xludf.DUMMYFUNCTION("""COMPUTED_VALUE"""),70.89)</f>
        <v>70.89</v>
      </c>
      <c r="H102" s="1">
        <f ca="1">IFERROR(__xludf.DUMMYFUNCTION("""COMPUTED_VALUE"""),54.68)</f>
        <v>54.68</v>
      </c>
      <c r="I102" s="1">
        <f ca="1">IFERROR(__xludf.DUMMYFUNCTION("""COMPUTED_VALUE"""),130.81)</f>
        <v>130.81</v>
      </c>
      <c r="J102" s="1">
        <f ca="1">IFERROR(__xludf.DUMMYFUNCTION("""COMPUTED_VALUE"""),306.01)</f>
        <v>306.01</v>
      </c>
      <c r="K102" s="1">
        <f ca="1">IFERROR(__xludf.DUMMYFUNCTION("""COMPUTED_VALUE"""),28.76)</f>
        <v>28.76</v>
      </c>
      <c r="L102" s="1">
        <f ca="1">IFERROR(__xludf.DUMMYFUNCTION("""COMPUTED_VALUE"""),375.17)</f>
        <v>375.17</v>
      </c>
      <c r="M102" s="1">
        <f ca="1">IFERROR(__xludf.DUMMYFUNCTION("""COMPUTED_VALUE"""),419.89)</f>
        <v>419.89</v>
      </c>
      <c r="N102" s="1">
        <f ca="1">IFERROR(__xludf.DUMMYFUNCTION("""COMPUTED_VALUE"""),101.37)</f>
        <v>101.37</v>
      </c>
      <c r="O102" s="1">
        <f ca="1">IFERROR(__xludf.DUMMYFUNCTION("""COMPUTED_VALUE"""),192.82)</f>
        <v>192.82</v>
      </c>
      <c r="P102" s="1">
        <f ca="1">IFERROR(__xludf.DUMMYFUNCTION("""COMPUTED_VALUE"""),144.89)</f>
        <v>144.88999999999999</v>
      </c>
      <c r="Q102" s="1">
        <f ca="1">IFERROR(__xludf.DUMMYFUNCTION("""COMPUTED_VALUE"""),303.77)</f>
        <v>303.77</v>
      </c>
      <c r="R102" s="1">
        <f ca="1">IFERROR(__xludf.DUMMYFUNCTION("""COMPUTED_VALUE"""),46.24)</f>
        <v>46.24</v>
      </c>
      <c r="S102" s="1">
        <f ca="1">IFERROR(__xludf.DUMMYFUNCTION("""COMPUTED_VALUE"""),60.28)</f>
        <v>60.28</v>
      </c>
      <c r="T102" s="1">
        <f ca="1">IFERROR(__xludf.DUMMYFUNCTION("""COMPUTED_VALUE"""),40.83)</f>
        <v>40.83</v>
      </c>
      <c r="U102" s="1">
        <f ca="1">IFERROR(__xludf.DUMMYFUNCTION("""COMPUTED_VALUE"""),99.87)</f>
        <v>99.87</v>
      </c>
      <c r="V102" s="1">
        <f ca="1">IFERROR(__xludf.DUMMYFUNCTION("""COMPUTED_VALUE"""),122.42)</f>
        <v>122.42</v>
      </c>
      <c r="W102" s="1">
        <f ca="1">IFERROR(__xludf.DUMMYFUNCTION("""COMPUTED_VALUE"""),397.12)</f>
        <v>397.12</v>
      </c>
      <c r="X102" s="1">
        <f ca="1">IFERROR(__xludf.DUMMYFUNCTION("""COMPUTED_VALUE"""),318.53)</f>
        <v>318.52999999999997</v>
      </c>
      <c r="Y102" s="1">
        <f ca="1">IFERROR(__xludf.DUMMYFUNCTION("""COMPUTED_VALUE"""),51.74)</f>
        <v>51.74</v>
      </c>
      <c r="Z102" s="1">
        <f ca="1">IFERROR(__xludf.DUMMYFUNCTION("""COMPUTED_VALUE"""),209.66)</f>
        <v>209.66</v>
      </c>
      <c r="AA102" s="1">
        <f ca="1">IFERROR(__xludf.DUMMYFUNCTION("""COMPUTED_VALUE"""),35.44)</f>
        <v>35.44</v>
      </c>
      <c r="AB102" s="1">
        <f ca="1">IFERROR(__xludf.DUMMYFUNCTION("""COMPUTED_VALUE"""),78.6)</f>
        <v>78.599999999999994</v>
      </c>
      <c r="AC102" s="1">
        <f ca="1">IFERROR(__xludf.DUMMYFUNCTION("""COMPUTED_VALUE"""),52.74)</f>
        <v>52.74</v>
      </c>
    </row>
    <row r="103" spans="1:29" x14ac:dyDescent="0.25">
      <c r="A103" s="2">
        <f ca="1">IFERROR(__xludf.DUMMYFUNCTION("""COMPUTED_VALUE"""),43979.6666666666)</f>
        <v>43979.666666666599</v>
      </c>
      <c r="B103" s="1">
        <f ca="1">IFERROR(__xludf.DUMMYFUNCTION("""COMPUTED_VALUE"""),79.56)</f>
        <v>79.56</v>
      </c>
      <c r="C103" s="1">
        <f ca="1">IFERROR(__xludf.DUMMYFUNCTION("""COMPUTED_VALUE"""),181.4)</f>
        <v>181.4</v>
      </c>
      <c r="D103" s="1">
        <f ca="1">IFERROR(__xludf.DUMMYFUNCTION("""COMPUTED_VALUE"""),120.06)</f>
        <v>120.06</v>
      </c>
      <c r="E103" s="1">
        <f ca="1">IFERROR(__xludf.DUMMYFUNCTION("""COMPUTED_VALUE"""),8.49)</f>
        <v>8.49</v>
      </c>
      <c r="F103" s="1">
        <f ca="1">IFERROR(__xludf.DUMMYFUNCTION("""COMPUTED_VALUE"""),225.46)</f>
        <v>225.46</v>
      </c>
      <c r="G103" s="1">
        <f ca="1">IFERROR(__xludf.DUMMYFUNCTION("""COMPUTED_VALUE"""),70.84)</f>
        <v>70.84</v>
      </c>
      <c r="H103" s="1">
        <f ca="1">IFERROR(__xludf.DUMMYFUNCTION("""COMPUTED_VALUE"""),53.72)</f>
        <v>53.72</v>
      </c>
      <c r="I103" s="1">
        <f ca="1">IFERROR(__xludf.DUMMYFUNCTION("""COMPUTED_VALUE"""),132.29)</f>
        <v>132.29</v>
      </c>
      <c r="J103" s="1">
        <f ca="1">IFERROR(__xludf.DUMMYFUNCTION("""COMPUTED_VALUE"""),309.56)</f>
        <v>309.56</v>
      </c>
      <c r="K103" s="1">
        <f ca="1">IFERROR(__xludf.DUMMYFUNCTION("""COMPUTED_VALUE"""),28.31)</f>
        <v>28.31</v>
      </c>
      <c r="L103" s="1">
        <f ca="1">IFERROR(__xludf.DUMMYFUNCTION("""COMPUTED_VALUE"""),379.83)</f>
        <v>379.83</v>
      </c>
      <c r="M103" s="1">
        <f ca="1">IFERROR(__xludf.DUMMYFUNCTION("""COMPUTED_VALUE"""),413.44)</f>
        <v>413.44</v>
      </c>
      <c r="N103" s="1">
        <f ca="1">IFERROR(__xludf.DUMMYFUNCTION("""COMPUTED_VALUE"""),99.86)</f>
        <v>99.86</v>
      </c>
      <c r="O103" s="1">
        <f ca="1">IFERROR(__xludf.DUMMYFUNCTION("""COMPUTED_VALUE"""),194.26)</f>
        <v>194.26</v>
      </c>
      <c r="P103" s="1">
        <f ca="1">IFERROR(__xludf.DUMMYFUNCTION("""COMPUTED_VALUE"""),146.97)</f>
        <v>146.97</v>
      </c>
      <c r="Q103" s="1">
        <f ca="1">IFERROR(__xludf.DUMMYFUNCTION("""COMPUTED_VALUE"""),303.97)</f>
        <v>303.97000000000003</v>
      </c>
      <c r="R103" s="1">
        <f ca="1">IFERROR(__xludf.DUMMYFUNCTION("""COMPUTED_VALUE"""),45.04)</f>
        <v>45.04</v>
      </c>
      <c r="S103" s="1">
        <f ca="1">IFERROR(__xludf.DUMMYFUNCTION("""COMPUTED_VALUE"""),62.84)</f>
        <v>62.84</v>
      </c>
      <c r="T103" s="1">
        <f ca="1">IFERROR(__xludf.DUMMYFUNCTION("""COMPUTED_VALUE"""),41.23)</f>
        <v>41.23</v>
      </c>
      <c r="U103" s="1">
        <f ca="1">IFERROR(__xludf.DUMMYFUNCTION("""COMPUTED_VALUE"""),98.46)</f>
        <v>98.46</v>
      </c>
      <c r="V103" s="1">
        <f ca="1">IFERROR(__xludf.DUMMYFUNCTION("""COMPUTED_VALUE"""),120.74)</f>
        <v>120.74</v>
      </c>
      <c r="W103" s="1">
        <f ca="1">IFERROR(__xludf.DUMMYFUNCTION("""COMPUTED_VALUE"""),398.44)</f>
        <v>398.44</v>
      </c>
      <c r="X103" s="1">
        <f ca="1">IFERROR(__xludf.DUMMYFUNCTION("""COMPUTED_VALUE"""),319.97)</f>
        <v>319.97000000000003</v>
      </c>
      <c r="Y103" s="1">
        <f ca="1">IFERROR(__xludf.DUMMYFUNCTION("""COMPUTED_VALUE"""),50.28)</f>
        <v>50.28</v>
      </c>
      <c r="Z103" s="1">
        <f ca="1">IFERROR(__xludf.DUMMYFUNCTION("""COMPUTED_VALUE"""),201.22)</f>
        <v>201.22</v>
      </c>
      <c r="AA103" s="1">
        <f ca="1">IFERROR(__xludf.DUMMYFUNCTION("""COMPUTED_VALUE"""),36.17)</f>
        <v>36.17</v>
      </c>
      <c r="AB103" s="1">
        <f ca="1">IFERROR(__xludf.DUMMYFUNCTION("""COMPUTED_VALUE"""),78.54)</f>
        <v>78.540000000000006</v>
      </c>
      <c r="AC103" s="1">
        <f ca="1">IFERROR(__xludf.DUMMYFUNCTION("""COMPUTED_VALUE"""),51.74)</f>
        <v>51.74</v>
      </c>
    </row>
    <row r="104" spans="1:29" x14ac:dyDescent="0.25">
      <c r="A104" s="2">
        <f ca="1">IFERROR(__xludf.DUMMYFUNCTION("""COMPUTED_VALUE"""),43980.6666666666)</f>
        <v>43980.666666666599</v>
      </c>
      <c r="B104" s="1">
        <f ca="1">IFERROR(__xludf.DUMMYFUNCTION("""COMPUTED_VALUE"""),79.49)</f>
        <v>79.489999999999995</v>
      </c>
      <c r="C104" s="1">
        <f ca="1">IFERROR(__xludf.DUMMYFUNCTION("""COMPUTED_VALUE"""),183.25)</f>
        <v>183.25</v>
      </c>
      <c r="D104" s="1">
        <f ca="1">IFERROR(__xludf.DUMMYFUNCTION("""COMPUTED_VALUE"""),122.12)</f>
        <v>122.12</v>
      </c>
      <c r="E104" s="1">
        <f ca="1">IFERROR(__xludf.DUMMYFUNCTION("""COMPUTED_VALUE"""),8.88)</f>
        <v>8.8800000000000008</v>
      </c>
      <c r="F104" s="1">
        <f ca="1">IFERROR(__xludf.DUMMYFUNCTION("""COMPUTED_VALUE"""),225.09)</f>
        <v>225.09</v>
      </c>
      <c r="G104" s="1">
        <f ca="1">IFERROR(__xludf.DUMMYFUNCTION("""COMPUTED_VALUE"""),71.45)</f>
        <v>71.45</v>
      </c>
      <c r="H104" s="1">
        <f ca="1">IFERROR(__xludf.DUMMYFUNCTION("""COMPUTED_VALUE"""),55.67)</f>
        <v>55.67</v>
      </c>
      <c r="I104" s="1">
        <f ca="1">IFERROR(__xludf.DUMMYFUNCTION("""COMPUTED_VALUE"""),131.55)</f>
        <v>131.55000000000001</v>
      </c>
      <c r="J104" s="1">
        <f ca="1">IFERROR(__xludf.DUMMYFUNCTION("""COMPUTED_VALUE"""),308.47)</f>
        <v>308.47000000000003</v>
      </c>
      <c r="K104" s="1">
        <f ca="1">IFERROR(__xludf.DUMMYFUNCTION("""COMPUTED_VALUE"""),29.13)</f>
        <v>29.13</v>
      </c>
      <c r="L104" s="1">
        <f ca="1">IFERROR(__xludf.DUMMYFUNCTION("""COMPUTED_VALUE"""),386.6)</f>
        <v>386.6</v>
      </c>
      <c r="M104" s="1">
        <f ca="1">IFERROR(__xludf.DUMMYFUNCTION("""COMPUTED_VALUE"""),419.73)</f>
        <v>419.73</v>
      </c>
      <c r="N104" s="1">
        <f ca="1">IFERROR(__xludf.DUMMYFUNCTION("""COMPUTED_VALUE"""),97.31)</f>
        <v>97.31</v>
      </c>
      <c r="O104" s="1">
        <f ca="1">IFERROR(__xludf.DUMMYFUNCTION("""COMPUTED_VALUE"""),195.24)</f>
        <v>195.24</v>
      </c>
      <c r="P104" s="1">
        <f ca="1">IFERROR(__xludf.DUMMYFUNCTION("""COMPUTED_VALUE"""),148.75)</f>
        <v>148.75</v>
      </c>
      <c r="Q104" s="1">
        <f ca="1">IFERROR(__xludf.DUMMYFUNCTION("""COMPUTED_VALUE"""),304.85)</f>
        <v>304.85000000000002</v>
      </c>
      <c r="R104" s="1">
        <f ca="1">IFERROR(__xludf.DUMMYFUNCTION("""COMPUTED_VALUE"""),45.47)</f>
        <v>45.47</v>
      </c>
      <c r="S104" s="1">
        <f ca="1">IFERROR(__xludf.DUMMYFUNCTION("""COMPUTED_VALUE"""),63.89)</f>
        <v>63.89</v>
      </c>
      <c r="T104" s="1">
        <f ca="1">IFERROR(__xludf.DUMMYFUNCTION("""COMPUTED_VALUE"""),41.35)</f>
        <v>41.35</v>
      </c>
      <c r="U104" s="1">
        <f ca="1">IFERROR(__xludf.DUMMYFUNCTION("""COMPUTED_VALUE"""),98.58)</f>
        <v>98.58</v>
      </c>
      <c r="V104" s="1">
        <f ca="1">IFERROR(__xludf.DUMMYFUNCTION("""COMPUTED_VALUE"""),120.13)</f>
        <v>120.13</v>
      </c>
      <c r="W104" s="1">
        <f ca="1">IFERROR(__xludf.DUMMYFUNCTION("""COMPUTED_VALUE"""),388.44)</f>
        <v>388.44</v>
      </c>
      <c r="X104" s="1">
        <f ca="1">IFERROR(__xludf.DUMMYFUNCTION("""COMPUTED_VALUE"""),329.51)</f>
        <v>329.51</v>
      </c>
      <c r="Y104" s="1">
        <f ca="1">IFERROR(__xludf.DUMMYFUNCTION("""COMPUTED_VALUE"""),50.33)</f>
        <v>50.33</v>
      </c>
      <c r="Z104" s="1">
        <f ca="1">IFERROR(__xludf.DUMMYFUNCTION("""COMPUTED_VALUE"""),196.49)</f>
        <v>196.49</v>
      </c>
      <c r="AA104" s="1">
        <f ca="1">IFERROR(__xludf.DUMMYFUNCTION("""COMPUTED_VALUE"""),36.18)</f>
        <v>36.18</v>
      </c>
      <c r="AB104" s="1">
        <f ca="1">IFERROR(__xludf.DUMMYFUNCTION("""COMPUTED_VALUE"""),77.99)</f>
        <v>77.989999999999995</v>
      </c>
      <c r="AC104" s="1">
        <f ca="1">IFERROR(__xludf.DUMMYFUNCTION("""COMPUTED_VALUE"""),53.8)</f>
        <v>53.8</v>
      </c>
    </row>
    <row r="105" spans="1:29" x14ac:dyDescent="0.25">
      <c r="A105" s="2">
        <f ca="1">IFERROR(__xludf.DUMMYFUNCTION("""COMPUTED_VALUE"""),43983.6666666666)</f>
        <v>43983.666666666599</v>
      </c>
      <c r="B105" s="1">
        <f ca="1">IFERROR(__xludf.DUMMYFUNCTION("""COMPUTED_VALUE"""),80.46)</f>
        <v>80.459999999999994</v>
      </c>
      <c r="C105" s="1">
        <f ca="1">IFERROR(__xludf.DUMMYFUNCTION("""COMPUTED_VALUE"""),182.83)</f>
        <v>182.83</v>
      </c>
      <c r="D105" s="1">
        <f ca="1">IFERROR(__xludf.DUMMYFUNCTION("""COMPUTED_VALUE"""),123.55)</f>
        <v>123.55</v>
      </c>
      <c r="E105" s="1">
        <f ca="1">IFERROR(__xludf.DUMMYFUNCTION("""COMPUTED_VALUE"""),8.81)</f>
        <v>8.81</v>
      </c>
      <c r="F105" s="1">
        <f ca="1">IFERROR(__xludf.DUMMYFUNCTION("""COMPUTED_VALUE"""),231.91)</f>
        <v>231.91</v>
      </c>
      <c r="G105" s="1">
        <f ca="1">IFERROR(__xludf.DUMMYFUNCTION("""COMPUTED_VALUE"""),71.59)</f>
        <v>71.59</v>
      </c>
      <c r="H105" s="1">
        <f ca="1">IFERROR(__xludf.DUMMYFUNCTION("""COMPUTED_VALUE"""),59.87)</f>
        <v>59.87</v>
      </c>
      <c r="I105" s="1">
        <f ca="1">IFERROR(__xludf.DUMMYFUNCTION("""COMPUTED_VALUE"""),132.99)</f>
        <v>132.99</v>
      </c>
      <c r="J105" s="1">
        <f ca="1">IFERROR(__xludf.DUMMYFUNCTION("""COMPUTED_VALUE"""),308.29)</f>
        <v>308.29000000000002</v>
      </c>
      <c r="K105" s="1">
        <f ca="1">IFERROR(__xludf.DUMMYFUNCTION("""COMPUTED_VALUE"""),29)</f>
        <v>29</v>
      </c>
      <c r="L105" s="1">
        <f ca="1">IFERROR(__xludf.DUMMYFUNCTION("""COMPUTED_VALUE"""),389.68)</f>
        <v>389.68</v>
      </c>
      <c r="M105" s="1">
        <f ca="1">IFERROR(__xludf.DUMMYFUNCTION("""COMPUTED_VALUE"""),425.92)</f>
        <v>425.92</v>
      </c>
      <c r="N105" s="1">
        <f ca="1">IFERROR(__xludf.DUMMYFUNCTION("""COMPUTED_VALUE"""),98.6)</f>
        <v>98.6</v>
      </c>
      <c r="O105" s="1">
        <f ca="1">IFERROR(__xludf.DUMMYFUNCTION("""COMPUTED_VALUE"""),194.35)</f>
        <v>194.35</v>
      </c>
      <c r="P105" s="1">
        <f ca="1">IFERROR(__xludf.DUMMYFUNCTION("""COMPUTED_VALUE"""),147.19)</f>
        <v>147.19</v>
      </c>
      <c r="Q105" s="1">
        <f ca="1">IFERROR(__xludf.DUMMYFUNCTION("""COMPUTED_VALUE"""),305.93)</f>
        <v>305.93</v>
      </c>
      <c r="R105" s="1">
        <f ca="1">IFERROR(__xludf.DUMMYFUNCTION("""COMPUTED_VALUE"""),46.28)</f>
        <v>46.28</v>
      </c>
      <c r="S105" s="1">
        <f ca="1">IFERROR(__xludf.DUMMYFUNCTION("""COMPUTED_VALUE"""),63.91)</f>
        <v>63.91</v>
      </c>
      <c r="T105" s="1">
        <f ca="1">IFERROR(__xludf.DUMMYFUNCTION("""COMPUTED_VALUE"""),41.32)</f>
        <v>41.32</v>
      </c>
      <c r="U105" s="1">
        <f ca="1">IFERROR(__xludf.DUMMYFUNCTION("""COMPUTED_VALUE"""),99.54)</f>
        <v>99.54</v>
      </c>
      <c r="V105" s="1">
        <f ca="1">IFERROR(__xludf.DUMMYFUNCTION("""COMPUTED_VALUE"""),120.5)</f>
        <v>120.5</v>
      </c>
      <c r="W105" s="1">
        <f ca="1">IFERROR(__xludf.DUMMYFUNCTION("""COMPUTED_VALUE"""),388.96)</f>
        <v>388.96</v>
      </c>
      <c r="X105" s="1">
        <f ca="1">IFERROR(__xludf.DUMMYFUNCTION("""COMPUTED_VALUE"""),326.73)</f>
        <v>326.73</v>
      </c>
      <c r="Y105" s="1">
        <f ca="1">IFERROR(__xludf.DUMMYFUNCTION("""COMPUTED_VALUE"""),51.03)</f>
        <v>51.03</v>
      </c>
      <c r="Z105" s="1">
        <f ca="1">IFERROR(__xludf.DUMMYFUNCTION("""COMPUTED_VALUE"""),199.93)</f>
        <v>199.93</v>
      </c>
      <c r="AA105" s="1">
        <f ca="1">IFERROR(__xludf.DUMMYFUNCTION("""COMPUTED_VALUE"""),33.59)</f>
        <v>33.590000000000003</v>
      </c>
      <c r="AB105" s="1">
        <f ca="1">IFERROR(__xludf.DUMMYFUNCTION("""COMPUTED_VALUE"""),78.32)</f>
        <v>78.319999999999993</v>
      </c>
      <c r="AC105" s="1">
        <f ca="1">IFERROR(__xludf.DUMMYFUNCTION("""COMPUTED_VALUE"""),53.63)</f>
        <v>53.63</v>
      </c>
    </row>
    <row r="106" spans="1:29" x14ac:dyDescent="0.25">
      <c r="A106" s="2">
        <f ca="1">IFERROR(__xludf.DUMMYFUNCTION("""COMPUTED_VALUE"""),43984.6666666666)</f>
        <v>43984.666666666599</v>
      </c>
      <c r="B106" s="1">
        <f ca="1">IFERROR(__xludf.DUMMYFUNCTION("""COMPUTED_VALUE"""),80.83)</f>
        <v>80.83</v>
      </c>
      <c r="C106" s="1">
        <f ca="1">IFERROR(__xludf.DUMMYFUNCTION("""COMPUTED_VALUE"""),184.91)</f>
        <v>184.91</v>
      </c>
      <c r="D106" s="1">
        <f ca="1">IFERROR(__xludf.DUMMYFUNCTION("""COMPUTED_VALUE"""),123.62)</f>
        <v>123.62</v>
      </c>
      <c r="E106" s="1">
        <f ca="1">IFERROR(__xludf.DUMMYFUNCTION("""COMPUTED_VALUE"""),8.83)</f>
        <v>8.83</v>
      </c>
      <c r="F106" s="1">
        <f ca="1">IFERROR(__xludf.DUMMYFUNCTION("""COMPUTED_VALUE"""),232.72)</f>
        <v>232.72</v>
      </c>
      <c r="G106" s="1">
        <f ca="1">IFERROR(__xludf.DUMMYFUNCTION("""COMPUTED_VALUE"""),71.96)</f>
        <v>71.959999999999994</v>
      </c>
      <c r="H106" s="1">
        <f ca="1">IFERROR(__xludf.DUMMYFUNCTION("""COMPUTED_VALUE"""),58.77)</f>
        <v>58.77</v>
      </c>
      <c r="I106" s="1">
        <f ca="1">IFERROR(__xludf.DUMMYFUNCTION("""COMPUTED_VALUE"""),132.63)</f>
        <v>132.63</v>
      </c>
      <c r="J106" s="1">
        <f ca="1">IFERROR(__xludf.DUMMYFUNCTION("""COMPUTED_VALUE"""),307.09)</f>
        <v>307.08999999999997</v>
      </c>
      <c r="K106" s="1">
        <f ca="1">IFERROR(__xludf.DUMMYFUNCTION("""COMPUTED_VALUE"""),29.81)</f>
        <v>29.81</v>
      </c>
      <c r="L106" s="1">
        <f ca="1">IFERROR(__xludf.DUMMYFUNCTION("""COMPUTED_VALUE"""),390.44)</f>
        <v>390.44</v>
      </c>
      <c r="M106" s="1">
        <f ca="1">IFERROR(__xludf.DUMMYFUNCTION("""COMPUTED_VALUE"""),427.31)</f>
        <v>427.31</v>
      </c>
      <c r="N106" s="1">
        <f ca="1">IFERROR(__xludf.DUMMYFUNCTION("""COMPUTED_VALUE"""),98.93)</f>
        <v>98.93</v>
      </c>
      <c r="O106" s="1">
        <f ca="1">IFERROR(__xludf.DUMMYFUNCTION("""COMPUTED_VALUE"""),196.36)</f>
        <v>196.36</v>
      </c>
      <c r="P106" s="1">
        <f ca="1">IFERROR(__xludf.DUMMYFUNCTION("""COMPUTED_VALUE"""),148.25)</f>
        <v>148.25</v>
      </c>
      <c r="Q106" s="1">
        <f ca="1">IFERROR(__xludf.DUMMYFUNCTION("""COMPUTED_VALUE"""),306.31)</f>
        <v>306.31</v>
      </c>
      <c r="R106" s="1">
        <f ca="1">IFERROR(__xludf.DUMMYFUNCTION("""COMPUTED_VALUE"""),47.31)</f>
        <v>47.31</v>
      </c>
      <c r="S106" s="1">
        <f ca="1">IFERROR(__xludf.DUMMYFUNCTION("""COMPUTED_VALUE"""),64.15)</f>
        <v>64.150000000000006</v>
      </c>
      <c r="T106" s="1">
        <f ca="1">IFERROR(__xludf.DUMMYFUNCTION("""COMPUTED_VALUE"""),41.31)</f>
        <v>41.31</v>
      </c>
      <c r="U106" s="1">
        <f ca="1">IFERROR(__xludf.DUMMYFUNCTION("""COMPUTED_VALUE"""),100.74)</f>
        <v>100.74</v>
      </c>
      <c r="V106" s="1">
        <f ca="1">IFERROR(__xludf.DUMMYFUNCTION("""COMPUTED_VALUE"""),123.32)</f>
        <v>123.32</v>
      </c>
      <c r="W106" s="1">
        <f ca="1">IFERROR(__xludf.DUMMYFUNCTION("""COMPUTED_VALUE"""),389.77)</f>
        <v>389.77</v>
      </c>
      <c r="X106" s="1">
        <f ca="1">IFERROR(__xludf.DUMMYFUNCTION("""COMPUTED_VALUE"""),334.73)</f>
        <v>334.73</v>
      </c>
      <c r="Y106" s="1">
        <f ca="1">IFERROR(__xludf.DUMMYFUNCTION("""COMPUTED_VALUE"""),52.01)</f>
        <v>52.01</v>
      </c>
      <c r="Z106" s="1">
        <f ca="1">IFERROR(__xludf.DUMMYFUNCTION("""COMPUTED_VALUE"""),204.14)</f>
        <v>204.14</v>
      </c>
      <c r="AA106" s="1">
        <f ca="1">IFERROR(__xludf.DUMMYFUNCTION("""COMPUTED_VALUE"""),34.26)</f>
        <v>34.26</v>
      </c>
      <c r="AB106" s="1">
        <f ca="1">IFERROR(__xludf.DUMMYFUNCTION("""COMPUTED_VALUE"""),77.78)</f>
        <v>77.78</v>
      </c>
      <c r="AC106" s="1">
        <f ca="1">IFERROR(__xludf.DUMMYFUNCTION("""COMPUTED_VALUE"""),53.54)</f>
        <v>53.54</v>
      </c>
    </row>
    <row r="107" spans="1:29" x14ac:dyDescent="0.25">
      <c r="A107" s="2">
        <f ca="1">IFERROR(__xludf.DUMMYFUNCTION("""COMPUTED_VALUE"""),43985.6666666666)</f>
        <v>43985.666666666599</v>
      </c>
      <c r="B107" s="1">
        <f ca="1">IFERROR(__xludf.DUMMYFUNCTION("""COMPUTED_VALUE"""),81.28)</f>
        <v>81.28</v>
      </c>
      <c r="C107" s="1">
        <f ca="1">IFERROR(__xludf.DUMMYFUNCTION("""COMPUTED_VALUE"""),185.36)</f>
        <v>185.36</v>
      </c>
      <c r="D107" s="1">
        <f ca="1">IFERROR(__xludf.DUMMYFUNCTION("""COMPUTED_VALUE"""),123.92)</f>
        <v>123.92</v>
      </c>
      <c r="E107" s="1">
        <f ca="1">IFERROR(__xludf.DUMMYFUNCTION("""COMPUTED_VALUE"""),8.77)</f>
        <v>8.77</v>
      </c>
      <c r="F107" s="1">
        <f ca="1">IFERROR(__xludf.DUMMYFUNCTION("""COMPUTED_VALUE"""),230.16)</f>
        <v>230.16</v>
      </c>
      <c r="G107" s="1">
        <f ca="1">IFERROR(__xludf.DUMMYFUNCTION("""COMPUTED_VALUE"""),71.82)</f>
        <v>71.819999999999993</v>
      </c>
      <c r="H107" s="1">
        <f ca="1">IFERROR(__xludf.DUMMYFUNCTION("""COMPUTED_VALUE"""),58.86)</f>
        <v>58.86</v>
      </c>
      <c r="I107" s="1">
        <f ca="1">IFERROR(__xludf.DUMMYFUNCTION("""COMPUTED_VALUE"""),132.82)</f>
        <v>132.82</v>
      </c>
      <c r="J107" s="1">
        <f ca="1">IFERROR(__xludf.DUMMYFUNCTION("""COMPUTED_VALUE"""),306.64)</f>
        <v>306.64</v>
      </c>
      <c r="K107" s="1">
        <f ca="1">IFERROR(__xludf.DUMMYFUNCTION("""COMPUTED_VALUE"""),30.95)</f>
        <v>30.95</v>
      </c>
      <c r="L107" s="1">
        <f ca="1">IFERROR(__xludf.DUMMYFUNCTION("""COMPUTED_VALUE"""),389.92)</f>
        <v>389.92</v>
      </c>
      <c r="M107" s="1">
        <f ca="1">IFERROR(__xludf.DUMMYFUNCTION("""COMPUTED_VALUE"""),421.97)</f>
        <v>421.97</v>
      </c>
      <c r="N107" s="1">
        <f ca="1">IFERROR(__xludf.DUMMYFUNCTION("""COMPUTED_VALUE"""),104.27)</f>
        <v>104.27</v>
      </c>
      <c r="O107" s="1">
        <f ca="1">IFERROR(__xludf.DUMMYFUNCTION("""COMPUTED_VALUE"""),196.87)</f>
        <v>196.87</v>
      </c>
      <c r="P107" s="1">
        <f ca="1">IFERROR(__xludf.DUMMYFUNCTION("""COMPUTED_VALUE"""),148.65)</f>
        <v>148.65</v>
      </c>
      <c r="Q107" s="1">
        <f ca="1">IFERROR(__xludf.DUMMYFUNCTION("""COMPUTED_VALUE"""),305.35)</f>
        <v>305.35000000000002</v>
      </c>
      <c r="R107" s="1">
        <f ca="1">IFERROR(__xludf.DUMMYFUNCTION("""COMPUTED_VALUE"""),49.24)</f>
        <v>49.24</v>
      </c>
      <c r="S107" s="1">
        <f ca="1">IFERROR(__xludf.DUMMYFUNCTION("""COMPUTED_VALUE"""),64.9)</f>
        <v>64.900000000000006</v>
      </c>
      <c r="T107" s="1">
        <f ca="1">IFERROR(__xludf.DUMMYFUNCTION("""COMPUTED_VALUE"""),41.16)</f>
        <v>41.16</v>
      </c>
      <c r="U107" s="1">
        <f ca="1">IFERROR(__xludf.DUMMYFUNCTION("""COMPUTED_VALUE"""),104.11)</f>
        <v>104.11</v>
      </c>
      <c r="V107" s="1">
        <f ca="1">IFERROR(__xludf.DUMMYFUNCTION("""COMPUTED_VALUE"""),127.09)</f>
        <v>127.09</v>
      </c>
      <c r="W107" s="1">
        <f ca="1">IFERROR(__xludf.DUMMYFUNCTION("""COMPUTED_VALUE"""),402.63)</f>
        <v>402.63</v>
      </c>
      <c r="X107" s="1">
        <f ca="1">IFERROR(__xludf.DUMMYFUNCTION("""COMPUTED_VALUE"""),346.3)</f>
        <v>346.3</v>
      </c>
      <c r="Y107" s="1">
        <f ca="1">IFERROR(__xludf.DUMMYFUNCTION("""COMPUTED_VALUE"""),53.06)</f>
        <v>53.06</v>
      </c>
      <c r="Z107" s="1">
        <f ca="1">IFERROR(__xludf.DUMMYFUNCTION("""COMPUTED_VALUE"""),210.57)</f>
        <v>210.57</v>
      </c>
      <c r="AA107" s="1">
        <f ca="1">IFERROR(__xludf.DUMMYFUNCTION("""COMPUTED_VALUE"""),34.26)</f>
        <v>34.26</v>
      </c>
      <c r="AB107" s="1">
        <f ca="1">IFERROR(__xludf.DUMMYFUNCTION("""COMPUTED_VALUE"""),79.58)</f>
        <v>79.58</v>
      </c>
      <c r="AC107" s="1">
        <f ca="1">IFERROR(__xludf.DUMMYFUNCTION("""COMPUTED_VALUE"""),52.73)</f>
        <v>52.73</v>
      </c>
    </row>
    <row r="108" spans="1:29" x14ac:dyDescent="0.25">
      <c r="A108" s="2">
        <f ca="1">IFERROR(__xludf.DUMMYFUNCTION("""COMPUTED_VALUE"""),43986.6666666666)</f>
        <v>43986.666666666599</v>
      </c>
      <c r="B108" s="1">
        <f ca="1">IFERROR(__xludf.DUMMYFUNCTION("""COMPUTED_VALUE"""),80.58)</f>
        <v>80.58</v>
      </c>
      <c r="C108" s="1">
        <f ca="1">IFERROR(__xludf.DUMMYFUNCTION("""COMPUTED_VALUE"""),182.92)</f>
        <v>182.92</v>
      </c>
      <c r="D108" s="1">
        <f ca="1">IFERROR(__xludf.DUMMYFUNCTION("""COMPUTED_VALUE"""),123.03)</f>
        <v>123.03</v>
      </c>
      <c r="E108" s="1">
        <f ca="1">IFERROR(__xludf.DUMMYFUNCTION("""COMPUTED_VALUE"""),8.77)</f>
        <v>8.77</v>
      </c>
      <c r="F108" s="1">
        <f ca="1">IFERROR(__xludf.DUMMYFUNCTION("""COMPUTED_VALUE"""),226.29)</f>
        <v>226.29</v>
      </c>
      <c r="G108" s="1">
        <f ca="1">IFERROR(__xludf.DUMMYFUNCTION("""COMPUTED_VALUE"""),70.61)</f>
        <v>70.61</v>
      </c>
      <c r="H108" s="1">
        <f ca="1">IFERROR(__xludf.DUMMYFUNCTION("""COMPUTED_VALUE"""),57.63)</f>
        <v>57.63</v>
      </c>
      <c r="I108" s="1">
        <f ca="1">IFERROR(__xludf.DUMMYFUNCTION("""COMPUTED_VALUE"""),130.57)</f>
        <v>130.57</v>
      </c>
      <c r="J108" s="1">
        <f ca="1">IFERROR(__xludf.DUMMYFUNCTION("""COMPUTED_VALUE"""),310.75)</f>
        <v>310.75</v>
      </c>
      <c r="K108" s="1">
        <f ca="1">IFERROR(__xludf.DUMMYFUNCTION("""COMPUTED_VALUE"""),30.89)</f>
        <v>30.89</v>
      </c>
      <c r="L108" s="1">
        <f ca="1">IFERROR(__xludf.DUMMYFUNCTION("""COMPUTED_VALUE"""),385.8)</f>
        <v>385.8</v>
      </c>
      <c r="M108" s="1">
        <f ca="1">IFERROR(__xludf.DUMMYFUNCTION("""COMPUTED_VALUE"""),414.33)</f>
        <v>414.33</v>
      </c>
      <c r="N108" s="1">
        <f ca="1">IFERROR(__xludf.DUMMYFUNCTION("""COMPUTED_VALUE"""),106.44)</f>
        <v>106.44</v>
      </c>
      <c r="O108" s="1">
        <f ca="1">IFERROR(__xludf.DUMMYFUNCTION("""COMPUTED_VALUE"""),193.64)</f>
        <v>193.64</v>
      </c>
      <c r="P108" s="1">
        <f ca="1">IFERROR(__xludf.DUMMYFUNCTION("""COMPUTED_VALUE"""),146.73)</f>
        <v>146.72999999999999</v>
      </c>
      <c r="Q108" s="1">
        <f ca="1">IFERROR(__xludf.DUMMYFUNCTION("""COMPUTED_VALUE"""),298.08)</f>
        <v>298.08</v>
      </c>
      <c r="R108" s="1">
        <f ca="1">IFERROR(__xludf.DUMMYFUNCTION("""COMPUTED_VALUE"""),49.1)</f>
        <v>49.1</v>
      </c>
      <c r="S108" s="1">
        <f ca="1">IFERROR(__xludf.DUMMYFUNCTION("""COMPUTED_VALUE"""),62.97)</f>
        <v>62.97</v>
      </c>
      <c r="T108" s="1">
        <f ca="1">IFERROR(__xludf.DUMMYFUNCTION("""COMPUTED_VALUE"""),40.7)</f>
        <v>40.700000000000003</v>
      </c>
      <c r="U108" s="1">
        <f ca="1">IFERROR(__xludf.DUMMYFUNCTION("""COMPUTED_VALUE"""),101.28)</f>
        <v>101.28</v>
      </c>
      <c r="V108" s="1">
        <f ca="1">IFERROR(__xludf.DUMMYFUNCTION("""COMPUTED_VALUE"""),128.96)</f>
        <v>128.96</v>
      </c>
      <c r="W108" s="1">
        <f ca="1">IFERROR(__xludf.DUMMYFUNCTION("""COMPUTED_VALUE"""),403.67)</f>
        <v>403.67</v>
      </c>
      <c r="X108" s="1">
        <f ca="1">IFERROR(__xludf.DUMMYFUNCTION("""COMPUTED_VALUE"""),353.11)</f>
        <v>353.11</v>
      </c>
      <c r="Y108" s="1">
        <f ca="1">IFERROR(__xludf.DUMMYFUNCTION("""COMPUTED_VALUE"""),54.28)</f>
        <v>54.28</v>
      </c>
      <c r="Z108" s="1">
        <f ca="1">IFERROR(__xludf.DUMMYFUNCTION("""COMPUTED_VALUE"""),214.82)</f>
        <v>214.82</v>
      </c>
      <c r="AA108" s="1">
        <f ca="1">IFERROR(__xludf.DUMMYFUNCTION("""COMPUTED_VALUE"""),34.11)</f>
        <v>34.11</v>
      </c>
      <c r="AB108" s="1">
        <f ca="1">IFERROR(__xludf.DUMMYFUNCTION("""COMPUTED_VALUE"""),78.74)</f>
        <v>78.739999999999995</v>
      </c>
      <c r="AC108" s="1">
        <f ca="1">IFERROR(__xludf.DUMMYFUNCTION("""COMPUTED_VALUE"""),52.63)</f>
        <v>52.63</v>
      </c>
    </row>
    <row r="109" spans="1:29" x14ac:dyDescent="0.25">
      <c r="A109" s="2">
        <f ca="1">IFERROR(__xludf.DUMMYFUNCTION("""COMPUTED_VALUE"""),43987.6666666666)</f>
        <v>43987.666666666599</v>
      </c>
      <c r="B109" s="1">
        <f ca="1">IFERROR(__xludf.DUMMYFUNCTION("""COMPUTED_VALUE"""),82.88)</f>
        <v>82.88</v>
      </c>
      <c r="C109" s="1">
        <f ca="1">IFERROR(__xludf.DUMMYFUNCTION("""COMPUTED_VALUE"""),187.2)</f>
        <v>187.2</v>
      </c>
      <c r="D109" s="1">
        <f ca="1">IFERROR(__xludf.DUMMYFUNCTION("""COMPUTED_VALUE"""),124.15)</f>
        <v>124.15</v>
      </c>
      <c r="E109" s="1">
        <f ca="1">IFERROR(__xludf.DUMMYFUNCTION("""COMPUTED_VALUE"""),8.92)</f>
        <v>8.92</v>
      </c>
      <c r="F109" s="1">
        <f ca="1">IFERROR(__xludf.DUMMYFUNCTION("""COMPUTED_VALUE"""),230.77)</f>
        <v>230.77</v>
      </c>
      <c r="G109" s="1">
        <f ca="1">IFERROR(__xludf.DUMMYFUNCTION("""COMPUTED_VALUE"""),71.92)</f>
        <v>71.92</v>
      </c>
      <c r="H109" s="1">
        <f ca="1">IFERROR(__xludf.DUMMYFUNCTION("""COMPUTED_VALUE"""),59.04)</f>
        <v>59.04</v>
      </c>
      <c r="I109" s="1">
        <f ca="1">IFERROR(__xludf.DUMMYFUNCTION("""COMPUTED_VALUE"""),132.44)</f>
        <v>132.44</v>
      </c>
      <c r="J109" s="1">
        <f ca="1">IFERROR(__xludf.DUMMYFUNCTION("""COMPUTED_VALUE"""),312.04)</f>
        <v>312.04000000000002</v>
      </c>
      <c r="K109" s="1">
        <f ca="1">IFERROR(__xludf.DUMMYFUNCTION("""COMPUTED_VALUE"""),31.71)</f>
        <v>31.71</v>
      </c>
      <c r="L109" s="1">
        <f ca="1">IFERROR(__xludf.DUMMYFUNCTION("""COMPUTED_VALUE"""),392.9)</f>
        <v>392.9</v>
      </c>
      <c r="M109" s="1">
        <f ca="1">IFERROR(__xludf.DUMMYFUNCTION("""COMPUTED_VALUE"""),419.6)</f>
        <v>419.6</v>
      </c>
      <c r="N109" s="1">
        <f ca="1">IFERROR(__xludf.DUMMYFUNCTION("""COMPUTED_VALUE"""),111.23)</f>
        <v>111.23</v>
      </c>
      <c r="O109" s="1">
        <f ca="1">IFERROR(__xludf.DUMMYFUNCTION("""COMPUTED_VALUE"""),199.61)</f>
        <v>199.61</v>
      </c>
      <c r="P109" s="1">
        <f ca="1">IFERROR(__xludf.DUMMYFUNCTION("""COMPUTED_VALUE"""),147.3)</f>
        <v>147.30000000000001</v>
      </c>
      <c r="Q109" s="1">
        <f ca="1">IFERROR(__xludf.DUMMYFUNCTION("""COMPUTED_VALUE"""),311.85)</f>
        <v>311.85000000000002</v>
      </c>
      <c r="R109" s="1">
        <f ca="1">IFERROR(__xludf.DUMMYFUNCTION("""COMPUTED_VALUE"""),53.08)</f>
        <v>53.08</v>
      </c>
      <c r="S109" s="1">
        <f ca="1">IFERROR(__xludf.DUMMYFUNCTION("""COMPUTED_VALUE"""),63.6)</f>
        <v>63.6</v>
      </c>
      <c r="T109" s="1">
        <f ca="1">IFERROR(__xludf.DUMMYFUNCTION("""COMPUTED_VALUE"""),40.52)</f>
        <v>40.520000000000003</v>
      </c>
      <c r="U109" s="1">
        <f ca="1">IFERROR(__xludf.DUMMYFUNCTION("""COMPUTED_VALUE"""),102.71)</f>
        <v>102.71</v>
      </c>
      <c r="V109" s="1">
        <f ca="1">IFERROR(__xludf.DUMMYFUNCTION("""COMPUTED_VALUE"""),135.12)</f>
        <v>135.12</v>
      </c>
      <c r="W109" s="1">
        <f ca="1">IFERROR(__xludf.DUMMYFUNCTION("""COMPUTED_VALUE"""),410.75)</f>
        <v>410.75</v>
      </c>
      <c r="X109" s="1">
        <f ca="1">IFERROR(__xludf.DUMMYFUNCTION("""COMPUTED_VALUE"""),357.22)</f>
        <v>357.22</v>
      </c>
      <c r="Y109" s="1">
        <f ca="1">IFERROR(__xludf.DUMMYFUNCTION("""COMPUTED_VALUE"""),55.2)</f>
        <v>55.2</v>
      </c>
      <c r="Z109" s="1">
        <f ca="1">IFERROR(__xludf.DUMMYFUNCTION("""COMPUTED_VALUE"""),217.92)</f>
        <v>217.92</v>
      </c>
      <c r="AA109" s="1">
        <f ca="1">IFERROR(__xludf.DUMMYFUNCTION("""COMPUTED_VALUE"""),34.09)</f>
        <v>34.090000000000003</v>
      </c>
      <c r="AB109" s="1">
        <f ca="1">IFERROR(__xludf.DUMMYFUNCTION("""COMPUTED_VALUE"""),82.14)</f>
        <v>82.14</v>
      </c>
      <c r="AC109" s="1">
        <f ca="1">IFERROR(__xludf.DUMMYFUNCTION("""COMPUTED_VALUE"""),53.1)</f>
        <v>53.1</v>
      </c>
    </row>
    <row r="110" spans="1:29" x14ac:dyDescent="0.25">
      <c r="A110" s="2">
        <f ca="1">IFERROR(__xludf.DUMMYFUNCTION("""COMPUTED_VALUE"""),43990.6666666666)</f>
        <v>43990.666666666599</v>
      </c>
      <c r="B110" s="1">
        <f ca="1">IFERROR(__xludf.DUMMYFUNCTION("""COMPUTED_VALUE"""),83.37)</f>
        <v>83.37</v>
      </c>
      <c r="C110" s="1">
        <f ca="1">IFERROR(__xludf.DUMMYFUNCTION("""COMPUTED_VALUE"""),188.36)</f>
        <v>188.36</v>
      </c>
      <c r="D110" s="1">
        <f ca="1">IFERROR(__xludf.DUMMYFUNCTION("""COMPUTED_VALUE"""),126.2)</f>
        <v>126.2</v>
      </c>
      <c r="E110" s="1">
        <f ca="1">IFERROR(__xludf.DUMMYFUNCTION("""COMPUTED_VALUE"""),8.81)</f>
        <v>8.81</v>
      </c>
      <c r="F110" s="1">
        <f ca="1">IFERROR(__xludf.DUMMYFUNCTION("""COMPUTED_VALUE"""),231.4)</f>
        <v>231.4</v>
      </c>
      <c r="G110" s="1">
        <f ca="1">IFERROR(__xludf.DUMMYFUNCTION("""COMPUTED_VALUE"""),72.33)</f>
        <v>72.33</v>
      </c>
      <c r="H110" s="1">
        <f ca="1">IFERROR(__xludf.DUMMYFUNCTION("""COMPUTED_VALUE"""),63.33)</f>
        <v>63.33</v>
      </c>
      <c r="I110" s="1">
        <f ca="1">IFERROR(__xludf.DUMMYFUNCTION("""COMPUTED_VALUE"""),132.21)</f>
        <v>132.21</v>
      </c>
      <c r="J110" s="1">
        <f ca="1">IFERROR(__xludf.DUMMYFUNCTION("""COMPUTED_VALUE"""),307.19)</f>
        <v>307.19</v>
      </c>
      <c r="K110" s="1">
        <f ca="1">IFERROR(__xludf.DUMMYFUNCTION("""COMPUTED_VALUE"""),31.75)</f>
        <v>31.75</v>
      </c>
      <c r="L110" s="1">
        <f ca="1">IFERROR(__xludf.DUMMYFUNCTION("""COMPUTED_VALUE"""),397.78)</f>
        <v>397.78</v>
      </c>
      <c r="M110" s="1">
        <f ca="1">IFERROR(__xludf.DUMMYFUNCTION("""COMPUTED_VALUE"""),419.49)</f>
        <v>419.49</v>
      </c>
      <c r="N110" s="1">
        <f ca="1">IFERROR(__xludf.DUMMYFUNCTION("""COMPUTED_VALUE"""),113.45)</f>
        <v>113.45</v>
      </c>
      <c r="O110" s="1">
        <f ca="1">IFERROR(__xludf.DUMMYFUNCTION("""COMPUTED_VALUE"""),199.6)</f>
        <v>199.6</v>
      </c>
      <c r="P110" s="1">
        <f ca="1">IFERROR(__xludf.DUMMYFUNCTION("""COMPUTED_VALUE"""),146.77)</f>
        <v>146.77000000000001</v>
      </c>
      <c r="Q110" s="1">
        <f ca="1">IFERROR(__xludf.DUMMYFUNCTION("""COMPUTED_VALUE"""),309.48)</f>
        <v>309.48</v>
      </c>
      <c r="R110" s="1">
        <f ca="1">IFERROR(__xludf.DUMMYFUNCTION("""COMPUTED_VALUE"""),54.74)</f>
        <v>54.74</v>
      </c>
      <c r="S110" s="1">
        <f ca="1">IFERROR(__xludf.DUMMYFUNCTION("""COMPUTED_VALUE"""),65.12)</f>
        <v>65.12</v>
      </c>
      <c r="T110" s="1">
        <f ca="1">IFERROR(__xludf.DUMMYFUNCTION("""COMPUTED_VALUE"""),40.41)</f>
        <v>40.409999999999997</v>
      </c>
      <c r="U110" s="1">
        <f ca="1">IFERROR(__xludf.DUMMYFUNCTION("""COMPUTED_VALUE"""),104.29)</f>
        <v>104.29</v>
      </c>
      <c r="V110" s="1">
        <f ca="1">IFERROR(__xludf.DUMMYFUNCTION("""COMPUTED_VALUE"""),137.72)</f>
        <v>137.72</v>
      </c>
      <c r="W110" s="1">
        <f ca="1">IFERROR(__xludf.DUMMYFUNCTION("""COMPUTED_VALUE"""),414.3)</f>
        <v>414.3</v>
      </c>
      <c r="X110" s="1">
        <f ca="1">IFERROR(__xludf.DUMMYFUNCTION("""COMPUTED_VALUE"""),349.25)</f>
        <v>349.25</v>
      </c>
      <c r="Y110" s="1">
        <f ca="1">IFERROR(__xludf.DUMMYFUNCTION("""COMPUTED_VALUE"""),55.57)</f>
        <v>55.57</v>
      </c>
      <c r="Z110" s="1">
        <f ca="1">IFERROR(__xludf.DUMMYFUNCTION("""COMPUTED_VALUE"""),220.81)</f>
        <v>220.81</v>
      </c>
      <c r="AA110" s="1">
        <f ca="1">IFERROR(__xludf.DUMMYFUNCTION("""COMPUTED_VALUE"""),34.66)</f>
        <v>34.659999999999997</v>
      </c>
      <c r="AB110" s="1">
        <f ca="1">IFERROR(__xludf.DUMMYFUNCTION("""COMPUTED_VALUE"""),83.56)</f>
        <v>83.56</v>
      </c>
      <c r="AC110" s="1">
        <f ca="1">IFERROR(__xludf.DUMMYFUNCTION("""COMPUTED_VALUE"""),52.97)</f>
        <v>52.97</v>
      </c>
    </row>
    <row r="111" spans="1:29" x14ac:dyDescent="0.25">
      <c r="A111" s="2">
        <f ca="1">IFERROR(__xludf.DUMMYFUNCTION("""COMPUTED_VALUE"""),43991.6666666666)</f>
        <v>43991.666666666599</v>
      </c>
      <c r="B111" s="1">
        <f ca="1">IFERROR(__xludf.DUMMYFUNCTION("""COMPUTED_VALUE"""),86)</f>
        <v>86</v>
      </c>
      <c r="C111" s="1">
        <f ca="1">IFERROR(__xludf.DUMMYFUNCTION("""COMPUTED_VALUE"""),189.8)</f>
        <v>189.8</v>
      </c>
      <c r="D111" s="1">
        <f ca="1">IFERROR(__xludf.DUMMYFUNCTION("""COMPUTED_VALUE"""),130.04)</f>
        <v>130.04</v>
      </c>
      <c r="E111" s="1">
        <f ca="1">IFERROR(__xludf.DUMMYFUNCTION("""COMPUTED_VALUE"""),9.05)</f>
        <v>9.0500000000000007</v>
      </c>
      <c r="F111" s="1">
        <f ca="1">IFERROR(__xludf.DUMMYFUNCTION("""COMPUTED_VALUE"""),238.67)</f>
        <v>238.67</v>
      </c>
      <c r="G111" s="1">
        <f ca="1">IFERROR(__xludf.DUMMYFUNCTION("""COMPUTED_VALUE"""),72.81)</f>
        <v>72.81</v>
      </c>
      <c r="H111" s="1">
        <f ca="1">IFERROR(__xludf.DUMMYFUNCTION("""COMPUTED_VALUE"""),62.71)</f>
        <v>62.71</v>
      </c>
      <c r="I111" s="1">
        <f ca="1">IFERROR(__xludf.DUMMYFUNCTION("""COMPUTED_VALUE"""),132.97)</f>
        <v>132.97</v>
      </c>
      <c r="J111" s="1">
        <f ca="1">IFERROR(__xludf.DUMMYFUNCTION("""COMPUTED_VALUE"""),305.55)</f>
        <v>305.55</v>
      </c>
      <c r="K111" s="1">
        <f ca="1">IFERROR(__xludf.DUMMYFUNCTION("""COMPUTED_VALUE"""),31.53)</f>
        <v>31.53</v>
      </c>
      <c r="L111" s="1">
        <f ca="1">IFERROR(__xludf.DUMMYFUNCTION("""COMPUTED_VALUE"""),397.16)</f>
        <v>397.16</v>
      </c>
      <c r="M111" s="1">
        <f ca="1">IFERROR(__xludf.DUMMYFUNCTION("""COMPUTED_VALUE"""),434.05)</f>
        <v>434.05</v>
      </c>
      <c r="N111" s="1">
        <f ca="1">IFERROR(__xludf.DUMMYFUNCTION("""COMPUTED_VALUE"""),110.54)</f>
        <v>110.54</v>
      </c>
      <c r="O111" s="1">
        <f ca="1">IFERROR(__xludf.DUMMYFUNCTION("""COMPUTED_VALUE"""),199.08)</f>
        <v>199.08</v>
      </c>
      <c r="P111" s="1">
        <f ca="1">IFERROR(__xludf.DUMMYFUNCTION("""COMPUTED_VALUE"""),145.96)</f>
        <v>145.96</v>
      </c>
      <c r="Q111" s="1">
        <f ca="1">IFERROR(__xludf.DUMMYFUNCTION("""COMPUTED_VALUE"""),309.21)</f>
        <v>309.20999999999998</v>
      </c>
      <c r="R111" s="1">
        <f ca="1">IFERROR(__xludf.DUMMYFUNCTION("""COMPUTED_VALUE"""),53.52)</f>
        <v>53.52</v>
      </c>
      <c r="S111" s="1">
        <f ca="1">IFERROR(__xludf.DUMMYFUNCTION("""COMPUTED_VALUE"""),64.67)</f>
        <v>64.67</v>
      </c>
      <c r="T111" s="1">
        <f ca="1">IFERROR(__xludf.DUMMYFUNCTION("""COMPUTED_VALUE"""),40.45)</f>
        <v>40.450000000000003</v>
      </c>
      <c r="U111" s="1">
        <f ca="1">IFERROR(__xludf.DUMMYFUNCTION("""COMPUTED_VALUE"""),102.63)</f>
        <v>102.63</v>
      </c>
      <c r="V111" s="1">
        <f ca="1">IFERROR(__xludf.DUMMYFUNCTION("""COMPUTED_VALUE"""),134.19)</f>
        <v>134.19</v>
      </c>
      <c r="W111" s="1">
        <f ca="1">IFERROR(__xludf.DUMMYFUNCTION("""COMPUTED_VALUE"""),408.56)</f>
        <v>408.56</v>
      </c>
      <c r="X111" s="1">
        <f ca="1">IFERROR(__xludf.DUMMYFUNCTION("""COMPUTED_VALUE"""),349.33)</f>
        <v>349.33</v>
      </c>
      <c r="Y111" s="1">
        <f ca="1">IFERROR(__xludf.DUMMYFUNCTION("""COMPUTED_VALUE"""),56.61)</f>
        <v>56.61</v>
      </c>
      <c r="Z111" s="1">
        <f ca="1">IFERROR(__xludf.DUMMYFUNCTION("""COMPUTED_VALUE"""),218.1)</f>
        <v>218.1</v>
      </c>
      <c r="AA111" s="1">
        <f ca="1">IFERROR(__xludf.DUMMYFUNCTION("""COMPUTED_VALUE"""),34.3)</f>
        <v>34.299999999999997</v>
      </c>
      <c r="AB111" s="1">
        <f ca="1">IFERROR(__xludf.DUMMYFUNCTION("""COMPUTED_VALUE"""),82.37)</f>
        <v>82.37</v>
      </c>
      <c r="AC111" s="1">
        <f ca="1">IFERROR(__xludf.DUMMYFUNCTION("""COMPUTED_VALUE"""),56.39)</f>
        <v>56.39</v>
      </c>
    </row>
    <row r="112" spans="1:29" x14ac:dyDescent="0.25">
      <c r="A112" s="2">
        <f ca="1">IFERROR(__xludf.DUMMYFUNCTION("""COMPUTED_VALUE"""),43992.6666666666)</f>
        <v>43992.666666666599</v>
      </c>
      <c r="B112" s="1">
        <f ca="1">IFERROR(__xludf.DUMMYFUNCTION("""COMPUTED_VALUE"""),88.21)</f>
        <v>88.21</v>
      </c>
      <c r="C112" s="1">
        <f ca="1">IFERROR(__xludf.DUMMYFUNCTION("""COMPUTED_VALUE"""),196.84)</f>
        <v>196.84</v>
      </c>
      <c r="D112" s="1">
        <f ca="1">IFERROR(__xludf.DUMMYFUNCTION("""COMPUTED_VALUE"""),132.37)</f>
        <v>132.37</v>
      </c>
      <c r="E112" s="1">
        <f ca="1">IFERROR(__xludf.DUMMYFUNCTION("""COMPUTED_VALUE"""),9.37)</f>
        <v>9.3699999999999992</v>
      </c>
      <c r="F112" s="1">
        <f ca="1">IFERROR(__xludf.DUMMYFUNCTION("""COMPUTED_VALUE"""),236.73)</f>
        <v>236.73</v>
      </c>
      <c r="G112" s="1">
        <f ca="1">IFERROR(__xludf.DUMMYFUNCTION("""COMPUTED_VALUE"""),73.29)</f>
        <v>73.290000000000006</v>
      </c>
      <c r="H112" s="1">
        <f ca="1">IFERROR(__xludf.DUMMYFUNCTION("""COMPUTED_VALUE"""),68.34)</f>
        <v>68.34</v>
      </c>
      <c r="I112" s="1">
        <f ca="1">IFERROR(__xludf.DUMMYFUNCTION("""COMPUTED_VALUE"""),134.13)</f>
        <v>134.13</v>
      </c>
      <c r="J112" s="1">
        <f ca="1">IFERROR(__xludf.DUMMYFUNCTION("""COMPUTED_VALUE"""),307.33)</f>
        <v>307.33</v>
      </c>
      <c r="K112" s="1">
        <f ca="1">IFERROR(__xludf.DUMMYFUNCTION("""COMPUTED_VALUE"""),31.5)</f>
        <v>31.5</v>
      </c>
      <c r="L112" s="1">
        <f ca="1">IFERROR(__xludf.DUMMYFUNCTION("""COMPUTED_VALUE"""),406.82)</f>
        <v>406.82</v>
      </c>
      <c r="M112" s="1">
        <f ca="1">IFERROR(__xludf.DUMMYFUNCTION("""COMPUTED_VALUE"""),434.48)</f>
        <v>434.48</v>
      </c>
      <c r="N112" s="1">
        <f ca="1">IFERROR(__xludf.DUMMYFUNCTION("""COMPUTED_VALUE"""),106.06)</f>
        <v>106.06</v>
      </c>
      <c r="O112" s="1">
        <f ca="1">IFERROR(__xludf.DUMMYFUNCTION("""COMPUTED_VALUE"""),200.48)</f>
        <v>200.48</v>
      </c>
      <c r="P112" s="1">
        <f ca="1">IFERROR(__xludf.DUMMYFUNCTION("""COMPUTED_VALUE"""),147.8)</f>
        <v>147.80000000000001</v>
      </c>
      <c r="Q112" s="1">
        <f ca="1">IFERROR(__xludf.DUMMYFUNCTION("""COMPUTED_VALUE"""),305.75)</f>
        <v>305.75</v>
      </c>
      <c r="R112" s="1">
        <f ca="1">IFERROR(__xludf.DUMMYFUNCTION("""COMPUTED_VALUE"""),50.65)</f>
        <v>50.65</v>
      </c>
      <c r="S112" s="1">
        <f ca="1">IFERROR(__xludf.DUMMYFUNCTION("""COMPUTED_VALUE"""),64.2)</f>
        <v>64.2</v>
      </c>
      <c r="T112" s="1">
        <f ca="1">IFERROR(__xludf.DUMMYFUNCTION("""COMPUTED_VALUE"""),40.39)</f>
        <v>40.39</v>
      </c>
      <c r="U112" s="1">
        <f ca="1">IFERROR(__xludf.DUMMYFUNCTION("""COMPUTED_VALUE"""),102.12)</f>
        <v>102.12</v>
      </c>
      <c r="V112" s="1">
        <f ca="1">IFERROR(__xludf.DUMMYFUNCTION("""COMPUTED_VALUE"""),132.44)</f>
        <v>132.44</v>
      </c>
      <c r="W112" s="1">
        <f ca="1">IFERROR(__xludf.DUMMYFUNCTION("""COMPUTED_VALUE"""),403.77)</f>
        <v>403.77</v>
      </c>
      <c r="X112" s="1">
        <f ca="1">IFERROR(__xludf.DUMMYFUNCTION("""COMPUTED_VALUE"""),347.92)</f>
        <v>347.92</v>
      </c>
      <c r="Y112" s="1">
        <f ca="1">IFERROR(__xludf.DUMMYFUNCTION("""COMPUTED_VALUE"""),57.55)</f>
        <v>57.55</v>
      </c>
      <c r="Z112" s="1">
        <f ca="1">IFERROR(__xludf.DUMMYFUNCTION("""COMPUTED_VALUE"""),213.52)</f>
        <v>213.52</v>
      </c>
      <c r="AA112" s="1">
        <f ca="1">IFERROR(__xludf.DUMMYFUNCTION("""COMPUTED_VALUE"""),34.03)</f>
        <v>34.03</v>
      </c>
      <c r="AB112" s="1">
        <f ca="1">IFERROR(__xludf.DUMMYFUNCTION("""COMPUTED_VALUE"""),79.01)</f>
        <v>79.010000000000005</v>
      </c>
      <c r="AC112" s="1">
        <f ca="1">IFERROR(__xludf.DUMMYFUNCTION("""COMPUTED_VALUE"""),57.44)</f>
        <v>57.44</v>
      </c>
    </row>
    <row r="113" spans="1:29" x14ac:dyDescent="0.25">
      <c r="A113" s="2">
        <f ca="1">IFERROR(__xludf.DUMMYFUNCTION("""COMPUTED_VALUE"""),43993.6666666666)</f>
        <v>43993.666666666599</v>
      </c>
      <c r="B113" s="1">
        <f ca="1">IFERROR(__xludf.DUMMYFUNCTION("""COMPUTED_VALUE"""),83.98)</f>
        <v>83.98</v>
      </c>
      <c r="C113" s="1">
        <f ca="1">IFERROR(__xludf.DUMMYFUNCTION("""COMPUTED_VALUE"""),186.27)</f>
        <v>186.27</v>
      </c>
      <c r="D113" s="1">
        <f ca="1">IFERROR(__xludf.DUMMYFUNCTION("""COMPUTED_VALUE"""),127.9)</f>
        <v>127.9</v>
      </c>
      <c r="E113" s="1">
        <f ca="1">IFERROR(__xludf.DUMMYFUNCTION("""COMPUTED_VALUE"""),8.8)</f>
        <v>8.8000000000000007</v>
      </c>
      <c r="F113" s="1">
        <f ca="1">IFERROR(__xludf.DUMMYFUNCTION("""COMPUTED_VALUE"""),224.43)</f>
        <v>224.43</v>
      </c>
      <c r="G113" s="1">
        <f ca="1">IFERROR(__xludf.DUMMYFUNCTION("""COMPUTED_VALUE"""),70.19)</f>
        <v>70.19</v>
      </c>
      <c r="H113" s="1">
        <f ca="1">IFERROR(__xludf.DUMMYFUNCTION("""COMPUTED_VALUE"""),64.86)</f>
        <v>64.86</v>
      </c>
      <c r="I113" s="1">
        <f ca="1">IFERROR(__xludf.DUMMYFUNCTION("""COMPUTED_VALUE"""),127.84)</f>
        <v>127.84</v>
      </c>
      <c r="J113" s="1">
        <f ca="1">IFERROR(__xludf.DUMMYFUNCTION("""COMPUTED_VALUE"""),300.83)</f>
        <v>300.83</v>
      </c>
      <c r="K113" s="1">
        <f ca="1">IFERROR(__xludf.DUMMYFUNCTION("""COMPUTED_VALUE"""),29.38)</f>
        <v>29.38</v>
      </c>
      <c r="L113" s="1">
        <f ca="1">IFERROR(__xludf.DUMMYFUNCTION("""COMPUTED_VALUE"""),387.67)</f>
        <v>387.67</v>
      </c>
      <c r="M113" s="1">
        <f ca="1">IFERROR(__xludf.DUMMYFUNCTION("""COMPUTED_VALUE"""),425.56)</f>
        <v>425.56</v>
      </c>
      <c r="N113" s="1">
        <f ca="1">IFERROR(__xludf.DUMMYFUNCTION("""COMPUTED_VALUE"""),97.21)</f>
        <v>97.21</v>
      </c>
      <c r="O113" s="1">
        <f ca="1">IFERROR(__xludf.DUMMYFUNCTION("""COMPUTED_VALUE"""),188.88)</f>
        <v>188.88</v>
      </c>
      <c r="P113" s="1">
        <f ca="1">IFERROR(__xludf.DUMMYFUNCTION("""COMPUTED_VALUE"""),140.87)</f>
        <v>140.87</v>
      </c>
      <c r="Q113" s="1">
        <f ca="1">IFERROR(__xludf.DUMMYFUNCTION("""COMPUTED_VALUE"""),283.73)</f>
        <v>283.73</v>
      </c>
      <c r="R113" s="1">
        <f ca="1">IFERROR(__xludf.DUMMYFUNCTION("""COMPUTED_VALUE"""),46.18)</f>
        <v>46.18</v>
      </c>
      <c r="S113" s="1">
        <f ca="1">IFERROR(__xludf.DUMMYFUNCTION("""COMPUTED_VALUE"""),62.08)</f>
        <v>62.08</v>
      </c>
      <c r="T113" s="1">
        <f ca="1">IFERROR(__xludf.DUMMYFUNCTION("""COMPUTED_VALUE"""),40.03)</f>
        <v>40.03</v>
      </c>
      <c r="U113" s="1">
        <f ca="1">IFERROR(__xludf.DUMMYFUNCTION("""COMPUTED_VALUE"""),95.17)</f>
        <v>95.17</v>
      </c>
      <c r="V113" s="1">
        <f ca="1">IFERROR(__xludf.DUMMYFUNCTION("""COMPUTED_VALUE"""),121.55)</f>
        <v>121.55</v>
      </c>
      <c r="W113" s="1">
        <f ca="1">IFERROR(__xludf.DUMMYFUNCTION("""COMPUTED_VALUE"""),383.88)</f>
        <v>383.88</v>
      </c>
      <c r="X113" s="1">
        <f ca="1">IFERROR(__xludf.DUMMYFUNCTION("""COMPUTED_VALUE"""),332.89)</f>
        <v>332.89</v>
      </c>
      <c r="Y113" s="1">
        <f ca="1">IFERROR(__xludf.DUMMYFUNCTION("""COMPUTED_VALUE"""),55.04)</f>
        <v>55.04</v>
      </c>
      <c r="Z113" s="1">
        <f ca="1">IFERROR(__xludf.DUMMYFUNCTION("""COMPUTED_VALUE"""),194.13)</f>
        <v>194.13</v>
      </c>
      <c r="AA113" s="1">
        <f ca="1">IFERROR(__xludf.DUMMYFUNCTION("""COMPUTED_VALUE"""),31.55)</f>
        <v>31.55</v>
      </c>
      <c r="AB113" s="1">
        <f ca="1">IFERROR(__xludf.DUMMYFUNCTION("""COMPUTED_VALUE"""),72.57)</f>
        <v>72.569999999999993</v>
      </c>
      <c r="AC113" s="1">
        <f ca="1">IFERROR(__xludf.DUMMYFUNCTION("""COMPUTED_VALUE"""),52.83)</f>
        <v>52.83</v>
      </c>
    </row>
    <row r="114" spans="1:29" x14ac:dyDescent="0.25">
      <c r="A114" s="2">
        <f ca="1">IFERROR(__xludf.DUMMYFUNCTION("""COMPUTED_VALUE"""),43994.6666666666)</f>
        <v>43994.666666666599</v>
      </c>
      <c r="B114" s="1">
        <f ca="1">IFERROR(__xludf.DUMMYFUNCTION("""COMPUTED_VALUE"""),84.7)</f>
        <v>84.7</v>
      </c>
      <c r="C114" s="1">
        <f ca="1">IFERROR(__xludf.DUMMYFUNCTION("""COMPUTED_VALUE"""),187.74)</f>
        <v>187.74</v>
      </c>
      <c r="D114" s="1">
        <f ca="1">IFERROR(__xludf.DUMMYFUNCTION("""COMPUTED_VALUE"""),127.25)</f>
        <v>127.25</v>
      </c>
      <c r="E114" s="1">
        <f ca="1">IFERROR(__xludf.DUMMYFUNCTION("""COMPUTED_VALUE"""),8.93)</f>
        <v>8.93</v>
      </c>
      <c r="F114" s="1">
        <f ca="1">IFERROR(__xludf.DUMMYFUNCTION("""COMPUTED_VALUE"""),228.58)</f>
        <v>228.58</v>
      </c>
      <c r="G114" s="1">
        <f ca="1">IFERROR(__xludf.DUMMYFUNCTION("""COMPUTED_VALUE"""),70.66)</f>
        <v>70.66</v>
      </c>
      <c r="H114" s="1">
        <f ca="1">IFERROR(__xludf.DUMMYFUNCTION("""COMPUTED_VALUE"""),62.35)</f>
        <v>62.35</v>
      </c>
      <c r="I114" s="1">
        <f ca="1">IFERROR(__xludf.DUMMYFUNCTION("""COMPUTED_VALUE"""),129)</f>
        <v>129</v>
      </c>
      <c r="J114" s="1">
        <f ca="1">IFERROR(__xludf.DUMMYFUNCTION("""COMPUTED_VALUE"""),298.7)</f>
        <v>298.7</v>
      </c>
      <c r="K114" s="1">
        <f ca="1">IFERROR(__xludf.DUMMYFUNCTION("""COMPUTED_VALUE"""),30.03)</f>
        <v>30.03</v>
      </c>
      <c r="L114" s="1">
        <f ca="1">IFERROR(__xludf.DUMMYFUNCTION("""COMPUTED_VALUE"""),406.54)</f>
        <v>406.54</v>
      </c>
      <c r="M114" s="1">
        <f ca="1">IFERROR(__xludf.DUMMYFUNCTION("""COMPUTED_VALUE"""),418.07)</f>
        <v>418.07</v>
      </c>
      <c r="N114" s="1">
        <f ca="1">IFERROR(__xludf.DUMMYFUNCTION("""COMPUTED_VALUE"""),99.87)</f>
        <v>99.87</v>
      </c>
      <c r="O114" s="1">
        <f ca="1">IFERROR(__xludf.DUMMYFUNCTION("""COMPUTED_VALUE"""),192.26)</f>
        <v>192.26</v>
      </c>
      <c r="P114" s="1">
        <f ca="1">IFERROR(__xludf.DUMMYFUNCTION("""COMPUTED_VALUE"""),142.15)</f>
        <v>142.15</v>
      </c>
      <c r="Q114" s="1">
        <f ca="1">IFERROR(__xludf.DUMMYFUNCTION("""COMPUTED_VALUE"""),285.15)</f>
        <v>285.14999999999998</v>
      </c>
      <c r="R114" s="1">
        <f ca="1">IFERROR(__xludf.DUMMYFUNCTION("""COMPUTED_VALUE"""),47.17)</f>
        <v>47.17</v>
      </c>
      <c r="S114" s="1">
        <f ca="1">IFERROR(__xludf.DUMMYFUNCTION("""COMPUTED_VALUE"""),61.73)</f>
        <v>61.73</v>
      </c>
      <c r="T114" s="1">
        <f ca="1">IFERROR(__xludf.DUMMYFUNCTION("""COMPUTED_VALUE"""),39.25)</f>
        <v>39.25</v>
      </c>
      <c r="U114" s="1">
        <f ca="1">IFERROR(__xludf.DUMMYFUNCTION("""COMPUTED_VALUE"""),96.43)</f>
        <v>96.43</v>
      </c>
      <c r="V114" s="1">
        <f ca="1">IFERROR(__xludf.DUMMYFUNCTION("""COMPUTED_VALUE"""),123.15)</f>
        <v>123.15</v>
      </c>
      <c r="W114" s="1">
        <f ca="1">IFERROR(__xludf.DUMMYFUNCTION("""COMPUTED_VALUE"""),381.87)</f>
        <v>381.87</v>
      </c>
      <c r="X114" s="1">
        <f ca="1">IFERROR(__xludf.DUMMYFUNCTION("""COMPUTED_VALUE"""),343.07)</f>
        <v>343.07</v>
      </c>
      <c r="Y114" s="1">
        <f ca="1">IFERROR(__xludf.DUMMYFUNCTION("""COMPUTED_VALUE"""),56)</f>
        <v>56</v>
      </c>
      <c r="Z114" s="1">
        <f ca="1">IFERROR(__xludf.DUMMYFUNCTION("""COMPUTED_VALUE"""),201.78)</f>
        <v>201.78</v>
      </c>
      <c r="AA114" s="1">
        <f ca="1">IFERROR(__xludf.DUMMYFUNCTION("""COMPUTED_VALUE"""),31.97)</f>
        <v>31.97</v>
      </c>
      <c r="AB114" s="1">
        <f ca="1">IFERROR(__xludf.DUMMYFUNCTION("""COMPUTED_VALUE"""),76.38)</f>
        <v>76.38</v>
      </c>
      <c r="AC114" s="1">
        <f ca="1">IFERROR(__xludf.DUMMYFUNCTION("""COMPUTED_VALUE"""),53.5)</f>
        <v>53.5</v>
      </c>
    </row>
    <row r="115" spans="1:29" x14ac:dyDescent="0.25">
      <c r="A115" s="2">
        <f ca="1">IFERROR(__xludf.DUMMYFUNCTION("""COMPUTED_VALUE"""),43997.6666666666)</f>
        <v>43997.666666666599</v>
      </c>
      <c r="B115" s="1">
        <f ca="1">IFERROR(__xludf.DUMMYFUNCTION("""COMPUTED_VALUE"""),85.75)</f>
        <v>85.75</v>
      </c>
      <c r="C115" s="1">
        <f ca="1">IFERROR(__xludf.DUMMYFUNCTION("""COMPUTED_VALUE"""),188.94)</f>
        <v>188.94</v>
      </c>
      <c r="D115" s="1">
        <f ca="1">IFERROR(__xludf.DUMMYFUNCTION("""COMPUTED_VALUE"""),128.63)</f>
        <v>128.63</v>
      </c>
      <c r="E115" s="1">
        <f ca="1">IFERROR(__xludf.DUMMYFUNCTION("""COMPUTED_VALUE"""),9.17)</f>
        <v>9.17</v>
      </c>
      <c r="F115" s="1">
        <f ca="1">IFERROR(__xludf.DUMMYFUNCTION("""COMPUTED_VALUE"""),232.5)</f>
        <v>232.5</v>
      </c>
      <c r="G115" s="1">
        <f ca="1">IFERROR(__xludf.DUMMYFUNCTION("""COMPUTED_VALUE"""),70.99)</f>
        <v>70.989999999999995</v>
      </c>
      <c r="H115" s="1">
        <f ca="1">IFERROR(__xludf.DUMMYFUNCTION("""COMPUTED_VALUE"""),66.06)</f>
        <v>66.06</v>
      </c>
      <c r="I115" s="1">
        <f ca="1">IFERROR(__xludf.DUMMYFUNCTION("""COMPUTED_VALUE"""),130.48)</f>
        <v>130.47999999999999</v>
      </c>
      <c r="J115" s="1">
        <f ca="1">IFERROR(__xludf.DUMMYFUNCTION("""COMPUTED_VALUE"""),297.18)</f>
        <v>297.18</v>
      </c>
      <c r="K115" s="1">
        <f ca="1">IFERROR(__xludf.DUMMYFUNCTION("""COMPUTED_VALUE"""),30.41)</f>
        <v>30.41</v>
      </c>
      <c r="L115" s="1">
        <f ca="1">IFERROR(__xludf.DUMMYFUNCTION("""COMPUTED_VALUE"""),401.34)</f>
        <v>401.34</v>
      </c>
      <c r="M115" s="1">
        <f ca="1">IFERROR(__xludf.DUMMYFUNCTION("""COMPUTED_VALUE"""),425.5)</f>
        <v>425.5</v>
      </c>
      <c r="N115" s="1">
        <f ca="1">IFERROR(__xludf.DUMMYFUNCTION("""COMPUTED_VALUE"""),101.25)</f>
        <v>101.25</v>
      </c>
      <c r="O115" s="1">
        <f ca="1">IFERROR(__xludf.DUMMYFUNCTION("""COMPUTED_VALUE"""),191.76)</f>
        <v>191.76</v>
      </c>
      <c r="P115" s="1">
        <f ca="1">IFERROR(__xludf.DUMMYFUNCTION("""COMPUTED_VALUE"""),141.25)</f>
        <v>141.25</v>
      </c>
      <c r="Q115" s="1">
        <f ca="1">IFERROR(__xludf.DUMMYFUNCTION("""COMPUTED_VALUE"""),286.28)</f>
        <v>286.27999999999997</v>
      </c>
      <c r="R115" s="1">
        <f ca="1">IFERROR(__xludf.DUMMYFUNCTION("""COMPUTED_VALUE"""),47.14)</f>
        <v>47.14</v>
      </c>
      <c r="S115" s="1">
        <f ca="1">IFERROR(__xludf.DUMMYFUNCTION("""COMPUTED_VALUE"""),62.14)</f>
        <v>62.14</v>
      </c>
      <c r="T115" s="1">
        <f ca="1">IFERROR(__xludf.DUMMYFUNCTION("""COMPUTED_VALUE"""),39.36)</f>
        <v>39.36</v>
      </c>
      <c r="U115" s="1">
        <f ca="1">IFERROR(__xludf.DUMMYFUNCTION("""COMPUTED_VALUE"""),97.84)</f>
        <v>97.84</v>
      </c>
      <c r="V115" s="1">
        <f ca="1">IFERROR(__xludf.DUMMYFUNCTION("""COMPUTED_VALUE"""),123.61)</f>
        <v>123.61</v>
      </c>
      <c r="W115" s="1">
        <f ca="1">IFERROR(__xludf.DUMMYFUNCTION("""COMPUTED_VALUE"""),373.28)</f>
        <v>373.28</v>
      </c>
      <c r="X115" s="1">
        <f ca="1">IFERROR(__xludf.DUMMYFUNCTION("""COMPUTED_VALUE"""),350.01)</f>
        <v>350.01</v>
      </c>
      <c r="Y115" s="1">
        <f ca="1">IFERROR(__xludf.DUMMYFUNCTION("""COMPUTED_VALUE"""),56.02)</f>
        <v>56.02</v>
      </c>
      <c r="Z115" s="1">
        <f ca="1">IFERROR(__xludf.DUMMYFUNCTION("""COMPUTED_VALUE"""),206.31)</f>
        <v>206.31</v>
      </c>
      <c r="AA115" s="1">
        <f ca="1">IFERROR(__xludf.DUMMYFUNCTION("""COMPUTED_VALUE"""),31.6)</f>
        <v>31.6</v>
      </c>
      <c r="AB115" s="1">
        <f ca="1">IFERROR(__xludf.DUMMYFUNCTION("""COMPUTED_VALUE"""),76.96)</f>
        <v>76.959999999999994</v>
      </c>
      <c r="AC115" s="1">
        <f ca="1">IFERROR(__xludf.DUMMYFUNCTION("""COMPUTED_VALUE"""),54.68)</f>
        <v>54.68</v>
      </c>
    </row>
    <row r="116" spans="1:29" x14ac:dyDescent="0.25">
      <c r="A116" s="2">
        <f ca="1">IFERROR(__xludf.DUMMYFUNCTION("""COMPUTED_VALUE"""),43998.6666666666)</f>
        <v>43998.666666666599</v>
      </c>
      <c r="B116" s="1">
        <f ca="1">IFERROR(__xludf.DUMMYFUNCTION("""COMPUTED_VALUE"""),88.02)</f>
        <v>88.02</v>
      </c>
      <c r="C116" s="1">
        <f ca="1">IFERROR(__xludf.DUMMYFUNCTION("""COMPUTED_VALUE"""),193.57)</f>
        <v>193.57</v>
      </c>
      <c r="D116" s="1">
        <f ca="1">IFERROR(__xludf.DUMMYFUNCTION("""COMPUTED_VALUE"""),130.76)</f>
        <v>130.76</v>
      </c>
      <c r="E116" s="1">
        <f ca="1">IFERROR(__xludf.DUMMYFUNCTION("""COMPUTED_VALUE"""),9.07)</f>
        <v>9.07</v>
      </c>
      <c r="F116" s="1">
        <f ca="1">IFERROR(__xludf.DUMMYFUNCTION("""COMPUTED_VALUE"""),235.65)</f>
        <v>235.65</v>
      </c>
      <c r="G116" s="1">
        <f ca="1">IFERROR(__xludf.DUMMYFUNCTION("""COMPUTED_VALUE"""),72.14)</f>
        <v>72.14</v>
      </c>
      <c r="H116" s="1">
        <f ca="1">IFERROR(__xludf.DUMMYFUNCTION("""COMPUTED_VALUE"""),65.48)</f>
        <v>65.48</v>
      </c>
      <c r="I116" s="1">
        <f ca="1">IFERROR(__xludf.DUMMYFUNCTION("""COMPUTED_VALUE"""),131.67)</f>
        <v>131.66999999999999</v>
      </c>
      <c r="J116" s="1">
        <f ca="1">IFERROR(__xludf.DUMMYFUNCTION("""COMPUTED_VALUE"""),301.36)</f>
        <v>301.36</v>
      </c>
      <c r="K116" s="1">
        <f ca="1">IFERROR(__xludf.DUMMYFUNCTION("""COMPUTED_VALUE"""),31.07)</f>
        <v>31.07</v>
      </c>
      <c r="L116" s="1">
        <f ca="1">IFERROR(__xludf.DUMMYFUNCTION("""COMPUTED_VALUE"""),411.67)</f>
        <v>411.67</v>
      </c>
      <c r="M116" s="1">
        <f ca="1">IFERROR(__xludf.DUMMYFUNCTION("""COMPUTED_VALUE"""),436.13)</f>
        <v>436.13</v>
      </c>
      <c r="N116" s="1">
        <f ca="1">IFERROR(__xludf.DUMMYFUNCTION("""COMPUTED_VALUE"""),102.06)</f>
        <v>102.06</v>
      </c>
      <c r="O116" s="1">
        <f ca="1">IFERROR(__xludf.DUMMYFUNCTION("""COMPUTED_VALUE"""),192.88)</f>
        <v>192.88</v>
      </c>
      <c r="P116" s="1">
        <f ca="1">IFERROR(__xludf.DUMMYFUNCTION("""COMPUTED_VALUE"""),144.46)</f>
        <v>144.46</v>
      </c>
      <c r="Q116" s="1">
        <f ca="1">IFERROR(__xludf.DUMMYFUNCTION("""COMPUTED_VALUE"""),293)</f>
        <v>293</v>
      </c>
      <c r="R116" s="1">
        <f ca="1">IFERROR(__xludf.DUMMYFUNCTION("""COMPUTED_VALUE"""),48.2)</f>
        <v>48.2</v>
      </c>
      <c r="S116" s="1">
        <f ca="1">IFERROR(__xludf.DUMMYFUNCTION("""COMPUTED_VALUE"""),62.04)</f>
        <v>62.04</v>
      </c>
      <c r="T116" s="1">
        <f ca="1">IFERROR(__xludf.DUMMYFUNCTION("""COMPUTED_VALUE"""),39.88)</f>
        <v>39.880000000000003</v>
      </c>
      <c r="U116" s="1">
        <f ca="1">IFERROR(__xludf.DUMMYFUNCTION("""COMPUTED_VALUE"""),99.04)</f>
        <v>99.04</v>
      </c>
      <c r="V116" s="1">
        <f ca="1">IFERROR(__xludf.DUMMYFUNCTION("""COMPUTED_VALUE"""),130.11)</f>
        <v>130.11000000000001</v>
      </c>
      <c r="W116" s="1">
        <f ca="1">IFERROR(__xludf.DUMMYFUNCTION("""COMPUTED_VALUE"""),382.77)</f>
        <v>382.77</v>
      </c>
      <c r="X116" s="1">
        <f ca="1">IFERROR(__xludf.DUMMYFUNCTION("""COMPUTED_VALUE"""),352.05)</f>
        <v>352.05</v>
      </c>
      <c r="Y116" s="1">
        <f ca="1">IFERROR(__xludf.DUMMYFUNCTION("""COMPUTED_VALUE"""),55.8)</f>
        <v>55.8</v>
      </c>
      <c r="Z116" s="1">
        <f ca="1">IFERROR(__xludf.DUMMYFUNCTION("""COMPUTED_VALUE"""),209.59)</f>
        <v>209.59</v>
      </c>
      <c r="AA116" s="1">
        <f ca="1">IFERROR(__xludf.DUMMYFUNCTION("""COMPUTED_VALUE"""),31.64)</f>
        <v>31.64</v>
      </c>
      <c r="AB116" s="1">
        <f ca="1">IFERROR(__xludf.DUMMYFUNCTION("""COMPUTED_VALUE"""),77.84)</f>
        <v>77.84</v>
      </c>
      <c r="AC116" s="1">
        <f ca="1">IFERROR(__xludf.DUMMYFUNCTION("""COMPUTED_VALUE"""),54.46)</f>
        <v>54.46</v>
      </c>
    </row>
    <row r="117" spans="1:29" x14ac:dyDescent="0.25">
      <c r="A117" s="2">
        <f ca="1">IFERROR(__xludf.DUMMYFUNCTION("""COMPUTED_VALUE"""),43999.6666666666)</f>
        <v>43999.666666666599</v>
      </c>
      <c r="B117" s="1">
        <f ca="1">IFERROR(__xludf.DUMMYFUNCTION("""COMPUTED_VALUE"""),87.9)</f>
        <v>87.9</v>
      </c>
      <c r="C117" s="1">
        <f ca="1">IFERROR(__xludf.DUMMYFUNCTION("""COMPUTED_VALUE"""),194.24)</f>
        <v>194.24</v>
      </c>
      <c r="D117" s="1">
        <f ca="1">IFERROR(__xludf.DUMMYFUNCTION("""COMPUTED_VALUE"""),132.05)</f>
        <v>132.05000000000001</v>
      </c>
      <c r="E117" s="1">
        <f ca="1">IFERROR(__xludf.DUMMYFUNCTION("""COMPUTED_VALUE"""),9.24)</f>
        <v>9.24</v>
      </c>
      <c r="F117" s="1">
        <f ca="1">IFERROR(__xludf.DUMMYFUNCTION("""COMPUTED_VALUE"""),235.53)</f>
        <v>235.53</v>
      </c>
      <c r="G117" s="1">
        <f ca="1">IFERROR(__xludf.DUMMYFUNCTION("""COMPUTED_VALUE"""),72.56)</f>
        <v>72.56</v>
      </c>
      <c r="H117" s="1">
        <f ca="1">IFERROR(__xludf.DUMMYFUNCTION("""COMPUTED_VALUE"""),66.12)</f>
        <v>66.12</v>
      </c>
      <c r="I117" s="1">
        <f ca="1">IFERROR(__xludf.DUMMYFUNCTION("""COMPUTED_VALUE"""),131.76)</f>
        <v>131.76</v>
      </c>
      <c r="J117" s="1">
        <f ca="1">IFERROR(__xludf.DUMMYFUNCTION("""COMPUTED_VALUE"""),299.61)</f>
        <v>299.61</v>
      </c>
      <c r="K117" s="1">
        <f ca="1">IFERROR(__xludf.DUMMYFUNCTION("""COMPUTED_VALUE"""),31.34)</f>
        <v>31.34</v>
      </c>
      <c r="L117" s="1">
        <f ca="1">IFERROR(__xludf.DUMMYFUNCTION("""COMPUTED_VALUE"""),413.49)</f>
        <v>413.49</v>
      </c>
      <c r="M117" s="1">
        <f ca="1">IFERROR(__xludf.DUMMYFUNCTION("""COMPUTED_VALUE"""),447.77)</f>
        <v>447.77</v>
      </c>
      <c r="N117" s="1">
        <f ca="1">IFERROR(__xludf.DUMMYFUNCTION("""COMPUTED_VALUE"""),99.48)</f>
        <v>99.48</v>
      </c>
      <c r="O117" s="1">
        <f ca="1">IFERROR(__xludf.DUMMYFUNCTION("""COMPUTED_VALUE"""),193.56)</f>
        <v>193.56</v>
      </c>
      <c r="P117" s="1">
        <f ca="1">IFERROR(__xludf.DUMMYFUNCTION("""COMPUTED_VALUE"""),144.02)</f>
        <v>144.02000000000001</v>
      </c>
      <c r="Q117" s="1">
        <f ca="1">IFERROR(__xludf.DUMMYFUNCTION("""COMPUTED_VALUE"""),292.6)</f>
        <v>292.60000000000002</v>
      </c>
      <c r="R117" s="1">
        <f ca="1">IFERROR(__xludf.DUMMYFUNCTION("""COMPUTED_VALUE"""),46.63)</f>
        <v>46.63</v>
      </c>
      <c r="S117" s="1">
        <f ca="1">IFERROR(__xludf.DUMMYFUNCTION("""COMPUTED_VALUE"""),62.25)</f>
        <v>62.25</v>
      </c>
      <c r="T117" s="1">
        <f ca="1">IFERROR(__xludf.DUMMYFUNCTION("""COMPUTED_VALUE"""),39.68)</f>
        <v>39.68</v>
      </c>
      <c r="U117" s="1">
        <f ca="1">IFERROR(__xludf.DUMMYFUNCTION("""COMPUTED_VALUE"""),99.21)</f>
        <v>99.21</v>
      </c>
      <c r="V117" s="1">
        <f ca="1">IFERROR(__xludf.DUMMYFUNCTION("""COMPUTED_VALUE"""),128.23)</f>
        <v>128.22999999999999</v>
      </c>
      <c r="W117" s="1">
        <f ca="1">IFERROR(__xludf.DUMMYFUNCTION("""COMPUTED_VALUE"""),382.11)</f>
        <v>382.11</v>
      </c>
      <c r="X117" s="1">
        <f ca="1">IFERROR(__xludf.DUMMYFUNCTION("""COMPUTED_VALUE"""),362.41)</f>
        <v>362.41</v>
      </c>
      <c r="Y117" s="1">
        <f ca="1">IFERROR(__xludf.DUMMYFUNCTION("""COMPUTED_VALUE"""),56.6)</f>
        <v>56.6</v>
      </c>
      <c r="Z117" s="1">
        <f ca="1">IFERROR(__xludf.DUMMYFUNCTION("""COMPUTED_VALUE"""),206.19)</f>
        <v>206.19</v>
      </c>
      <c r="AA117" s="1">
        <f ca="1">IFERROR(__xludf.DUMMYFUNCTION("""COMPUTED_VALUE"""),31.79)</f>
        <v>31.79</v>
      </c>
      <c r="AB117" s="1">
        <f ca="1">IFERROR(__xludf.DUMMYFUNCTION("""COMPUTED_VALUE"""),77.1)</f>
        <v>77.099999999999994</v>
      </c>
      <c r="AC117" s="1">
        <f ca="1">IFERROR(__xludf.DUMMYFUNCTION("""COMPUTED_VALUE"""),54.55)</f>
        <v>54.55</v>
      </c>
    </row>
    <row r="118" spans="1:29" x14ac:dyDescent="0.25">
      <c r="A118" s="2">
        <f ca="1">IFERROR(__xludf.DUMMYFUNCTION("""COMPUTED_VALUE"""),44000.6666666666)</f>
        <v>44000.666666666599</v>
      </c>
      <c r="B118" s="1">
        <f ca="1">IFERROR(__xludf.DUMMYFUNCTION("""COMPUTED_VALUE"""),87.93)</f>
        <v>87.93</v>
      </c>
      <c r="C118" s="1">
        <f ca="1">IFERROR(__xludf.DUMMYFUNCTION("""COMPUTED_VALUE"""),196.32)</f>
        <v>196.32</v>
      </c>
      <c r="D118" s="1">
        <f ca="1">IFERROR(__xludf.DUMMYFUNCTION("""COMPUTED_VALUE"""),132.7)</f>
        <v>132.69999999999999</v>
      </c>
      <c r="E118" s="1">
        <f ca="1">IFERROR(__xludf.DUMMYFUNCTION("""COMPUTED_VALUE"""),9.22)</f>
        <v>9.2200000000000006</v>
      </c>
      <c r="F118" s="1">
        <f ca="1">IFERROR(__xludf.DUMMYFUNCTION("""COMPUTED_VALUE"""),235.94)</f>
        <v>235.94</v>
      </c>
      <c r="G118" s="1">
        <f ca="1">IFERROR(__xludf.DUMMYFUNCTION("""COMPUTED_VALUE"""),71.8)</f>
        <v>71.8</v>
      </c>
      <c r="H118" s="1">
        <f ca="1">IFERROR(__xludf.DUMMYFUNCTION("""COMPUTED_VALUE"""),66.93)</f>
        <v>66.930000000000007</v>
      </c>
      <c r="I118" s="1">
        <f ca="1">IFERROR(__xludf.DUMMYFUNCTION("""COMPUTED_VALUE"""),132.78)</f>
        <v>132.78</v>
      </c>
      <c r="J118" s="1">
        <f ca="1">IFERROR(__xludf.DUMMYFUNCTION("""COMPUTED_VALUE"""),299.57)</f>
        <v>299.57</v>
      </c>
      <c r="K118" s="1">
        <f ca="1">IFERROR(__xludf.DUMMYFUNCTION("""COMPUTED_VALUE"""),31.87)</f>
        <v>31.87</v>
      </c>
      <c r="L118" s="1">
        <f ca="1">IFERROR(__xludf.DUMMYFUNCTION("""COMPUTED_VALUE"""),420.46)</f>
        <v>420.46</v>
      </c>
      <c r="M118" s="1">
        <f ca="1">IFERROR(__xludf.DUMMYFUNCTION("""COMPUTED_VALUE"""),449.87)</f>
        <v>449.87</v>
      </c>
      <c r="N118" s="1">
        <f ca="1">IFERROR(__xludf.DUMMYFUNCTION("""COMPUTED_VALUE"""),98.94)</f>
        <v>98.94</v>
      </c>
      <c r="O118" s="1">
        <f ca="1">IFERROR(__xludf.DUMMYFUNCTION("""COMPUTED_VALUE"""),193.91)</f>
        <v>193.91</v>
      </c>
      <c r="P118" s="1">
        <f ca="1">IFERROR(__xludf.DUMMYFUNCTION("""COMPUTED_VALUE"""),143.41)</f>
        <v>143.41</v>
      </c>
      <c r="Q118" s="1">
        <f ca="1">IFERROR(__xludf.DUMMYFUNCTION("""COMPUTED_VALUE"""),291.48)</f>
        <v>291.48</v>
      </c>
      <c r="R118" s="1">
        <f ca="1">IFERROR(__xludf.DUMMYFUNCTION("""COMPUTED_VALUE"""),46.92)</f>
        <v>46.92</v>
      </c>
      <c r="S118" s="1">
        <f ca="1">IFERROR(__xludf.DUMMYFUNCTION("""COMPUTED_VALUE"""),62.23)</f>
        <v>62.23</v>
      </c>
      <c r="T118" s="1">
        <f ca="1">IFERROR(__xludf.DUMMYFUNCTION("""COMPUTED_VALUE"""),39.33)</f>
        <v>39.33</v>
      </c>
      <c r="U118" s="1">
        <f ca="1">IFERROR(__xludf.DUMMYFUNCTION("""COMPUTED_VALUE"""),98.45)</f>
        <v>98.45</v>
      </c>
      <c r="V118" s="1">
        <f ca="1">IFERROR(__xludf.DUMMYFUNCTION("""COMPUTED_VALUE"""),127.59)</f>
        <v>127.59</v>
      </c>
      <c r="W118" s="1">
        <f ca="1">IFERROR(__xludf.DUMMYFUNCTION("""COMPUTED_VALUE"""),378.39)</f>
        <v>378.39</v>
      </c>
      <c r="X118" s="1">
        <f ca="1">IFERROR(__xludf.DUMMYFUNCTION("""COMPUTED_VALUE"""),358.88)</f>
        <v>358.88</v>
      </c>
      <c r="Y118" s="1">
        <f ca="1">IFERROR(__xludf.DUMMYFUNCTION("""COMPUTED_VALUE"""),56.15)</f>
        <v>56.15</v>
      </c>
      <c r="Z118" s="1">
        <f ca="1">IFERROR(__xludf.DUMMYFUNCTION("""COMPUTED_VALUE"""),203.84)</f>
        <v>203.84</v>
      </c>
      <c r="AA118" s="1">
        <f ca="1">IFERROR(__xludf.DUMMYFUNCTION("""COMPUTED_VALUE"""),31.49)</f>
        <v>31.49</v>
      </c>
      <c r="AB118" s="1">
        <f ca="1">IFERROR(__xludf.DUMMYFUNCTION("""COMPUTED_VALUE"""),76.31)</f>
        <v>76.31</v>
      </c>
      <c r="AC118" s="1">
        <f ca="1">IFERROR(__xludf.DUMMYFUNCTION("""COMPUTED_VALUE"""),54.04)</f>
        <v>54.04</v>
      </c>
    </row>
    <row r="119" spans="1:29" x14ac:dyDescent="0.25">
      <c r="A119" s="2">
        <f ca="1">IFERROR(__xludf.DUMMYFUNCTION("""COMPUTED_VALUE"""),44001.6666666666)</f>
        <v>44001.666666666599</v>
      </c>
      <c r="B119" s="1">
        <f ca="1">IFERROR(__xludf.DUMMYFUNCTION("""COMPUTED_VALUE"""),87.43)</f>
        <v>87.43</v>
      </c>
      <c r="C119" s="1">
        <f ca="1">IFERROR(__xludf.DUMMYFUNCTION("""COMPUTED_VALUE"""),195.15)</f>
        <v>195.15</v>
      </c>
      <c r="D119" s="1">
        <f ca="1">IFERROR(__xludf.DUMMYFUNCTION("""COMPUTED_VALUE"""),133.75)</f>
        <v>133.75</v>
      </c>
      <c r="E119" s="1">
        <f ca="1">IFERROR(__xludf.DUMMYFUNCTION("""COMPUTED_VALUE"""),9.26)</f>
        <v>9.26</v>
      </c>
      <c r="F119" s="1">
        <f ca="1">IFERROR(__xludf.DUMMYFUNCTION("""COMPUTED_VALUE"""),238.79)</f>
        <v>238.79</v>
      </c>
      <c r="G119" s="1">
        <f ca="1">IFERROR(__xludf.DUMMYFUNCTION("""COMPUTED_VALUE"""),71.59)</f>
        <v>71.59</v>
      </c>
      <c r="H119" s="1">
        <f ca="1">IFERROR(__xludf.DUMMYFUNCTION("""COMPUTED_VALUE"""),66.73)</f>
        <v>66.73</v>
      </c>
      <c r="I119" s="1">
        <f ca="1">IFERROR(__xludf.DUMMYFUNCTION("""COMPUTED_VALUE"""),131.28)</f>
        <v>131.28</v>
      </c>
      <c r="J119" s="1">
        <f ca="1">IFERROR(__xludf.DUMMYFUNCTION("""COMPUTED_VALUE"""),299.9)</f>
        <v>299.89999999999998</v>
      </c>
      <c r="K119" s="1">
        <f ca="1">IFERROR(__xludf.DUMMYFUNCTION("""COMPUTED_VALUE"""),30.28)</f>
        <v>30.28</v>
      </c>
      <c r="L119" s="1">
        <f ca="1">IFERROR(__xludf.DUMMYFUNCTION("""COMPUTED_VALUE"""),428.01)</f>
        <v>428.01</v>
      </c>
      <c r="M119" s="1">
        <f ca="1">IFERROR(__xludf.DUMMYFUNCTION("""COMPUTED_VALUE"""),453.72)</f>
        <v>453.72</v>
      </c>
      <c r="N119" s="1">
        <f ca="1">IFERROR(__xludf.DUMMYFUNCTION("""COMPUTED_VALUE"""),97.81)</f>
        <v>97.81</v>
      </c>
      <c r="O119" s="1">
        <f ca="1">IFERROR(__xludf.DUMMYFUNCTION("""COMPUTED_VALUE"""),192.2)</f>
        <v>192.2</v>
      </c>
      <c r="P119" s="1">
        <f ca="1">IFERROR(__xludf.DUMMYFUNCTION("""COMPUTED_VALUE"""),143.83)</f>
        <v>143.83000000000001</v>
      </c>
      <c r="Q119" s="1">
        <f ca="1">IFERROR(__xludf.DUMMYFUNCTION("""COMPUTED_VALUE"""),291.24)</f>
        <v>291.24</v>
      </c>
      <c r="R119" s="1">
        <f ca="1">IFERROR(__xludf.DUMMYFUNCTION("""COMPUTED_VALUE"""),45.98)</f>
        <v>45.98</v>
      </c>
      <c r="S119" s="1">
        <f ca="1">IFERROR(__xludf.DUMMYFUNCTION("""COMPUTED_VALUE"""),60.55)</f>
        <v>60.55</v>
      </c>
      <c r="T119" s="1">
        <f ca="1">IFERROR(__xludf.DUMMYFUNCTION("""COMPUTED_VALUE"""),39.95)</f>
        <v>39.950000000000003</v>
      </c>
      <c r="U119" s="1">
        <f ca="1">IFERROR(__xludf.DUMMYFUNCTION("""COMPUTED_VALUE"""),95.78)</f>
        <v>95.78</v>
      </c>
      <c r="V119" s="1">
        <f ca="1">IFERROR(__xludf.DUMMYFUNCTION("""COMPUTED_VALUE"""),127.46)</f>
        <v>127.46</v>
      </c>
      <c r="W119" s="1">
        <f ca="1">IFERROR(__xludf.DUMMYFUNCTION("""COMPUTED_VALUE"""),372.2)</f>
        <v>372.2</v>
      </c>
      <c r="X119" s="1">
        <f ca="1">IFERROR(__xludf.DUMMYFUNCTION("""COMPUTED_VALUE"""),360.67)</f>
        <v>360.67</v>
      </c>
      <c r="Y119" s="1">
        <f ca="1">IFERROR(__xludf.DUMMYFUNCTION("""COMPUTED_VALUE"""),55.31)</f>
        <v>55.31</v>
      </c>
      <c r="Z119" s="1">
        <f ca="1">IFERROR(__xludf.DUMMYFUNCTION("""COMPUTED_VALUE"""),201.63)</f>
        <v>201.63</v>
      </c>
      <c r="AA119" s="1">
        <f ca="1">IFERROR(__xludf.DUMMYFUNCTION("""COMPUTED_VALUE"""),31.66)</f>
        <v>31.66</v>
      </c>
      <c r="AB119" s="1">
        <f ca="1">IFERROR(__xludf.DUMMYFUNCTION("""COMPUTED_VALUE"""),75.4)</f>
        <v>75.400000000000006</v>
      </c>
      <c r="AC119" s="1">
        <f ca="1">IFERROR(__xludf.DUMMYFUNCTION("""COMPUTED_VALUE"""),54.23)</f>
        <v>54.23</v>
      </c>
    </row>
    <row r="120" spans="1:29" x14ac:dyDescent="0.25">
      <c r="A120" s="2">
        <f ca="1">IFERROR(__xludf.DUMMYFUNCTION("""COMPUTED_VALUE"""),44004.6666666666)</f>
        <v>44004.666666666599</v>
      </c>
      <c r="B120" s="1">
        <f ca="1">IFERROR(__xludf.DUMMYFUNCTION("""COMPUTED_VALUE"""),89.72)</f>
        <v>89.72</v>
      </c>
      <c r="C120" s="1">
        <f ca="1">IFERROR(__xludf.DUMMYFUNCTION("""COMPUTED_VALUE"""),200.57)</f>
        <v>200.57</v>
      </c>
      <c r="D120" s="1">
        <f ca="1">IFERROR(__xludf.DUMMYFUNCTION("""COMPUTED_VALUE"""),135.69)</f>
        <v>135.69</v>
      </c>
      <c r="E120" s="1">
        <f ca="1">IFERROR(__xludf.DUMMYFUNCTION("""COMPUTED_VALUE"""),9.53)</f>
        <v>9.5299999999999994</v>
      </c>
      <c r="F120" s="1">
        <f ca="1">IFERROR(__xludf.DUMMYFUNCTION("""COMPUTED_VALUE"""),239.22)</f>
        <v>239.22</v>
      </c>
      <c r="G120" s="1">
        <f ca="1">IFERROR(__xludf.DUMMYFUNCTION("""COMPUTED_VALUE"""),72.59)</f>
        <v>72.59</v>
      </c>
      <c r="H120" s="1">
        <f ca="1">IFERROR(__xludf.DUMMYFUNCTION("""COMPUTED_VALUE"""),66.29)</f>
        <v>66.290000000000006</v>
      </c>
      <c r="I120" s="1">
        <f ca="1">IFERROR(__xludf.DUMMYFUNCTION("""COMPUTED_VALUE"""),131.05)</f>
        <v>131.05000000000001</v>
      </c>
      <c r="J120" s="1">
        <f ca="1">IFERROR(__xludf.DUMMYFUNCTION("""COMPUTED_VALUE"""),300.45)</f>
        <v>300.45</v>
      </c>
      <c r="K120" s="1">
        <f ca="1">IFERROR(__xludf.DUMMYFUNCTION("""COMPUTED_VALUE"""),31.35)</f>
        <v>31.35</v>
      </c>
      <c r="L120" s="1">
        <f ca="1">IFERROR(__xludf.DUMMYFUNCTION("""COMPUTED_VALUE"""),438.64)</f>
        <v>438.64</v>
      </c>
      <c r="M120" s="1">
        <f ca="1">IFERROR(__xludf.DUMMYFUNCTION("""COMPUTED_VALUE"""),468.04)</f>
        <v>468.04</v>
      </c>
      <c r="N120" s="1">
        <f ca="1">IFERROR(__xludf.DUMMYFUNCTION("""COMPUTED_VALUE"""),96.75)</f>
        <v>96.75</v>
      </c>
      <c r="O120" s="1">
        <f ca="1">IFERROR(__xludf.DUMMYFUNCTION("""COMPUTED_VALUE"""),194.96)</f>
        <v>194.96</v>
      </c>
      <c r="P120" s="1">
        <f ca="1">IFERROR(__xludf.DUMMYFUNCTION("""COMPUTED_VALUE"""),143.39)</f>
        <v>143.38999999999999</v>
      </c>
      <c r="Q120" s="1">
        <f ca="1">IFERROR(__xludf.DUMMYFUNCTION("""COMPUTED_VALUE"""),292.67)</f>
        <v>292.67</v>
      </c>
      <c r="R120" s="1">
        <f ca="1">IFERROR(__xludf.DUMMYFUNCTION("""COMPUTED_VALUE"""),46.42)</f>
        <v>46.42</v>
      </c>
      <c r="S120" s="1">
        <f ca="1">IFERROR(__xludf.DUMMYFUNCTION("""COMPUTED_VALUE"""),61.76)</f>
        <v>61.76</v>
      </c>
      <c r="T120" s="1">
        <f ca="1">IFERROR(__xludf.DUMMYFUNCTION("""COMPUTED_VALUE"""),40.56)</f>
        <v>40.56</v>
      </c>
      <c r="U120" s="1">
        <f ca="1">IFERROR(__xludf.DUMMYFUNCTION("""COMPUTED_VALUE"""),99.51)</f>
        <v>99.51</v>
      </c>
      <c r="V120" s="1">
        <f ca="1">IFERROR(__xludf.DUMMYFUNCTION("""COMPUTED_VALUE"""),125.79)</f>
        <v>125.79</v>
      </c>
      <c r="W120" s="1">
        <f ca="1">IFERROR(__xludf.DUMMYFUNCTION("""COMPUTED_VALUE"""),375.96)</f>
        <v>375.96</v>
      </c>
      <c r="X120" s="1">
        <f ca="1">IFERROR(__xludf.DUMMYFUNCTION("""COMPUTED_VALUE"""),364.29)</f>
        <v>364.29</v>
      </c>
      <c r="Y120" s="1">
        <f ca="1">IFERROR(__xludf.DUMMYFUNCTION("""COMPUTED_VALUE"""),56)</f>
        <v>56</v>
      </c>
      <c r="Z120" s="1">
        <f ca="1">IFERROR(__xludf.DUMMYFUNCTION("""COMPUTED_VALUE"""),203.42)</f>
        <v>203.42</v>
      </c>
      <c r="AA120" s="1">
        <f ca="1">IFERROR(__xludf.DUMMYFUNCTION("""COMPUTED_VALUE"""),31.37)</f>
        <v>31.37</v>
      </c>
      <c r="AB120" s="1">
        <f ca="1">IFERROR(__xludf.DUMMYFUNCTION("""COMPUTED_VALUE"""),75.4)</f>
        <v>75.400000000000006</v>
      </c>
      <c r="AC120" s="1">
        <f ca="1">IFERROR(__xludf.DUMMYFUNCTION("""COMPUTED_VALUE"""),54.76)</f>
        <v>54.76</v>
      </c>
    </row>
    <row r="121" spans="1:29" x14ac:dyDescent="0.25">
      <c r="A121" s="2">
        <f ca="1">IFERROR(__xludf.DUMMYFUNCTION("""COMPUTED_VALUE"""),44005.6666666666)</f>
        <v>44005.666666666599</v>
      </c>
      <c r="B121" s="1">
        <f ca="1">IFERROR(__xludf.DUMMYFUNCTION("""COMPUTED_VALUE"""),91.63)</f>
        <v>91.63</v>
      </c>
      <c r="C121" s="1">
        <f ca="1">IFERROR(__xludf.DUMMYFUNCTION("""COMPUTED_VALUE"""),201.91)</f>
        <v>201.91</v>
      </c>
      <c r="D121" s="1">
        <f ca="1">IFERROR(__xludf.DUMMYFUNCTION("""COMPUTED_VALUE"""),138.22)</f>
        <v>138.22</v>
      </c>
      <c r="E121" s="1">
        <f ca="1">IFERROR(__xludf.DUMMYFUNCTION("""COMPUTED_VALUE"""),9.45)</f>
        <v>9.4499999999999993</v>
      </c>
      <c r="F121" s="1">
        <f ca="1">IFERROR(__xludf.DUMMYFUNCTION("""COMPUTED_VALUE"""),242.24)</f>
        <v>242.24</v>
      </c>
      <c r="G121" s="1">
        <f ca="1">IFERROR(__xludf.DUMMYFUNCTION("""COMPUTED_VALUE"""),73.22)</f>
        <v>73.22</v>
      </c>
      <c r="H121" s="1">
        <f ca="1">IFERROR(__xludf.DUMMYFUNCTION("""COMPUTED_VALUE"""),66.79)</f>
        <v>66.790000000000006</v>
      </c>
      <c r="I121" s="1">
        <f ca="1">IFERROR(__xludf.DUMMYFUNCTION("""COMPUTED_VALUE"""),131.36)</f>
        <v>131.36000000000001</v>
      </c>
      <c r="J121" s="1">
        <f ca="1">IFERROR(__xludf.DUMMYFUNCTION("""COMPUTED_VALUE"""),301.29)</f>
        <v>301.29000000000002</v>
      </c>
      <c r="K121" s="1">
        <f ca="1">IFERROR(__xludf.DUMMYFUNCTION("""COMPUTED_VALUE"""),31.13)</f>
        <v>31.13</v>
      </c>
      <c r="L121" s="1">
        <f ca="1">IFERROR(__xludf.DUMMYFUNCTION("""COMPUTED_VALUE"""),440.55)</f>
        <v>440.55</v>
      </c>
      <c r="M121" s="1">
        <f ca="1">IFERROR(__xludf.DUMMYFUNCTION("""COMPUTED_VALUE"""),466.26)</f>
        <v>466.26</v>
      </c>
      <c r="N121" s="1">
        <f ca="1">IFERROR(__xludf.DUMMYFUNCTION("""COMPUTED_VALUE"""),97.93)</f>
        <v>97.93</v>
      </c>
      <c r="O121" s="1">
        <f ca="1">IFERROR(__xludf.DUMMYFUNCTION("""COMPUTED_VALUE"""),197.97)</f>
        <v>197.97</v>
      </c>
      <c r="P121" s="1">
        <f ca="1">IFERROR(__xludf.DUMMYFUNCTION("""COMPUTED_VALUE"""),142.86)</f>
        <v>142.86000000000001</v>
      </c>
      <c r="Q121" s="1">
        <f ca="1">IFERROR(__xludf.DUMMYFUNCTION("""COMPUTED_VALUE"""),297.6)</f>
        <v>297.60000000000002</v>
      </c>
      <c r="R121" s="1">
        <f ca="1">IFERROR(__xludf.DUMMYFUNCTION("""COMPUTED_VALUE"""),46.7)</f>
        <v>46.7</v>
      </c>
      <c r="S121" s="1">
        <f ca="1">IFERROR(__xludf.DUMMYFUNCTION("""COMPUTED_VALUE"""),60.8)</f>
        <v>60.8</v>
      </c>
      <c r="T121" s="1">
        <f ca="1">IFERROR(__xludf.DUMMYFUNCTION("""COMPUTED_VALUE"""),40.36)</f>
        <v>40.36</v>
      </c>
      <c r="U121" s="1">
        <f ca="1">IFERROR(__xludf.DUMMYFUNCTION("""COMPUTED_VALUE"""),101.92)</f>
        <v>101.92</v>
      </c>
      <c r="V121" s="1">
        <f ca="1">IFERROR(__xludf.DUMMYFUNCTION("""COMPUTED_VALUE"""),126.25)</f>
        <v>126.25</v>
      </c>
      <c r="W121" s="1">
        <f ca="1">IFERROR(__xludf.DUMMYFUNCTION("""COMPUTED_VALUE"""),371.7)</f>
        <v>371.7</v>
      </c>
      <c r="X121" s="1">
        <f ca="1">IFERROR(__xludf.DUMMYFUNCTION("""COMPUTED_VALUE"""),366.64)</f>
        <v>366.64</v>
      </c>
      <c r="Y121" s="1">
        <f ca="1">IFERROR(__xludf.DUMMYFUNCTION("""COMPUTED_VALUE"""),56.76)</f>
        <v>56.76</v>
      </c>
      <c r="Z121" s="1">
        <f ca="1">IFERROR(__xludf.DUMMYFUNCTION("""COMPUTED_VALUE"""),204.78)</f>
        <v>204.78</v>
      </c>
      <c r="AA121" s="1">
        <f ca="1">IFERROR(__xludf.DUMMYFUNCTION("""COMPUTED_VALUE"""),31.04)</f>
        <v>31.04</v>
      </c>
      <c r="AB121" s="1">
        <f ca="1">IFERROR(__xludf.DUMMYFUNCTION("""COMPUTED_VALUE"""),75.49)</f>
        <v>75.489999999999995</v>
      </c>
      <c r="AC121" s="1">
        <f ca="1">IFERROR(__xludf.DUMMYFUNCTION("""COMPUTED_VALUE"""),53.99)</f>
        <v>53.99</v>
      </c>
    </row>
    <row r="122" spans="1:29" x14ac:dyDescent="0.25">
      <c r="A122" s="2">
        <f ca="1">IFERROR(__xludf.DUMMYFUNCTION("""COMPUTED_VALUE"""),44006.6666666666)</f>
        <v>44006.666666666599</v>
      </c>
      <c r="B122" s="1">
        <f ca="1">IFERROR(__xludf.DUMMYFUNCTION("""COMPUTED_VALUE"""),90.02)</f>
        <v>90.02</v>
      </c>
      <c r="C122" s="1">
        <f ca="1">IFERROR(__xludf.DUMMYFUNCTION("""COMPUTED_VALUE"""),197.84)</f>
        <v>197.84</v>
      </c>
      <c r="D122" s="1">
        <f ca="1">IFERROR(__xludf.DUMMYFUNCTION("""COMPUTED_VALUE"""),136.72)</f>
        <v>136.72</v>
      </c>
      <c r="E122" s="1">
        <f ca="1">IFERROR(__xludf.DUMMYFUNCTION("""COMPUTED_VALUE"""),9.24)</f>
        <v>9.24</v>
      </c>
      <c r="F122" s="1">
        <f ca="1">IFERROR(__xludf.DUMMYFUNCTION("""COMPUTED_VALUE"""),234.02)</f>
        <v>234.02</v>
      </c>
      <c r="G122" s="1">
        <f ca="1">IFERROR(__xludf.DUMMYFUNCTION("""COMPUTED_VALUE"""),71.6)</f>
        <v>71.599999999999994</v>
      </c>
      <c r="H122" s="1">
        <f ca="1">IFERROR(__xludf.DUMMYFUNCTION("""COMPUTED_VALUE"""),64.06)</f>
        <v>64.06</v>
      </c>
      <c r="I122" s="1">
        <f ca="1">IFERROR(__xludf.DUMMYFUNCTION("""COMPUTED_VALUE"""),129.56)</f>
        <v>129.56</v>
      </c>
      <c r="J122" s="1">
        <f ca="1">IFERROR(__xludf.DUMMYFUNCTION("""COMPUTED_VALUE"""),298.02)</f>
        <v>298.02</v>
      </c>
      <c r="K122" s="1">
        <f ca="1">IFERROR(__xludf.DUMMYFUNCTION("""COMPUTED_VALUE"""),30.7)</f>
        <v>30.7</v>
      </c>
      <c r="L122" s="1">
        <f ca="1">IFERROR(__xludf.DUMMYFUNCTION("""COMPUTED_VALUE"""),431.68)</f>
        <v>431.68</v>
      </c>
      <c r="M122" s="1">
        <f ca="1">IFERROR(__xludf.DUMMYFUNCTION("""COMPUTED_VALUE"""),457.85)</f>
        <v>457.85</v>
      </c>
      <c r="N122" s="1">
        <f ca="1">IFERROR(__xludf.DUMMYFUNCTION("""COMPUTED_VALUE"""),94.66)</f>
        <v>94.66</v>
      </c>
      <c r="O122" s="1">
        <f ca="1">IFERROR(__xludf.DUMMYFUNCTION("""COMPUTED_VALUE"""),191.41)</f>
        <v>191.41</v>
      </c>
      <c r="P122" s="1">
        <f ca="1">IFERROR(__xludf.DUMMYFUNCTION("""COMPUTED_VALUE"""),139.82)</f>
        <v>139.82</v>
      </c>
      <c r="Q122" s="1">
        <f ca="1">IFERROR(__xludf.DUMMYFUNCTION("""COMPUTED_VALUE"""),289.18)</f>
        <v>289.18</v>
      </c>
      <c r="R122" s="1">
        <f ca="1">IFERROR(__xludf.DUMMYFUNCTION("""COMPUTED_VALUE"""),44.5)</f>
        <v>44.5</v>
      </c>
      <c r="S122" s="1">
        <f ca="1">IFERROR(__xludf.DUMMYFUNCTION("""COMPUTED_VALUE"""),60.42)</f>
        <v>60.42</v>
      </c>
      <c r="T122" s="1">
        <f ca="1">IFERROR(__xludf.DUMMYFUNCTION("""COMPUTED_VALUE"""),40.1)</f>
        <v>40.1</v>
      </c>
      <c r="U122" s="1">
        <f ca="1">IFERROR(__xludf.DUMMYFUNCTION("""COMPUTED_VALUE"""),100.08)</f>
        <v>100.08</v>
      </c>
      <c r="V122" s="1">
        <f ca="1">IFERROR(__xludf.DUMMYFUNCTION("""COMPUTED_VALUE"""),122.06)</f>
        <v>122.06</v>
      </c>
      <c r="W122" s="1">
        <f ca="1">IFERROR(__xludf.DUMMYFUNCTION("""COMPUTED_VALUE"""),359.82)</f>
        <v>359.82</v>
      </c>
      <c r="X122" s="1">
        <f ca="1">IFERROR(__xludf.DUMMYFUNCTION("""COMPUTED_VALUE"""),361.58)</f>
        <v>361.58</v>
      </c>
      <c r="Y122" s="1">
        <f ca="1">IFERROR(__xludf.DUMMYFUNCTION("""COMPUTED_VALUE"""),56.58)</f>
        <v>56.58</v>
      </c>
      <c r="Z122" s="1">
        <f ca="1">IFERROR(__xludf.DUMMYFUNCTION("""COMPUTED_VALUE"""),198.02)</f>
        <v>198.02</v>
      </c>
      <c r="AA122" s="1">
        <f ca="1">IFERROR(__xludf.DUMMYFUNCTION("""COMPUTED_VALUE"""),30.49)</f>
        <v>30.49</v>
      </c>
      <c r="AB122" s="1">
        <f ca="1">IFERROR(__xludf.DUMMYFUNCTION("""COMPUTED_VALUE"""),73.64)</f>
        <v>73.64</v>
      </c>
      <c r="AC122" s="1">
        <f ca="1">IFERROR(__xludf.DUMMYFUNCTION("""COMPUTED_VALUE"""),52.39)</f>
        <v>52.39</v>
      </c>
    </row>
    <row r="123" spans="1:29" x14ac:dyDescent="0.25">
      <c r="A123" s="2">
        <f ca="1">IFERROR(__xludf.DUMMYFUNCTION("""COMPUTED_VALUE"""),44007.6666666666)</f>
        <v>44007.666666666599</v>
      </c>
      <c r="B123" s="1">
        <f ca="1">IFERROR(__xludf.DUMMYFUNCTION("""COMPUTED_VALUE"""),91.21)</f>
        <v>91.21</v>
      </c>
      <c r="C123" s="1">
        <f ca="1">IFERROR(__xludf.DUMMYFUNCTION("""COMPUTED_VALUE"""),200.34)</f>
        <v>200.34</v>
      </c>
      <c r="D123" s="1">
        <f ca="1">IFERROR(__xludf.DUMMYFUNCTION("""COMPUTED_VALUE"""),137.73)</f>
        <v>137.72999999999999</v>
      </c>
      <c r="E123" s="1">
        <f ca="1">IFERROR(__xludf.DUMMYFUNCTION("""COMPUTED_VALUE"""),9.49)</f>
        <v>9.49</v>
      </c>
      <c r="F123" s="1">
        <f ca="1">IFERROR(__xludf.DUMMYFUNCTION("""COMPUTED_VALUE"""),235.68)</f>
        <v>235.68</v>
      </c>
      <c r="G123" s="1">
        <f ca="1">IFERROR(__xludf.DUMMYFUNCTION("""COMPUTED_VALUE"""),72.07)</f>
        <v>72.069999999999993</v>
      </c>
      <c r="H123" s="1">
        <f ca="1">IFERROR(__xludf.DUMMYFUNCTION("""COMPUTED_VALUE"""),65.73)</f>
        <v>65.73</v>
      </c>
      <c r="I123" s="1">
        <f ca="1">IFERROR(__xludf.DUMMYFUNCTION("""COMPUTED_VALUE"""),131.41)</f>
        <v>131.41</v>
      </c>
      <c r="J123" s="1">
        <f ca="1">IFERROR(__xludf.DUMMYFUNCTION("""COMPUTED_VALUE"""),300.53)</f>
        <v>300.52999999999997</v>
      </c>
      <c r="K123" s="1">
        <f ca="1">IFERROR(__xludf.DUMMYFUNCTION("""COMPUTED_VALUE"""),30.89)</f>
        <v>30.89</v>
      </c>
      <c r="L123" s="1">
        <f ca="1">IFERROR(__xludf.DUMMYFUNCTION("""COMPUTED_VALUE"""),436.95)</f>
        <v>436.95</v>
      </c>
      <c r="M123" s="1">
        <f ca="1">IFERROR(__xludf.DUMMYFUNCTION("""COMPUTED_VALUE"""),465.91)</f>
        <v>465.91</v>
      </c>
      <c r="N123" s="1">
        <f ca="1">IFERROR(__xludf.DUMMYFUNCTION("""COMPUTED_VALUE"""),97.96)</f>
        <v>97.96</v>
      </c>
      <c r="O123" s="1">
        <f ca="1">IFERROR(__xludf.DUMMYFUNCTION("""COMPUTED_VALUE"""),193.98)</f>
        <v>193.98</v>
      </c>
      <c r="P123" s="1">
        <f ca="1">IFERROR(__xludf.DUMMYFUNCTION("""COMPUTED_VALUE"""),139.67)</f>
        <v>139.66999999999999</v>
      </c>
      <c r="Q123" s="1">
        <f ca="1">IFERROR(__xludf.DUMMYFUNCTION("""COMPUTED_VALUE"""),296.22)</f>
        <v>296.22000000000003</v>
      </c>
      <c r="R123" s="1">
        <f ca="1">IFERROR(__xludf.DUMMYFUNCTION("""COMPUTED_VALUE"""),45.17)</f>
        <v>45.17</v>
      </c>
      <c r="S123" s="1">
        <f ca="1">IFERROR(__xludf.DUMMYFUNCTION("""COMPUTED_VALUE"""),59.79)</f>
        <v>59.79</v>
      </c>
      <c r="T123" s="1">
        <f ca="1">IFERROR(__xludf.DUMMYFUNCTION("""COMPUTED_VALUE"""),39.9)</f>
        <v>39.9</v>
      </c>
      <c r="U123" s="1">
        <f ca="1">IFERROR(__xludf.DUMMYFUNCTION("""COMPUTED_VALUE"""),101.4)</f>
        <v>101.4</v>
      </c>
      <c r="V123" s="1">
        <f ca="1">IFERROR(__xludf.DUMMYFUNCTION("""COMPUTED_VALUE"""),124.71)</f>
        <v>124.71</v>
      </c>
      <c r="W123" s="1">
        <f ca="1">IFERROR(__xludf.DUMMYFUNCTION("""COMPUTED_VALUE"""),362.82)</f>
        <v>362.82</v>
      </c>
      <c r="X123" s="1">
        <f ca="1">IFERROR(__xludf.DUMMYFUNCTION("""COMPUTED_VALUE"""),366.55)</f>
        <v>366.55</v>
      </c>
      <c r="Y123" s="1">
        <f ca="1">IFERROR(__xludf.DUMMYFUNCTION("""COMPUTED_VALUE"""),57.04)</f>
        <v>57.04</v>
      </c>
      <c r="Z123" s="1">
        <f ca="1">IFERROR(__xludf.DUMMYFUNCTION("""COMPUTED_VALUE"""),207.1)</f>
        <v>207.1</v>
      </c>
      <c r="AA123" s="1">
        <f ca="1">IFERROR(__xludf.DUMMYFUNCTION("""COMPUTED_VALUE"""),30.62)</f>
        <v>30.62</v>
      </c>
      <c r="AB123" s="1">
        <f ca="1">IFERROR(__xludf.DUMMYFUNCTION("""COMPUTED_VALUE"""),73.85)</f>
        <v>73.849999999999994</v>
      </c>
      <c r="AC123" s="1">
        <f ca="1">IFERROR(__xludf.DUMMYFUNCTION("""COMPUTED_VALUE"""),51.93)</f>
        <v>51.93</v>
      </c>
    </row>
    <row r="124" spans="1:29" x14ac:dyDescent="0.25">
      <c r="A124" s="2">
        <f ca="1">IFERROR(__xludf.DUMMYFUNCTION("""COMPUTED_VALUE"""),44008.6666666666)</f>
        <v>44008.666666666599</v>
      </c>
      <c r="B124" s="1">
        <f ca="1">IFERROR(__xludf.DUMMYFUNCTION("""COMPUTED_VALUE"""),88.41)</f>
        <v>88.41</v>
      </c>
      <c r="C124" s="1">
        <f ca="1">IFERROR(__xludf.DUMMYFUNCTION("""COMPUTED_VALUE"""),196.33)</f>
        <v>196.33</v>
      </c>
      <c r="D124" s="1">
        <f ca="1">IFERROR(__xludf.DUMMYFUNCTION("""COMPUTED_VALUE"""),134.64)</f>
        <v>134.63999999999999</v>
      </c>
      <c r="E124" s="1">
        <f ca="1">IFERROR(__xludf.DUMMYFUNCTION("""COMPUTED_VALUE"""),9.15)</f>
        <v>9.15</v>
      </c>
      <c r="F124" s="1">
        <f ca="1">IFERROR(__xludf.DUMMYFUNCTION("""COMPUTED_VALUE"""),216.08)</f>
        <v>216.08</v>
      </c>
      <c r="G124" s="1">
        <f ca="1">IFERROR(__xludf.DUMMYFUNCTION("""COMPUTED_VALUE"""),68)</f>
        <v>68</v>
      </c>
      <c r="H124" s="1">
        <f ca="1">IFERROR(__xludf.DUMMYFUNCTION("""COMPUTED_VALUE"""),63.98)</f>
        <v>63.98</v>
      </c>
      <c r="I124" s="1">
        <f ca="1">IFERROR(__xludf.DUMMYFUNCTION("""COMPUTED_VALUE"""),128.93)</f>
        <v>128.93</v>
      </c>
      <c r="J124" s="1">
        <f ca="1">IFERROR(__xludf.DUMMYFUNCTION("""COMPUTED_VALUE"""),296.56)</f>
        <v>296.56</v>
      </c>
      <c r="K124" s="1">
        <f ca="1">IFERROR(__xludf.DUMMYFUNCTION("""COMPUTED_VALUE"""),30.74)</f>
        <v>30.74</v>
      </c>
      <c r="L124" s="1">
        <f ca="1">IFERROR(__xludf.DUMMYFUNCTION("""COMPUTED_VALUE"""),426.92)</f>
        <v>426.92</v>
      </c>
      <c r="M124" s="1">
        <f ca="1">IFERROR(__xludf.DUMMYFUNCTION("""COMPUTED_VALUE"""),443.4)</f>
        <v>443.4</v>
      </c>
      <c r="N124" s="1">
        <f ca="1">IFERROR(__xludf.DUMMYFUNCTION("""COMPUTED_VALUE"""),92.59)</f>
        <v>92.59</v>
      </c>
      <c r="O124" s="1">
        <f ca="1">IFERROR(__xludf.DUMMYFUNCTION("""COMPUTED_VALUE"""),189.27)</f>
        <v>189.27</v>
      </c>
      <c r="P124" s="1">
        <f ca="1">IFERROR(__xludf.DUMMYFUNCTION("""COMPUTED_VALUE"""),137.81)</f>
        <v>137.81</v>
      </c>
      <c r="Q124" s="1">
        <f ca="1">IFERROR(__xludf.DUMMYFUNCTION("""COMPUTED_VALUE"""),286.88)</f>
        <v>286.88</v>
      </c>
      <c r="R124" s="1">
        <f ca="1">IFERROR(__xludf.DUMMYFUNCTION("""COMPUTED_VALUE"""),43.62)</f>
        <v>43.62</v>
      </c>
      <c r="S124" s="1">
        <f ca="1">IFERROR(__xludf.DUMMYFUNCTION("""COMPUTED_VALUE"""),59.06)</f>
        <v>59.06</v>
      </c>
      <c r="T124" s="1">
        <f ca="1">IFERROR(__xludf.DUMMYFUNCTION("""COMPUTED_VALUE"""),39.44)</f>
        <v>39.44</v>
      </c>
      <c r="U124" s="1">
        <f ca="1">IFERROR(__xludf.DUMMYFUNCTION("""COMPUTED_VALUE"""),93.67)</f>
        <v>93.67</v>
      </c>
      <c r="V124" s="1">
        <f ca="1">IFERROR(__xludf.DUMMYFUNCTION("""COMPUTED_VALUE"""),122.39)</f>
        <v>122.39</v>
      </c>
      <c r="W124" s="1">
        <f ca="1">IFERROR(__xludf.DUMMYFUNCTION("""COMPUTED_VALUE"""),356.76)</f>
        <v>356.76</v>
      </c>
      <c r="X124" s="1">
        <f ca="1">IFERROR(__xludf.DUMMYFUNCTION("""COMPUTED_VALUE"""),361.76)</f>
        <v>361.76</v>
      </c>
      <c r="Y124" s="1">
        <f ca="1">IFERROR(__xludf.DUMMYFUNCTION("""COMPUTED_VALUE"""),56.33)</f>
        <v>56.33</v>
      </c>
      <c r="Z124" s="1">
        <f ca="1">IFERROR(__xludf.DUMMYFUNCTION("""COMPUTED_VALUE"""),189.19)</f>
        <v>189.19</v>
      </c>
      <c r="AA124" s="1">
        <f ca="1">IFERROR(__xludf.DUMMYFUNCTION("""COMPUTED_VALUE"""),30.35)</f>
        <v>30.35</v>
      </c>
      <c r="AB124" s="1">
        <f ca="1">IFERROR(__xludf.DUMMYFUNCTION("""COMPUTED_VALUE"""),71.57)</f>
        <v>71.569999999999993</v>
      </c>
      <c r="AC124" s="1">
        <f ca="1">IFERROR(__xludf.DUMMYFUNCTION("""COMPUTED_VALUE"""),50.1)</f>
        <v>50.1</v>
      </c>
    </row>
    <row r="125" spans="1:29" x14ac:dyDescent="0.25">
      <c r="A125" s="2">
        <f ca="1">IFERROR(__xludf.DUMMYFUNCTION("""COMPUTED_VALUE"""),44011.6666666666)</f>
        <v>44011.666666666599</v>
      </c>
      <c r="B125" s="1">
        <f ca="1">IFERROR(__xludf.DUMMYFUNCTION("""COMPUTED_VALUE"""),90.45)</f>
        <v>90.45</v>
      </c>
      <c r="C125" s="1">
        <f ca="1">IFERROR(__xludf.DUMMYFUNCTION("""COMPUTED_VALUE"""),198.44)</f>
        <v>198.44</v>
      </c>
      <c r="D125" s="1">
        <f ca="1">IFERROR(__xludf.DUMMYFUNCTION("""COMPUTED_VALUE"""),134.02)</f>
        <v>134.02000000000001</v>
      </c>
      <c r="E125" s="1">
        <f ca="1">IFERROR(__xludf.DUMMYFUNCTION("""COMPUTED_VALUE"""),9.2)</f>
        <v>9.1999999999999993</v>
      </c>
      <c r="F125" s="1">
        <f ca="1">IFERROR(__xludf.DUMMYFUNCTION("""COMPUTED_VALUE"""),220.64)</f>
        <v>220.64</v>
      </c>
      <c r="G125" s="1">
        <f ca="1">IFERROR(__xludf.DUMMYFUNCTION("""COMPUTED_VALUE"""),69.75)</f>
        <v>69.75</v>
      </c>
      <c r="H125" s="1">
        <f ca="1">IFERROR(__xludf.DUMMYFUNCTION("""COMPUTED_VALUE"""),67.29)</f>
        <v>67.290000000000006</v>
      </c>
      <c r="I125" s="1">
        <f ca="1">IFERROR(__xludf.DUMMYFUNCTION("""COMPUTED_VALUE"""),131.08)</f>
        <v>131.08000000000001</v>
      </c>
      <c r="J125" s="1">
        <f ca="1">IFERROR(__xludf.DUMMYFUNCTION("""COMPUTED_VALUE"""),301.59)</f>
        <v>301.58999999999997</v>
      </c>
      <c r="K125" s="1">
        <f ca="1">IFERROR(__xludf.DUMMYFUNCTION("""COMPUTED_VALUE"""),30.98)</f>
        <v>30.98</v>
      </c>
      <c r="L125" s="1">
        <f ca="1">IFERROR(__xludf.DUMMYFUNCTION("""COMPUTED_VALUE"""),424.2)</f>
        <v>424.2</v>
      </c>
      <c r="M125" s="1">
        <f ca="1">IFERROR(__xludf.DUMMYFUNCTION("""COMPUTED_VALUE"""),447.24)</f>
        <v>447.24</v>
      </c>
      <c r="N125" s="1">
        <f ca="1">IFERROR(__xludf.DUMMYFUNCTION("""COMPUTED_VALUE"""),93)</f>
        <v>93</v>
      </c>
      <c r="O125" s="1">
        <f ca="1">IFERROR(__xludf.DUMMYFUNCTION("""COMPUTED_VALUE"""),191.38)</f>
        <v>191.38</v>
      </c>
      <c r="P125" s="1">
        <f ca="1">IFERROR(__xludf.DUMMYFUNCTION("""COMPUTED_VALUE"""),139.04)</f>
        <v>139.04</v>
      </c>
      <c r="Q125" s="1">
        <f ca="1">IFERROR(__xludf.DUMMYFUNCTION("""COMPUTED_VALUE"""),289.76)</f>
        <v>289.76</v>
      </c>
      <c r="R125" s="1">
        <f ca="1">IFERROR(__xludf.DUMMYFUNCTION("""COMPUTED_VALUE"""),44.32)</f>
        <v>44.32</v>
      </c>
      <c r="S125" s="1">
        <f ca="1">IFERROR(__xludf.DUMMYFUNCTION("""COMPUTED_VALUE"""),59.56)</f>
        <v>59.56</v>
      </c>
      <c r="T125" s="1">
        <f ca="1">IFERROR(__xludf.DUMMYFUNCTION("""COMPUTED_VALUE"""),39.69)</f>
        <v>39.69</v>
      </c>
      <c r="U125" s="1">
        <f ca="1">IFERROR(__xludf.DUMMYFUNCTION("""COMPUTED_VALUE"""),95.87)</f>
        <v>95.87</v>
      </c>
      <c r="V125" s="1">
        <f ca="1">IFERROR(__xludf.DUMMYFUNCTION("""COMPUTED_VALUE"""),125.25)</f>
        <v>125.25</v>
      </c>
      <c r="W125" s="1">
        <f ca="1">IFERROR(__xludf.DUMMYFUNCTION("""COMPUTED_VALUE"""),367.5)</f>
        <v>367.5</v>
      </c>
      <c r="X125" s="1">
        <f ca="1">IFERROR(__xludf.DUMMYFUNCTION("""COMPUTED_VALUE"""),364.81)</f>
        <v>364.81</v>
      </c>
      <c r="Y125" s="1">
        <f ca="1">IFERROR(__xludf.DUMMYFUNCTION("""COMPUTED_VALUE"""),56.39)</f>
        <v>56.39</v>
      </c>
      <c r="Z125" s="1">
        <f ca="1">IFERROR(__xludf.DUMMYFUNCTION("""COMPUTED_VALUE"""),193.47)</f>
        <v>193.47</v>
      </c>
      <c r="AA125" s="1">
        <f ca="1">IFERROR(__xludf.DUMMYFUNCTION("""COMPUTED_VALUE"""),30.92)</f>
        <v>30.92</v>
      </c>
      <c r="AB125" s="1">
        <f ca="1">IFERROR(__xludf.DUMMYFUNCTION("""COMPUTED_VALUE"""),73.48)</f>
        <v>73.48</v>
      </c>
      <c r="AC125" s="1">
        <f ca="1">IFERROR(__xludf.DUMMYFUNCTION("""COMPUTED_VALUE"""),50.28)</f>
        <v>50.28</v>
      </c>
    </row>
    <row r="126" spans="1:29" x14ac:dyDescent="0.25">
      <c r="A126" s="2">
        <f ca="1">IFERROR(__xludf.DUMMYFUNCTION("""COMPUTED_VALUE"""),44012.6666666666)</f>
        <v>44012.666666666599</v>
      </c>
      <c r="B126" s="1">
        <f ca="1">IFERROR(__xludf.DUMMYFUNCTION("""COMPUTED_VALUE"""),91.2)</f>
        <v>91.2</v>
      </c>
      <c r="C126" s="1">
        <f ca="1">IFERROR(__xludf.DUMMYFUNCTION("""COMPUTED_VALUE"""),203.51)</f>
        <v>203.51</v>
      </c>
      <c r="D126" s="1">
        <f ca="1">IFERROR(__xludf.DUMMYFUNCTION("""COMPUTED_VALUE"""),137.94)</f>
        <v>137.94</v>
      </c>
      <c r="E126" s="1">
        <f ca="1">IFERROR(__xludf.DUMMYFUNCTION("""COMPUTED_VALUE"""),9.5)</f>
        <v>9.5</v>
      </c>
      <c r="F126" s="1">
        <f ca="1">IFERROR(__xludf.DUMMYFUNCTION("""COMPUTED_VALUE"""),227.07)</f>
        <v>227.07</v>
      </c>
      <c r="G126" s="1">
        <f ca="1">IFERROR(__xludf.DUMMYFUNCTION("""COMPUTED_VALUE"""),70.68)</f>
        <v>70.680000000000007</v>
      </c>
      <c r="H126" s="1">
        <f ca="1">IFERROR(__xludf.DUMMYFUNCTION("""COMPUTED_VALUE"""),71.99)</f>
        <v>71.989999999999995</v>
      </c>
      <c r="I126" s="1">
        <f ca="1">IFERROR(__xludf.DUMMYFUNCTION("""COMPUTED_VALUE"""),132.26)</f>
        <v>132.26</v>
      </c>
      <c r="J126" s="1">
        <f ca="1">IFERROR(__xludf.DUMMYFUNCTION("""COMPUTED_VALUE"""),303.21)</f>
        <v>303.20999999999998</v>
      </c>
      <c r="K126" s="1">
        <f ca="1">IFERROR(__xludf.DUMMYFUNCTION("""COMPUTED_VALUE"""),31.56)</f>
        <v>31.56</v>
      </c>
      <c r="L126" s="1">
        <f ca="1">IFERROR(__xludf.DUMMYFUNCTION("""COMPUTED_VALUE"""),435.31)</f>
        <v>435.31</v>
      </c>
      <c r="M126" s="1">
        <f ca="1">IFERROR(__xludf.DUMMYFUNCTION("""COMPUTED_VALUE"""),455.04)</f>
        <v>455.04</v>
      </c>
      <c r="N126" s="1">
        <f ca="1">IFERROR(__xludf.DUMMYFUNCTION("""COMPUTED_VALUE"""),94.06)</f>
        <v>94.06</v>
      </c>
      <c r="O126" s="1">
        <f ca="1">IFERROR(__xludf.DUMMYFUNCTION("""COMPUTED_VALUE"""),193.17)</f>
        <v>193.17</v>
      </c>
      <c r="P126" s="1">
        <f ca="1">IFERROR(__xludf.DUMMYFUNCTION("""COMPUTED_VALUE"""),140.63)</f>
        <v>140.63</v>
      </c>
      <c r="Q126" s="1">
        <f ca="1">IFERROR(__xludf.DUMMYFUNCTION("""COMPUTED_VALUE"""),294.95)</f>
        <v>294.95</v>
      </c>
      <c r="R126" s="1">
        <f ca="1">IFERROR(__xludf.DUMMYFUNCTION("""COMPUTED_VALUE"""),44.72)</f>
        <v>44.72</v>
      </c>
      <c r="S126" s="1">
        <f ca="1">IFERROR(__xludf.DUMMYFUNCTION("""COMPUTED_VALUE"""),60.04)</f>
        <v>60.04</v>
      </c>
      <c r="T126" s="1">
        <f ca="1">IFERROR(__xludf.DUMMYFUNCTION("""COMPUTED_VALUE"""),39.93)</f>
        <v>39.93</v>
      </c>
      <c r="U126" s="1">
        <f ca="1">IFERROR(__xludf.DUMMYFUNCTION("""COMPUTED_VALUE"""),98.05)</f>
        <v>98.05</v>
      </c>
      <c r="V126" s="1">
        <f ca="1">IFERROR(__xludf.DUMMYFUNCTION("""COMPUTED_VALUE"""),126.5)</f>
        <v>126.5</v>
      </c>
      <c r="W126" s="1">
        <f ca="1">IFERROR(__xludf.DUMMYFUNCTION("""COMPUTED_VALUE"""),364.92)</f>
        <v>364.92</v>
      </c>
      <c r="X126" s="1">
        <f ca="1">IFERROR(__xludf.DUMMYFUNCTION("""COMPUTED_VALUE"""),368.03)</f>
        <v>368.03</v>
      </c>
      <c r="Y126" s="1">
        <f ca="1">IFERROR(__xludf.DUMMYFUNCTION("""COMPUTED_VALUE"""),56.77)</f>
        <v>56.77</v>
      </c>
      <c r="Z126" s="1">
        <f ca="1">IFERROR(__xludf.DUMMYFUNCTION("""COMPUTED_VALUE"""),197.62)</f>
        <v>197.62</v>
      </c>
      <c r="AA126" s="1">
        <f ca="1">IFERROR(__xludf.DUMMYFUNCTION("""COMPUTED_VALUE"""),30.98)</f>
        <v>30.98</v>
      </c>
      <c r="AB126" s="1">
        <f ca="1">IFERROR(__xludf.DUMMYFUNCTION("""COMPUTED_VALUE"""),73.59)</f>
        <v>73.59</v>
      </c>
      <c r="AC126" s="1">
        <f ca="1">IFERROR(__xludf.DUMMYFUNCTION("""COMPUTED_VALUE"""),52.61)</f>
        <v>52.61</v>
      </c>
    </row>
    <row r="127" spans="1:29" x14ac:dyDescent="0.25">
      <c r="A127" s="2">
        <f ca="1">IFERROR(__xludf.DUMMYFUNCTION("""COMPUTED_VALUE"""),44013.6666666666)</f>
        <v>44013.666666666599</v>
      </c>
      <c r="B127" s="1">
        <f ca="1">IFERROR(__xludf.DUMMYFUNCTION("""COMPUTED_VALUE"""),91.03)</f>
        <v>91.03</v>
      </c>
      <c r="C127" s="1">
        <f ca="1">IFERROR(__xludf.DUMMYFUNCTION("""COMPUTED_VALUE"""),204.7)</f>
        <v>204.7</v>
      </c>
      <c r="D127" s="1">
        <f ca="1">IFERROR(__xludf.DUMMYFUNCTION("""COMPUTED_VALUE"""),143.94)</f>
        <v>143.94</v>
      </c>
      <c r="E127" s="1">
        <f ca="1">IFERROR(__xludf.DUMMYFUNCTION("""COMPUTED_VALUE"""),9.53)</f>
        <v>9.5299999999999994</v>
      </c>
      <c r="F127" s="1">
        <f ca="1">IFERROR(__xludf.DUMMYFUNCTION("""COMPUTED_VALUE"""),237.55)</f>
        <v>237.55</v>
      </c>
      <c r="G127" s="1">
        <f ca="1">IFERROR(__xludf.DUMMYFUNCTION("""COMPUTED_VALUE"""),71.9)</f>
        <v>71.900000000000006</v>
      </c>
      <c r="H127" s="1">
        <f ca="1">IFERROR(__xludf.DUMMYFUNCTION("""COMPUTED_VALUE"""),74.64)</f>
        <v>74.64</v>
      </c>
      <c r="I127" s="1">
        <f ca="1">IFERROR(__xludf.DUMMYFUNCTION("""COMPUTED_VALUE"""),132.36)</f>
        <v>132.36000000000001</v>
      </c>
      <c r="J127" s="1">
        <f ca="1">IFERROR(__xludf.DUMMYFUNCTION("""COMPUTED_VALUE"""),304.75)</f>
        <v>304.75</v>
      </c>
      <c r="K127" s="1">
        <f ca="1">IFERROR(__xludf.DUMMYFUNCTION("""COMPUTED_VALUE"""),31.27)</f>
        <v>31.27</v>
      </c>
      <c r="L127" s="1">
        <f ca="1">IFERROR(__xludf.DUMMYFUNCTION("""COMPUTED_VALUE"""),439.81)</f>
        <v>439.81</v>
      </c>
      <c r="M127" s="1">
        <f ca="1">IFERROR(__xludf.DUMMYFUNCTION("""COMPUTED_VALUE"""),485.64)</f>
        <v>485.64</v>
      </c>
      <c r="N127" s="1">
        <f ca="1">IFERROR(__xludf.DUMMYFUNCTION("""COMPUTED_VALUE"""),93.26)</f>
        <v>93.26</v>
      </c>
      <c r="O127" s="1">
        <f ca="1">IFERROR(__xludf.DUMMYFUNCTION("""COMPUTED_VALUE"""),193.78)</f>
        <v>193.78</v>
      </c>
      <c r="P127" s="1">
        <f ca="1">IFERROR(__xludf.DUMMYFUNCTION("""COMPUTED_VALUE"""),140.38)</f>
        <v>140.38</v>
      </c>
      <c r="Q127" s="1">
        <f ca="1">IFERROR(__xludf.DUMMYFUNCTION("""COMPUTED_VALUE"""),297.73)</f>
        <v>297.73</v>
      </c>
      <c r="R127" s="1">
        <f ca="1">IFERROR(__xludf.DUMMYFUNCTION("""COMPUTED_VALUE"""),43.71)</f>
        <v>43.71</v>
      </c>
      <c r="S127" s="1">
        <f ca="1">IFERROR(__xludf.DUMMYFUNCTION("""COMPUTED_VALUE"""),61.57)</f>
        <v>61.57</v>
      </c>
      <c r="T127" s="1">
        <f ca="1">IFERROR(__xludf.DUMMYFUNCTION("""COMPUTED_VALUE"""),39.9)</f>
        <v>39.9</v>
      </c>
      <c r="U127" s="1">
        <f ca="1">IFERROR(__xludf.DUMMYFUNCTION("""COMPUTED_VALUE"""),97.4)</f>
        <v>97.4</v>
      </c>
      <c r="V127" s="1">
        <f ca="1">IFERROR(__xludf.DUMMYFUNCTION("""COMPUTED_VALUE"""),126.06)</f>
        <v>126.06</v>
      </c>
      <c r="W127" s="1">
        <f ca="1">IFERROR(__xludf.DUMMYFUNCTION("""COMPUTED_VALUE"""),360.42)</f>
        <v>360.42</v>
      </c>
      <c r="X127" s="1">
        <f ca="1">IFERROR(__xludf.DUMMYFUNCTION("""COMPUTED_VALUE"""),367.59)</f>
        <v>367.59</v>
      </c>
      <c r="Y127" s="1">
        <f ca="1">IFERROR(__xludf.DUMMYFUNCTION("""COMPUTED_VALUE"""),56.82)</f>
        <v>56.82</v>
      </c>
      <c r="Z127" s="1">
        <f ca="1">IFERROR(__xludf.DUMMYFUNCTION("""COMPUTED_VALUE"""),197.57)</f>
        <v>197.57</v>
      </c>
      <c r="AA127" s="1">
        <f ca="1">IFERROR(__xludf.DUMMYFUNCTION("""COMPUTED_VALUE"""),31.96)</f>
        <v>31.96</v>
      </c>
      <c r="AB127" s="1">
        <f ca="1">IFERROR(__xludf.DUMMYFUNCTION("""COMPUTED_VALUE"""),74.03)</f>
        <v>74.03</v>
      </c>
      <c r="AC127" s="1">
        <f ca="1">IFERROR(__xludf.DUMMYFUNCTION("""COMPUTED_VALUE"""),52.58)</f>
        <v>52.58</v>
      </c>
    </row>
    <row r="128" spans="1:29" x14ac:dyDescent="0.25">
      <c r="A128" s="2">
        <f ca="1">IFERROR(__xludf.DUMMYFUNCTION("""COMPUTED_VALUE"""),44014.6666666666)</f>
        <v>44014.666666666599</v>
      </c>
      <c r="B128" s="1">
        <f ca="1">IFERROR(__xludf.DUMMYFUNCTION("""COMPUTED_VALUE"""),91.03)</f>
        <v>91.03</v>
      </c>
      <c r="C128" s="1">
        <f ca="1">IFERROR(__xludf.DUMMYFUNCTION("""COMPUTED_VALUE"""),206.26)</f>
        <v>206.26</v>
      </c>
      <c r="D128" s="1">
        <f ca="1">IFERROR(__xludf.DUMMYFUNCTION("""COMPUTED_VALUE"""),144.51)</f>
        <v>144.51</v>
      </c>
      <c r="E128" s="1">
        <f ca="1">IFERROR(__xludf.DUMMYFUNCTION("""COMPUTED_VALUE"""),9.61)</f>
        <v>9.61</v>
      </c>
      <c r="F128" s="1">
        <f ca="1">IFERROR(__xludf.DUMMYFUNCTION("""COMPUTED_VALUE"""),233.42)</f>
        <v>233.42</v>
      </c>
      <c r="G128" s="1">
        <f ca="1">IFERROR(__xludf.DUMMYFUNCTION("""COMPUTED_VALUE"""),73.24)</f>
        <v>73.239999999999995</v>
      </c>
      <c r="H128" s="1">
        <f ca="1">IFERROR(__xludf.DUMMYFUNCTION("""COMPUTED_VALUE"""),80.58)</f>
        <v>80.58</v>
      </c>
      <c r="I128" s="1">
        <f ca="1">IFERROR(__xludf.DUMMYFUNCTION("""COMPUTED_VALUE"""),132.85)</f>
        <v>132.85</v>
      </c>
      <c r="J128" s="1">
        <f ca="1">IFERROR(__xludf.DUMMYFUNCTION("""COMPUTED_VALUE"""),305.74)</f>
        <v>305.74</v>
      </c>
      <c r="K128" s="1">
        <f ca="1">IFERROR(__xludf.DUMMYFUNCTION("""COMPUTED_VALUE"""),31.55)</f>
        <v>31.55</v>
      </c>
      <c r="L128" s="1">
        <f ca="1">IFERROR(__xludf.DUMMYFUNCTION("""COMPUTED_VALUE"""),442.95)</f>
        <v>442.95</v>
      </c>
      <c r="M128" s="1">
        <f ca="1">IFERROR(__xludf.DUMMYFUNCTION("""COMPUTED_VALUE"""),476.89)</f>
        <v>476.89</v>
      </c>
      <c r="N128" s="1">
        <f ca="1">IFERROR(__xludf.DUMMYFUNCTION("""COMPUTED_VALUE"""),92.66)</f>
        <v>92.66</v>
      </c>
      <c r="O128" s="1">
        <f ca="1">IFERROR(__xludf.DUMMYFUNCTION("""COMPUTED_VALUE"""),195.67)</f>
        <v>195.67</v>
      </c>
      <c r="P128" s="1">
        <f ca="1">IFERROR(__xludf.DUMMYFUNCTION("""COMPUTED_VALUE"""),140.97)</f>
        <v>140.97</v>
      </c>
      <c r="Q128" s="1">
        <f ca="1">IFERROR(__xludf.DUMMYFUNCTION("""COMPUTED_VALUE"""),298.26)</f>
        <v>298.26</v>
      </c>
      <c r="R128" s="1">
        <f ca="1">IFERROR(__xludf.DUMMYFUNCTION("""COMPUTED_VALUE"""),44.08)</f>
        <v>44.08</v>
      </c>
      <c r="S128" s="1">
        <f ca="1">IFERROR(__xludf.DUMMYFUNCTION("""COMPUTED_VALUE"""),61.6)</f>
        <v>61.6</v>
      </c>
      <c r="T128" s="1">
        <f ca="1">IFERROR(__xludf.DUMMYFUNCTION("""COMPUTED_VALUE"""),39.74)</f>
        <v>39.74</v>
      </c>
      <c r="U128" s="1">
        <f ca="1">IFERROR(__xludf.DUMMYFUNCTION("""COMPUTED_VALUE"""),98.43)</f>
        <v>98.43</v>
      </c>
      <c r="V128" s="1">
        <f ca="1">IFERROR(__xludf.DUMMYFUNCTION("""COMPUTED_VALUE"""),127.72)</f>
        <v>127.72</v>
      </c>
      <c r="W128" s="1">
        <f ca="1">IFERROR(__xludf.DUMMYFUNCTION("""COMPUTED_VALUE"""),362)</f>
        <v>362</v>
      </c>
      <c r="X128" s="1">
        <f ca="1">IFERROR(__xludf.DUMMYFUNCTION("""COMPUTED_VALUE"""),373.22)</f>
        <v>373.22</v>
      </c>
      <c r="Y128" s="1">
        <f ca="1">IFERROR(__xludf.DUMMYFUNCTION("""COMPUTED_VALUE"""),58.62)</f>
        <v>58.62</v>
      </c>
      <c r="Z128" s="1">
        <f ca="1">IFERROR(__xludf.DUMMYFUNCTION("""COMPUTED_VALUE"""),197.4)</f>
        <v>197.4</v>
      </c>
      <c r="AA128" s="1">
        <f ca="1">IFERROR(__xludf.DUMMYFUNCTION("""COMPUTED_VALUE"""),32.69)</f>
        <v>32.69</v>
      </c>
      <c r="AB128" s="1">
        <f ca="1">IFERROR(__xludf.DUMMYFUNCTION("""COMPUTED_VALUE"""),73.78)</f>
        <v>73.78</v>
      </c>
      <c r="AC128" s="1">
        <f ca="1">IFERROR(__xludf.DUMMYFUNCTION("""COMPUTED_VALUE"""),52.34)</f>
        <v>52.34</v>
      </c>
    </row>
    <row r="129" spans="1:29" x14ac:dyDescent="0.25">
      <c r="A129" s="2">
        <f ca="1">IFERROR(__xludf.DUMMYFUNCTION("""COMPUTED_VALUE"""),44018.6666666666)</f>
        <v>44018.666666666599</v>
      </c>
      <c r="B129" s="1">
        <f ca="1">IFERROR(__xludf.DUMMYFUNCTION("""COMPUTED_VALUE"""),93.46)</f>
        <v>93.46</v>
      </c>
      <c r="C129" s="1">
        <f ca="1">IFERROR(__xludf.DUMMYFUNCTION("""COMPUTED_VALUE"""),210.7)</f>
        <v>210.7</v>
      </c>
      <c r="D129" s="1">
        <f ca="1">IFERROR(__xludf.DUMMYFUNCTION("""COMPUTED_VALUE"""),152.85)</f>
        <v>152.85</v>
      </c>
      <c r="E129" s="1">
        <f ca="1">IFERROR(__xludf.DUMMYFUNCTION("""COMPUTED_VALUE"""),9.84)</f>
        <v>9.84</v>
      </c>
      <c r="F129" s="1">
        <f ca="1">IFERROR(__xludf.DUMMYFUNCTION("""COMPUTED_VALUE"""),240.28)</f>
        <v>240.28</v>
      </c>
      <c r="G129" s="1">
        <f ca="1">IFERROR(__xludf.DUMMYFUNCTION("""COMPUTED_VALUE"""),74.79)</f>
        <v>74.790000000000006</v>
      </c>
      <c r="H129" s="1">
        <f ca="1">IFERROR(__xludf.DUMMYFUNCTION("""COMPUTED_VALUE"""),91.44)</f>
        <v>91.44</v>
      </c>
      <c r="I129" s="1">
        <f ca="1">IFERROR(__xludf.DUMMYFUNCTION("""COMPUTED_VALUE"""),133.3)</f>
        <v>133.30000000000001</v>
      </c>
      <c r="J129" s="1">
        <f ca="1">IFERROR(__xludf.DUMMYFUNCTION("""COMPUTED_VALUE"""),311.49)</f>
        <v>311.49</v>
      </c>
      <c r="K129" s="1">
        <f ca="1">IFERROR(__xludf.DUMMYFUNCTION("""COMPUTED_VALUE"""),31.88)</f>
        <v>31.88</v>
      </c>
      <c r="L129" s="1">
        <f ca="1">IFERROR(__xludf.DUMMYFUNCTION("""COMPUTED_VALUE"""),452.59)</f>
        <v>452.59</v>
      </c>
      <c r="M129" s="1">
        <f ca="1">IFERROR(__xludf.DUMMYFUNCTION("""COMPUTED_VALUE"""),493.81)</f>
        <v>493.81</v>
      </c>
      <c r="N129" s="1">
        <f ca="1">IFERROR(__xludf.DUMMYFUNCTION("""COMPUTED_VALUE"""),95)</f>
        <v>95</v>
      </c>
      <c r="O129" s="1">
        <f ca="1">IFERROR(__xludf.DUMMYFUNCTION("""COMPUTED_VALUE"""),197.76)</f>
        <v>197.76</v>
      </c>
      <c r="P129" s="1">
        <f ca="1">IFERROR(__xludf.DUMMYFUNCTION("""COMPUTED_VALUE"""),142.98)</f>
        <v>142.97999999999999</v>
      </c>
      <c r="Q129" s="1">
        <f ca="1">IFERROR(__xludf.DUMMYFUNCTION("""COMPUTED_VALUE"""),302.81)</f>
        <v>302.81</v>
      </c>
      <c r="R129" s="1">
        <f ca="1">IFERROR(__xludf.DUMMYFUNCTION("""COMPUTED_VALUE"""),44.39)</f>
        <v>44.39</v>
      </c>
      <c r="S129" s="1">
        <f ca="1">IFERROR(__xludf.DUMMYFUNCTION("""COMPUTED_VALUE"""),61.74)</f>
        <v>61.74</v>
      </c>
      <c r="T129" s="1">
        <f ca="1">IFERROR(__xludf.DUMMYFUNCTION("""COMPUTED_VALUE"""),39.63)</f>
        <v>39.630000000000003</v>
      </c>
      <c r="U129" s="1">
        <f ca="1">IFERROR(__xludf.DUMMYFUNCTION("""COMPUTED_VALUE"""),99.95)</f>
        <v>99.95</v>
      </c>
      <c r="V129" s="1">
        <f ca="1">IFERROR(__xludf.DUMMYFUNCTION("""COMPUTED_VALUE"""),129.43)</f>
        <v>129.43</v>
      </c>
      <c r="W129" s="1">
        <f ca="1">IFERROR(__xludf.DUMMYFUNCTION("""COMPUTED_VALUE"""),362.59)</f>
        <v>362.59</v>
      </c>
      <c r="X129" s="1">
        <f ca="1">IFERROR(__xludf.DUMMYFUNCTION("""COMPUTED_VALUE"""),385.46)</f>
        <v>385.46</v>
      </c>
      <c r="Y129" s="1">
        <f ca="1">IFERROR(__xludf.DUMMYFUNCTION("""COMPUTED_VALUE"""),61.88)</f>
        <v>61.88</v>
      </c>
      <c r="Z129" s="1">
        <f ca="1">IFERROR(__xludf.DUMMYFUNCTION("""COMPUTED_VALUE"""),207.36)</f>
        <v>207.36</v>
      </c>
      <c r="AA129" s="1">
        <f ca="1">IFERROR(__xludf.DUMMYFUNCTION("""COMPUTED_VALUE"""),32.69)</f>
        <v>32.69</v>
      </c>
      <c r="AB129" s="1">
        <f ca="1">IFERROR(__xludf.DUMMYFUNCTION("""COMPUTED_VALUE"""),75.44)</f>
        <v>75.44</v>
      </c>
      <c r="AC129" s="1">
        <f ca="1">IFERROR(__xludf.DUMMYFUNCTION("""COMPUTED_VALUE"""),53.4)</f>
        <v>53.4</v>
      </c>
    </row>
    <row r="130" spans="1:29" x14ac:dyDescent="0.25">
      <c r="A130" s="2">
        <f ca="1">IFERROR(__xludf.DUMMYFUNCTION("""COMPUTED_VALUE"""),44019.6666666666)</f>
        <v>44019.666666666599</v>
      </c>
      <c r="B130" s="1">
        <f ca="1">IFERROR(__xludf.DUMMYFUNCTION("""COMPUTED_VALUE"""),93.17)</f>
        <v>93.17</v>
      </c>
      <c r="C130" s="1">
        <f ca="1">IFERROR(__xludf.DUMMYFUNCTION("""COMPUTED_VALUE"""),208.25)</f>
        <v>208.25</v>
      </c>
      <c r="D130" s="1">
        <f ca="1">IFERROR(__xludf.DUMMYFUNCTION("""COMPUTED_VALUE"""),150.01)</f>
        <v>150.01</v>
      </c>
      <c r="E130" s="1">
        <f ca="1">IFERROR(__xludf.DUMMYFUNCTION("""COMPUTED_VALUE"""),9.87)</f>
        <v>9.8699999999999992</v>
      </c>
      <c r="F130" s="1">
        <f ca="1">IFERROR(__xludf.DUMMYFUNCTION("""COMPUTED_VALUE"""),240.86)</f>
        <v>240.86</v>
      </c>
      <c r="G130" s="1">
        <f ca="1">IFERROR(__xludf.DUMMYFUNCTION("""COMPUTED_VALUE"""),74.26)</f>
        <v>74.260000000000005</v>
      </c>
      <c r="H130" s="1">
        <f ca="1">IFERROR(__xludf.DUMMYFUNCTION("""COMPUTED_VALUE"""),92.66)</f>
        <v>92.66</v>
      </c>
      <c r="I130" s="1">
        <f ca="1">IFERROR(__xludf.DUMMYFUNCTION("""COMPUTED_VALUE"""),133.57)</f>
        <v>133.57</v>
      </c>
      <c r="J130" s="1">
        <f ca="1">IFERROR(__xludf.DUMMYFUNCTION("""COMPUTED_VALUE"""),316.23)</f>
        <v>316.23</v>
      </c>
      <c r="K130" s="1">
        <f ca="1">IFERROR(__xludf.DUMMYFUNCTION("""COMPUTED_VALUE"""),31.31)</f>
        <v>31.31</v>
      </c>
      <c r="L130" s="1">
        <f ca="1">IFERROR(__xludf.DUMMYFUNCTION("""COMPUTED_VALUE"""),449.36)</f>
        <v>449.36</v>
      </c>
      <c r="M130" s="1">
        <f ca="1">IFERROR(__xludf.DUMMYFUNCTION("""COMPUTED_VALUE"""),493.16)</f>
        <v>493.16</v>
      </c>
      <c r="N130" s="1">
        <f ca="1">IFERROR(__xludf.DUMMYFUNCTION("""COMPUTED_VALUE"""),92.32)</f>
        <v>92.32</v>
      </c>
      <c r="O130" s="1">
        <f ca="1">IFERROR(__xludf.DUMMYFUNCTION("""COMPUTED_VALUE"""),194.2)</f>
        <v>194.2</v>
      </c>
      <c r="P130" s="1">
        <f ca="1">IFERROR(__xludf.DUMMYFUNCTION("""COMPUTED_VALUE"""),142.85)</f>
        <v>142.85</v>
      </c>
      <c r="Q130" s="1">
        <f ca="1">IFERROR(__xludf.DUMMYFUNCTION("""COMPUTED_VALUE"""),296.65)</f>
        <v>296.64999999999998</v>
      </c>
      <c r="R130" s="1">
        <f ca="1">IFERROR(__xludf.DUMMYFUNCTION("""COMPUTED_VALUE"""),43.24)</f>
        <v>43.24</v>
      </c>
      <c r="S130" s="1">
        <f ca="1">IFERROR(__xludf.DUMMYFUNCTION("""COMPUTED_VALUE"""),61.68)</f>
        <v>61.68</v>
      </c>
      <c r="T130" s="1">
        <f ca="1">IFERROR(__xludf.DUMMYFUNCTION("""COMPUTED_VALUE"""),42.32)</f>
        <v>42.32</v>
      </c>
      <c r="U130" s="1">
        <f ca="1">IFERROR(__xludf.DUMMYFUNCTION("""COMPUTED_VALUE"""),97.07)</f>
        <v>97.07</v>
      </c>
      <c r="V130" s="1">
        <f ca="1">IFERROR(__xludf.DUMMYFUNCTION("""COMPUTED_VALUE"""),127.2)</f>
        <v>127.2</v>
      </c>
      <c r="W130" s="1">
        <f ca="1">IFERROR(__xludf.DUMMYFUNCTION("""COMPUTED_VALUE"""),353.27)</f>
        <v>353.27</v>
      </c>
      <c r="X130" s="1">
        <f ca="1">IFERROR(__xludf.DUMMYFUNCTION("""COMPUTED_VALUE"""),382.02)</f>
        <v>382.02</v>
      </c>
      <c r="Y130" s="1">
        <f ca="1">IFERROR(__xludf.DUMMYFUNCTION("""COMPUTED_VALUE"""),60.71)</f>
        <v>60.71</v>
      </c>
      <c r="Z130" s="1">
        <f ca="1">IFERROR(__xludf.DUMMYFUNCTION("""COMPUTED_VALUE"""),199.36)</f>
        <v>199.36</v>
      </c>
      <c r="AA130" s="1">
        <f ca="1">IFERROR(__xludf.DUMMYFUNCTION("""COMPUTED_VALUE"""),32.24)</f>
        <v>32.24</v>
      </c>
      <c r="AB130" s="1">
        <f ca="1">IFERROR(__xludf.DUMMYFUNCTION("""COMPUTED_VALUE"""),74.25)</f>
        <v>74.25</v>
      </c>
      <c r="AC130" s="1">
        <f ca="1">IFERROR(__xludf.DUMMYFUNCTION("""COMPUTED_VALUE"""),52.93)</f>
        <v>52.93</v>
      </c>
    </row>
    <row r="131" spans="1:29" x14ac:dyDescent="0.25">
      <c r="A131" s="2">
        <f ca="1">IFERROR(__xludf.DUMMYFUNCTION("""COMPUTED_VALUE"""),44020.6666666666)</f>
        <v>44020.666666666599</v>
      </c>
      <c r="B131" s="1">
        <f ca="1">IFERROR(__xludf.DUMMYFUNCTION("""COMPUTED_VALUE"""),95.34)</f>
        <v>95.34</v>
      </c>
      <c r="C131" s="1">
        <f ca="1">IFERROR(__xludf.DUMMYFUNCTION("""COMPUTED_VALUE"""),212.83)</f>
        <v>212.83</v>
      </c>
      <c r="D131" s="1">
        <f ca="1">IFERROR(__xludf.DUMMYFUNCTION("""COMPUTED_VALUE"""),154.06)</f>
        <v>154.06</v>
      </c>
      <c r="E131" s="1">
        <f ca="1">IFERROR(__xludf.DUMMYFUNCTION("""COMPUTED_VALUE"""),10.22)</f>
        <v>10.220000000000001</v>
      </c>
      <c r="F131" s="1">
        <f ca="1">IFERROR(__xludf.DUMMYFUNCTION("""COMPUTED_VALUE"""),243.58)</f>
        <v>243.58</v>
      </c>
      <c r="G131" s="1">
        <f ca="1">IFERROR(__xludf.DUMMYFUNCTION("""COMPUTED_VALUE"""),74.8)</f>
        <v>74.8</v>
      </c>
      <c r="H131" s="1">
        <f ca="1">IFERROR(__xludf.DUMMYFUNCTION("""COMPUTED_VALUE"""),91.06)</f>
        <v>91.06</v>
      </c>
      <c r="I131" s="1">
        <f ca="1">IFERROR(__xludf.DUMMYFUNCTION("""COMPUTED_VALUE"""),134.22)</f>
        <v>134.22</v>
      </c>
      <c r="J131" s="1">
        <f ca="1">IFERROR(__xludf.DUMMYFUNCTION("""COMPUTED_VALUE"""),316.32)</f>
        <v>316.32</v>
      </c>
      <c r="K131" s="1">
        <f ca="1">IFERROR(__xludf.DUMMYFUNCTION("""COMPUTED_VALUE"""),31.96)</f>
        <v>31.96</v>
      </c>
      <c r="L131" s="1">
        <f ca="1">IFERROR(__xludf.DUMMYFUNCTION("""COMPUTED_VALUE"""),457.68)</f>
        <v>457.68</v>
      </c>
      <c r="M131" s="1">
        <f ca="1">IFERROR(__xludf.DUMMYFUNCTION("""COMPUTED_VALUE"""),502.78)</f>
        <v>502.78</v>
      </c>
      <c r="N131" s="1">
        <f ca="1">IFERROR(__xludf.DUMMYFUNCTION("""COMPUTED_VALUE"""),93.3)</f>
        <v>93.3</v>
      </c>
      <c r="O131" s="1">
        <f ca="1">IFERROR(__xludf.DUMMYFUNCTION("""COMPUTED_VALUE"""),195.07)</f>
        <v>195.07</v>
      </c>
      <c r="P131" s="1">
        <f ca="1">IFERROR(__xludf.DUMMYFUNCTION("""COMPUTED_VALUE"""),143.27)</f>
        <v>143.27000000000001</v>
      </c>
      <c r="Q131" s="1">
        <f ca="1">IFERROR(__xludf.DUMMYFUNCTION("""COMPUTED_VALUE"""),298.36)</f>
        <v>298.36</v>
      </c>
      <c r="R131" s="1">
        <f ca="1">IFERROR(__xludf.DUMMYFUNCTION("""COMPUTED_VALUE"""),43.14)</f>
        <v>43.14</v>
      </c>
      <c r="S131" s="1">
        <f ca="1">IFERROR(__xludf.DUMMYFUNCTION("""COMPUTED_VALUE"""),63.32)</f>
        <v>63.32</v>
      </c>
      <c r="T131" s="1">
        <f ca="1">IFERROR(__xludf.DUMMYFUNCTION("""COMPUTED_VALUE"""),41.48)</f>
        <v>41.48</v>
      </c>
      <c r="U131" s="1">
        <f ca="1">IFERROR(__xludf.DUMMYFUNCTION("""COMPUTED_VALUE"""),98.84)</f>
        <v>98.84</v>
      </c>
      <c r="V131" s="1">
        <f ca="1">IFERROR(__xludf.DUMMYFUNCTION("""COMPUTED_VALUE"""),128.13)</f>
        <v>128.13</v>
      </c>
      <c r="W131" s="1">
        <f ca="1">IFERROR(__xludf.DUMMYFUNCTION("""COMPUTED_VALUE"""),350.23)</f>
        <v>350.23</v>
      </c>
      <c r="X131" s="1">
        <f ca="1">IFERROR(__xludf.DUMMYFUNCTION("""COMPUTED_VALUE"""),391.93)</f>
        <v>391.93</v>
      </c>
      <c r="Y131" s="1">
        <f ca="1">IFERROR(__xludf.DUMMYFUNCTION("""COMPUTED_VALUE"""),62.59)</f>
        <v>62.59</v>
      </c>
      <c r="Z131" s="1">
        <f ca="1">IFERROR(__xludf.DUMMYFUNCTION("""COMPUTED_VALUE"""),202.25)</f>
        <v>202.25</v>
      </c>
      <c r="AA131" s="1">
        <f ca="1">IFERROR(__xludf.DUMMYFUNCTION("""COMPUTED_VALUE"""),31.97)</f>
        <v>31.97</v>
      </c>
      <c r="AB131" s="1">
        <f ca="1">IFERROR(__xludf.DUMMYFUNCTION("""COMPUTED_VALUE"""),74.14)</f>
        <v>74.14</v>
      </c>
      <c r="AC131" s="1">
        <f ca="1">IFERROR(__xludf.DUMMYFUNCTION("""COMPUTED_VALUE"""),53.43)</f>
        <v>53.43</v>
      </c>
    </row>
    <row r="132" spans="1:29" x14ac:dyDescent="0.25">
      <c r="A132" s="2">
        <f ca="1">IFERROR(__xludf.DUMMYFUNCTION("""COMPUTED_VALUE"""),44021.6666666666)</f>
        <v>44021.666666666599</v>
      </c>
      <c r="B132" s="1">
        <f ca="1">IFERROR(__xludf.DUMMYFUNCTION("""COMPUTED_VALUE"""),95.68)</f>
        <v>95.68</v>
      </c>
      <c r="C132" s="1">
        <f ca="1">IFERROR(__xludf.DUMMYFUNCTION("""COMPUTED_VALUE"""),214.32)</f>
        <v>214.32</v>
      </c>
      <c r="D132" s="1">
        <f ca="1">IFERROR(__xludf.DUMMYFUNCTION("""COMPUTED_VALUE"""),159.13)</f>
        <v>159.13</v>
      </c>
      <c r="E132" s="1">
        <f ca="1">IFERROR(__xludf.DUMMYFUNCTION("""COMPUTED_VALUE"""),10.51)</f>
        <v>10.51</v>
      </c>
      <c r="F132" s="1">
        <f ca="1">IFERROR(__xludf.DUMMYFUNCTION("""COMPUTED_VALUE"""),244.5)</f>
        <v>244.5</v>
      </c>
      <c r="G132" s="1">
        <f ca="1">IFERROR(__xludf.DUMMYFUNCTION("""COMPUTED_VALUE"""),75.55)</f>
        <v>75.55</v>
      </c>
      <c r="H132" s="1">
        <f ca="1">IFERROR(__xludf.DUMMYFUNCTION("""COMPUTED_VALUE"""),92.95)</f>
        <v>92.95</v>
      </c>
      <c r="I132" s="1">
        <f ca="1">IFERROR(__xludf.DUMMYFUNCTION("""COMPUTED_VALUE"""),132.71)</f>
        <v>132.71</v>
      </c>
      <c r="J132" s="1">
        <f ca="1">IFERROR(__xludf.DUMMYFUNCTION("""COMPUTED_VALUE"""),325.54)</f>
        <v>325.54000000000002</v>
      </c>
      <c r="K132" s="1">
        <f ca="1">IFERROR(__xludf.DUMMYFUNCTION("""COMPUTED_VALUE"""),32.15)</f>
        <v>32.15</v>
      </c>
      <c r="L132" s="1">
        <f ca="1">IFERROR(__xludf.DUMMYFUNCTION("""COMPUTED_VALUE"""),460.84)</f>
        <v>460.84</v>
      </c>
      <c r="M132" s="1">
        <f ca="1">IFERROR(__xludf.DUMMYFUNCTION("""COMPUTED_VALUE"""),507.76)</f>
        <v>507.76</v>
      </c>
      <c r="N132" s="1">
        <f ca="1">IFERROR(__xludf.DUMMYFUNCTION("""COMPUTED_VALUE"""),91.28)</f>
        <v>91.28</v>
      </c>
      <c r="O132" s="1">
        <f ca="1">IFERROR(__xludf.DUMMYFUNCTION("""COMPUTED_VALUE"""),192.21)</f>
        <v>192.21</v>
      </c>
      <c r="P132" s="1">
        <f ca="1">IFERROR(__xludf.DUMMYFUNCTION("""COMPUTED_VALUE"""),142.49)</f>
        <v>142.49</v>
      </c>
      <c r="Q132" s="1">
        <f ca="1">IFERROR(__xludf.DUMMYFUNCTION("""COMPUTED_VALUE"""),291.16)</f>
        <v>291.16000000000003</v>
      </c>
      <c r="R132" s="1">
        <f ca="1">IFERROR(__xludf.DUMMYFUNCTION("""COMPUTED_VALUE"""),41.36)</f>
        <v>41.36</v>
      </c>
      <c r="S132" s="1">
        <f ca="1">IFERROR(__xludf.DUMMYFUNCTION("""COMPUTED_VALUE"""),63)</f>
        <v>63</v>
      </c>
      <c r="T132" s="1">
        <f ca="1">IFERROR(__xludf.DUMMYFUNCTION("""COMPUTED_VALUE"""),42.58)</f>
        <v>42.58</v>
      </c>
      <c r="U132" s="1">
        <f ca="1">IFERROR(__xludf.DUMMYFUNCTION("""COMPUTED_VALUE"""),96.99)</f>
        <v>96.99</v>
      </c>
      <c r="V132" s="1">
        <f ca="1">IFERROR(__xludf.DUMMYFUNCTION("""COMPUTED_VALUE"""),125.73)</f>
        <v>125.73</v>
      </c>
      <c r="W132" s="1">
        <f ca="1">IFERROR(__xludf.DUMMYFUNCTION("""COMPUTED_VALUE"""),339.96)</f>
        <v>339.96</v>
      </c>
      <c r="X132" s="1">
        <f ca="1">IFERROR(__xludf.DUMMYFUNCTION("""COMPUTED_VALUE"""),394.53)</f>
        <v>394.53</v>
      </c>
      <c r="Y132" s="1">
        <f ca="1">IFERROR(__xludf.DUMMYFUNCTION("""COMPUTED_VALUE"""),64.78)</f>
        <v>64.78</v>
      </c>
      <c r="Z132" s="1">
        <f ca="1">IFERROR(__xludf.DUMMYFUNCTION("""COMPUTED_VALUE"""),196.83)</f>
        <v>196.83</v>
      </c>
      <c r="AA132" s="1">
        <f ca="1">IFERROR(__xludf.DUMMYFUNCTION("""COMPUTED_VALUE"""),31.7)</f>
        <v>31.7</v>
      </c>
      <c r="AB132" s="1">
        <f ca="1">IFERROR(__xludf.DUMMYFUNCTION("""COMPUTED_VALUE"""),73.57)</f>
        <v>73.569999999999993</v>
      </c>
      <c r="AC132" s="1">
        <f ca="1">IFERROR(__xludf.DUMMYFUNCTION("""COMPUTED_VALUE"""),57.26)</f>
        <v>57.26</v>
      </c>
    </row>
    <row r="133" spans="1:29" x14ac:dyDescent="0.25">
      <c r="A133" s="2">
        <f ca="1">IFERROR(__xludf.DUMMYFUNCTION("""COMPUTED_VALUE"""),44022.6666666666)</f>
        <v>44022.666666666599</v>
      </c>
      <c r="B133" s="1">
        <f ca="1">IFERROR(__xludf.DUMMYFUNCTION("""COMPUTED_VALUE"""),95.92)</f>
        <v>95.92</v>
      </c>
      <c r="C133" s="1">
        <f ca="1">IFERROR(__xludf.DUMMYFUNCTION("""COMPUTED_VALUE"""),213.67)</f>
        <v>213.67</v>
      </c>
      <c r="D133" s="1">
        <f ca="1">IFERROR(__xludf.DUMMYFUNCTION("""COMPUTED_VALUE"""),160)</f>
        <v>160</v>
      </c>
      <c r="E133" s="1">
        <f ca="1">IFERROR(__xludf.DUMMYFUNCTION("""COMPUTED_VALUE"""),10.48)</f>
        <v>10.48</v>
      </c>
      <c r="F133" s="1">
        <f ca="1">IFERROR(__xludf.DUMMYFUNCTION("""COMPUTED_VALUE"""),245.07)</f>
        <v>245.07</v>
      </c>
      <c r="G133" s="1">
        <f ca="1">IFERROR(__xludf.DUMMYFUNCTION("""COMPUTED_VALUE"""),77.09)</f>
        <v>77.09</v>
      </c>
      <c r="H133" s="1">
        <f ca="1">IFERROR(__xludf.DUMMYFUNCTION("""COMPUTED_VALUE"""),102.98)</f>
        <v>102.98</v>
      </c>
      <c r="I133" s="1">
        <f ca="1">IFERROR(__xludf.DUMMYFUNCTION("""COMPUTED_VALUE"""),134.46)</f>
        <v>134.46</v>
      </c>
      <c r="J133" s="1">
        <f ca="1">IFERROR(__xludf.DUMMYFUNCTION("""COMPUTED_VALUE"""),326.23)</f>
        <v>326.23</v>
      </c>
      <c r="K133" s="1">
        <f ca="1">IFERROR(__xludf.DUMMYFUNCTION("""COMPUTED_VALUE"""),31.94)</f>
        <v>31.94</v>
      </c>
      <c r="L133" s="1">
        <f ca="1">IFERROR(__xludf.DUMMYFUNCTION("""COMPUTED_VALUE"""),466.2)</f>
        <v>466.2</v>
      </c>
      <c r="M133" s="1">
        <f ca="1">IFERROR(__xludf.DUMMYFUNCTION("""COMPUTED_VALUE"""),548.73)</f>
        <v>548.73</v>
      </c>
      <c r="N133" s="1">
        <f ca="1">IFERROR(__xludf.DUMMYFUNCTION("""COMPUTED_VALUE"""),96.27)</f>
        <v>96.27</v>
      </c>
      <c r="O133" s="1">
        <f ca="1">IFERROR(__xludf.DUMMYFUNCTION("""COMPUTED_VALUE"""),192.55)</f>
        <v>192.55</v>
      </c>
      <c r="P133" s="1">
        <f ca="1">IFERROR(__xludf.DUMMYFUNCTION("""COMPUTED_VALUE"""),142.37)</f>
        <v>142.37</v>
      </c>
      <c r="Q133" s="1">
        <f ca="1">IFERROR(__xludf.DUMMYFUNCTION("""COMPUTED_VALUE"""),291.23)</f>
        <v>291.23</v>
      </c>
      <c r="R133" s="1">
        <f ca="1">IFERROR(__xludf.DUMMYFUNCTION("""COMPUTED_VALUE"""),42.65)</f>
        <v>42.65</v>
      </c>
      <c r="S133" s="1">
        <f ca="1">IFERROR(__xludf.DUMMYFUNCTION("""COMPUTED_VALUE"""),64.9)</f>
        <v>64.900000000000006</v>
      </c>
      <c r="T133" s="1">
        <f ca="1">IFERROR(__xludf.DUMMYFUNCTION("""COMPUTED_VALUE"""),43.56)</f>
        <v>43.56</v>
      </c>
      <c r="U133" s="1">
        <f ca="1">IFERROR(__xludf.DUMMYFUNCTION("""COMPUTED_VALUE"""),97.99)</f>
        <v>97.99</v>
      </c>
      <c r="V133" s="1">
        <f ca="1">IFERROR(__xludf.DUMMYFUNCTION("""COMPUTED_VALUE"""),128.01)</f>
        <v>128.01</v>
      </c>
      <c r="W133" s="1">
        <f ca="1">IFERROR(__xludf.DUMMYFUNCTION("""COMPUTED_VALUE"""),349.25)</f>
        <v>349.25</v>
      </c>
      <c r="X133" s="1">
        <f ca="1">IFERROR(__xludf.DUMMYFUNCTION("""COMPUTED_VALUE"""),395.85)</f>
        <v>395.85</v>
      </c>
      <c r="Y133" s="1">
        <f ca="1">IFERROR(__xludf.DUMMYFUNCTION("""COMPUTED_VALUE"""),63.85)</f>
        <v>63.85</v>
      </c>
      <c r="Z133" s="1">
        <f ca="1">IFERROR(__xludf.DUMMYFUNCTION("""COMPUTED_VALUE"""),205.56)</f>
        <v>205.56</v>
      </c>
      <c r="AA133" s="1">
        <f ca="1">IFERROR(__xludf.DUMMYFUNCTION("""COMPUTED_VALUE"""),32.05)</f>
        <v>32.049999999999997</v>
      </c>
      <c r="AB133" s="1">
        <f ca="1">IFERROR(__xludf.DUMMYFUNCTION("""COMPUTED_VALUE"""),74.29)</f>
        <v>74.290000000000006</v>
      </c>
      <c r="AC133" s="1">
        <f ca="1">IFERROR(__xludf.DUMMYFUNCTION("""COMPUTED_VALUE"""),55.88)</f>
        <v>55.88</v>
      </c>
    </row>
    <row r="134" spans="1:29" x14ac:dyDescent="0.25">
      <c r="A134" s="2">
        <f ca="1">IFERROR(__xludf.DUMMYFUNCTION("""COMPUTED_VALUE"""),44025.6666666666)</f>
        <v>44025.666666666599</v>
      </c>
      <c r="B134" s="1">
        <f ca="1">IFERROR(__xludf.DUMMYFUNCTION("""COMPUTED_VALUE"""),95.48)</f>
        <v>95.48</v>
      </c>
      <c r="C134" s="1">
        <f ca="1">IFERROR(__xludf.DUMMYFUNCTION("""COMPUTED_VALUE"""),207.07)</f>
        <v>207.07</v>
      </c>
      <c r="D134" s="1">
        <f ca="1">IFERROR(__xludf.DUMMYFUNCTION("""COMPUTED_VALUE"""),155.2)</f>
        <v>155.19999999999999</v>
      </c>
      <c r="E134" s="1">
        <f ca="1">IFERROR(__xludf.DUMMYFUNCTION("""COMPUTED_VALUE"""),10.05)</f>
        <v>10.050000000000001</v>
      </c>
      <c r="F134" s="1">
        <f ca="1">IFERROR(__xludf.DUMMYFUNCTION("""COMPUTED_VALUE"""),239)</f>
        <v>239</v>
      </c>
      <c r="G134" s="1">
        <f ca="1">IFERROR(__xludf.DUMMYFUNCTION("""COMPUTED_VALUE"""),75.57)</f>
        <v>75.569999999999993</v>
      </c>
      <c r="H134" s="1">
        <f ca="1">IFERROR(__xludf.DUMMYFUNCTION("""COMPUTED_VALUE"""),99.8)</f>
        <v>99.8</v>
      </c>
      <c r="I134" s="1">
        <f ca="1">IFERROR(__xludf.DUMMYFUNCTION("""COMPUTED_VALUE"""),134.91)</f>
        <v>134.91</v>
      </c>
      <c r="J134" s="1">
        <f ca="1">IFERROR(__xludf.DUMMYFUNCTION("""COMPUTED_VALUE"""),322.92)</f>
        <v>322.92</v>
      </c>
      <c r="K134" s="1">
        <f ca="1">IFERROR(__xludf.DUMMYFUNCTION("""COMPUTED_VALUE"""),31.13)</f>
        <v>31.13</v>
      </c>
      <c r="L134" s="1">
        <f ca="1">IFERROR(__xludf.DUMMYFUNCTION("""COMPUTED_VALUE"""),442.47)</f>
        <v>442.47</v>
      </c>
      <c r="M134" s="1">
        <f ca="1">IFERROR(__xludf.DUMMYFUNCTION("""COMPUTED_VALUE"""),525.5)</f>
        <v>525.5</v>
      </c>
      <c r="N134" s="1">
        <f ca="1">IFERROR(__xludf.DUMMYFUNCTION("""COMPUTED_VALUE"""),97.65)</f>
        <v>97.65</v>
      </c>
      <c r="O134" s="1">
        <f ca="1">IFERROR(__xludf.DUMMYFUNCTION("""COMPUTED_VALUE"""),189.02)</f>
        <v>189.02</v>
      </c>
      <c r="P134" s="1">
        <f ca="1">IFERROR(__xludf.DUMMYFUNCTION("""COMPUTED_VALUE"""),145.21)</f>
        <v>145.21</v>
      </c>
      <c r="Q134" s="1">
        <f ca="1">IFERROR(__xludf.DUMMYFUNCTION("""COMPUTED_VALUE"""),299.71)</f>
        <v>299.70999999999998</v>
      </c>
      <c r="R134" s="1">
        <f ca="1">IFERROR(__xludf.DUMMYFUNCTION("""COMPUTED_VALUE"""),42.66)</f>
        <v>42.66</v>
      </c>
      <c r="S134" s="1">
        <f ca="1">IFERROR(__xludf.DUMMYFUNCTION("""COMPUTED_VALUE"""),64.06)</f>
        <v>64.06</v>
      </c>
      <c r="T134" s="1">
        <f ca="1">IFERROR(__xludf.DUMMYFUNCTION("""COMPUTED_VALUE"""),43.17)</f>
        <v>43.17</v>
      </c>
      <c r="U134" s="1">
        <f ca="1">IFERROR(__xludf.DUMMYFUNCTION("""COMPUTED_VALUE"""),96.46)</f>
        <v>96.46</v>
      </c>
      <c r="V134" s="1">
        <f ca="1">IFERROR(__xludf.DUMMYFUNCTION("""COMPUTED_VALUE"""),130.57)</f>
        <v>130.57</v>
      </c>
      <c r="W134" s="1">
        <f ca="1">IFERROR(__xludf.DUMMYFUNCTION("""COMPUTED_VALUE"""),353.06)</f>
        <v>353.06</v>
      </c>
      <c r="X134" s="1">
        <f ca="1">IFERROR(__xludf.DUMMYFUNCTION("""COMPUTED_VALUE"""),388.62)</f>
        <v>388.62</v>
      </c>
      <c r="Y134" s="1">
        <f ca="1">IFERROR(__xludf.DUMMYFUNCTION("""COMPUTED_VALUE"""),65.07)</f>
        <v>65.069999999999993</v>
      </c>
      <c r="Z134" s="1">
        <f ca="1">IFERROR(__xludf.DUMMYFUNCTION("""COMPUTED_VALUE"""),208.88)</f>
        <v>208.88</v>
      </c>
      <c r="AA134" s="1">
        <f ca="1">IFERROR(__xludf.DUMMYFUNCTION("""COMPUTED_VALUE"""),33.36)</f>
        <v>33.36</v>
      </c>
      <c r="AB134" s="1">
        <f ca="1">IFERROR(__xludf.DUMMYFUNCTION("""COMPUTED_VALUE"""),72.65)</f>
        <v>72.650000000000006</v>
      </c>
      <c r="AC134" s="1">
        <f ca="1">IFERROR(__xludf.DUMMYFUNCTION("""COMPUTED_VALUE"""),53.59)</f>
        <v>53.59</v>
      </c>
    </row>
    <row r="135" spans="1:29" x14ac:dyDescent="0.25">
      <c r="A135" s="2">
        <f ca="1">IFERROR(__xludf.DUMMYFUNCTION("""COMPUTED_VALUE"""),44026.6666666666)</f>
        <v>44026.666666666599</v>
      </c>
      <c r="B135" s="1">
        <f ca="1">IFERROR(__xludf.DUMMYFUNCTION("""COMPUTED_VALUE"""),97.06)</f>
        <v>97.06</v>
      </c>
      <c r="C135" s="1">
        <f ca="1">IFERROR(__xludf.DUMMYFUNCTION("""COMPUTED_VALUE"""),208.35)</f>
        <v>208.35</v>
      </c>
      <c r="D135" s="1">
        <f ca="1">IFERROR(__xludf.DUMMYFUNCTION("""COMPUTED_VALUE"""),154.2)</f>
        <v>154.19999999999999</v>
      </c>
      <c r="E135" s="1">
        <f ca="1">IFERROR(__xludf.DUMMYFUNCTION("""COMPUTED_VALUE"""),10.38)</f>
        <v>10.38</v>
      </c>
      <c r="F135" s="1">
        <f ca="1">IFERROR(__xludf.DUMMYFUNCTION("""COMPUTED_VALUE"""),239.73)</f>
        <v>239.73</v>
      </c>
      <c r="G135" s="1">
        <f ca="1">IFERROR(__xludf.DUMMYFUNCTION("""COMPUTED_VALUE"""),76.03)</f>
        <v>76.03</v>
      </c>
      <c r="H135" s="1">
        <f ca="1">IFERROR(__xludf.DUMMYFUNCTION("""COMPUTED_VALUE"""),101.12)</f>
        <v>101.12</v>
      </c>
      <c r="I135" s="1">
        <f ca="1">IFERROR(__xludf.DUMMYFUNCTION("""COMPUTED_VALUE"""),135.52)</f>
        <v>135.52000000000001</v>
      </c>
      <c r="J135" s="1">
        <f ca="1">IFERROR(__xludf.DUMMYFUNCTION("""COMPUTED_VALUE"""),328)</f>
        <v>328</v>
      </c>
      <c r="K135" s="1">
        <f ca="1">IFERROR(__xludf.DUMMYFUNCTION("""COMPUTED_VALUE"""),31.51)</f>
        <v>31.51</v>
      </c>
      <c r="L135" s="1">
        <f ca="1">IFERROR(__xludf.DUMMYFUNCTION("""COMPUTED_VALUE"""),433.78)</f>
        <v>433.78</v>
      </c>
      <c r="M135" s="1">
        <f ca="1">IFERROR(__xludf.DUMMYFUNCTION("""COMPUTED_VALUE"""),524.88)</f>
        <v>524.88</v>
      </c>
      <c r="N135" s="1">
        <f ca="1">IFERROR(__xludf.DUMMYFUNCTION("""COMPUTED_VALUE"""),98.21)</f>
        <v>98.21</v>
      </c>
      <c r="O135" s="1">
        <f ca="1">IFERROR(__xludf.DUMMYFUNCTION("""COMPUTED_VALUE"""),193.33)</f>
        <v>193.33</v>
      </c>
      <c r="P135" s="1">
        <f ca="1">IFERROR(__xludf.DUMMYFUNCTION("""COMPUTED_VALUE"""),147.92)</f>
        <v>147.91999999999999</v>
      </c>
      <c r="Q135" s="1">
        <f ca="1">IFERROR(__xludf.DUMMYFUNCTION("""COMPUTED_VALUE"""),308.52)</f>
        <v>308.52</v>
      </c>
      <c r="R135" s="1">
        <f ca="1">IFERROR(__xludf.DUMMYFUNCTION("""COMPUTED_VALUE"""),44.07)</f>
        <v>44.07</v>
      </c>
      <c r="S135" s="1">
        <f ca="1">IFERROR(__xludf.DUMMYFUNCTION("""COMPUTED_VALUE"""),65.64)</f>
        <v>65.64</v>
      </c>
      <c r="T135" s="1">
        <f ca="1">IFERROR(__xludf.DUMMYFUNCTION("""COMPUTED_VALUE"""),44)</f>
        <v>44</v>
      </c>
      <c r="U135" s="1">
        <f ca="1">IFERROR(__xludf.DUMMYFUNCTION("""COMPUTED_VALUE"""),96.76)</f>
        <v>96.76</v>
      </c>
      <c r="V135" s="1">
        <f ca="1">IFERROR(__xludf.DUMMYFUNCTION("""COMPUTED_VALUE"""),136.88)</f>
        <v>136.88</v>
      </c>
      <c r="W135" s="1">
        <f ca="1">IFERROR(__xludf.DUMMYFUNCTION("""COMPUTED_VALUE"""),355.66)</f>
        <v>355.66</v>
      </c>
      <c r="X135" s="1">
        <f ca="1">IFERROR(__xludf.DUMMYFUNCTION("""COMPUTED_VALUE"""),396.83)</f>
        <v>396.83</v>
      </c>
      <c r="Y135" s="1">
        <f ca="1">IFERROR(__xludf.DUMMYFUNCTION("""COMPUTED_VALUE"""),66.96)</f>
        <v>66.959999999999994</v>
      </c>
      <c r="Z135" s="1">
        <f ca="1">IFERROR(__xludf.DUMMYFUNCTION("""COMPUTED_VALUE"""),214.01)</f>
        <v>214.01</v>
      </c>
      <c r="AA135" s="1">
        <f ca="1">IFERROR(__xludf.DUMMYFUNCTION("""COMPUTED_VALUE"""),33.37)</f>
        <v>33.369999999999997</v>
      </c>
      <c r="AB135" s="1">
        <f ca="1">IFERROR(__xludf.DUMMYFUNCTION("""COMPUTED_VALUE"""),72.73)</f>
        <v>72.73</v>
      </c>
      <c r="AC135" s="1">
        <f ca="1">IFERROR(__xludf.DUMMYFUNCTION("""COMPUTED_VALUE"""),54.72)</f>
        <v>54.72</v>
      </c>
    </row>
    <row r="136" spans="1:29" x14ac:dyDescent="0.25">
      <c r="A136" s="2">
        <f ca="1">IFERROR(__xludf.DUMMYFUNCTION("""COMPUTED_VALUE"""),44027.6666666666)</f>
        <v>44027.666666666599</v>
      </c>
      <c r="B136" s="1">
        <f ca="1">IFERROR(__xludf.DUMMYFUNCTION("""COMPUTED_VALUE"""),97.73)</f>
        <v>97.73</v>
      </c>
      <c r="C136" s="1">
        <f ca="1">IFERROR(__xludf.DUMMYFUNCTION("""COMPUTED_VALUE"""),208.04)</f>
        <v>208.04</v>
      </c>
      <c r="D136" s="1">
        <f ca="1">IFERROR(__xludf.DUMMYFUNCTION("""COMPUTED_VALUE"""),150.44)</f>
        <v>150.44</v>
      </c>
      <c r="E136" s="1">
        <f ca="1">IFERROR(__xludf.DUMMYFUNCTION("""COMPUTED_VALUE"""),10.23)</f>
        <v>10.23</v>
      </c>
      <c r="F136" s="1">
        <f ca="1">IFERROR(__xludf.DUMMYFUNCTION("""COMPUTED_VALUE"""),240.28)</f>
        <v>240.28</v>
      </c>
      <c r="G136" s="1">
        <f ca="1">IFERROR(__xludf.DUMMYFUNCTION("""COMPUTED_VALUE"""),75.68)</f>
        <v>75.680000000000007</v>
      </c>
      <c r="H136" s="1">
        <f ca="1">IFERROR(__xludf.DUMMYFUNCTION("""COMPUTED_VALUE"""),103.07)</f>
        <v>103.07</v>
      </c>
      <c r="I136" s="1">
        <f ca="1">IFERROR(__xludf.DUMMYFUNCTION("""COMPUTED_VALUE"""),133.69)</f>
        <v>133.69</v>
      </c>
      <c r="J136" s="1">
        <f ca="1">IFERROR(__xludf.DUMMYFUNCTION("""COMPUTED_VALUE"""),326.7)</f>
        <v>326.7</v>
      </c>
      <c r="K136" s="1">
        <f ca="1">IFERROR(__xludf.DUMMYFUNCTION("""COMPUTED_VALUE"""),31.38)</f>
        <v>31.38</v>
      </c>
      <c r="L136" s="1">
        <f ca="1">IFERROR(__xludf.DUMMYFUNCTION("""COMPUTED_VALUE"""),433.01)</f>
        <v>433.01</v>
      </c>
      <c r="M136" s="1">
        <f ca="1">IFERROR(__xludf.DUMMYFUNCTION("""COMPUTED_VALUE"""),523.26)</f>
        <v>523.26</v>
      </c>
      <c r="N136" s="1">
        <f ca="1">IFERROR(__xludf.DUMMYFUNCTION("""COMPUTED_VALUE"""),99.73)</f>
        <v>99.73</v>
      </c>
      <c r="O136" s="1">
        <f ca="1">IFERROR(__xludf.DUMMYFUNCTION("""COMPUTED_VALUE"""),196.55)</f>
        <v>196.55</v>
      </c>
      <c r="P136" s="1">
        <f ca="1">IFERROR(__xludf.DUMMYFUNCTION("""COMPUTED_VALUE"""),148.26)</f>
        <v>148.26</v>
      </c>
      <c r="Q136" s="1">
        <f ca="1">IFERROR(__xludf.DUMMYFUNCTION("""COMPUTED_VALUE"""),304.07)</f>
        <v>304.07</v>
      </c>
      <c r="R136" s="1">
        <f ca="1">IFERROR(__xludf.DUMMYFUNCTION("""COMPUTED_VALUE"""),44.63)</f>
        <v>44.63</v>
      </c>
      <c r="S136" s="1">
        <f ca="1">IFERROR(__xludf.DUMMYFUNCTION("""COMPUTED_VALUE"""),64.75)</f>
        <v>64.75</v>
      </c>
      <c r="T136" s="1">
        <f ca="1">IFERROR(__xludf.DUMMYFUNCTION("""COMPUTED_VALUE"""),44)</f>
        <v>44</v>
      </c>
      <c r="U136" s="1">
        <f ca="1">IFERROR(__xludf.DUMMYFUNCTION("""COMPUTED_VALUE"""),98.54)</f>
        <v>98.54</v>
      </c>
      <c r="V136" s="1">
        <f ca="1">IFERROR(__xludf.DUMMYFUNCTION("""COMPUTED_VALUE"""),138.36)</f>
        <v>138.36000000000001</v>
      </c>
      <c r="W136" s="1">
        <f ca="1">IFERROR(__xludf.DUMMYFUNCTION("""COMPUTED_VALUE"""),364.56)</f>
        <v>364.56</v>
      </c>
      <c r="X136" s="1">
        <f ca="1">IFERROR(__xludf.DUMMYFUNCTION("""COMPUTED_VALUE"""),375.43)</f>
        <v>375.43</v>
      </c>
      <c r="Y136" s="1">
        <f ca="1">IFERROR(__xludf.DUMMYFUNCTION("""COMPUTED_VALUE"""),66.06)</f>
        <v>66.06</v>
      </c>
      <c r="Z136" s="1">
        <f ca="1">IFERROR(__xludf.DUMMYFUNCTION("""COMPUTED_VALUE"""),216.9)</f>
        <v>216.9</v>
      </c>
      <c r="AA136" s="1">
        <f ca="1">IFERROR(__xludf.DUMMYFUNCTION("""COMPUTED_VALUE"""),33.84)</f>
        <v>33.840000000000003</v>
      </c>
      <c r="AB136" s="1">
        <f ca="1">IFERROR(__xludf.DUMMYFUNCTION("""COMPUTED_VALUE"""),75.61)</f>
        <v>75.61</v>
      </c>
      <c r="AC136" s="1">
        <f ca="1">IFERROR(__xludf.DUMMYFUNCTION("""COMPUTED_VALUE"""),55.34)</f>
        <v>55.34</v>
      </c>
    </row>
    <row r="137" spans="1:29" x14ac:dyDescent="0.25">
      <c r="A137" s="2">
        <f ca="1">IFERROR(__xludf.DUMMYFUNCTION("""COMPUTED_VALUE"""),44028.6666666666)</f>
        <v>44028.666666666599</v>
      </c>
      <c r="B137" s="1">
        <f ca="1">IFERROR(__xludf.DUMMYFUNCTION("""COMPUTED_VALUE"""),96.52)</f>
        <v>96.52</v>
      </c>
      <c r="C137" s="1">
        <f ca="1">IFERROR(__xludf.DUMMYFUNCTION("""COMPUTED_VALUE"""),203.92)</f>
        <v>203.92</v>
      </c>
      <c r="D137" s="1">
        <f ca="1">IFERROR(__xludf.DUMMYFUNCTION("""COMPUTED_VALUE"""),150)</f>
        <v>150</v>
      </c>
      <c r="E137" s="1">
        <f ca="1">IFERROR(__xludf.DUMMYFUNCTION("""COMPUTED_VALUE"""),10.13)</f>
        <v>10.130000000000001</v>
      </c>
      <c r="F137" s="1">
        <f ca="1">IFERROR(__xludf.DUMMYFUNCTION("""COMPUTED_VALUE"""),240.93)</f>
        <v>240.93</v>
      </c>
      <c r="G137" s="1">
        <f ca="1">IFERROR(__xludf.DUMMYFUNCTION("""COMPUTED_VALUE"""),75.9)</f>
        <v>75.900000000000006</v>
      </c>
      <c r="H137" s="1">
        <f ca="1">IFERROR(__xludf.DUMMYFUNCTION("""COMPUTED_VALUE"""),100.04)</f>
        <v>100.04</v>
      </c>
      <c r="I137" s="1">
        <f ca="1">IFERROR(__xludf.DUMMYFUNCTION("""COMPUTED_VALUE"""),133.88)</f>
        <v>133.88</v>
      </c>
      <c r="J137" s="1">
        <f ca="1">IFERROR(__xludf.DUMMYFUNCTION("""COMPUTED_VALUE"""),326.27)</f>
        <v>326.27</v>
      </c>
      <c r="K137" s="1">
        <f ca="1">IFERROR(__xludf.DUMMYFUNCTION("""COMPUTED_VALUE"""),31.13)</f>
        <v>31.13</v>
      </c>
      <c r="L137" s="1">
        <f ca="1">IFERROR(__xludf.DUMMYFUNCTION("""COMPUTED_VALUE"""),426.29)</f>
        <v>426.29</v>
      </c>
      <c r="M137" s="1">
        <f ca="1">IFERROR(__xludf.DUMMYFUNCTION("""COMPUTED_VALUE"""),527.39)</f>
        <v>527.39</v>
      </c>
      <c r="N137" s="1">
        <f ca="1">IFERROR(__xludf.DUMMYFUNCTION("""COMPUTED_VALUE"""),100.01)</f>
        <v>100.01</v>
      </c>
      <c r="O137" s="1">
        <f ca="1">IFERROR(__xludf.DUMMYFUNCTION("""COMPUTED_VALUE"""),193.5)</f>
        <v>193.5</v>
      </c>
      <c r="P137" s="1">
        <f ca="1">IFERROR(__xludf.DUMMYFUNCTION("""COMPUTED_VALUE"""),149.25)</f>
        <v>149.25</v>
      </c>
      <c r="Q137" s="1">
        <f ca="1">IFERROR(__xludf.DUMMYFUNCTION("""COMPUTED_VALUE"""),307.15)</f>
        <v>307.14999999999998</v>
      </c>
      <c r="R137" s="1">
        <f ca="1">IFERROR(__xludf.DUMMYFUNCTION("""COMPUTED_VALUE"""),44.28)</f>
        <v>44.28</v>
      </c>
      <c r="S137" s="1">
        <f ca="1">IFERROR(__xludf.DUMMYFUNCTION("""COMPUTED_VALUE"""),67.1)</f>
        <v>67.099999999999994</v>
      </c>
      <c r="T137" s="1">
        <f ca="1">IFERROR(__xludf.DUMMYFUNCTION("""COMPUTED_VALUE"""),44.07)</f>
        <v>44.07</v>
      </c>
      <c r="U137" s="1">
        <f ca="1">IFERROR(__xludf.DUMMYFUNCTION("""COMPUTED_VALUE"""),97.26)</f>
        <v>97.26</v>
      </c>
      <c r="V137" s="1">
        <f ca="1">IFERROR(__xludf.DUMMYFUNCTION("""COMPUTED_VALUE"""),138.56)</f>
        <v>138.56</v>
      </c>
      <c r="W137" s="1">
        <f ca="1">IFERROR(__xludf.DUMMYFUNCTION("""COMPUTED_VALUE"""),365.88)</f>
        <v>365.88</v>
      </c>
      <c r="X137" s="1">
        <f ca="1">IFERROR(__xludf.DUMMYFUNCTION("""COMPUTED_VALUE"""),385.22)</f>
        <v>385.22</v>
      </c>
      <c r="Y137" s="1">
        <f ca="1">IFERROR(__xludf.DUMMYFUNCTION("""COMPUTED_VALUE"""),66.59)</f>
        <v>66.59</v>
      </c>
      <c r="Z137" s="1">
        <f ca="1">IFERROR(__xludf.DUMMYFUNCTION("""COMPUTED_VALUE"""),214.67)</f>
        <v>214.67</v>
      </c>
      <c r="AA137" s="1">
        <f ca="1">IFERROR(__xludf.DUMMYFUNCTION("""COMPUTED_VALUE"""),33.73)</f>
        <v>33.729999999999997</v>
      </c>
      <c r="AB137" s="1">
        <f ca="1">IFERROR(__xludf.DUMMYFUNCTION("""COMPUTED_VALUE"""),74.39)</f>
        <v>74.39</v>
      </c>
      <c r="AC137" s="1">
        <f ca="1">IFERROR(__xludf.DUMMYFUNCTION("""COMPUTED_VALUE"""),54.92)</f>
        <v>54.92</v>
      </c>
    </row>
    <row r="138" spans="1:29" x14ac:dyDescent="0.25">
      <c r="A138" s="2">
        <f ca="1">IFERROR(__xludf.DUMMYFUNCTION("""COMPUTED_VALUE"""),44029.6666666666)</f>
        <v>44029.666666666599</v>
      </c>
      <c r="B138" s="1">
        <f ca="1">IFERROR(__xludf.DUMMYFUNCTION("""COMPUTED_VALUE"""),96.33)</f>
        <v>96.33</v>
      </c>
      <c r="C138" s="1">
        <f ca="1">IFERROR(__xludf.DUMMYFUNCTION("""COMPUTED_VALUE"""),202.88)</f>
        <v>202.88</v>
      </c>
      <c r="D138" s="1">
        <f ca="1">IFERROR(__xludf.DUMMYFUNCTION("""COMPUTED_VALUE"""),148.1)</f>
        <v>148.1</v>
      </c>
      <c r="E138" s="1">
        <f ca="1">IFERROR(__xludf.DUMMYFUNCTION("""COMPUTED_VALUE"""),10.2)</f>
        <v>10.199999999999999</v>
      </c>
      <c r="F138" s="1">
        <f ca="1">IFERROR(__xludf.DUMMYFUNCTION("""COMPUTED_VALUE"""),242.03)</f>
        <v>242.03</v>
      </c>
      <c r="G138" s="1">
        <f ca="1">IFERROR(__xludf.DUMMYFUNCTION("""COMPUTED_VALUE"""),75.78)</f>
        <v>75.78</v>
      </c>
      <c r="H138" s="1">
        <f ca="1">IFERROR(__xludf.DUMMYFUNCTION("""COMPUTED_VALUE"""),100.06)</f>
        <v>100.06</v>
      </c>
      <c r="I138" s="1">
        <f ca="1">IFERROR(__xludf.DUMMYFUNCTION("""COMPUTED_VALUE"""),134.66)</f>
        <v>134.66</v>
      </c>
      <c r="J138" s="1">
        <f ca="1">IFERROR(__xludf.DUMMYFUNCTION("""COMPUTED_VALUE"""),324.79)</f>
        <v>324.79000000000002</v>
      </c>
      <c r="K138" s="1">
        <f ca="1">IFERROR(__xludf.DUMMYFUNCTION("""COMPUTED_VALUE"""),31.27)</f>
        <v>31.27</v>
      </c>
      <c r="L138" s="1">
        <f ca="1">IFERROR(__xludf.DUMMYFUNCTION("""COMPUTED_VALUE"""),432.42)</f>
        <v>432.42</v>
      </c>
      <c r="M138" s="1">
        <f ca="1">IFERROR(__xludf.DUMMYFUNCTION("""COMPUTED_VALUE"""),492.99)</f>
        <v>492.99</v>
      </c>
      <c r="N138" s="1">
        <f ca="1">IFERROR(__xludf.DUMMYFUNCTION("""COMPUTED_VALUE"""),98.16)</f>
        <v>98.16</v>
      </c>
      <c r="O138" s="1">
        <f ca="1">IFERROR(__xludf.DUMMYFUNCTION("""COMPUTED_VALUE"""),195.09)</f>
        <v>195.09</v>
      </c>
      <c r="P138" s="1">
        <f ca="1">IFERROR(__xludf.DUMMYFUNCTION("""COMPUTED_VALUE"""),149.35)</f>
        <v>149.35</v>
      </c>
      <c r="Q138" s="1">
        <f ca="1">IFERROR(__xludf.DUMMYFUNCTION("""COMPUTED_VALUE"""),306.53)</f>
        <v>306.52999999999997</v>
      </c>
      <c r="R138" s="1">
        <f ca="1">IFERROR(__xludf.DUMMYFUNCTION("""COMPUTED_VALUE"""),43.52)</f>
        <v>43.52</v>
      </c>
      <c r="S138" s="1">
        <f ca="1">IFERROR(__xludf.DUMMYFUNCTION("""COMPUTED_VALUE"""),68.85)</f>
        <v>68.849999999999994</v>
      </c>
      <c r="T138" s="1">
        <f ca="1">IFERROR(__xludf.DUMMYFUNCTION("""COMPUTED_VALUE"""),43.91)</f>
        <v>43.91</v>
      </c>
      <c r="U138" s="1">
        <f ca="1">IFERROR(__xludf.DUMMYFUNCTION("""COMPUTED_VALUE"""),96.28)</f>
        <v>96.28</v>
      </c>
      <c r="V138" s="1">
        <f ca="1">IFERROR(__xludf.DUMMYFUNCTION("""COMPUTED_VALUE"""),136.9)</f>
        <v>136.9</v>
      </c>
      <c r="W138" s="1">
        <f ca="1">IFERROR(__xludf.DUMMYFUNCTION("""COMPUTED_VALUE"""),368.5)</f>
        <v>368.5</v>
      </c>
      <c r="X138" s="1">
        <f ca="1">IFERROR(__xludf.DUMMYFUNCTION("""COMPUTED_VALUE"""),383.59)</f>
        <v>383.59</v>
      </c>
      <c r="Y138" s="1">
        <f ca="1">IFERROR(__xludf.DUMMYFUNCTION("""COMPUTED_VALUE"""),66.4)</f>
        <v>66.400000000000006</v>
      </c>
      <c r="Z138" s="1">
        <f ca="1">IFERROR(__xludf.DUMMYFUNCTION("""COMPUTED_VALUE"""),211.41)</f>
        <v>211.41</v>
      </c>
      <c r="AA138" s="1">
        <f ca="1">IFERROR(__xludf.DUMMYFUNCTION("""COMPUTED_VALUE"""),34.34)</f>
        <v>34.340000000000003</v>
      </c>
      <c r="AB138" s="1">
        <f ca="1">IFERROR(__xludf.DUMMYFUNCTION("""COMPUTED_VALUE"""),74.16)</f>
        <v>74.16</v>
      </c>
      <c r="AC138" s="1">
        <f ca="1">IFERROR(__xludf.DUMMYFUNCTION("""COMPUTED_VALUE"""),55.04)</f>
        <v>55.04</v>
      </c>
    </row>
    <row r="139" spans="1:29" x14ac:dyDescent="0.25">
      <c r="A139" s="2">
        <f ca="1">IFERROR(__xludf.DUMMYFUNCTION("""COMPUTED_VALUE"""),44032.6666666666)</f>
        <v>44032.666666666599</v>
      </c>
      <c r="B139" s="1">
        <f ca="1">IFERROR(__xludf.DUMMYFUNCTION("""COMPUTED_VALUE"""),98.36)</f>
        <v>98.36</v>
      </c>
      <c r="C139" s="1">
        <f ca="1">IFERROR(__xludf.DUMMYFUNCTION("""COMPUTED_VALUE"""),211.6)</f>
        <v>211.6</v>
      </c>
      <c r="D139" s="1">
        <f ca="1">IFERROR(__xludf.DUMMYFUNCTION("""COMPUTED_VALUE"""),159.84)</f>
        <v>159.84</v>
      </c>
      <c r="E139" s="1">
        <f ca="1">IFERROR(__xludf.DUMMYFUNCTION("""COMPUTED_VALUE"""),10.51)</f>
        <v>10.51</v>
      </c>
      <c r="F139" s="1">
        <f ca="1">IFERROR(__xludf.DUMMYFUNCTION("""COMPUTED_VALUE"""),245.42)</f>
        <v>245.42</v>
      </c>
      <c r="G139" s="1">
        <f ca="1">IFERROR(__xludf.DUMMYFUNCTION("""COMPUTED_VALUE"""),78.29)</f>
        <v>78.290000000000006</v>
      </c>
      <c r="H139" s="1">
        <f ca="1">IFERROR(__xludf.DUMMYFUNCTION("""COMPUTED_VALUE"""),109.53)</f>
        <v>109.53</v>
      </c>
      <c r="I139" s="1">
        <f ca="1">IFERROR(__xludf.DUMMYFUNCTION("""COMPUTED_VALUE"""),133.11)</f>
        <v>133.11000000000001</v>
      </c>
      <c r="J139" s="1">
        <f ca="1">IFERROR(__xludf.DUMMYFUNCTION("""COMPUTED_VALUE"""),326.51)</f>
        <v>326.51</v>
      </c>
      <c r="K139" s="1">
        <f ca="1">IFERROR(__xludf.DUMMYFUNCTION("""COMPUTED_VALUE"""),31.71)</f>
        <v>31.71</v>
      </c>
      <c r="L139" s="1">
        <f ca="1">IFERROR(__xludf.DUMMYFUNCTION("""COMPUTED_VALUE"""),455.27)</f>
        <v>455.27</v>
      </c>
      <c r="M139" s="1">
        <f ca="1">IFERROR(__xludf.DUMMYFUNCTION("""COMPUTED_VALUE"""),502.41)</f>
        <v>502.41</v>
      </c>
      <c r="N139" s="1">
        <f ca="1">IFERROR(__xludf.DUMMYFUNCTION("""COMPUTED_VALUE"""),97.3)</f>
        <v>97.3</v>
      </c>
      <c r="O139" s="1">
        <f ca="1">IFERROR(__xludf.DUMMYFUNCTION("""COMPUTED_VALUE"""),198.47)</f>
        <v>198.47</v>
      </c>
      <c r="P139" s="1">
        <f ca="1">IFERROR(__xludf.DUMMYFUNCTION("""COMPUTED_VALUE"""),149.6)</f>
        <v>149.6</v>
      </c>
      <c r="Q139" s="1">
        <f ca="1">IFERROR(__xludf.DUMMYFUNCTION("""COMPUTED_VALUE"""),303.46)</f>
        <v>303.45999999999998</v>
      </c>
      <c r="R139" s="1">
        <f ca="1">IFERROR(__xludf.DUMMYFUNCTION("""COMPUTED_VALUE"""),42.5)</f>
        <v>42.5</v>
      </c>
      <c r="S139" s="1">
        <f ca="1">IFERROR(__xludf.DUMMYFUNCTION("""COMPUTED_VALUE"""),68.58)</f>
        <v>68.58</v>
      </c>
      <c r="T139" s="1">
        <f ca="1">IFERROR(__xludf.DUMMYFUNCTION("""COMPUTED_VALUE"""),43.82)</f>
        <v>43.82</v>
      </c>
      <c r="U139" s="1">
        <f ca="1">IFERROR(__xludf.DUMMYFUNCTION("""COMPUTED_VALUE"""),95.65)</f>
        <v>95.65</v>
      </c>
      <c r="V139" s="1">
        <f ca="1">IFERROR(__xludf.DUMMYFUNCTION("""COMPUTED_VALUE"""),134.63)</f>
        <v>134.63</v>
      </c>
      <c r="W139" s="1">
        <f ca="1">IFERROR(__xludf.DUMMYFUNCTION("""COMPUTED_VALUE"""),365.53)</f>
        <v>365.53</v>
      </c>
      <c r="X139" s="1">
        <f ca="1">IFERROR(__xludf.DUMMYFUNCTION("""COMPUTED_VALUE"""),391.48)</f>
        <v>391.48</v>
      </c>
      <c r="Y139" s="1">
        <f ca="1">IFERROR(__xludf.DUMMYFUNCTION("""COMPUTED_VALUE"""),66.89)</f>
        <v>66.89</v>
      </c>
      <c r="Z139" s="1">
        <f ca="1">IFERROR(__xludf.DUMMYFUNCTION("""COMPUTED_VALUE"""),211.71)</f>
        <v>211.71</v>
      </c>
      <c r="AA139" s="1">
        <f ca="1">IFERROR(__xludf.DUMMYFUNCTION("""COMPUTED_VALUE"""),34.58)</f>
        <v>34.58</v>
      </c>
      <c r="AB139" s="1">
        <f ca="1">IFERROR(__xludf.DUMMYFUNCTION("""COMPUTED_VALUE"""),74.96)</f>
        <v>74.959999999999994</v>
      </c>
      <c r="AC139" s="1">
        <f ca="1">IFERROR(__xludf.DUMMYFUNCTION("""COMPUTED_VALUE"""),57.46)</f>
        <v>57.46</v>
      </c>
    </row>
    <row r="140" spans="1:29" x14ac:dyDescent="0.25">
      <c r="A140" s="2">
        <f ca="1">IFERROR(__xludf.DUMMYFUNCTION("""COMPUTED_VALUE"""),44033.6666666666)</f>
        <v>44033.666666666599</v>
      </c>
      <c r="B140" s="1">
        <f ca="1">IFERROR(__xludf.DUMMYFUNCTION("""COMPUTED_VALUE"""),97)</f>
        <v>97</v>
      </c>
      <c r="C140" s="1">
        <f ca="1">IFERROR(__xludf.DUMMYFUNCTION("""COMPUTED_VALUE"""),208.75)</f>
        <v>208.75</v>
      </c>
      <c r="D140" s="1">
        <f ca="1">IFERROR(__xludf.DUMMYFUNCTION("""COMPUTED_VALUE"""),156.91)</f>
        <v>156.91</v>
      </c>
      <c r="E140" s="1">
        <f ca="1">IFERROR(__xludf.DUMMYFUNCTION("""COMPUTED_VALUE"""),10.33)</f>
        <v>10.33</v>
      </c>
      <c r="F140" s="1">
        <f ca="1">IFERROR(__xludf.DUMMYFUNCTION("""COMPUTED_VALUE"""),241.75)</f>
        <v>241.75</v>
      </c>
      <c r="G140" s="1">
        <f ca="1">IFERROR(__xludf.DUMMYFUNCTION("""COMPUTED_VALUE"""),77.92)</f>
        <v>77.92</v>
      </c>
      <c r="H140" s="1">
        <f ca="1">IFERROR(__xludf.DUMMYFUNCTION("""COMPUTED_VALUE"""),104.56)</f>
        <v>104.56</v>
      </c>
      <c r="I140" s="1">
        <f ca="1">IFERROR(__xludf.DUMMYFUNCTION("""COMPUTED_VALUE"""),134.43)</f>
        <v>134.43</v>
      </c>
      <c r="J140" s="1">
        <f ca="1">IFERROR(__xludf.DUMMYFUNCTION("""COMPUTED_VALUE"""),327.74)</f>
        <v>327.74</v>
      </c>
      <c r="K140" s="1">
        <f ca="1">IFERROR(__xludf.DUMMYFUNCTION("""COMPUTED_VALUE"""),31.43)</f>
        <v>31.43</v>
      </c>
      <c r="L140" s="1">
        <f ca="1">IFERROR(__xludf.DUMMYFUNCTION("""COMPUTED_VALUE"""),444.28)</f>
        <v>444.28</v>
      </c>
      <c r="M140" s="1">
        <f ca="1">IFERROR(__xludf.DUMMYFUNCTION("""COMPUTED_VALUE"""),490.1)</f>
        <v>490.1</v>
      </c>
      <c r="N140" s="1">
        <f ca="1">IFERROR(__xludf.DUMMYFUNCTION("""COMPUTED_VALUE"""),99.41)</f>
        <v>99.41</v>
      </c>
      <c r="O140" s="1">
        <f ca="1">IFERROR(__xludf.DUMMYFUNCTION("""COMPUTED_VALUE"""),196.48)</f>
        <v>196.48</v>
      </c>
      <c r="P140" s="1">
        <f ca="1">IFERROR(__xludf.DUMMYFUNCTION("""COMPUTED_VALUE"""),149.74)</f>
        <v>149.74</v>
      </c>
      <c r="Q140" s="1">
        <f ca="1">IFERROR(__xludf.DUMMYFUNCTION("""COMPUTED_VALUE"""),305.11)</f>
        <v>305.11</v>
      </c>
      <c r="R140" s="1">
        <f ca="1">IFERROR(__xludf.DUMMYFUNCTION("""COMPUTED_VALUE"""),44.65)</f>
        <v>44.65</v>
      </c>
      <c r="S140" s="1">
        <f ca="1">IFERROR(__xludf.DUMMYFUNCTION("""COMPUTED_VALUE"""),69.08)</f>
        <v>69.08</v>
      </c>
      <c r="T140" s="1">
        <f ca="1">IFERROR(__xludf.DUMMYFUNCTION("""COMPUTED_VALUE"""),44.11)</f>
        <v>44.11</v>
      </c>
      <c r="U140" s="1">
        <f ca="1">IFERROR(__xludf.DUMMYFUNCTION("""COMPUTED_VALUE"""),98.36)</f>
        <v>98.36</v>
      </c>
      <c r="V140" s="1">
        <f ca="1">IFERROR(__xludf.DUMMYFUNCTION("""COMPUTED_VALUE"""),135.87)</f>
        <v>135.87</v>
      </c>
      <c r="W140" s="1">
        <f ca="1">IFERROR(__xludf.DUMMYFUNCTION("""COMPUTED_VALUE"""),375.12)</f>
        <v>375.12</v>
      </c>
      <c r="X140" s="1">
        <f ca="1">IFERROR(__xludf.DUMMYFUNCTION("""COMPUTED_VALUE"""),383.82)</f>
        <v>383.82</v>
      </c>
      <c r="Y140" s="1">
        <f ca="1">IFERROR(__xludf.DUMMYFUNCTION("""COMPUTED_VALUE"""),67.81)</f>
        <v>67.81</v>
      </c>
      <c r="Z140" s="1">
        <f ca="1">IFERROR(__xludf.DUMMYFUNCTION("""COMPUTED_VALUE"""),212.02)</f>
        <v>212.02</v>
      </c>
      <c r="AA140" s="1">
        <f ca="1">IFERROR(__xludf.DUMMYFUNCTION("""COMPUTED_VALUE"""),34.76)</f>
        <v>34.76</v>
      </c>
      <c r="AB140" s="1">
        <f ca="1">IFERROR(__xludf.DUMMYFUNCTION("""COMPUTED_VALUE"""),75.44)</f>
        <v>75.44</v>
      </c>
      <c r="AC140" s="1">
        <f ca="1">IFERROR(__xludf.DUMMYFUNCTION("""COMPUTED_VALUE"""),57)</f>
        <v>57</v>
      </c>
    </row>
    <row r="141" spans="1:29" x14ac:dyDescent="0.25">
      <c r="A141" s="2">
        <f ca="1">IFERROR(__xludf.DUMMYFUNCTION("""COMPUTED_VALUE"""),44034.6666666666)</f>
        <v>44034.666666666599</v>
      </c>
      <c r="B141" s="1">
        <f ca="1">IFERROR(__xludf.DUMMYFUNCTION("""COMPUTED_VALUE"""),97.27)</f>
        <v>97.27</v>
      </c>
      <c r="C141" s="1">
        <f ca="1">IFERROR(__xludf.DUMMYFUNCTION("""COMPUTED_VALUE"""),211.75)</f>
        <v>211.75</v>
      </c>
      <c r="D141" s="1">
        <f ca="1">IFERROR(__xludf.DUMMYFUNCTION("""COMPUTED_VALUE"""),155)</f>
        <v>155</v>
      </c>
      <c r="E141" s="1">
        <f ca="1">IFERROR(__xludf.DUMMYFUNCTION("""COMPUTED_VALUE"""),10.44)</f>
        <v>10.44</v>
      </c>
      <c r="F141" s="1">
        <f ca="1">IFERROR(__xludf.DUMMYFUNCTION("""COMPUTED_VALUE"""),239.87)</f>
        <v>239.87</v>
      </c>
      <c r="G141" s="1">
        <f ca="1">IFERROR(__xludf.DUMMYFUNCTION("""COMPUTED_VALUE"""),78.42)</f>
        <v>78.42</v>
      </c>
      <c r="H141" s="1">
        <f ca="1">IFERROR(__xludf.DUMMYFUNCTION("""COMPUTED_VALUE"""),106.16)</f>
        <v>106.16</v>
      </c>
      <c r="I141" s="1">
        <f ca="1">IFERROR(__xludf.DUMMYFUNCTION("""COMPUTED_VALUE"""),136.01)</f>
        <v>136.01</v>
      </c>
      <c r="J141" s="1">
        <f ca="1">IFERROR(__xludf.DUMMYFUNCTION("""COMPUTED_VALUE"""),328.3)</f>
        <v>328.3</v>
      </c>
      <c r="K141" s="1">
        <f ca="1">IFERROR(__xludf.DUMMYFUNCTION("""COMPUTED_VALUE"""),31.38)</f>
        <v>31.38</v>
      </c>
      <c r="L141" s="1">
        <f ca="1">IFERROR(__xludf.DUMMYFUNCTION("""COMPUTED_VALUE"""),445.05)</f>
        <v>445.05</v>
      </c>
      <c r="M141" s="1">
        <f ca="1">IFERROR(__xludf.DUMMYFUNCTION("""COMPUTED_VALUE"""),489.82)</f>
        <v>489.82</v>
      </c>
      <c r="N141" s="1">
        <f ca="1">IFERROR(__xludf.DUMMYFUNCTION("""COMPUTED_VALUE"""),98.69)</f>
        <v>98.69</v>
      </c>
      <c r="O141" s="1">
        <f ca="1">IFERROR(__xludf.DUMMYFUNCTION("""COMPUTED_VALUE"""),198.86)</f>
        <v>198.86</v>
      </c>
      <c r="P141" s="1">
        <f ca="1">IFERROR(__xludf.DUMMYFUNCTION("""COMPUTED_VALUE"""),150.01)</f>
        <v>150.01</v>
      </c>
      <c r="Q141" s="1">
        <f ca="1">IFERROR(__xludf.DUMMYFUNCTION("""COMPUTED_VALUE"""),306.71)</f>
        <v>306.70999999999998</v>
      </c>
      <c r="R141" s="1">
        <f ca="1">IFERROR(__xludf.DUMMYFUNCTION("""COMPUTED_VALUE"""),43.61)</f>
        <v>43.61</v>
      </c>
      <c r="S141" s="1">
        <f ca="1">IFERROR(__xludf.DUMMYFUNCTION("""COMPUTED_VALUE"""),70.11)</f>
        <v>70.11</v>
      </c>
      <c r="T141" s="1">
        <f ca="1">IFERROR(__xludf.DUMMYFUNCTION("""COMPUTED_VALUE"""),44.22)</f>
        <v>44.22</v>
      </c>
      <c r="U141" s="1">
        <f ca="1">IFERROR(__xludf.DUMMYFUNCTION("""COMPUTED_VALUE"""),98.91)</f>
        <v>98.91</v>
      </c>
      <c r="V141" s="1">
        <f ca="1">IFERROR(__xludf.DUMMYFUNCTION("""COMPUTED_VALUE"""),136.98)</f>
        <v>136.97999999999999</v>
      </c>
      <c r="W141" s="1">
        <f ca="1">IFERROR(__xludf.DUMMYFUNCTION("""COMPUTED_VALUE"""),394.08)</f>
        <v>394.08</v>
      </c>
      <c r="X141" s="1">
        <f ca="1">IFERROR(__xludf.DUMMYFUNCTION("""COMPUTED_VALUE"""),392.6)</f>
        <v>392.6</v>
      </c>
      <c r="Y141" s="1">
        <f ca="1">IFERROR(__xludf.DUMMYFUNCTION("""COMPUTED_VALUE"""),68.53)</f>
        <v>68.53</v>
      </c>
      <c r="Z141" s="1">
        <f ca="1">IFERROR(__xludf.DUMMYFUNCTION("""COMPUTED_VALUE"""),206)</f>
        <v>206</v>
      </c>
      <c r="AA141" s="1">
        <f ca="1">IFERROR(__xludf.DUMMYFUNCTION("""COMPUTED_VALUE"""),36.53)</f>
        <v>36.53</v>
      </c>
      <c r="AB141" s="1">
        <f ca="1">IFERROR(__xludf.DUMMYFUNCTION("""COMPUTED_VALUE"""),77.24)</f>
        <v>77.239999999999995</v>
      </c>
      <c r="AC141" s="1">
        <f ca="1">IFERROR(__xludf.DUMMYFUNCTION("""COMPUTED_VALUE"""),61.79)</f>
        <v>61.79</v>
      </c>
    </row>
    <row r="142" spans="1:29" x14ac:dyDescent="0.25">
      <c r="A142" s="2">
        <f ca="1">IFERROR(__xludf.DUMMYFUNCTION("""COMPUTED_VALUE"""),44035.6666666666)</f>
        <v>44035.666666666599</v>
      </c>
      <c r="B142" s="1">
        <f ca="1">IFERROR(__xludf.DUMMYFUNCTION("""COMPUTED_VALUE"""),92.85)</f>
        <v>92.85</v>
      </c>
      <c r="C142" s="1">
        <f ca="1">IFERROR(__xludf.DUMMYFUNCTION("""COMPUTED_VALUE"""),202.54)</f>
        <v>202.54</v>
      </c>
      <c r="D142" s="1">
        <f ca="1">IFERROR(__xludf.DUMMYFUNCTION("""COMPUTED_VALUE"""),149.33)</f>
        <v>149.33000000000001</v>
      </c>
      <c r="E142" s="1">
        <f ca="1">IFERROR(__xludf.DUMMYFUNCTION("""COMPUTED_VALUE"""),10.13)</f>
        <v>10.130000000000001</v>
      </c>
      <c r="F142" s="1">
        <f ca="1">IFERROR(__xludf.DUMMYFUNCTION("""COMPUTED_VALUE"""),232.6)</f>
        <v>232.6</v>
      </c>
      <c r="G142" s="1">
        <f ca="1">IFERROR(__xludf.DUMMYFUNCTION("""COMPUTED_VALUE"""),75.78)</f>
        <v>75.78</v>
      </c>
      <c r="H142" s="1">
        <f ca="1">IFERROR(__xludf.DUMMYFUNCTION("""COMPUTED_VALUE"""),100.87)</f>
        <v>100.87</v>
      </c>
      <c r="I142" s="1">
        <f ca="1">IFERROR(__xludf.DUMMYFUNCTION("""COMPUTED_VALUE"""),137.08)</f>
        <v>137.08000000000001</v>
      </c>
      <c r="J142" s="1">
        <f ca="1">IFERROR(__xludf.DUMMYFUNCTION("""COMPUTED_VALUE"""),326.11)</f>
        <v>326.11</v>
      </c>
      <c r="K142" s="1">
        <f ca="1">IFERROR(__xludf.DUMMYFUNCTION("""COMPUTED_VALUE"""),30.97)</f>
        <v>30.97</v>
      </c>
      <c r="L142" s="1">
        <f ca="1">IFERROR(__xludf.DUMMYFUNCTION("""COMPUTED_VALUE"""),431.74)</f>
        <v>431.74</v>
      </c>
      <c r="M142" s="1">
        <f ca="1">IFERROR(__xludf.DUMMYFUNCTION("""COMPUTED_VALUE"""),477.58)</f>
        <v>477.58</v>
      </c>
      <c r="N142" s="1">
        <f ca="1">IFERROR(__xludf.DUMMYFUNCTION("""COMPUTED_VALUE"""),98.98)</f>
        <v>98.98</v>
      </c>
      <c r="O142" s="1">
        <f ca="1">IFERROR(__xludf.DUMMYFUNCTION("""COMPUTED_VALUE"""),197.43)</f>
        <v>197.43</v>
      </c>
      <c r="P142" s="1">
        <f ca="1">IFERROR(__xludf.DUMMYFUNCTION("""COMPUTED_VALUE"""),149.61)</f>
        <v>149.61000000000001</v>
      </c>
      <c r="Q142" s="1">
        <f ca="1">IFERROR(__xludf.DUMMYFUNCTION("""COMPUTED_VALUE"""),302.97)</f>
        <v>302.97000000000003</v>
      </c>
      <c r="R142" s="1">
        <f ca="1">IFERROR(__xludf.DUMMYFUNCTION("""COMPUTED_VALUE"""),43.7)</f>
        <v>43.7</v>
      </c>
      <c r="S142" s="1">
        <f ca="1">IFERROR(__xludf.DUMMYFUNCTION("""COMPUTED_VALUE"""),70.24)</f>
        <v>70.239999999999995</v>
      </c>
      <c r="T142" s="1">
        <f ca="1">IFERROR(__xludf.DUMMYFUNCTION("""COMPUTED_VALUE"""),43.88)</f>
        <v>43.88</v>
      </c>
      <c r="U142" s="1">
        <f ca="1">IFERROR(__xludf.DUMMYFUNCTION("""COMPUTED_VALUE"""),98.3)</f>
        <v>98.3</v>
      </c>
      <c r="V142" s="1">
        <f ca="1">IFERROR(__xludf.DUMMYFUNCTION("""COMPUTED_VALUE"""),136.6)</f>
        <v>136.6</v>
      </c>
      <c r="W142" s="1">
        <f ca="1">IFERROR(__xludf.DUMMYFUNCTION("""COMPUTED_VALUE"""),387.62)</f>
        <v>387.62</v>
      </c>
      <c r="X142" s="1">
        <f ca="1">IFERROR(__xludf.DUMMYFUNCTION("""COMPUTED_VALUE"""),384.23)</f>
        <v>384.23</v>
      </c>
      <c r="Y142" s="1">
        <f ca="1">IFERROR(__xludf.DUMMYFUNCTION("""COMPUTED_VALUE"""),67.37)</f>
        <v>67.37</v>
      </c>
      <c r="Z142" s="1">
        <f ca="1">IFERROR(__xludf.DUMMYFUNCTION("""COMPUTED_VALUE"""),203.02)</f>
        <v>203.02</v>
      </c>
      <c r="AA142" s="1">
        <f ca="1">IFERROR(__xludf.DUMMYFUNCTION("""COMPUTED_VALUE"""),36.39)</f>
        <v>36.39</v>
      </c>
      <c r="AB142" s="1">
        <f ca="1">IFERROR(__xludf.DUMMYFUNCTION("""COMPUTED_VALUE"""),75.36)</f>
        <v>75.36</v>
      </c>
      <c r="AC142" s="1">
        <f ca="1">IFERROR(__xludf.DUMMYFUNCTION("""COMPUTED_VALUE"""),59.57)</f>
        <v>59.57</v>
      </c>
    </row>
    <row r="143" spans="1:29" x14ac:dyDescent="0.25">
      <c r="A143" s="2">
        <f ca="1">IFERROR(__xludf.DUMMYFUNCTION("""COMPUTED_VALUE"""),44036.6666666666)</f>
        <v>44036.666666666599</v>
      </c>
      <c r="B143" s="1">
        <f ca="1">IFERROR(__xludf.DUMMYFUNCTION("""COMPUTED_VALUE"""),92.62)</f>
        <v>92.62</v>
      </c>
      <c r="C143" s="1">
        <f ca="1">IFERROR(__xludf.DUMMYFUNCTION("""COMPUTED_VALUE"""),201.3)</f>
        <v>201.3</v>
      </c>
      <c r="D143" s="1">
        <f ca="1">IFERROR(__xludf.DUMMYFUNCTION("""COMPUTED_VALUE"""),150.45)</f>
        <v>150.44999999999999</v>
      </c>
      <c r="E143" s="1">
        <f ca="1">IFERROR(__xludf.DUMMYFUNCTION("""COMPUTED_VALUE"""),10.19)</f>
        <v>10.19</v>
      </c>
      <c r="F143" s="1">
        <f ca="1">IFERROR(__xludf.DUMMYFUNCTION("""COMPUTED_VALUE"""),230.71)</f>
        <v>230.71</v>
      </c>
      <c r="G143" s="1">
        <f ca="1">IFERROR(__xludf.DUMMYFUNCTION("""COMPUTED_VALUE"""),75.59)</f>
        <v>75.59</v>
      </c>
      <c r="H143" s="1">
        <f ca="1">IFERROR(__xludf.DUMMYFUNCTION("""COMPUTED_VALUE"""),94.47)</f>
        <v>94.47</v>
      </c>
      <c r="I143" s="1">
        <f ca="1">IFERROR(__xludf.DUMMYFUNCTION("""COMPUTED_VALUE"""),136.06)</f>
        <v>136.06</v>
      </c>
      <c r="J143" s="1">
        <f ca="1">IFERROR(__xludf.DUMMYFUNCTION("""COMPUTED_VALUE"""),325.78)</f>
        <v>325.77999999999997</v>
      </c>
      <c r="K143" s="1">
        <f ca="1">IFERROR(__xludf.DUMMYFUNCTION("""COMPUTED_VALUE"""),30.58)</f>
        <v>30.58</v>
      </c>
      <c r="L143" s="1">
        <f ca="1">IFERROR(__xludf.DUMMYFUNCTION("""COMPUTED_VALUE"""),430.31)</f>
        <v>430.31</v>
      </c>
      <c r="M143" s="1">
        <f ca="1">IFERROR(__xludf.DUMMYFUNCTION("""COMPUTED_VALUE"""),480.45)</f>
        <v>480.45</v>
      </c>
      <c r="N143" s="1">
        <f ca="1">IFERROR(__xludf.DUMMYFUNCTION("""COMPUTED_VALUE"""),98.28)</f>
        <v>98.28</v>
      </c>
      <c r="O143" s="1">
        <f ca="1">IFERROR(__xludf.DUMMYFUNCTION("""COMPUTED_VALUE"""),195.15)</f>
        <v>195.15</v>
      </c>
      <c r="P143" s="1">
        <f ca="1">IFERROR(__xludf.DUMMYFUNCTION("""COMPUTED_VALUE"""),148.12)</f>
        <v>148.12</v>
      </c>
      <c r="Q143" s="1">
        <f ca="1">IFERROR(__xludf.DUMMYFUNCTION("""COMPUTED_VALUE"""),300.79)</f>
        <v>300.79000000000002</v>
      </c>
      <c r="R143" s="1">
        <f ca="1">IFERROR(__xludf.DUMMYFUNCTION("""COMPUTED_VALUE"""),43.43)</f>
        <v>43.43</v>
      </c>
      <c r="S143" s="1">
        <f ca="1">IFERROR(__xludf.DUMMYFUNCTION("""COMPUTED_VALUE"""),70.06)</f>
        <v>70.06</v>
      </c>
      <c r="T143" s="1">
        <f ca="1">IFERROR(__xludf.DUMMYFUNCTION("""COMPUTED_VALUE"""),43.75)</f>
        <v>43.75</v>
      </c>
      <c r="U143" s="1">
        <f ca="1">IFERROR(__xludf.DUMMYFUNCTION("""COMPUTED_VALUE"""),98.43)</f>
        <v>98.43</v>
      </c>
      <c r="V143" s="1">
        <f ca="1">IFERROR(__xludf.DUMMYFUNCTION("""COMPUTED_VALUE"""),137.58)</f>
        <v>137.58000000000001</v>
      </c>
      <c r="W143" s="1">
        <f ca="1">IFERROR(__xludf.DUMMYFUNCTION("""COMPUTED_VALUE"""),386.21)</f>
        <v>386.21</v>
      </c>
      <c r="X143" s="1">
        <f ca="1">IFERROR(__xludf.DUMMYFUNCTION("""COMPUTED_VALUE"""),367.68)</f>
        <v>367.68</v>
      </c>
      <c r="Y143" s="1">
        <f ca="1">IFERROR(__xludf.DUMMYFUNCTION("""COMPUTED_VALUE"""),73.9)</f>
        <v>73.900000000000006</v>
      </c>
      <c r="Z143" s="1">
        <f ca="1">IFERROR(__xludf.DUMMYFUNCTION("""COMPUTED_VALUE"""),201.47)</f>
        <v>201.47</v>
      </c>
      <c r="AA143" s="1">
        <f ca="1">IFERROR(__xludf.DUMMYFUNCTION("""COMPUTED_VALUE"""),35.68)</f>
        <v>35.68</v>
      </c>
      <c r="AB143" s="1">
        <f ca="1">IFERROR(__xludf.DUMMYFUNCTION("""COMPUTED_VALUE"""),75.78)</f>
        <v>75.78</v>
      </c>
      <c r="AC143" s="1">
        <f ca="1">IFERROR(__xludf.DUMMYFUNCTION("""COMPUTED_VALUE"""),69.4)</f>
        <v>69.400000000000006</v>
      </c>
    </row>
    <row r="144" spans="1:29" x14ac:dyDescent="0.25">
      <c r="A144" s="2">
        <f ca="1">IFERROR(__xludf.DUMMYFUNCTION("""COMPUTED_VALUE"""),44039.6666666666)</f>
        <v>44039.666666666599</v>
      </c>
      <c r="B144" s="1">
        <f ca="1">IFERROR(__xludf.DUMMYFUNCTION("""COMPUTED_VALUE"""),94.81)</f>
        <v>94.81</v>
      </c>
      <c r="C144" s="1">
        <f ca="1">IFERROR(__xludf.DUMMYFUNCTION("""COMPUTED_VALUE"""),203.85)</f>
        <v>203.85</v>
      </c>
      <c r="D144" s="1">
        <f ca="1">IFERROR(__xludf.DUMMYFUNCTION("""COMPUTED_VALUE"""),152.76)</f>
        <v>152.76</v>
      </c>
      <c r="E144" s="1">
        <f ca="1">IFERROR(__xludf.DUMMYFUNCTION("""COMPUTED_VALUE"""),10.42)</f>
        <v>10.42</v>
      </c>
      <c r="F144" s="1">
        <f ca="1">IFERROR(__xludf.DUMMYFUNCTION("""COMPUTED_VALUE"""),233.5)</f>
        <v>233.5</v>
      </c>
      <c r="G144" s="1">
        <f ca="1">IFERROR(__xludf.DUMMYFUNCTION("""COMPUTED_VALUE"""),76.51)</f>
        <v>76.510000000000005</v>
      </c>
      <c r="H144" s="1">
        <f ca="1">IFERROR(__xludf.DUMMYFUNCTION("""COMPUTED_VALUE"""),102.64)</f>
        <v>102.64</v>
      </c>
      <c r="I144" s="1">
        <f ca="1">IFERROR(__xludf.DUMMYFUNCTION("""COMPUTED_VALUE"""),137.67)</f>
        <v>137.66999999999999</v>
      </c>
      <c r="J144" s="1">
        <f ca="1">IFERROR(__xludf.DUMMYFUNCTION("""COMPUTED_VALUE"""),327.6)</f>
        <v>327.60000000000002</v>
      </c>
      <c r="K144" s="1">
        <f ca="1">IFERROR(__xludf.DUMMYFUNCTION("""COMPUTED_VALUE"""),31.27)</f>
        <v>31.27</v>
      </c>
      <c r="L144" s="1">
        <f ca="1">IFERROR(__xludf.DUMMYFUNCTION("""COMPUTED_VALUE"""),437.1)</f>
        <v>437.1</v>
      </c>
      <c r="M144" s="1">
        <f ca="1">IFERROR(__xludf.DUMMYFUNCTION("""COMPUTED_VALUE"""),495.65)</f>
        <v>495.65</v>
      </c>
      <c r="N144" s="1">
        <f ca="1">IFERROR(__xludf.DUMMYFUNCTION("""COMPUTED_VALUE"""),96.9)</f>
        <v>96.9</v>
      </c>
      <c r="O144" s="1">
        <f ca="1">IFERROR(__xludf.DUMMYFUNCTION("""COMPUTED_VALUE"""),196.91)</f>
        <v>196.91</v>
      </c>
      <c r="P144" s="1">
        <f ca="1">IFERROR(__xludf.DUMMYFUNCTION("""COMPUTED_VALUE"""),147.18)</f>
        <v>147.18</v>
      </c>
      <c r="Q144" s="1">
        <f ca="1">IFERROR(__xludf.DUMMYFUNCTION("""COMPUTED_VALUE"""),298.6)</f>
        <v>298.60000000000002</v>
      </c>
      <c r="R144" s="1">
        <f ca="1">IFERROR(__xludf.DUMMYFUNCTION("""COMPUTED_VALUE"""),44.07)</f>
        <v>44.07</v>
      </c>
      <c r="S144" s="1">
        <f ca="1">IFERROR(__xludf.DUMMYFUNCTION("""COMPUTED_VALUE"""),69.41)</f>
        <v>69.41</v>
      </c>
      <c r="T144" s="1">
        <f ca="1">IFERROR(__xludf.DUMMYFUNCTION("""COMPUTED_VALUE"""),43.74)</f>
        <v>43.74</v>
      </c>
      <c r="U144" s="1">
        <f ca="1">IFERROR(__xludf.DUMMYFUNCTION("""COMPUTED_VALUE"""),97.21)</f>
        <v>97.21</v>
      </c>
      <c r="V144" s="1">
        <f ca="1">IFERROR(__xludf.DUMMYFUNCTION("""COMPUTED_VALUE"""),139.89)</f>
        <v>139.88999999999999</v>
      </c>
      <c r="W144" s="1">
        <f ca="1">IFERROR(__xludf.DUMMYFUNCTION("""COMPUTED_VALUE"""),382.09)</f>
        <v>382.09</v>
      </c>
      <c r="X144" s="1">
        <f ca="1">IFERROR(__xludf.DUMMYFUNCTION("""COMPUTED_VALUE"""),381.78)</f>
        <v>381.78</v>
      </c>
      <c r="Y144" s="1">
        <f ca="1">IFERROR(__xludf.DUMMYFUNCTION("""COMPUTED_VALUE"""),83.25)</f>
        <v>83.25</v>
      </c>
      <c r="Z144" s="1">
        <f ca="1">IFERROR(__xludf.DUMMYFUNCTION("""COMPUTED_VALUE"""),203.02)</f>
        <v>203.02</v>
      </c>
      <c r="AA144" s="1">
        <f ca="1">IFERROR(__xludf.DUMMYFUNCTION("""COMPUTED_VALUE"""),35.56)</f>
        <v>35.56</v>
      </c>
      <c r="AB144" s="1">
        <f ca="1">IFERROR(__xludf.DUMMYFUNCTION("""COMPUTED_VALUE"""),76.46)</f>
        <v>76.459999999999994</v>
      </c>
      <c r="AC144" s="1">
        <f ca="1">IFERROR(__xludf.DUMMYFUNCTION("""COMPUTED_VALUE"""),68.97)</f>
        <v>68.97</v>
      </c>
    </row>
    <row r="145" spans="1:29" x14ac:dyDescent="0.25">
      <c r="A145" s="2">
        <f ca="1">IFERROR(__xludf.DUMMYFUNCTION("""COMPUTED_VALUE"""),44040.6666666666)</f>
        <v>44040.666666666599</v>
      </c>
      <c r="B145" s="1">
        <f ca="1">IFERROR(__xludf.DUMMYFUNCTION("""COMPUTED_VALUE"""),93.25)</f>
        <v>93.25</v>
      </c>
      <c r="C145" s="1">
        <f ca="1">IFERROR(__xludf.DUMMYFUNCTION("""COMPUTED_VALUE"""),202.02)</f>
        <v>202.02</v>
      </c>
      <c r="D145" s="1">
        <f ca="1">IFERROR(__xludf.DUMMYFUNCTION("""COMPUTED_VALUE"""),150.02)</f>
        <v>150.02000000000001</v>
      </c>
      <c r="E145" s="1">
        <f ca="1">IFERROR(__xludf.DUMMYFUNCTION("""COMPUTED_VALUE"""),10.22)</f>
        <v>10.220000000000001</v>
      </c>
      <c r="F145" s="1">
        <f ca="1">IFERROR(__xludf.DUMMYFUNCTION("""COMPUTED_VALUE"""),230.12)</f>
        <v>230.12</v>
      </c>
      <c r="G145" s="1">
        <f ca="1">IFERROR(__xludf.DUMMYFUNCTION("""COMPUTED_VALUE"""),75.02)</f>
        <v>75.02</v>
      </c>
      <c r="H145" s="1">
        <f ca="1">IFERROR(__xludf.DUMMYFUNCTION("""COMPUTED_VALUE"""),98.43)</f>
        <v>98.43</v>
      </c>
      <c r="I145" s="1">
        <f ca="1">IFERROR(__xludf.DUMMYFUNCTION("""COMPUTED_VALUE"""),137.38)</f>
        <v>137.38</v>
      </c>
      <c r="J145" s="1">
        <f ca="1">IFERROR(__xludf.DUMMYFUNCTION("""COMPUTED_VALUE"""),327.57)</f>
        <v>327.57</v>
      </c>
      <c r="K145" s="1">
        <f ca="1">IFERROR(__xludf.DUMMYFUNCTION("""COMPUTED_VALUE"""),30.74)</f>
        <v>30.74</v>
      </c>
      <c r="L145" s="1">
        <f ca="1">IFERROR(__xludf.DUMMYFUNCTION("""COMPUTED_VALUE"""),432.26)</f>
        <v>432.26</v>
      </c>
      <c r="M145" s="1">
        <f ca="1">IFERROR(__xludf.DUMMYFUNCTION("""COMPUTED_VALUE"""),488.51)</f>
        <v>488.51</v>
      </c>
      <c r="N145" s="1">
        <f ca="1">IFERROR(__xludf.DUMMYFUNCTION("""COMPUTED_VALUE"""),97.32)</f>
        <v>97.32</v>
      </c>
      <c r="O145" s="1">
        <f ca="1">IFERROR(__xludf.DUMMYFUNCTION("""COMPUTED_VALUE"""),196.74)</f>
        <v>196.74</v>
      </c>
      <c r="P145" s="1">
        <f ca="1">IFERROR(__xludf.DUMMYFUNCTION("""COMPUTED_VALUE"""),146.83)</f>
        <v>146.83000000000001</v>
      </c>
      <c r="Q145" s="1">
        <f ca="1">IFERROR(__xludf.DUMMYFUNCTION("""COMPUTED_VALUE"""),299.93)</f>
        <v>299.93</v>
      </c>
      <c r="R145" s="1">
        <f ca="1">IFERROR(__xludf.DUMMYFUNCTION("""COMPUTED_VALUE"""),43.55)</f>
        <v>43.55</v>
      </c>
      <c r="S145" s="1">
        <f ca="1">IFERROR(__xludf.DUMMYFUNCTION("""COMPUTED_VALUE"""),70.01)</f>
        <v>70.010000000000005</v>
      </c>
      <c r="T145" s="1">
        <f ca="1">IFERROR(__xludf.DUMMYFUNCTION("""COMPUTED_VALUE"""),43.92)</f>
        <v>43.92</v>
      </c>
      <c r="U145" s="1">
        <f ca="1">IFERROR(__xludf.DUMMYFUNCTION("""COMPUTED_VALUE"""),96.27)</f>
        <v>96.27</v>
      </c>
      <c r="V145" s="1">
        <f ca="1">IFERROR(__xludf.DUMMYFUNCTION("""COMPUTED_VALUE"""),138.03)</f>
        <v>138.03</v>
      </c>
      <c r="W145" s="1">
        <f ca="1">IFERROR(__xludf.DUMMYFUNCTION("""COMPUTED_VALUE"""),386.66)</f>
        <v>386.66</v>
      </c>
      <c r="X145" s="1">
        <f ca="1">IFERROR(__xludf.DUMMYFUNCTION("""COMPUTED_VALUE"""),376.36)</f>
        <v>376.36</v>
      </c>
      <c r="Y145" s="1">
        <f ca="1">IFERROR(__xludf.DUMMYFUNCTION("""COMPUTED_VALUE"""),76.92)</f>
        <v>76.92</v>
      </c>
      <c r="Z145" s="1">
        <f ca="1">IFERROR(__xludf.DUMMYFUNCTION("""COMPUTED_VALUE"""),201.62)</f>
        <v>201.62</v>
      </c>
      <c r="AA145" s="1">
        <f ca="1">IFERROR(__xludf.DUMMYFUNCTION("""COMPUTED_VALUE"""),36.96)</f>
        <v>36.96</v>
      </c>
      <c r="AB145" s="1">
        <f ca="1">IFERROR(__xludf.DUMMYFUNCTION("""COMPUTED_VALUE"""),74.64)</f>
        <v>74.64</v>
      </c>
      <c r="AC145" s="1">
        <f ca="1">IFERROR(__xludf.DUMMYFUNCTION("""COMPUTED_VALUE"""),67.61)</f>
        <v>67.61</v>
      </c>
    </row>
    <row r="146" spans="1:29" x14ac:dyDescent="0.25">
      <c r="A146" s="2">
        <f ca="1">IFERROR(__xludf.DUMMYFUNCTION("""COMPUTED_VALUE"""),44041.6666666666)</f>
        <v>44041.666666666599</v>
      </c>
      <c r="B146" s="1">
        <f ca="1">IFERROR(__xludf.DUMMYFUNCTION("""COMPUTED_VALUE"""),95.04)</f>
        <v>95.04</v>
      </c>
      <c r="C146" s="1">
        <f ca="1">IFERROR(__xludf.DUMMYFUNCTION("""COMPUTED_VALUE"""),204.06)</f>
        <v>204.06</v>
      </c>
      <c r="D146" s="1">
        <f ca="1">IFERROR(__xludf.DUMMYFUNCTION("""COMPUTED_VALUE"""),151.68)</f>
        <v>151.68</v>
      </c>
      <c r="E146" s="1">
        <f ca="1">IFERROR(__xludf.DUMMYFUNCTION("""COMPUTED_VALUE"""),10.47)</f>
        <v>10.47</v>
      </c>
      <c r="F146" s="1">
        <f ca="1">IFERROR(__xludf.DUMMYFUNCTION("""COMPUTED_VALUE"""),233.29)</f>
        <v>233.29</v>
      </c>
      <c r="G146" s="1">
        <f ca="1">IFERROR(__xludf.DUMMYFUNCTION("""COMPUTED_VALUE"""),76.1)</f>
        <v>76.099999999999994</v>
      </c>
      <c r="H146" s="1">
        <f ca="1">IFERROR(__xludf.DUMMYFUNCTION("""COMPUTED_VALUE"""),99.94)</f>
        <v>99.94</v>
      </c>
      <c r="I146" s="1">
        <f ca="1">IFERROR(__xludf.DUMMYFUNCTION("""COMPUTED_VALUE"""),137.93)</f>
        <v>137.93</v>
      </c>
      <c r="J146" s="1">
        <f ca="1">IFERROR(__xludf.DUMMYFUNCTION("""COMPUTED_VALUE"""),326.14)</f>
        <v>326.14</v>
      </c>
      <c r="K146" s="1">
        <f ca="1">IFERROR(__xludf.DUMMYFUNCTION("""COMPUTED_VALUE"""),30.89)</f>
        <v>30.89</v>
      </c>
      <c r="L146" s="1">
        <f ca="1">IFERROR(__xludf.DUMMYFUNCTION("""COMPUTED_VALUE"""),436.3)</f>
        <v>436.3</v>
      </c>
      <c r="M146" s="1">
        <f ca="1">IFERROR(__xludf.DUMMYFUNCTION("""COMPUTED_VALUE"""),484.48)</f>
        <v>484.48</v>
      </c>
      <c r="N146" s="1">
        <f ca="1">IFERROR(__xludf.DUMMYFUNCTION("""COMPUTED_VALUE"""),99.68)</f>
        <v>99.68</v>
      </c>
      <c r="O146" s="1">
        <f ca="1">IFERROR(__xludf.DUMMYFUNCTION("""COMPUTED_VALUE"""),198.58)</f>
        <v>198.58</v>
      </c>
      <c r="P146" s="1">
        <f ca="1">IFERROR(__xludf.DUMMYFUNCTION("""COMPUTED_VALUE"""),146.54)</f>
        <v>146.54</v>
      </c>
      <c r="Q146" s="1">
        <f ca="1">IFERROR(__xludf.DUMMYFUNCTION("""COMPUTED_VALUE"""),306.68)</f>
        <v>306.68</v>
      </c>
      <c r="R146" s="1">
        <f ca="1">IFERROR(__xludf.DUMMYFUNCTION("""COMPUTED_VALUE"""),44.03)</f>
        <v>44.03</v>
      </c>
      <c r="S146" s="1">
        <f ca="1">IFERROR(__xludf.DUMMYFUNCTION("""COMPUTED_VALUE"""),70.36)</f>
        <v>70.36</v>
      </c>
      <c r="T146" s="1">
        <f ca="1">IFERROR(__xludf.DUMMYFUNCTION("""COMPUTED_VALUE"""),43.56)</f>
        <v>43.56</v>
      </c>
      <c r="U146" s="1">
        <f ca="1">IFERROR(__xludf.DUMMYFUNCTION("""COMPUTED_VALUE"""),96.97)</f>
        <v>96.97</v>
      </c>
      <c r="V146" s="1">
        <f ca="1">IFERROR(__xludf.DUMMYFUNCTION("""COMPUTED_VALUE"""),140.53)</f>
        <v>140.53</v>
      </c>
      <c r="W146" s="1">
        <f ca="1">IFERROR(__xludf.DUMMYFUNCTION("""COMPUTED_VALUE"""),387.3)</f>
        <v>387.3</v>
      </c>
      <c r="X146" s="1">
        <f ca="1">IFERROR(__xludf.DUMMYFUNCTION("""COMPUTED_VALUE"""),364.62)</f>
        <v>364.62</v>
      </c>
      <c r="Y146" s="1">
        <f ca="1">IFERROR(__xludf.DUMMYFUNCTION("""COMPUTED_VALUE"""),82.67)</f>
        <v>82.67</v>
      </c>
      <c r="Z146" s="1">
        <f ca="1">IFERROR(__xludf.DUMMYFUNCTION("""COMPUTED_VALUE"""),202.58)</f>
        <v>202.58</v>
      </c>
      <c r="AA146" s="1">
        <f ca="1">IFERROR(__xludf.DUMMYFUNCTION("""COMPUTED_VALUE"""),37.19)</f>
        <v>37.19</v>
      </c>
      <c r="AB146" s="1">
        <f ca="1">IFERROR(__xludf.DUMMYFUNCTION("""COMPUTED_VALUE"""),77.42)</f>
        <v>77.42</v>
      </c>
      <c r="AC146" s="1">
        <f ca="1">IFERROR(__xludf.DUMMYFUNCTION("""COMPUTED_VALUE"""),76.09)</f>
        <v>76.09</v>
      </c>
    </row>
    <row r="147" spans="1:29" x14ac:dyDescent="0.25">
      <c r="A147" s="2">
        <f ca="1">IFERROR(__xludf.DUMMYFUNCTION("""COMPUTED_VALUE"""),44042.6666666666)</f>
        <v>44042.666666666599</v>
      </c>
      <c r="B147" s="1">
        <f ca="1">IFERROR(__xludf.DUMMYFUNCTION("""COMPUTED_VALUE"""),96.19)</f>
        <v>96.19</v>
      </c>
      <c r="C147" s="1">
        <f ca="1">IFERROR(__xludf.DUMMYFUNCTION("""COMPUTED_VALUE"""),203.9)</f>
        <v>203.9</v>
      </c>
      <c r="D147" s="1">
        <f ca="1">IFERROR(__xludf.DUMMYFUNCTION("""COMPUTED_VALUE"""),152.59)</f>
        <v>152.59</v>
      </c>
      <c r="E147" s="1">
        <f ca="1">IFERROR(__xludf.DUMMYFUNCTION("""COMPUTED_VALUE"""),10.61)</f>
        <v>10.61</v>
      </c>
      <c r="F147" s="1">
        <f ca="1">IFERROR(__xludf.DUMMYFUNCTION("""COMPUTED_VALUE"""),234.5)</f>
        <v>234.5</v>
      </c>
      <c r="G147" s="1">
        <f ca="1">IFERROR(__xludf.DUMMYFUNCTION("""COMPUTED_VALUE"""),76.57)</f>
        <v>76.569999999999993</v>
      </c>
      <c r="H147" s="1">
        <f ca="1">IFERROR(__xludf.DUMMYFUNCTION("""COMPUTED_VALUE"""),99.17)</f>
        <v>99.17</v>
      </c>
      <c r="I147" s="1">
        <f ca="1">IFERROR(__xludf.DUMMYFUNCTION("""COMPUTED_VALUE"""),137.69)</f>
        <v>137.69</v>
      </c>
      <c r="J147" s="1">
        <f ca="1">IFERROR(__xludf.DUMMYFUNCTION("""COMPUTED_VALUE"""),324.82)</f>
        <v>324.82</v>
      </c>
      <c r="K147" s="1">
        <f ca="1">IFERROR(__xludf.DUMMYFUNCTION("""COMPUTED_VALUE"""),31.21)</f>
        <v>31.21</v>
      </c>
      <c r="L147" s="1">
        <f ca="1">IFERROR(__xludf.DUMMYFUNCTION("""COMPUTED_VALUE"""),438.88)</f>
        <v>438.88</v>
      </c>
      <c r="M147" s="1">
        <f ca="1">IFERROR(__xludf.DUMMYFUNCTION("""COMPUTED_VALUE"""),485.8)</f>
        <v>485.8</v>
      </c>
      <c r="N147" s="1">
        <f ca="1">IFERROR(__xludf.DUMMYFUNCTION("""COMPUTED_VALUE"""),97.02)</f>
        <v>97.02</v>
      </c>
      <c r="O147" s="1">
        <f ca="1">IFERROR(__xludf.DUMMYFUNCTION("""COMPUTED_VALUE"""),194.06)</f>
        <v>194.06</v>
      </c>
      <c r="P147" s="1">
        <f ca="1">IFERROR(__xludf.DUMMYFUNCTION("""COMPUTED_VALUE"""),146.84)</f>
        <v>146.84</v>
      </c>
      <c r="Q147" s="1">
        <f ca="1">IFERROR(__xludf.DUMMYFUNCTION("""COMPUTED_VALUE"""),305.23)</f>
        <v>305.23</v>
      </c>
      <c r="R147" s="1">
        <f ca="1">IFERROR(__xludf.DUMMYFUNCTION("""COMPUTED_VALUE"""),41.87)</f>
        <v>41.87</v>
      </c>
      <c r="S147" s="1">
        <f ca="1">IFERROR(__xludf.DUMMYFUNCTION("""COMPUTED_VALUE"""),70.58)</f>
        <v>70.58</v>
      </c>
      <c r="T147" s="1">
        <f ca="1">IFERROR(__xludf.DUMMYFUNCTION("""COMPUTED_VALUE"""),43.37)</f>
        <v>43.37</v>
      </c>
      <c r="U147" s="1">
        <f ca="1">IFERROR(__xludf.DUMMYFUNCTION("""COMPUTED_VALUE"""),96.82)</f>
        <v>96.82</v>
      </c>
      <c r="V147" s="1">
        <f ca="1">IFERROR(__xludf.DUMMYFUNCTION("""COMPUTED_VALUE"""),136.73)</f>
        <v>136.72999999999999</v>
      </c>
      <c r="W147" s="1">
        <f ca="1">IFERROR(__xludf.DUMMYFUNCTION("""COMPUTED_VALUE"""),381.72)</f>
        <v>381.72</v>
      </c>
      <c r="X147" s="1">
        <f ca="1">IFERROR(__xludf.DUMMYFUNCTION("""COMPUTED_VALUE"""),362.73)</f>
        <v>362.73</v>
      </c>
      <c r="Y147" s="1">
        <f ca="1">IFERROR(__xludf.DUMMYFUNCTION("""COMPUTED_VALUE"""),79.93)</f>
        <v>79.930000000000007</v>
      </c>
      <c r="Z147" s="1">
        <f ca="1">IFERROR(__xludf.DUMMYFUNCTION("""COMPUTED_VALUE"""),199.53)</f>
        <v>199.53</v>
      </c>
      <c r="AA147" s="1">
        <f ca="1">IFERROR(__xludf.DUMMYFUNCTION("""COMPUTED_VALUE"""),36.7)</f>
        <v>36.700000000000003</v>
      </c>
      <c r="AB147" s="1">
        <f ca="1">IFERROR(__xludf.DUMMYFUNCTION("""COMPUTED_VALUE"""),76.64)</f>
        <v>76.64</v>
      </c>
      <c r="AC147" s="1">
        <f ca="1">IFERROR(__xludf.DUMMYFUNCTION("""COMPUTED_VALUE"""),78.2)</f>
        <v>78.2</v>
      </c>
    </row>
    <row r="148" spans="1:29" x14ac:dyDescent="0.25">
      <c r="A148" s="2">
        <f ca="1">IFERROR(__xludf.DUMMYFUNCTION("""COMPUTED_VALUE"""),44043.6666666666)</f>
        <v>44043.666666666599</v>
      </c>
      <c r="B148" s="1">
        <f ca="1">IFERROR(__xludf.DUMMYFUNCTION("""COMPUTED_VALUE"""),106.26)</f>
        <v>106.26</v>
      </c>
      <c r="C148" s="1">
        <f ca="1">IFERROR(__xludf.DUMMYFUNCTION("""COMPUTED_VALUE"""),205.01)</f>
        <v>205.01</v>
      </c>
      <c r="D148" s="1">
        <f ca="1">IFERROR(__xludf.DUMMYFUNCTION("""COMPUTED_VALUE"""),158.23)</f>
        <v>158.22999999999999</v>
      </c>
      <c r="E148" s="1">
        <f ca="1">IFERROR(__xludf.DUMMYFUNCTION("""COMPUTED_VALUE"""),10.61)</f>
        <v>10.61</v>
      </c>
      <c r="F148" s="1">
        <f ca="1">IFERROR(__xludf.DUMMYFUNCTION("""COMPUTED_VALUE"""),253.67)</f>
        <v>253.67</v>
      </c>
      <c r="G148" s="1">
        <f ca="1">IFERROR(__xludf.DUMMYFUNCTION("""COMPUTED_VALUE"""),74.15)</f>
        <v>74.150000000000006</v>
      </c>
      <c r="H148" s="1">
        <f ca="1">IFERROR(__xludf.DUMMYFUNCTION("""COMPUTED_VALUE"""),95.38)</f>
        <v>95.38</v>
      </c>
      <c r="I148" s="1">
        <f ca="1">IFERROR(__xludf.DUMMYFUNCTION("""COMPUTED_VALUE"""),137.66)</f>
        <v>137.66</v>
      </c>
      <c r="J148" s="1">
        <f ca="1">IFERROR(__xludf.DUMMYFUNCTION("""COMPUTED_VALUE"""),325.53)</f>
        <v>325.52999999999997</v>
      </c>
      <c r="K148" s="1">
        <f ca="1">IFERROR(__xludf.DUMMYFUNCTION("""COMPUTED_VALUE"""),31.68)</f>
        <v>31.68</v>
      </c>
      <c r="L148" s="1">
        <f ca="1">IFERROR(__xludf.DUMMYFUNCTION("""COMPUTED_VALUE"""),444.32)</f>
        <v>444.32</v>
      </c>
      <c r="M148" s="1">
        <f ca="1">IFERROR(__xludf.DUMMYFUNCTION("""COMPUTED_VALUE"""),488.88)</f>
        <v>488.88</v>
      </c>
      <c r="N148" s="1">
        <f ca="1">IFERROR(__xludf.DUMMYFUNCTION("""COMPUTED_VALUE"""),96.64)</f>
        <v>96.64</v>
      </c>
      <c r="O148" s="1">
        <f ca="1">IFERROR(__xludf.DUMMYFUNCTION("""COMPUTED_VALUE"""),190.4)</f>
        <v>190.4</v>
      </c>
      <c r="P148" s="1">
        <f ca="1">IFERROR(__xludf.DUMMYFUNCTION("""COMPUTED_VALUE"""),145.76)</f>
        <v>145.76</v>
      </c>
      <c r="Q148" s="1">
        <f ca="1">IFERROR(__xludf.DUMMYFUNCTION("""COMPUTED_VALUE"""),302.78)</f>
        <v>302.77999999999997</v>
      </c>
      <c r="R148" s="1">
        <f ca="1">IFERROR(__xludf.DUMMYFUNCTION("""COMPUTED_VALUE"""),42.08)</f>
        <v>42.08</v>
      </c>
      <c r="S148" s="1">
        <f ca="1">IFERROR(__xludf.DUMMYFUNCTION("""COMPUTED_VALUE"""),70.18)</f>
        <v>70.180000000000007</v>
      </c>
      <c r="T148" s="1">
        <f ca="1">IFERROR(__xludf.DUMMYFUNCTION("""COMPUTED_VALUE"""),43.13)</f>
        <v>43.13</v>
      </c>
      <c r="U148" s="1">
        <f ca="1">IFERROR(__xludf.DUMMYFUNCTION("""COMPUTED_VALUE"""),97.61)</f>
        <v>97.61</v>
      </c>
      <c r="V148" s="1">
        <f ca="1">IFERROR(__xludf.DUMMYFUNCTION("""COMPUTED_VALUE"""),132.88)</f>
        <v>132.88</v>
      </c>
      <c r="W148" s="1">
        <f ca="1">IFERROR(__xludf.DUMMYFUNCTION("""COMPUTED_VALUE"""),378.97)</f>
        <v>378.97</v>
      </c>
      <c r="X148" s="1">
        <f ca="1">IFERROR(__xludf.DUMMYFUNCTION("""COMPUTED_VALUE"""),353.72)</f>
        <v>353.72</v>
      </c>
      <c r="Y148" s="1">
        <f ca="1">IFERROR(__xludf.DUMMYFUNCTION("""COMPUTED_VALUE"""),78.89)</f>
        <v>78.89</v>
      </c>
      <c r="Z148" s="1">
        <f ca="1">IFERROR(__xludf.DUMMYFUNCTION("""COMPUTED_VALUE"""),197.96)</f>
        <v>197.96</v>
      </c>
      <c r="AA148" s="1">
        <f ca="1">IFERROR(__xludf.DUMMYFUNCTION("""COMPUTED_VALUE"""),36.45)</f>
        <v>36.450000000000003</v>
      </c>
      <c r="AB148" s="1">
        <f ca="1">IFERROR(__xludf.DUMMYFUNCTION("""COMPUTED_VALUE"""),76.53)</f>
        <v>76.53</v>
      </c>
      <c r="AC148" s="1">
        <f ca="1">IFERROR(__xludf.DUMMYFUNCTION("""COMPUTED_VALUE"""),77.43)</f>
        <v>77.430000000000007</v>
      </c>
    </row>
    <row r="149" spans="1:29" x14ac:dyDescent="0.25">
      <c r="A149" s="2">
        <f ca="1">IFERROR(__xludf.DUMMYFUNCTION("""COMPUTED_VALUE"""),44046.6666666666)</f>
        <v>44046.666666666599</v>
      </c>
      <c r="B149" s="1">
        <f ca="1">IFERROR(__xludf.DUMMYFUNCTION("""COMPUTED_VALUE"""),108.94)</f>
        <v>108.94</v>
      </c>
      <c r="C149" s="1">
        <f ca="1">IFERROR(__xludf.DUMMYFUNCTION("""COMPUTED_VALUE"""),216.54)</f>
        <v>216.54</v>
      </c>
      <c r="D149" s="1">
        <f ca="1">IFERROR(__xludf.DUMMYFUNCTION("""COMPUTED_VALUE"""),155.59)</f>
        <v>155.59</v>
      </c>
      <c r="E149" s="1">
        <f ca="1">IFERROR(__xludf.DUMMYFUNCTION("""COMPUTED_VALUE"""),11.01)</f>
        <v>11.01</v>
      </c>
      <c r="F149" s="1">
        <f ca="1">IFERROR(__xludf.DUMMYFUNCTION("""COMPUTED_VALUE"""),251.96)</f>
        <v>251.96</v>
      </c>
      <c r="G149" s="1">
        <f ca="1">IFERROR(__xludf.DUMMYFUNCTION("""COMPUTED_VALUE"""),73.72)</f>
        <v>73.72</v>
      </c>
      <c r="H149" s="1">
        <f ca="1">IFERROR(__xludf.DUMMYFUNCTION("""COMPUTED_VALUE"""),99)</f>
        <v>99</v>
      </c>
      <c r="I149" s="1">
        <f ca="1">IFERROR(__xludf.DUMMYFUNCTION("""COMPUTED_VALUE"""),136.7)</f>
        <v>136.69999999999999</v>
      </c>
      <c r="J149" s="1">
        <f ca="1">IFERROR(__xludf.DUMMYFUNCTION("""COMPUTED_VALUE"""),329.32)</f>
        <v>329.32</v>
      </c>
      <c r="K149" s="1">
        <f ca="1">IFERROR(__xludf.DUMMYFUNCTION("""COMPUTED_VALUE"""),32.12)</f>
        <v>32.119999999999997</v>
      </c>
      <c r="L149" s="1">
        <f ca="1">IFERROR(__xludf.DUMMYFUNCTION("""COMPUTED_VALUE"""),447.97)</f>
        <v>447.97</v>
      </c>
      <c r="M149" s="1">
        <f ca="1">IFERROR(__xludf.DUMMYFUNCTION("""COMPUTED_VALUE"""),498.62)</f>
        <v>498.62</v>
      </c>
      <c r="N149" s="1">
        <f ca="1">IFERROR(__xludf.DUMMYFUNCTION("""COMPUTED_VALUE"""),96.1)</f>
        <v>96.1</v>
      </c>
      <c r="O149" s="1">
        <f ca="1">IFERROR(__xludf.DUMMYFUNCTION("""COMPUTED_VALUE"""),190.69)</f>
        <v>190.69</v>
      </c>
      <c r="P149" s="1">
        <f ca="1">IFERROR(__xludf.DUMMYFUNCTION("""COMPUTED_VALUE"""),147.35)</f>
        <v>147.35</v>
      </c>
      <c r="Q149" s="1">
        <f ca="1">IFERROR(__xludf.DUMMYFUNCTION("""COMPUTED_VALUE"""),303.61)</f>
        <v>303.61</v>
      </c>
      <c r="R149" s="1">
        <f ca="1">IFERROR(__xludf.DUMMYFUNCTION("""COMPUTED_VALUE"""),42.25)</f>
        <v>42.25</v>
      </c>
      <c r="S149" s="1">
        <f ca="1">IFERROR(__xludf.DUMMYFUNCTION("""COMPUTED_VALUE"""),69.4)</f>
        <v>69.400000000000006</v>
      </c>
      <c r="T149" s="1">
        <f ca="1">IFERROR(__xludf.DUMMYFUNCTION("""COMPUTED_VALUE"""),43.1)</f>
        <v>43.1</v>
      </c>
      <c r="U149" s="1">
        <f ca="1">IFERROR(__xludf.DUMMYFUNCTION("""COMPUTED_VALUE"""),98.33)</f>
        <v>98.33</v>
      </c>
      <c r="V149" s="1">
        <f ca="1">IFERROR(__xludf.DUMMYFUNCTION("""COMPUTED_VALUE"""),131.78)</f>
        <v>131.78</v>
      </c>
      <c r="W149" s="1">
        <f ca="1">IFERROR(__xludf.DUMMYFUNCTION("""COMPUTED_VALUE"""),377.1)</f>
        <v>377.1</v>
      </c>
      <c r="X149" s="1">
        <f ca="1">IFERROR(__xludf.DUMMYFUNCTION("""COMPUTED_VALUE"""),366.61)</f>
        <v>366.61</v>
      </c>
      <c r="Y149" s="1">
        <f ca="1">IFERROR(__xludf.DUMMYFUNCTION("""COMPUTED_VALUE"""),78.95)</f>
        <v>78.95</v>
      </c>
      <c r="Z149" s="1">
        <f ca="1">IFERROR(__xludf.DUMMYFUNCTION("""COMPUTED_VALUE"""),199.39)</f>
        <v>199.39</v>
      </c>
      <c r="AA149" s="1">
        <f ca="1">IFERROR(__xludf.DUMMYFUNCTION("""COMPUTED_VALUE"""),36.33)</f>
        <v>36.33</v>
      </c>
      <c r="AB149" s="1">
        <f ca="1">IFERROR(__xludf.DUMMYFUNCTION("""COMPUTED_VALUE"""),75.5)</f>
        <v>75.5</v>
      </c>
      <c r="AC149" s="1">
        <f ca="1">IFERROR(__xludf.DUMMYFUNCTION("""COMPUTED_VALUE"""),77.67)</f>
        <v>77.67</v>
      </c>
    </row>
    <row r="150" spans="1:29" x14ac:dyDescent="0.25">
      <c r="A150" s="2">
        <f ca="1">IFERROR(__xludf.DUMMYFUNCTION("""COMPUTED_VALUE"""),44047.6666666666)</f>
        <v>44047.666666666599</v>
      </c>
      <c r="B150" s="1">
        <f ca="1">IFERROR(__xludf.DUMMYFUNCTION("""COMPUTED_VALUE"""),109.67)</f>
        <v>109.67</v>
      </c>
      <c r="C150" s="1">
        <f ca="1">IFERROR(__xludf.DUMMYFUNCTION("""COMPUTED_VALUE"""),213.29)</f>
        <v>213.29</v>
      </c>
      <c r="D150" s="1">
        <f ca="1">IFERROR(__xludf.DUMMYFUNCTION("""COMPUTED_VALUE"""),156.94)</f>
        <v>156.94</v>
      </c>
      <c r="E150" s="1">
        <f ca="1">IFERROR(__xludf.DUMMYFUNCTION("""COMPUTED_VALUE"""),11.23)</f>
        <v>11.23</v>
      </c>
      <c r="F150" s="1">
        <f ca="1">IFERROR(__xludf.DUMMYFUNCTION("""COMPUTED_VALUE"""),249.83)</f>
        <v>249.83</v>
      </c>
      <c r="G150" s="1">
        <f ca="1">IFERROR(__xludf.DUMMYFUNCTION("""COMPUTED_VALUE"""),73.25)</f>
        <v>73.25</v>
      </c>
      <c r="H150" s="1">
        <f ca="1">IFERROR(__xludf.DUMMYFUNCTION("""COMPUTED_VALUE"""),99.13)</f>
        <v>99.13</v>
      </c>
      <c r="I150" s="1">
        <f ca="1">IFERROR(__xludf.DUMMYFUNCTION("""COMPUTED_VALUE"""),137.47)</f>
        <v>137.47</v>
      </c>
      <c r="J150" s="1">
        <f ca="1">IFERROR(__xludf.DUMMYFUNCTION("""COMPUTED_VALUE"""),339.79)</f>
        <v>339.79</v>
      </c>
      <c r="K150" s="1">
        <f ca="1">IFERROR(__xludf.DUMMYFUNCTION("""COMPUTED_VALUE"""),32.84)</f>
        <v>32.840000000000003</v>
      </c>
      <c r="L150" s="1">
        <f ca="1">IFERROR(__xludf.DUMMYFUNCTION("""COMPUTED_VALUE"""),446.92)</f>
        <v>446.92</v>
      </c>
      <c r="M150" s="1">
        <f ca="1">IFERROR(__xludf.DUMMYFUNCTION("""COMPUTED_VALUE"""),509.64)</f>
        <v>509.64</v>
      </c>
      <c r="N150" s="1">
        <f ca="1">IFERROR(__xludf.DUMMYFUNCTION("""COMPUTED_VALUE"""),95.55)</f>
        <v>95.55</v>
      </c>
      <c r="O150" s="1">
        <f ca="1">IFERROR(__xludf.DUMMYFUNCTION("""COMPUTED_VALUE"""),192.29)</f>
        <v>192.29</v>
      </c>
      <c r="P150" s="1">
        <f ca="1">IFERROR(__xludf.DUMMYFUNCTION("""COMPUTED_VALUE"""),147.22)</f>
        <v>147.22</v>
      </c>
      <c r="Q150" s="1">
        <f ca="1">IFERROR(__xludf.DUMMYFUNCTION("""COMPUTED_VALUE"""),304.5)</f>
        <v>304.5</v>
      </c>
      <c r="R150" s="1">
        <f ca="1">IFERROR(__xludf.DUMMYFUNCTION("""COMPUTED_VALUE"""),43.47)</f>
        <v>43.47</v>
      </c>
      <c r="S150" s="1">
        <f ca="1">IFERROR(__xludf.DUMMYFUNCTION("""COMPUTED_VALUE"""),71.26)</f>
        <v>71.260000000000005</v>
      </c>
      <c r="T150" s="1">
        <f ca="1">IFERROR(__xludf.DUMMYFUNCTION("""COMPUTED_VALUE"""),43.88)</f>
        <v>43.88</v>
      </c>
      <c r="U150" s="1">
        <f ca="1">IFERROR(__xludf.DUMMYFUNCTION("""COMPUTED_VALUE"""),97.33)</f>
        <v>97.33</v>
      </c>
      <c r="V150" s="1">
        <f ca="1">IFERROR(__xludf.DUMMYFUNCTION("""COMPUTED_VALUE"""),131.52)</f>
        <v>131.52000000000001</v>
      </c>
      <c r="W150" s="1">
        <f ca="1">IFERROR(__xludf.DUMMYFUNCTION("""COMPUTED_VALUE"""),377.99)</f>
        <v>377.99</v>
      </c>
      <c r="X150" s="1">
        <f ca="1">IFERROR(__xludf.DUMMYFUNCTION("""COMPUTED_VALUE"""),370.33)</f>
        <v>370.33</v>
      </c>
      <c r="Y150" s="1">
        <f ca="1">IFERROR(__xludf.DUMMYFUNCTION("""COMPUTED_VALUE"""),80.19)</f>
        <v>80.19</v>
      </c>
      <c r="Z150" s="1">
        <f ca="1">IFERROR(__xludf.DUMMYFUNCTION("""COMPUTED_VALUE"""),201.64)</f>
        <v>201.64</v>
      </c>
      <c r="AA150" s="1">
        <f ca="1">IFERROR(__xludf.DUMMYFUNCTION("""COMPUTED_VALUE"""),36.37)</f>
        <v>36.369999999999997</v>
      </c>
      <c r="AB150" s="1">
        <f ca="1">IFERROR(__xludf.DUMMYFUNCTION("""COMPUTED_VALUE"""),75.13)</f>
        <v>75.13</v>
      </c>
      <c r="AC150" s="1">
        <f ca="1">IFERROR(__xludf.DUMMYFUNCTION("""COMPUTED_VALUE"""),85.04)</f>
        <v>85.04</v>
      </c>
    </row>
    <row r="151" spans="1:29" x14ac:dyDescent="0.25">
      <c r="A151" s="2">
        <f ca="1">IFERROR(__xludf.DUMMYFUNCTION("""COMPUTED_VALUE"""),44048.6666666666)</f>
        <v>44048.666666666599</v>
      </c>
      <c r="B151" s="1">
        <f ca="1">IFERROR(__xludf.DUMMYFUNCTION("""COMPUTED_VALUE"""),110.06)</f>
        <v>110.06</v>
      </c>
      <c r="C151" s="1">
        <f ca="1">IFERROR(__xludf.DUMMYFUNCTION("""COMPUTED_VALUE"""),212.94)</f>
        <v>212.94</v>
      </c>
      <c r="D151" s="1">
        <f ca="1">IFERROR(__xludf.DUMMYFUNCTION("""COMPUTED_VALUE"""),160.25)</f>
        <v>160.25</v>
      </c>
      <c r="E151" s="1">
        <f ca="1">IFERROR(__xludf.DUMMYFUNCTION("""COMPUTED_VALUE"""),11.29)</f>
        <v>11.29</v>
      </c>
      <c r="F151" s="1">
        <f ca="1">IFERROR(__xludf.DUMMYFUNCTION("""COMPUTED_VALUE"""),249.12)</f>
        <v>249.12</v>
      </c>
      <c r="G151" s="1">
        <f ca="1">IFERROR(__xludf.DUMMYFUNCTION("""COMPUTED_VALUE"""),73.68)</f>
        <v>73.680000000000007</v>
      </c>
      <c r="H151" s="1">
        <f ca="1">IFERROR(__xludf.DUMMYFUNCTION("""COMPUTED_VALUE"""),99)</f>
        <v>99</v>
      </c>
      <c r="I151" s="1">
        <f ca="1">IFERROR(__xludf.DUMMYFUNCTION("""COMPUTED_VALUE"""),136.25)</f>
        <v>136.25</v>
      </c>
      <c r="J151" s="1">
        <f ca="1">IFERROR(__xludf.DUMMYFUNCTION("""COMPUTED_VALUE"""),339.97)</f>
        <v>339.97</v>
      </c>
      <c r="K151" s="1">
        <f ca="1">IFERROR(__xludf.DUMMYFUNCTION("""COMPUTED_VALUE"""),32.95)</f>
        <v>32.950000000000003</v>
      </c>
      <c r="L151" s="1">
        <f ca="1">IFERROR(__xludf.DUMMYFUNCTION("""COMPUTED_VALUE"""),449.51)</f>
        <v>449.51</v>
      </c>
      <c r="M151" s="1">
        <f ca="1">IFERROR(__xludf.DUMMYFUNCTION("""COMPUTED_VALUE"""),502.11)</f>
        <v>502.11</v>
      </c>
      <c r="N151" s="1">
        <f ca="1">IFERROR(__xludf.DUMMYFUNCTION("""COMPUTED_VALUE"""),97.21)</f>
        <v>97.21</v>
      </c>
      <c r="O151" s="1">
        <f ca="1">IFERROR(__xludf.DUMMYFUNCTION("""COMPUTED_VALUE"""),196.1)</f>
        <v>196.1</v>
      </c>
      <c r="P151" s="1">
        <f ca="1">IFERROR(__xludf.DUMMYFUNCTION("""COMPUTED_VALUE"""),148.4)</f>
        <v>148.4</v>
      </c>
      <c r="Q151" s="1">
        <f ca="1">IFERROR(__xludf.DUMMYFUNCTION("""COMPUTED_VALUE"""),312.47)</f>
        <v>312.47000000000003</v>
      </c>
      <c r="R151" s="1">
        <f ca="1">IFERROR(__xludf.DUMMYFUNCTION("""COMPUTED_VALUE"""),43.85)</f>
        <v>43.85</v>
      </c>
      <c r="S151" s="1">
        <f ca="1">IFERROR(__xludf.DUMMYFUNCTION("""COMPUTED_VALUE"""),70.94)</f>
        <v>70.94</v>
      </c>
      <c r="T151" s="1">
        <f ca="1">IFERROR(__xludf.DUMMYFUNCTION("""COMPUTED_VALUE"""),43.27)</f>
        <v>43.27</v>
      </c>
      <c r="U151" s="1">
        <f ca="1">IFERROR(__xludf.DUMMYFUNCTION("""COMPUTED_VALUE"""),100.94)</f>
        <v>100.94</v>
      </c>
      <c r="V151" s="1">
        <f ca="1">IFERROR(__xludf.DUMMYFUNCTION("""COMPUTED_VALUE"""),134.97)</f>
        <v>134.97</v>
      </c>
      <c r="W151" s="1">
        <f ca="1">IFERROR(__xludf.DUMMYFUNCTION("""COMPUTED_VALUE"""),383.5)</f>
        <v>383.5</v>
      </c>
      <c r="X151" s="1">
        <f ca="1">IFERROR(__xludf.DUMMYFUNCTION("""COMPUTED_VALUE"""),368.51)</f>
        <v>368.51</v>
      </c>
      <c r="Y151" s="1">
        <f ca="1">IFERROR(__xludf.DUMMYFUNCTION("""COMPUTED_VALUE"""),81.63)</f>
        <v>81.63</v>
      </c>
      <c r="Z151" s="1">
        <f ca="1">IFERROR(__xludf.DUMMYFUNCTION("""COMPUTED_VALUE"""),204.52)</f>
        <v>204.52</v>
      </c>
      <c r="AA151" s="1">
        <f ca="1">IFERROR(__xludf.DUMMYFUNCTION("""COMPUTED_VALUE"""),36.42)</f>
        <v>36.42</v>
      </c>
      <c r="AB151" s="1">
        <f ca="1">IFERROR(__xludf.DUMMYFUNCTION("""COMPUTED_VALUE"""),75.78)</f>
        <v>75.78</v>
      </c>
      <c r="AC151" s="1">
        <f ca="1">IFERROR(__xludf.DUMMYFUNCTION("""COMPUTED_VALUE"""),85.31)</f>
        <v>85.31</v>
      </c>
    </row>
    <row r="152" spans="1:29" x14ac:dyDescent="0.25">
      <c r="A152" s="2">
        <f ca="1">IFERROR(__xludf.DUMMYFUNCTION("""COMPUTED_VALUE"""),44049.6666666666)</f>
        <v>44049.666666666599</v>
      </c>
      <c r="B152" s="1">
        <f ca="1">IFERROR(__xludf.DUMMYFUNCTION("""COMPUTED_VALUE"""),113.9)</f>
        <v>113.9</v>
      </c>
      <c r="C152" s="1">
        <f ca="1">IFERROR(__xludf.DUMMYFUNCTION("""COMPUTED_VALUE"""),216.35)</f>
        <v>216.35</v>
      </c>
      <c r="D152" s="1">
        <f ca="1">IFERROR(__xludf.DUMMYFUNCTION("""COMPUTED_VALUE"""),161.25)</f>
        <v>161.25</v>
      </c>
      <c r="E152" s="1">
        <f ca="1">IFERROR(__xludf.DUMMYFUNCTION("""COMPUTED_VALUE"""),11.34)</f>
        <v>11.34</v>
      </c>
      <c r="F152" s="1">
        <f ca="1">IFERROR(__xludf.DUMMYFUNCTION("""COMPUTED_VALUE"""),265.28)</f>
        <v>265.27999999999997</v>
      </c>
      <c r="G152" s="1">
        <f ca="1">IFERROR(__xludf.DUMMYFUNCTION("""COMPUTED_VALUE"""),75.01)</f>
        <v>75.010000000000005</v>
      </c>
      <c r="H152" s="1">
        <f ca="1">IFERROR(__xludf.DUMMYFUNCTION("""COMPUTED_VALUE"""),99.31)</f>
        <v>99.31</v>
      </c>
      <c r="I152" s="1">
        <f ca="1">IFERROR(__xludf.DUMMYFUNCTION("""COMPUTED_VALUE"""),135.86)</f>
        <v>135.86000000000001</v>
      </c>
      <c r="J152" s="1">
        <f ca="1">IFERROR(__xludf.DUMMYFUNCTION("""COMPUTED_VALUE"""),343.31)</f>
        <v>343.31</v>
      </c>
      <c r="K152" s="1">
        <f ca="1">IFERROR(__xludf.DUMMYFUNCTION("""COMPUTED_VALUE"""),32.92)</f>
        <v>32.92</v>
      </c>
      <c r="L152" s="1">
        <f ca="1">IFERROR(__xludf.DUMMYFUNCTION("""COMPUTED_VALUE"""),464.11)</f>
        <v>464.11</v>
      </c>
      <c r="M152" s="1">
        <f ca="1">IFERROR(__xludf.DUMMYFUNCTION("""COMPUTED_VALUE"""),509.08)</f>
        <v>509.08</v>
      </c>
      <c r="N152" s="1">
        <f ca="1">IFERROR(__xludf.DUMMYFUNCTION("""COMPUTED_VALUE"""),97.24)</f>
        <v>97.24</v>
      </c>
      <c r="O152" s="1">
        <f ca="1">IFERROR(__xludf.DUMMYFUNCTION("""COMPUTED_VALUE"""),198.77)</f>
        <v>198.77</v>
      </c>
      <c r="P152" s="1">
        <f ca="1">IFERROR(__xludf.DUMMYFUNCTION("""COMPUTED_VALUE"""),147.55)</f>
        <v>147.55000000000001</v>
      </c>
      <c r="Q152" s="1">
        <f ca="1">IFERROR(__xludf.DUMMYFUNCTION("""COMPUTED_VALUE"""),314.06)</f>
        <v>314.06</v>
      </c>
      <c r="R152" s="1">
        <f ca="1">IFERROR(__xludf.DUMMYFUNCTION("""COMPUTED_VALUE"""),43.64)</f>
        <v>43.64</v>
      </c>
      <c r="S152" s="1">
        <f ca="1">IFERROR(__xludf.DUMMYFUNCTION("""COMPUTED_VALUE"""),70.7)</f>
        <v>70.7</v>
      </c>
      <c r="T152" s="1">
        <f ca="1">IFERROR(__xludf.DUMMYFUNCTION("""COMPUTED_VALUE"""),43.12)</f>
        <v>43.12</v>
      </c>
      <c r="U152" s="1">
        <f ca="1">IFERROR(__xludf.DUMMYFUNCTION("""COMPUTED_VALUE"""),100.45)</f>
        <v>100.45</v>
      </c>
      <c r="V152" s="1">
        <f ca="1">IFERROR(__xludf.DUMMYFUNCTION("""COMPUTED_VALUE"""),134.39)</f>
        <v>134.38999999999999</v>
      </c>
      <c r="W152" s="1">
        <f ca="1">IFERROR(__xludf.DUMMYFUNCTION("""COMPUTED_VALUE"""),379.74)</f>
        <v>379.74</v>
      </c>
      <c r="X152" s="1">
        <f ca="1">IFERROR(__xludf.DUMMYFUNCTION("""COMPUTED_VALUE"""),369.23)</f>
        <v>369.23</v>
      </c>
      <c r="Y152" s="1">
        <f ca="1">IFERROR(__xludf.DUMMYFUNCTION("""COMPUTED_VALUE"""),80.52)</f>
        <v>80.52</v>
      </c>
      <c r="Z152" s="1">
        <f ca="1">IFERROR(__xludf.DUMMYFUNCTION("""COMPUTED_VALUE"""),204.25)</f>
        <v>204.25</v>
      </c>
      <c r="AA152" s="1">
        <f ca="1">IFERROR(__xludf.DUMMYFUNCTION("""COMPUTED_VALUE"""),36.25)</f>
        <v>36.25</v>
      </c>
      <c r="AB152" s="1">
        <f ca="1">IFERROR(__xludf.DUMMYFUNCTION("""COMPUTED_VALUE"""),75.66)</f>
        <v>75.66</v>
      </c>
      <c r="AC152" s="1">
        <f ca="1">IFERROR(__xludf.DUMMYFUNCTION("""COMPUTED_VALUE"""),86.71)</f>
        <v>86.71</v>
      </c>
    </row>
    <row r="153" spans="1:29" x14ac:dyDescent="0.25">
      <c r="A153" s="2">
        <f ca="1">IFERROR(__xludf.DUMMYFUNCTION("""COMPUTED_VALUE"""),44050.6666666666)</f>
        <v>44050.666666666599</v>
      </c>
      <c r="B153" s="1">
        <f ca="1">IFERROR(__xludf.DUMMYFUNCTION("""COMPUTED_VALUE"""),111.11)</f>
        <v>111.11</v>
      </c>
      <c r="C153" s="1">
        <f ca="1">IFERROR(__xludf.DUMMYFUNCTION("""COMPUTED_VALUE"""),212.48)</f>
        <v>212.48</v>
      </c>
      <c r="D153" s="1">
        <f ca="1">IFERROR(__xludf.DUMMYFUNCTION("""COMPUTED_VALUE"""),158.37)</f>
        <v>158.37</v>
      </c>
      <c r="E153" s="1">
        <f ca="1">IFERROR(__xludf.DUMMYFUNCTION("""COMPUTED_VALUE"""),11.2)</f>
        <v>11.2</v>
      </c>
      <c r="F153" s="1">
        <f ca="1">IFERROR(__xludf.DUMMYFUNCTION("""COMPUTED_VALUE"""),268.44)</f>
        <v>268.44</v>
      </c>
      <c r="G153" s="1">
        <f ca="1">IFERROR(__xludf.DUMMYFUNCTION("""COMPUTED_VALUE"""),74.72)</f>
        <v>74.72</v>
      </c>
      <c r="H153" s="1">
        <f ca="1">IFERROR(__xludf.DUMMYFUNCTION("""COMPUTED_VALUE"""),96.85)</f>
        <v>96.85</v>
      </c>
      <c r="I153" s="1">
        <f ca="1">IFERROR(__xludf.DUMMYFUNCTION("""COMPUTED_VALUE"""),136.74)</f>
        <v>136.74</v>
      </c>
      <c r="J153" s="1">
        <f ca="1">IFERROR(__xludf.DUMMYFUNCTION("""COMPUTED_VALUE"""),340.91)</f>
        <v>340.91</v>
      </c>
      <c r="K153" s="1">
        <f ca="1">IFERROR(__xludf.DUMMYFUNCTION("""COMPUTED_VALUE"""),32.59)</f>
        <v>32.590000000000003</v>
      </c>
      <c r="L153" s="1">
        <f ca="1">IFERROR(__xludf.DUMMYFUNCTION("""COMPUTED_VALUE"""),449.57)</f>
        <v>449.57</v>
      </c>
      <c r="M153" s="1">
        <f ca="1">IFERROR(__xludf.DUMMYFUNCTION("""COMPUTED_VALUE"""),494.73)</f>
        <v>494.73</v>
      </c>
      <c r="N153" s="1">
        <f ca="1">IFERROR(__xludf.DUMMYFUNCTION("""COMPUTED_VALUE"""),99.38)</f>
        <v>99.38</v>
      </c>
      <c r="O153" s="1">
        <f ca="1">IFERROR(__xludf.DUMMYFUNCTION("""COMPUTED_VALUE"""),196.36)</f>
        <v>196.36</v>
      </c>
      <c r="P153" s="1">
        <f ca="1">IFERROR(__xludf.DUMMYFUNCTION("""COMPUTED_VALUE"""),148.6)</f>
        <v>148.6</v>
      </c>
      <c r="Q153" s="1">
        <f ca="1">IFERROR(__xludf.DUMMYFUNCTION("""COMPUTED_VALUE"""),317.03)</f>
        <v>317.02999999999997</v>
      </c>
      <c r="R153" s="1">
        <f ca="1">IFERROR(__xludf.DUMMYFUNCTION("""COMPUTED_VALUE"""),43.44)</f>
        <v>43.44</v>
      </c>
      <c r="S153" s="1">
        <f ca="1">IFERROR(__xludf.DUMMYFUNCTION("""COMPUTED_VALUE"""),71.94)</f>
        <v>71.94</v>
      </c>
      <c r="T153" s="1">
        <f ca="1">IFERROR(__xludf.DUMMYFUNCTION("""COMPUTED_VALUE"""),43.32)</f>
        <v>43.32</v>
      </c>
      <c r="U153" s="1">
        <f ca="1">IFERROR(__xludf.DUMMYFUNCTION("""COMPUTED_VALUE"""),101.86)</f>
        <v>101.86</v>
      </c>
      <c r="V153" s="1">
        <f ca="1">IFERROR(__xludf.DUMMYFUNCTION("""COMPUTED_VALUE"""),134.92)</f>
        <v>134.91999999999999</v>
      </c>
      <c r="W153" s="1">
        <f ca="1">IFERROR(__xludf.DUMMYFUNCTION("""COMPUTED_VALUE"""),385.62)</f>
        <v>385.62</v>
      </c>
      <c r="X153" s="1">
        <f ca="1">IFERROR(__xludf.DUMMYFUNCTION("""COMPUTED_VALUE"""),366.07)</f>
        <v>366.07</v>
      </c>
      <c r="Y153" s="1">
        <f ca="1">IFERROR(__xludf.DUMMYFUNCTION("""COMPUTED_VALUE"""),80.03)</f>
        <v>80.03</v>
      </c>
      <c r="Z153" s="1">
        <f ca="1">IFERROR(__xludf.DUMMYFUNCTION("""COMPUTED_VALUE"""),208.27)</f>
        <v>208.27</v>
      </c>
      <c r="AA153" s="1">
        <f ca="1">IFERROR(__xludf.DUMMYFUNCTION("""COMPUTED_VALUE"""),36.42)</f>
        <v>36.42</v>
      </c>
      <c r="AB153" s="1">
        <f ca="1">IFERROR(__xludf.DUMMYFUNCTION("""COMPUTED_VALUE"""),75.79)</f>
        <v>75.790000000000006</v>
      </c>
      <c r="AC153" s="1">
        <f ca="1">IFERROR(__xludf.DUMMYFUNCTION("""COMPUTED_VALUE"""),84.85)</f>
        <v>84.85</v>
      </c>
    </row>
    <row r="154" spans="1:29" x14ac:dyDescent="0.25">
      <c r="A154" s="2">
        <f ca="1">IFERROR(__xludf.DUMMYFUNCTION("""COMPUTED_VALUE"""),44053.6666666666)</f>
        <v>44053.666666666599</v>
      </c>
      <c r="B154" s="1">
        <f ca="1">IFERROR(__xludf.DUMMYFUNCTION("""COMPUTED_VALUE"""),112.73)</f>
        <v>112.73</v>
      </c>
      <c r="C154" s="1">
        <f ca="1">IFERROR(__xludf.DUMMYFUNCTION("""COMPUTED_VALUE"""),208.25)</f>
        <v>208.25</v>
      </c>
      <c r="D154" s="1">
        <f ca="1">IFERROR(__xludf.DUMMYFUNCTION("""COMPUTED_VALUE"""),157.41)</f>
        <v>157.41</v>
      </c>
      <c r="E154" s="1">
        <f ca="1">IFERROR(__xludf.DUMMYFUNCTION("""COMPUTED_VALUE"""),11.17)</f>
        <v>11.17</v>
      </c>
      <c r="F154" s="1">
        <f ca="1">IFERROR(__xludf.DUMMYFUNCTION("""COMPUTED_VALUE"""),263)</f>
        <v>263</v>
      </c>
      <c r="G154" s="1">
        <f ca="1">IFERROR(__xludf.DUMMYFUNCTION("""COMPUTED_VALUE"""),74.81)</f>
        <v>74.81</v>
      </c>
      <c r="H154" s="1">
        <f ca="1">IFERROR(__xludf.DUMMYFUNCTION("""COMPUTED_VALUE"""),94.57)</f>
        <v>94.57</v>
      </c>
      <c r="I154" s="1">
        <f ca="1">IFERROR(__xludf.DUMMYFUNCTION("""COMPUTED_VALUE"""),135.98)</f>
        <v>135.97999999999999</v>
      </c>
      <c r="J154" s="1">
        <f ca="1">IFERROR(__xludf.DUMMYFUNCTION("""COMPUTED_VALUE"""),340)</f>
        <v>340</v>
      </c>
      <c r="K154" s="1">
        <f ca="1">IFERROR(__xludf.DUMMYFUNCTION("""COMPUTED_VALUE"""),32.74)</f>
        <v>32.74</v>
      </c>
      <c r="L154" s="1">
        <f ca="1">IFERROR(__xludf.DUMMYFUNCTION("""COMPUTED_VALUE"""),443.29)</f>
        <v>443.29</v>
      </c>
      <c r="M154" s="1">
        <f ca="1">IFERROR(__xludf.DUMMYFUNCTION("""COMPUTED_VALUE"""),483.38)</f>
        <v>483.38</v>
      </c>
      <c r="N154" s="1">
        <f ca="1">IFERROR(__xludf.DUMMYFUNCTION("""COMPUTED_VALUE"""),100.64)</f>
        <v>100.64</v>
      </c>
      <c r="O154" s="1">
        <f ca="1">IFERROR(__xludf.DUMMYFUNCTION("""COMPUTED_VALUE"""),196.79)</f>
        <v>196.79</v>
      </c>
      <c r="P154" s="1">
        <f ca="1">IFERROR(__xludf.DUMMYFUNCTION("""COMPUTED_VALUE"""),148.03)</f>
        <v>148.03</v>
      </c>
      <c r="Q154" s="1">
        <f ca="1">IFERROR(__xludf.DUMMYFUNCTION("""COMPUTED_VALUE"""),319.1)</f>
        <v>319.10000000000002</v>
      </c>
      <c r="R154" s="1">
        <f ca="1">IFERROR(__xludf.DUMMYFUNCTION("""COMPUTED_VALUE"""),44.51)</f>
        <v>44.51</v>
      </c>
      <c r="S154" s="1">
        <f ca="1">IFERROR(__xludf.DUMMYFUNCTION("""COMPUTED_VALUE"""),70.91)</f>
        <v>70.91</v>
      </c>
      <c r="T154" s="1">
        <f ca="1">IFERROR(__xludf.DUMMYFUNCTION("""COMPUTED_VALUE"""),43.96)</f>
        <v>43.96</v>
      </c>
      <c r="U154" s="1">
        <f ca="1">IFERROR(__xludf.DUMMYFUNCTION("""COMPUTED_VALUE"""),105.41)</f>
        <v>105.41</v>
      </c>
      <c r="V154" s="1">
        <f ca="1">IFERROR(__xludf.DUMMYFUNCTION("""COMPUTED_VALUE"""),142.02)</f>
        <v>142.02000000000001</v>
      </c>
      <c r="W154" s="1">
        <f ca="1">IFERROR(__xludf.DUMMYFUNCTION("""COMPUTED_VALUE"""),389.26)</f>
        <v>389.26</v>
      </c>
      <c r="X154" s="1">
        <f ca="1">IFERROR(__xludf.DUMMYFUNCTION("""COMPUTED_VALUE"""),365.41)</f>
        <v>365.41</v>
      </c>
      <c r="Y154" s="1">
        <f ca="1">IFERROR(__xludf.DUMMYFUNCTION("""COMPUTED_VALUE"""),79.87)</f>
        <v>79.87</v>
      </c>
      <c r="Z154" s="1">
        <f ca="1">IFERROR(__xludf.DUMMYFUNCTION("""COMPUTED_VALUE"""),209.38)</f>
        <v>209.38</v>
      </c>
      <c r="AA154" s="1">
        <f ca="1">IFERROR(__xludf.DUMMYFUNCTION("""COMPUTED_VALUE"""),36.37)</f>
        <v>36.369999999999997</v>
      </c>
      <c r="AB154" s="1">
        <f ca="1">IFERROR(__xludf.DUMMYFUNCTION("""COMPUTED_VALUE"""),77.47)</f>
        <v>77.47</v>
      </c>
      <c r="AC154" s="1">
        <f ca="1">IFERROR(__xludf.DUMMYFUNCTION("""COMPUTED_VALUE"""),82.24)</f>
        <v>82.24</v>
      </c>
    </row>
    <row r="155" spans="1:29" x14ac:dyDescent="0.25">
      <c r="A155" s="2">
        <f ca="1">IFERROR(__xludf.DUMMYFUNCTION("""COMPUTED_VALUE"""),44054.6666666666)</f>
        <v>44054.666666666599</v>
      </c>
      <c r="B155" s="1">
        <f ca="1">IFERROR(__xludf.DUMMYFUNCTION("""COMPUTED_VALUE"""),109.38)</f>
        <v>109.38</v>
      </c>
      <c r="C155" s="1">
        <f ca="1">IFERROR(__xludf.DUMMYFUNCTION("""COMPUTED_VALUE"""),203.38)</f>
        <v>203.38</v>
      </c>
      <c r="D155" s="1">
        <f ca="1">IFERROR(__xludf.DUMMYFUNCTION("""COMPUTED_VALUE"""),154.03)</f>
        <v>154.03</v>
      </c>
      <c r="E155" s="1">
        <f ca="1">IFERROR(__xludf.DUMMYFUNCTION("""COMPUTED_VALUE"""),10.85)</f>
        <v>10.85</v>
      </c>
      <c r="F155" s="1">
        <f ca="1">IFERROR(__xludf.DUMMYFUNCTION("""COMPUTED_VALUE"""),256.13)</f>
        <v>256.13</v>
      </c>
      <c r="G155" s="1">
        <f ca="1">IFERROR(__xludf.DUMMYFUNCTION("""COMPUTED_VALUE"""),74.02)</f>
        <v>74.02</v>
      </c>
      <c r="H155" s="1">
        <f ca="1">IFERROR(__xludf.DUMMYFUNCTION("""COMPUTED_VALUE"""),91.63)</f>
        <v>91.63</v>
      </c>
      <c r="I155" s="1">
        <f ca="1">IFERROR(__xludf.DUMMYFUNCTION("""COMPUTED_VALUE"""),135.12)</f>
        <v>135.12</v>
      </c>
      <c r="J155" s="1">
        <f ca="1">IFERROR(__xludf.DUMMYFUNCTION("""COMPUTED_VALUE"""),332.43)</f>
        <v>332.43</v>
      </c>
      <c r="K155" s="1">
        <f ca="1">IFERROR(__xludf.DUMMYFUNCTION("""COMPUTED_VALUE"""),32.4)</f>
        <v>32.4</v>
      </c>
      <c r="L155" s="1">
        <f ca="1">IFERROR(__xludf.DUMMYFUNCTION("""COMPUTED_VALUE"""),435.23)</f>
        <v>435.23</v>
      </c>
      <c r="M155" s="1">
        <f ca="1">IFERROR(__xludf.DUMMYFUNCTION("""COMPUTED_VALUE"""),466.93)</f>
        <v>466.93</v>
      </c>
      <c r="N155" s="1">
        <f ca="1">IFERROR(__xludf.DUMMYFUNCTION("""COMPUTED_VALUE"""),103.82)</f>
        <v>103.82</v>
      </c>
      <c r="O155" s="1">
        <f ca="1">IFERROR(__xludf.DUMMYFUNCTION("""COMPUTED_VALUE"""),197.77)</f>
        <v>197.77</v>
      </c>
      <c r="P155" s="1">
        <f ca="1">IFERROR(__xludf.DUMMYFUNCTION("""COMPUTED_VALUE"""),146.97)</f>
        <v>146.97</v>
      </c>
      <c r="Q155" s="1">
        <f ca="1">IFERROR(__xludf.DUMMYFUNCTION("""COMPUTED_VALUE"""),315.55)</f>
        <v>315.55</v>
      </c>
      <c r="R155" s="1">
        <f ca="1">IFERROR(__xludf.DUMMYFUNCTION("""COMPUTED_VALUE"""),44.97)</f>
        <v>44.97</v>
      </c>
      <c r="S155" s="1">
        <f ca="1">IFERROR(__xludf.DUMMYFUNCTION("""COMPUTED_VALUE"""),69.45)</f>
        <v>69.45</v>
      </c>
      <c r="T155" s="1">
        <f ca="1">IFERROR(__xludf.DUMMYFUNCTION("""COMPUTED_VALUE"""),43.4)</f>
        <v>43.4</v>
      </c>
      <c r="U155" s="1">
        <f ca="1">IFERROR(__xludf.DUMMYFUNCTION("""COMPUTED_VALUE"""),105.12)</f>
        <v>105.12</v>
      </c>
      <c r="V155" s="1">
        <f ca="1">IFERROR(__xludf.DUMMYFUNCTION("""COMPUTED_VALUE"""),142.53)</f>
        <v>142.53</v>
      </c>
      <c r="W155" s="1">
        <f ca="1">IFERROR(__xludf.DUMMYFUNCTION("""COMPUTED_VALUE"""),391.96)</f>
        <v>391.96</v>
      </c>
      <c r="X155" s="1">
        <f ca="1">IFERROR(__xludf.DUMMYFUNCTION("""COMPUTED_VALUE"""),361.31)</f>
        <v>361.31</v>
      </c>
      <c r="Y155" s="1">
        <f ca="1">IFERROR(__xludf.DUMMYFUNCTION("""COMPUTED_VALUE"""),77.94)</f>
        <v>77.94</v>
      </c>
      <c r="Z155" s="1">
        <f ca="1">IFERROR(__xludf.DUMMYFUNCTION("""COMPUTED_VALUE"""),211.06)</f>
        <v>211.06</v>
      </c>
      <c r="AA155" s="1">
        <f ca="1">IFERROR(__xludf.DUMMYFUNCTION("""COMPUTED_VALUE"""),35.8)</f>
        <v>35.799999999999997</v>
      </c>
      <c r="AB155" s="1">
        <f ca="1">IFERROR(__xludf.DUMMYFUNCTION("""COMPUTED_VALUE"""),78.87)</f>
        <v>78.87</v>
      </c>
      <c r="AC155" s="1">
        <f ca="1">IFERROR(__xludf.DUMMYFUNCTION("""COMPUTED_VALUE"""),76.88)</f>
        <v>76.88</v>
      </c>
    </row>
    <row r="156" spans="1:29" x14ac:dyDescent="0.25">
      <c r="A156" s="2">
        <f ca="1">IFERROR(__xludf.DUMMYFUNCTION("""COMPUTED_VALUE"""),44055.6666666666)</f>
        <v>44055.666666666599</v>
      </c>
      <c r="B156" s="1">
        <f ca="1">IFERROR(__xludf.DUMMYFUNCTION("""COMPUTED_VALUE"""),113.01)</f>
        <v>113.01</v>
      </c>
      <c r="C156" s="1">
        <f ca="1">IFERROR(__xludf.DUMMYFUNCTION("""COMPUTED_VALUE"""),209.19)</f>
        <v>209.19</v>
      </c>
      <c r="D156" s="1">
        <f ca="1">IFERROR(__xludf.DUMMYFUNCTION("""COMPUTED_VALUE"""),158.11)</f>
        <v>158.11000000000001</v>
      </c>
      <c r="E156" s="1">
        <f ca="1">IFERROR(__xludf.DUMMYFUNCTION("""COMPUTED_VALUE"""),11.44)</f>
        <v>11.44</v>
      </c>
      <c r="F156" s="1">
        <f ca="1">IFERROR(__xludf.DUMMYFUNCTION("""COMPUTED_VALUE"""),259.89)</f>
        <v>259.89</v>
      </c>
      <c r="G156" s="1">
        <f ca="1">IFERROR(__xludf.DUMMYFUNCTION("""COMPUTED_VALUE"""),75.33)</f>
        <v>75.33</v>
      </c>
      <c r="H156" s="1">
        <f ca="1">IFERROR(__xludf.DUMMYFUNCTION("""COMPUTED_VALUE"""),103.65)</f>
        <v>103.65</v>
      </c>
      <c r="I156" s="1">
        <f ca="1">IFERROR(__xludf.DUMMYFUNCTION("""COMPUTED_VALUE"""),137.8)</f>
        <v>137.80000000000001</v>
      </c>
      <c r="J156" s="1">
        <f ca="1">IFERROR(__xludf.DUMMYFUNCTION("""COMPUTED_VALUE"""),336.76)</f>
        <v>336.76</v>
      </c>
      <c r="K156" s="1">
        <f ca="1">IFERROR(__xludf.DUMMYFUNCTION("""COMPUTED_VALUE"""),33.36)</f>
        <v>33.36</v>
      </c>
      <c r="L156" s="1">
        <f ca="1">IFERROR(__xludf.DUMMYFUNCTION("""COMPUTED_VALUE"""),445.36)</f>
        <v>445.36</v>
      </c>
      <c r="M156" s="1">
        <f ca="1">IFERROR(__xludf.DUMMYFUNCTION("""COMPUTED_VALUE"""),475.47)</f>
        <v>475.47</v>
      </c>
      <c r="N156" s="1">
        <f ca="1">IFERROR(__xludf.DUMMYFUNCTION("""COMPUTED_VALUE"""),102.94)</f>
        <v>102.94</v>
      </c>
      <c r="O156" s="1">
        <f ca="1">IFERROR(__xludf.DUMMYFUNCTION("""COMPUTED_VALUE"""),198.74)</f>
        <v>198.74</v>
      </c>
      <c r="P156" s="1">
        <f ca="1">IFERROR(__xludf.DUMMYFUNCTION("""COMPUTED_VALUE"""),149.66)</f>
        <v>149.66</v>
      </c>
      <c r="Q156" s="1">
        <f ca="1">IFERROR(__xludf.DUMMYFUNCTION("""COMPUTED_VALUE"""),322.27)</f>
        <v>322.27</v>
      </c>
      <c r="R156" s="1">
        <f ca="1">IFERROR(__xludf.DUMMYFUNCTION("""COMPUTED_VALUE"""),44.09)</f>
        <v>44.09</v>
      </c>
      <c r="S156" s="1">
        <f ca="1">IFERROR(__xludf.DUMMYFUNCTION("""COMPUTED_VALUE"""),71.15)</f>
        <v>71.150000000000006</v>
      </c>
      <c r="T156" s="1">
        <f ca="1">IFERROR(__xludf.DUMMYFUNCTION("""COMPUTED_VALUE"""),43.96)</f>
        <v>43.96</v>
      </c>
      <c r="U156" s="1">
        <f ca="1">IFERROR(__xludf.DUMMYFUNCTION("""COMPUTED_VALUE"""),105.22)</f>
        <v>105.22</v>
      </c>
      <c r="V156" s="1">
        <f ca="1">IFERROR(__xludf.DUMMYFUNCTION("""COMPUTED_VALUE"""),142.57)</f>
        <v>142.57</v>
      </c>
      <c r="W156" s="1">
        <f ca="1">IFERROR(__xludf.DUMMYFUNCTION("""COMPUTED_VALUE"""),392.44)</f>
        <v>392.44</v>
      </c>
      <c r="X156" s="1">
        <f ca="1">IFERROR(__xludf.DUMMYFUNCTION("""COMPUTED_VALUE"""),374.81)</f>
        <v>374.81</v>
      </c>
      <c r="Y156" s="1">
        <f ca="1">IFERROR(__xludf.DUMMYFUNCTION("""COMPUTED_VALUE"""),79.39)</f>
        <v>79.39</v>
      </c>
      <c r="Z156" s="1">
        <f ca="1">IFERROR(__xludf.DUMMYFUNCTION("""COMPUTED_VALUE"""),212.13)</f>
        <v>212.13</v>
      </c>
      <c r="AA156" s="1">
        <f ca="1">IFERROR(__xludf.DUMMYFUNCTION("""COMPUTED_VALUE"""),36.31)</f>
        <v>36.31</v>
      </c>
      <c r="AB156" s="1">
        <f ca="1">IFERROR(__xludf.DUMMYFUNCTION("""COMPUTED_VALUE"""),79.29)</f>
        <v>79.290000000000006</v>
      </c>
      <c r="AC156" s="1">
        <f ca="1">IFERROR(__xludf.DUMMYFUNCTION("""COMPUTED_VALUE"""),82.61)</f>
        <v>82.61</v>
      </c>
    </row>
    <row r="157" spans="1:29" x14ac:dyDescent="0.25">
      <c r="A157" s="2">
        <f ca="1">IFERROR(__xludf.DUMMYFUNCTION("""COMPUTED_VALUE"""),44056.6666666666)</f>
        <v>44056.666666666599</v>
      </c>
      <c r="B157" s="1">
        <f ca="1">IFERROR(__xludf.DUMMYFUNCTION("""COMPUTED_VALUE"""),115.01)</f>
        <v>115.01</v>
      </c>
      <c r="C157" s="1">
        <f ca="1">IFERROR(__xludf.DUMMYFUNCTION("""COMPUTED_VALUE"""),208.7)</f>
        <v>208.7</v>
      </c>
      <c r="D157" s="1">
        <f ca="1">IFERROR(__xludf.DUMMYFUNCTION("""COMPUTED_VALUE"""),158.05)</f>
        <v>158.05000000000001</v>
      </c>
      <c r="E157" s="1">
        <f ca="1">IFERROR(__xludf.DUMMYFUNCTION("""COMPUTED_VALUE"""),11.44)</f>
        <v>11.44</v>
      </c>
      <c r="F157" s="1">
        <f ca="1">IFERROR(__xludf.DUMMYFUNCTION("""COMPUTED_VALUE"""),261.3)</f>
        <v>261.3</v>
      </c>
      <c r="G157" s="1">
        <f ca="1">IFERROR(__xludf.DUMMYFUNCTION("""COMPUTED_VALUE"""),75.92)</f>
        <v>75.92</v>
      </c>
      <c r="H157" s="1">
        <f ca="1">IFERROR(__xludf.DUMMYFUNCTION("""COMPUTED_VALUE"""),108.07)</f>
        <v>108.07</v>
      </c>
      <c r="I157" s="1">
        <f ca="1">IFERROR(__xludf.DUMMYFUNCTION("""COMPUTED_VALUE"""),138.1)</f>
        <v>138.1</v>
      </c>
      <c r="J157" s="1">
        <f ca="1">IFERROR(__xludf.DUMMYFUNCTION("""COMPUTED_VALUE"""),335.7)</f>
        <v>335.7</v>
      </c>
      <c r="K157" s="1">
        <f ca="1">IFERROR(__xludf.DUMMYFUNCTION("""COMPUTED_VALUE"""),32.94)</f>
        <v>32.94</v>
      </c>
      <c r="L157" s="1">
        <f ca="1">IFERROR(__xludf.DUMMYFUNCTION("""COMPUTED_VALUE"""),450.02)</f>
        <v>450.02</v>
      </c>
      <c r="M157" s="1">
        <f ca="1">IFERROR(__xludf.DUMMYFUNCTION("""COMPUTED_VALUE"""),481.33)</f>
        <v>481.33</v>
      </c>
      <c r="N157" s="1">
        <f ca="1">IFERROR(__xludf.DUMMYFUNCTION("""COMPUTED_VALUE"""),102.37)</f>
        <v>102.37</v>
      </c>
      <c r="O157" s="1">
        <f ca="1">IFERROR(__xludf.DUMMYFUNCTION("""COMPUTED_VALUE"""),197.58)</f>
        <v>197.58</v>
      </c>
      <c r="P157" s="1">
        <f ca="1">IFERROR(__xludf.DUMMYFUNCTION("""COMPUTED_VALUE"""),148)</f>
        <v>148</v>
      </c>
      <c r="Q157" s="1">
        <f ca="1">IFERROR(__xludf.DUMMYFUNCTION("""COMPUTED_VALUE"""),321.52)</f>
        <v>321.52</v>
      </c>
      <c r="R157" s="1">
        <f ca="1">IFERROR(__xludf.DUMMYFUNCTION("""COMPUTED_VALUE"""),43.01)</f>
        <v>43.01</v>
      </c>
      <c r="S157" s="1">
        <f ca="1">IFERROR(__xludf.DUMMYFUNCTION("""COMPUTED_VALUE"""),71.1)</f>
        <v>71.099999999999994</v>
      </c>
      <c r="T157" s="1">
        <f ca="1">IFERROR(__xludf.DUMMYFUNCTION("""COMPUTED_VALUE"""),43.95)</f>
        <v>43.95</v>
      </c>
      <c r="U157" s="1">
        <f ca="1">IFERROR(__xludf.DUMMYFUNCTION("""COMPUTED_VALUE"""),106.52)</f>
        <v>106.52</v>
      </c>
      <c r="V157" s="1">
        <f ca="1">IFERROR(__xludf.DUMMYFUNCTION("""COMPUTED_VALUE"""),140.67)</f>
        <v>140.66999999999999</v>
      </c>
      <c r="W157" s="1">
        <f ca="1">IFERROR(__xludf.DUMMYFUNCTION("""COMPUTED_VALUE"""),389.24)</f>
        <v>389.24</v>
      </c>
      <c r="X157" s="1">
        <f ca="1">IFERROR(__xludf.DUMMYFUNCTION("""COMPUTED_VALUE"""),374.76)</f>
        <v>374.76</v>
      </c>
      <c r="Y157" s="1">
        <f ca="1">IFERROR(__xludf.DUMMYFUNCTION("""COMPUTED_VALUE"""),78.3)</f>
        <v>78.3</v>
      </c>
      <c r="Z157" s="1">
        <f ca="1">IFERROR(__xludf.DUMMYFUNCTION("""COMPUTED_VALUE"""),208.39)</f>
        <v>208.39</v>
      </c>
      <c r="AA157" s="1">
        <f ca="1">IFERROR(__xludf.DUMMYFUNCTION("""COMPUTED_VALUE"""),36.16)</f>
        <v>36.159999999999997</v>
      </c>
      <c r="AB157" s="1">
        <f ca="1">IFERROR(__xludf.DUMMYFUNCTION("""COMPUTED_VALUE"""),79.02)</f>
        <v>79.02</v>
      </c>
      <c r="AC157" s="1">
        <f ca="1">IFERROR(__xludf.DUMMYFUNCTION("""COMPUTED_VALUE"""),81.84)</f>
        <v>81.84</v>
      </c>
    </row>
    <row r="158" spans="1:29" x14ac:dyDescent="0.25">
      <c r="A158" s="2">
        <f ca="1">IFERROR(__xludf.DUMMYFUNCTION("""COMPUTED_VALUE"""),44057.6666666666)</f>
        <v>44057.666666666599</v>
      </c>
      <c r="B158" s="1">
        <f ca="1">IFERROR(__xludf.DUMMYFUNCTION("""COMPUTED_VALUE"""),114.91)</f>
        <v>114.91</v>
      </c>
      <c r="C158" s="1">
        <f ca="1">IFERROR(__xludf.DUMMYFUNCTION("""COMPUTED_VALUE"""),208.9)</f>
        <v>208.9</v>
      </c>
      <c r="D158" s="1">
        <f ca="1">IFERROR(__xludf.DUMMYFUNCTION("""COMPUTED_VALUE"""),157.4)</f>
        <v>157.4</v>
      </c>
      <c r="E158" s="1">
        <f ca="1">IFERROR(__xludf.DUMMYFUNCTION("""COMPUTED_VALUE"""),11.56)</f>
        <v>11.56</v>
      </c>
      <c r="F158" s="1">
        <f ca="1">IFERROR(__xludf.DUMMYFUNCTION("""COMPUTED_VALUE"""),261.24)</f>
        <v>261.24</v>
      </c>
      <c r="G158" s="1">
        <f ca="1">IFERROR(__xludf.DUMMYFUNCTION("""COMPUTED_VALUE"""),75.39)</f>
        <v>75.39</v>
      </c>
      <c r="H158" s="1">
        <f ca="1">IFERROR(__xludf.DUMMYFUNCTION("""COMPUTED_VALUE"""),110.05)</f>
        <v>110.05</v>
      </c>
      <c r="I158" s="1">
        <f ca="1">IFERROR(__xludf.DUMMYFUNCTION("""COMPUTED_VALUE"""),137.56)</f>
        <v>137.56</v>
      </c>
      <c r="J158" s="1">
        <f ca="1">IFERROR(__xludf.DUMMYFUNCTION("""COMPUTED_VALUE"""),336.28)</f>
        <v>336.28</v>
      </c>
      <c r="K158" s="1">
        <f ca="1">IFERROR(__xludf.DUMMYFUNCTION("""COMPUTED_VALUE"""),32.78)</f>
        <v>32.78</v>
      </c>
      <c r="L158" s="1">
        <f ca="1">IFERROR(__xludf.DUMMYFUNCTION("""COMPUTED_VALUE"""),447.6)</f>
        <v>447.6</v>
      </c>
      <c r="M158" s="1">
        <f ca="1">IFERROR(__xludf.DUMMYFUNCTION("""COMPUTED_VALUE"""),482.68)</f>
        <v>482.68</v>
      </c>
      <c r="N158" s="1">
        <f ca="1">IFERROR(__xludf.DUMMYFUNCTION("""COMPUTED_VALUE"""),102.41)</f>
        <v>102.41</v>
      </c>
      <c r="O158" s="1">
        <f ca="1">IFERROR(__xludf.DUMMYFUNCTION("""COMPUTED_VALUE"""),196.64)</f>
        <v>196.64</v>
      </c>
      <c r="P158" s="1">
        <f ca="1">IFERROR(__xludf.DUMMYFUNCTION("""COMPUTED_VALUE"""),148.24)</f>
        <v>148.24</v>
      </c>
      <c r="Q158" s="1">
        <f ca="1">IFERROR(__xludf.DUMMYFUNCTION("""COMPUTED_VALUE"""),323.7)</f>
        <v>323.7</v>
      </c>
      <c r="R158" s="1">
        <f ca="1">IFERROR(__xludf.DUMMYFUNCTION("""COMPUTED_VALUE"""),43.2)</f>
        <v>43.2</v>
      </c>
      <c r="S158" s="1">
        <f ca="1">IFERROR(__xludf.DUMMYFUNCTION("""COMPUTED_VALUE"""),70.13)</f>
        <v>70.13</v>
      </c>
      <c r="T158" s="1">
        <f ca="1">IFERROR(__xludf.DUMMYFUNCTION("""COMPUTED_VALUE"""),44.2)</f>
        <v>44.2</v>
      </c>
      <c r="U158" s="1">
        <f ca="1">IFERROR(__xludf.DUMMYFUNCTION("""COMPUTED_VALUE"""),106.43)</f>
        <v>106.43</v>
      </c>
      <c r="V158" s="1">
        <f ca="1">IFERROR(__xludf.DUMMYFUNCTION("""COMPUTED_VALUE"""),139.96)</f>
        <v>139.96</v>
      </c>
      <c r="W158" s="1">
        <f ca="1">IFERROR(__xludf.DUMMYFUNCTION("""COMPUTED_VALUE"""),391.42)</f>
        <v>391.42</v>
      </c>
      <c r="X158" s="1">
        <f ca="1">IFERROR(__xludf.DUMMYFUNCTION("""COMPUTED_VALUE"""),371.1)</f>
        <v>371.1</v>
      </c>
      <c r="Y158" s="1">
        <f ca="1">IFERROR(__xludf.DUMMYFUNCTION("""COMPUTED_VALUE"""),78.41)</f>
        <v>78.41</v>
      </c>
      <c r="Z158" s="1">
        <f ca="1">IFERROR(__xludf.DUMMYFUNCTION("""COMPUTED_VALUE"""),207.97)</f>
        <v>207.97</v>
      </c>
      <c r="AA158" s="1">
        <f ca="1">IFERROR(__xludf.DUMMYFUNCTION("""COMPUTED_VALUE"""),36.06)</f>
        <v>36.06</v>
      </c>
      <c r="AB158" s="1">
        <f ca="1">IFERROR(__xludf.DUMMYFUNCTION("""COMPUTED_VALUE"""),78.37)</f>
        <v>78.37</v>
      </c>
      <c r="AC158" s="1">
        <f ca="1">IFERROR(__xludf.DUMMYFUNCTION("""COMPUTED_VALUE"""),81.3)</f>
        <v>81.3</v>
      </c>
    </row>
    <row r="159" spans="1:29" x14ac:dyDescent="0.25">
      <c r="A159" s="2">
        <f ca="1">IFERROR(__xludf.DUMMYFUNCTION("""COMPUTED_VALUE"""),44060.6666666666)</f>
        <v>44060.666666666599</v>
      </c>
      <c r="B159" s="1">
        <f ca="1">IFERROR(__xludf.DUMMYFUNCTION("""COMPUTED_VALUE"""),114.61)</f>
        <v>114.61</v>
      </c>
      <c r="C159" s="1">
        <f ca="1">IFERROR(__xludf.DUMMYFUNCTION("""COMPUTED_VALUE"""),210.28)</f>
        <v>210.28</v>
      </c>
      <c r="D159" s="1">
        <f ca="1">IFERROR(__xludf.DUMMYFUNCTION("""COMPUTED_VALUE"""),159.12)</f>
        <v>159.12</v>
      </c>
      <c r="E159" s="1">
        <f ca="1">IFERROR(__xludf.DUMMYFUNCTION("""COMPUTED_VALUE"""),12.34)</f>
        <v>12.34</v>
      </c>
      <c r="F159" s="1">
        <f ca="1">IFERROR(__xludf.DUMMYFUNCTION("""COMPUTED_VALUE"""),261.16)</f>
        <v>261.16000000000003</v>
      </c>
      <c r="G159" s="1">
        <f ca="1">IFERROR(__xludf.DUMMYFUNCTION("""COMPUTED_VALUE"""),75.9)</f>
        <v>75.900000000000006</v>
      </c>
      <c r="H159" s="1">
        <f ca="1">IFERROR(__xludf.DUMMYFUNCTION("""COMPUTED_VALUE"""),122.38)</f>
        <v>122.38</v>
      </c>
      <c r="I159" s="1">
        <f ca="1">IFERROR(__xludf.DUMMYFUNCTION("""COMPUTED_VALUE"""),137.92)</f>
        <v>137.91999999999999</v>
      </c>
      <c r="J159" s="1">
        <f ca="1">IFERROR(__xludf.DUMMYFUNCTION("""COMPUTED_VALUE"""),339.96)</f>
        <v>339.96</v>
      </c>
      <c r="K159" s="1">
        <f ca="1">IFERROR(__xludf.DUMMYFUNCTION("""COMPUTED_VALUE"""),33.03)</f>
        <v>33.03</v>
      </c>
      <c r="L159" s="1">
        <f ca="1">IFERROR(__xludf.DUMMYFUNCTION("""COMPUTED_VALUE"""),451.58)</f>
        <v>451.58</v>
      </c>
      <c r="M159" s="1">
        <f ca="1">IFERROR(__xludf.DUMMYFUNCTION("""COMPUTED_VALUE"""),482.35)</f>
        <v>482.35</v>
      </c>
      <c r="N159" s="1">
        <f ca="1">IFERROR(__xludf.DUMMYFUNCTION("""COMPUTED_VALUE"""),99.71)</f>
        <v>99.71</v>
      </c>
      <c r="O159" s="1">
        <f ca="1">IFERROR(__xludf.DUMMYFUNCTION("""COMPUTED_VALUE"""),199.43)</f>
        <v>199.43</v>
      </c>
      <c r="P159" s="1">
        <f ca="1">IFERROR(__xludf.DUMMYFUNCTION("""COMPUTED_VALUE"""),148.99)</f>
        <v>148.99</v>
      </c>
      <c r="Q159" s="1">
        <f ca="1">IFERROR(__xludf.DUMMYFUNCTION("""COMPUTED_VALUE"""),320.51)</f>
        <v>320.51</v>
      </c>
      <c r="R159" s="1">
        <f ca="1">IFERROR(__xludf.DUMMYFUNCTION("""COMPUTED_VALUE"""),42.64)</f>
        <v>42.64</v>
      </c>
      <c r="S159" s="1">
        <f ca="1">IFERROR(__xludf.DUMMYFUNCTION("""COMPUTED_VALUE"""),70.75)</f>
        <v>70.75</v>
      </c>
      <c r="T159" s="1">
        <f ca="1">IFERROR(__xludf.DUMMYFUNCTION("""COMPUTED_VALUE"""),45.2)</f>
        <v>45.2</v>
      </c>
      <c r="U159" s="1">
        <f ca="1">IFERROR(__xludf.DUMMYFUNCTION("""COMPUTED_VALUE"""),105.66)</f>
        <v>105.66</v>
      </c>
      <c r="V159" s="1">
        <f ca="1">IFERROR(__xludf.DUMMYFUNCTION("""COMPUTED_VALUE"""),138.72)</f>
        <v>138.72</v>
      </c>
      <c r="W159" s="1">
        <f ca="1">IFERROR(__xludf.DUMMYFUNCTION("""COMPUTED_VALUE"""),388.96)</f>
        <v>388.96</v>
      </c>
      <c r="X159" s="1">
        <f ca="1">IFERROR(__xludf.DUMMYFUNCTION("""COMPUTED_VALUE"""),378.51)</f>
        <v>378.51</v>
      </c>
      <c r="Y159" s="1">
        <f ca="1">IFERROR(__xludf.DUMMYFUNCTION("""COMPUTED_VALUE"""),80.19)</f>
        <v>80.19</v>
      </c>
      <c r="Z159" s="1">
        <f ca="1">IFERROR(__xludf.DUMMYFUNCTION("""COMPUTED_VALUE"""),203.07)</f>
        <v>203.07</v>
      </c>
      <c r="AA159" s="1">
        <f ca="1">IFERROR(__xludf.DUMMYFUNCTION("""COMPUTED_VALUE"""),36.33)</f>
        <v>36.33</v>
      </c>
      <c r="AB159" s="1">
        <f ca="1">IFERROR(__xludf.DUMMYFUNCTION("""COMPUTED_VALUE"""),78.95)</f>
        <v>78.95</v>
      </c>
      <c r="AC159" s="1">
        <f ca="1">IFERROR(__xludf.DUMMYFUNCTION("""COMPUTED_VALUE"""),82.42)</f>
        <v>82.42</v>
      </c>
    </row>
    <row r="160" spans="1:29" x14ac:dyDescent="0.25">
      <c r="A160" s="2">
        <f ca="1">IFERROR(__xludf.DUMMYFUNCTION("""COMPUTED_VALUE"""),44061.6666666666)</f>
        <v>44061.666666666599</v>
      </c>
      <c r="B160" s="1">
        <f ca="1">IFERROR(__xludf.DUMMYFUNCTION("""COMPUTED_VALUE"""),115.56)</f>
        <v>115.56</v>
      </c>
      <c r="C160" s="1">
        <f ca="1">IFERROR(__xludf.DUMMYFUNCTION("""COMPUTED_VALUE"""),211.49)</f>
        <v>211.49</v>
      </c>
      <c r="D160" s="1">
        <f ca="1">IFERROR(__xludf.DUMMYFUNCTION("""COMPUTED_VALUE"""),165.62)</f>
        <v>165.62</v>
      </c>
      <c r="E160" s="1">
        <f ca="1">IFERROR(__xludf.DUMMYFUNCTION("""COMPUTED_VALUE"""),12.26)</f>
        <v>12.26</v>
      </c>
      <c r="F160" s="1">
        <f ca="1">IFERROR(__xludf.DUMMYFUNCTION("""COMPUTED_VALUE"""),262.34)</f>
        <v>262.33999999999997</v>
      </c>
      <c r="G160" s="1">
        <f ca="1">IFERROR(__xludf.DUMMYFUNCTION("""COMPUTED_VALUE"""),77.93)</f>
        <v>77.930000000000007</v>
      </c>
      <c r="H160" s="1">
        <f ca="1">IFERROR(__xludf.DUMMYFUNCTION("""COMPUTED_VALUE"""),125.81)</f>
        <v>125.81</v>
      </c>
      <c r="I160" s="1">
        <f ca="1">IFERROR(__xludf.DUMMYFUNCTION("""COMPUTED_VALUE"""),138.11)</f>
        <v>138.11000000000001</v>
      </c>
      <c r="J160" s="1">
        <f ca="1">IFERROR(__xludf.DUMMYFUNCTION("""COMPUTED_VALUE"""),340.75)</f>
        <v>340.75</v>
      </c>
      <c r="K160" s="1">
        <f ca="1">IFERROR(__xludf.DUMMYFUNCTION("""COMPUTED_VALUE"""),32.86)</f>
        <v>32.86</v>
      </c>
      <c r="L160" s="1">
        <f ca="1">IFERROR(__xludf.DUMMYFUNCTION("""COMPUTED_VALUE"""),463.51)</f>
        <v>463.51</v>
      </c>
      <c r="M160" s="1">
        <f ca="1">IFERROR(__xludf.DUMMYFUNCTION("""COMPUTED_VALUE"""),491.87)</f>
        <v>491.87</v>
      </c>
      <c r="N160" s="1">
        <f ca="1">IFERROR(__xludf.DUMMYFUNCTION("""COMPUTED_VALUE"""),98.32)</f>
        <v>98.32</v>
      </c>
      <c r="O160" s="1">
        <f ca="1">IFERROR(__xludf.DUMMYFUNCTION("""COMPUTED_VALUE"""),199.01)</f>
        <v>199.01</v>
      </c>
      <c r="P160" s="1">
        <f ca="1">IFERROR(__xludf.DUMMYFUNCTION("""COMPUTED_VALUE"""),150.09)</f>
        <v>150.09</v>
      </c>
      <c r="Q160" s="1">
        <f ca="1">IFERROR(__xludf.DUMMYFUNCTION("""COMPUTED_VALUE"""),316.81)</f>
        <v>316.81</v>
      </c>
      <c r="R160" s="1">
        <f ca="1">IFERROR(__xludf.DUMMYFUNCTION("""COMPUTED_VALUE"""),42.43)</f>
        <v>42.43</v>
      </c>
      <c r="S160" s="1">
        <f ca="1">IFERROR(__xludf.DUMMYFUNCTION("""COMPUTED_VALUE"""),70.76)</f>
        <v>70.760000000000005</v>
      </c>
      <c r="T160" s="1">
        <f ca="1">IFERROR(__xludf.DUMMYFUNCTION("""COMPUTED_VALUE"""),44.9)</f>
        <v>44.9</v>
      </c>
      <c r="U160" s="1">
        <f ca="1">IFERROR(__xludf.DUMMYFUNCTION("""COMPUTED_VALUE"""),106.97)</f>
        <v>106.97</v>
      </c>
      <c r="V160" s="1">
        <f ca="1">IFERROR(__xludf.DUMMYFUNCTION("""COMPUTED_VALUE"""),138.37)</f>
        <v>138.37</v>
      </c>
      <c r="W160" s="1">
        <f ca="1">IFERROR(__xludf.DUMMYFUNCTION("""COMPUTED_VALUE"""),390.26)</f>
        <v>390.26</v>
      </c>
      <c r="X160" s="1">
        <f ca="1">IFERROR(__xludf.DUMMYFUNCTION("""COMPUTED_VALUE"""),377.22)</f>
        <v>377.22</v>
      </c>
      <c r="Y160" s="1">
        <f ca="1">IFERROR(__xludf.DUMMYFUNCTION("""COMPUTED_VALUE"""),79.41)</f>
        <v>79.41</v>
      </c>
      <c r="Z160" s="1">
        <f ca="1">IFERROR(__xludf.DUMMYFUNCTION("""COMPUTED_VALUE"""),201.31)</f>
        <v>201.31</v>
      </c>
      <c r="AA160" s="1">
        <f ca="1">IFERROR(__xludf.DUMMYFUNCTION("""COMPUTED_VALUE"""),36.34)</f>
        <v>36.340000000000003</v>
      </c>
      <c r="AB160" s="1">
        <f ca="1">IFERROR(__xludf.DUMMYFUNCTION("""COMPUTED_VALUE"""),78.99)</f>
        <v>78.989999999999995</v>
      </c>
      <c r="AC160" s="1">
        <f ca="1">IFERROR(__xludf.DUMMYFUNCTION("""COMPUTED_VALUE"""),81.66)</f>
        <v>81.66</v>
      </c>
    </row>
    <row r="161" spans="1:29" x14ac:dyDescent="0.25">
      <c r="A161" s="2">
        <f ca="1">IFERROR(__xludf.DUMMYFUNCTION("""COMPUTED_VALUE"""),44062.6666666666)</f>
        <v>44062.666666666599</v>
      </c>
      <c r="B161" s="1">
        <f ca="1">IFERROR(__xludf.DUMMYFUNCTION("""COMPUTED_VALUE"""),115.71)</f>
        <v>115.71</v>
      </c>
      <c r="C161" s="1">
        <f ca="1">IFERROR(__xludf.DUMMYFUNCTION("""COMPUTED_VALUE"""),209.7)</f>
        <v>209.7</v>
      </c>
      <c r="D161" s="1">
        <f ca="1">IFERROR(__xludf.DUMMYFUNCTION("""COMPUTED_VALUE"""),163.02)</f>
        <v>163.02000000000001</v>
      </c>
      <c r="E161" s="1">
        <f ca="1">IFERROR(__xludf.DUMMYFUNCTION("""COMPUTED_VALUE"""),12.14)</f>
        <v>12.14</v>
      </c>
      <c r="F161" s="1">
        <f ca="1">IFERROR(__xludf.DUMMYFUNCTION("""COMPUTED_VALUE"""),262.59)</f>
        <v>262.58999999999997</v>
      </c>
      <c r="G161" s="1">
        <f ca="1">IFERROR(__xludf.DUMMYFUNCTION("""COMPUTED_VALUE"""),77.38)</f>
        <v>77.38</v>
      </c>
      <c r="H161" s="1">
        <f ca="1">IFERROR(__xludf.DUMMYFUNCTION("""COMPUTED_VALUE"""),125.24)</f>
        <v>125.24</v>
      </c>
      <c r="I161" s="1">
        <f ca="1">IFERROR(__xludf.DUMMYFUNCTION("""COMPUTED_VALUE"""),136.45)</f>
        <v>136.44999999999999</v>
      </c>
      <c r="J161" s="1">
        <f ca="1">IFERROR(__xludf.DUMMYFUNCTION("""COMPUTED_VALUE"""),340.9)</f>
        <v>340.9</v>
      </c>
      <c r="K161" s="1">
        <f ca="1">IFERROR(__xludf.DUMMYFUNCTION("""COMPUTED_VALUE"""),32.92)</f>
        <v>32.92</v>
      </c>
      <c r="L161" s="1">
        <f ca="1">IFERROR(__xludf.DUMMYFUNCTION("""COMPUTED_VALUE"""),462.01)</f>
        <v>462.01</v>
      </c>
      <c r="M161" s="1">
        <f ca="1">IFERROR(__xludf.DUMMYFUNCTION("""COMPUTED_VALUE"""),484.53)</f>
        <v>484.53</v>
      </c>
      <c r="N161" s="1">
        <f ca="1">IFERROR(__xludf.DUMMYFUNCTION("""COMPUTED_VALUE"""),98.55)</f>
        <v>98.55</v>
      </c>
      <c r="O161" s="1">
        <f ca="1">IFERROR(__xludf.DUMMYFUNCTION("""COMPUTED_VALUE"""),200.99)</f>
        <v>200.99</v>
      </c>
      <c r="P161" s="1">
        <f ca="1">IFERROR(__xludf.DUMMYFUNCTION("""COMPUTED_VALUE"""),150.39)</f>
        <v>150.38999999999999</v>
      </c>
      <c r="Q161" s="1">
        <f ca="1">IFERROR(__xludf.DUMMYFUNCTION("""COMPUTED_VALUE"""),315.4)</f>
        <v>315.39999999999998</v>
      </c>
      <c r="R161" s="1">
        <f ca="1">IFERROR(__xludf.DUMMYFUNCTION("""COMPUTED_VALUE"""),41.96)</f>
        <v>41.96</v>
      </c>
      <c r="S161" s="1">
        <f ca="1">IFERROR(__xludf.DUMMYFUNCTION("""COMPUTED_VALUE"""),70.58)</f>
        <v>70.58</v>
      </c>
      <c r="T161" s="1">
        <f ca="1">IFERROR(__xludf.DUMMYFUNCTION("""COMPUTED_VALUE"""),44.14)</f>
        <v>44.14</v>
      </c>
      <c r="U161" s="1">
        <f ca="1">IFERROR(__xludf.DUMMYFUNCTION("""COMPUTED_VALUE"""),108.39)</f>
        <v>108.39</v>
      </c>
      <c r="V161" s="1">
        <f ca="1">IFERROR(__xludf.DUMMYFUNCTION("""COMPUTED_VALUE"""),138.02)</f>
        <v>138.02000000000001</v>
      </c>
      <c r="W161" s="1">
        <f ca="1">IFERROR(__xludf.DUMMYFUNCTION("""COMPUTED_VALUE"""),390.05)</f>
        <v>390.05</v>
      </c>
      <c r="X161" s="1">
        <f ca="1">IFERROR(__xludf.DUMMYFUNCTION("""COMPUTED_VALUE"""),374.94)</f>
        <v>374.94</v>
      </c>
      <c r="Y161" s="1">
        <f ca="1">IFERROR(__xludf.DUMMYFUNCTION("""COMPUTED_VALUE"""),78.54)</f>
        <v>78.540000000000006</v>
      </c>
      <c r="Z161" s="1">
        <f ca="1">IFERROR(__xludf.DUMMYFUNCTION("""COMPUTED_VALUE"""),203.02)</f>
        <v>203.02</v>
      </c>
      <c r="AA161" s="1">
        <f ca="1">IFERROR(__xludf.DUMMYFUNCTION("""COMPUTED_VALUE"""),36.25)</f>
        <v>36.25</v>
      </c>
      <c r="AB161" s="1">
        <f ca="1">IFERROR(__xludf.DUMMYFUNCTION("""COMPUTED_VALUE"""),77.63)</f>
        <v>77.63</v>
      </c>
      <c r="AC161" s="1">
        <f ca="1">IFERROR(__xludf.DUMMYFUNCTION("""COMPUTED_VALUE"""),81.09)</f>
        <v>81.09</v>
      </c>
    </row>
    <row r="162" spans="1:29" x14ac:dyDescent="0.25">
      <c r="A162" s="2">
        <f ca="1">IFERROR(__xludf.DUMMYFUNCTION("""COMPUTED_VALUE"""),44063.6666666666)</f>
        <v>44063.666666666599</v>
      </c>
      <c r="B162" s="1">
        <f ca="1">IFERROR(__xludf.DUMMYFUNCTION("""COMPUTED_VALUE"""),118.28)</f>
        <v>118.28</v>
      </c>
      <c r="C162" s="1">
        <f ca="1">IFERROR(__xludf.DUMMYFUNCTION("""COMPUTED_VALUE"""),214.58)</f>
        <v>214.58</v>
      </c>
      <c r="D162" s="1">
        <f ca="1">IFERROR(__xludf.DUMMYFUNCTION("""COMPUTED_VALUE"""),164.87)</f>
        <v>164.87</v>
      </c>
      <c r="E162" s="1">
        <f ca="1">IFERROR(__xludf.DUMMYFUNCTION("""COMPUTED_VALUE"""),12.14)</f>
        <v>12.14</v>
      </c>
      <c r="F162" s="1">
        <f ca="1">IFERROR(__xludf.DUMMYFUNCTION("""COMPUTED_VALUE"""),269.01)</f>
        <v>269.01</v>
      </c>
      <c r="G162" s="1">
        <f ca="1">IFERROR(__xludf.DUMMYFUNCTION("""COMPUTED_VALUE"""),79.09)</f>
        <v>79.09</v>
      </c>
      <c r="H162" s="1">
        <f ca="1">IFERROR(__xludf.DUMMYFUNCTION("""COMPUTED_VALUE"""),133.46)</f>
        <v>133.46</v>
      </c>
      <c r="I162" s="1">
        <f ca="1">IFERROR(__xludf.DUMMYFUNCTION("""COMPUTED_VALUE"""),136.72)</f>
        <v>136.72</v>
      </c>
      <c r="J162" s="1">
        <f ca="1">IFERROR(__xludf.DUMMYFUNCTION("""COMPUTED_VALUE"""),340.87)</f>
        <v>340.87</v>
      </c>
      <c r="K162" s="1">
        <f ca="1">IFERROR(__xludf.DUMMYFUNCTION("""COMPUTED_VALUE"""),32.88)</f>
        <v>32.880000000000003</v>
      </c>
      <c r="L162" s="1">
        <f ca="1">IFERROR(__xludf.DUMMYFUNCTION("""COMPUTED_VALUE"""),478.48)</f>
        <v>478.48</v>
      </c>
      <c r="M162" s="1">
        <f ca="1">IFERROR(__xludf.DUMMYFUNCTION("""COMPUTED_VALUE"""),497.9)</f>
        <v>497.9</v>
      </c>
      <c r="N162" s="1">
        <f ca="1">IFERROR(__xludf.DUMMYFUNCTION("""COMPUTED_VALUE"""),97.37)</f>
        <v>97.37</v>
      </c>
      <c r="O162" s="1">
        <f ca="1">IFERROR(__xludf.DUMMYFUNCTION("""COMPUTED_VALUE"""),204.15)</f>
        <v>204.15</v>
      </c>
      <c r="P162" s="1">
        <f ca="1">IFERROR(__xludf.DUMMYFUNCTION("""COMPUTED_VALUE"""),151.42)</f>
        <v>151.41999999999999</v>
      </c>
      <c r="Q162" s="1">
        <f ca="1">IFERROR(__xludf.DUMMYFUNCTION("""COMPUTED_VALUE"""),313.33)</f>
        <v>313.33</v>
      </c>
      <c r="R162" s="1">
        <f ca="1">IFERROR(__xludf.DUMMYFUNCTION("""COMPUTED_VALUE"""),41.32)</f>
        <v>41.32</v>
      </c>
      <c r="S162" s="1">
        <f ca="1">IFERROR(__xludf.DUMMYFUNCTION("""COMPUTED_VALUE"""),70.53)</f>
        <v>70.53</v>
      </c>
      <c r="T162" s="1">
        <f ca="1">IFERROR(__xludf.DUMMYFUNCTION("""COMPUTED_VALUE"""),43.52)</f>
        <v>43.52</v>
      </c>
      <c r="U162" s="1">
        <f ca="1">IFERROR(__xludf.DUMMYFUNCTION("""COMPUTED_VALUE"""),108.01)</f>
        <v>108.01</v>
      </c>
      <c r="V162" s="1">
        <f ca="1">IFERROR(__xludf.DUMMYFUNCTION("""COMPUTED_VALUE"""),137.48)</f>
        <v>137.47999999999999</v>
      </c>
      <c r="W162" s="1">
        <f ca="1">IFERROR(__xludf.DUMMYFUNCTION("""COMPUTED_VALUE"""),387.88)</f>
        <v>387.88</v>
      </c>
      <c r="X162" s="1">
        <f ca="1">IFERROR(__xludf.DUMMYFUNCTION("""COMPUTED_VALUE"""),372.17)</f>
        <v>372.17</v>
      </c>
      <c r="Y162" s="1">
        <f ca="1">IFERROR(__xludf.DUMMYFUNCTION("""COMPUTED_VALUE"""),76.81)</f>
        <v>76.81</v>
      </c>
      <c r="Z162" s="1">
        <f ca="1">IFERROR(__xludf.DUMMYFUNCTION("""COMPUTED_VALUE"""),201.85)</f>
        <v>201.85</v>
      </c>
      <c r="AA162" s="1">
        <f ca="1">IFERROR(__xludf.DUMMYFUNCTION("""COMPUTED_VALUE"""),36.68)</f>
        <v>36.68</v>
      </c>
      <c r="AB162" s="1">
        <f ca="1">IFERROR(__xludf.DUMMYFUNCTION("""COMPUTED_VALUE"""),77.22)</f>
        <v>77.22</v>
      </c>
      <c r="AC162" s="1">
        <f ca="1">IFERROR(__xludf.DUMMYFUNCTION("""COMPUTED_VALUE"""),82.77)</f>
        <v>82.77</v>
      </c>
    </row>
    <row r="163" spans="1:29" x14ac:dyDescent="0.25">
      <c r="A163" s="2">
        <f ca="1">IFERROR(__xludf.DUMMYFUNCTION("""COMPUTED_VALUE"""),44064.6666666666)</f>
        <v>44064.666666666599</v>
      </c>
      <c r="B163" s="1">
        <f ca="1">IFERROR(__xludf.DUMMYFUNCTION("""COMPUTED_VALUE"""),124.37)</f>
        <v>124.37</v>
      </c>
      <c r="C163" s="1">
        <f ca="1">IFERROR(__xludf.DUMMYFUNCTION("""COMPUTED_VALUE"""),213.02)</f>
        <v>213.02</v>
      </c>
      <c r="D163" s="1">
        <f ca="1">IFERROR(__xludf.DUMMYFUNCTION("""COMPUTED_VALUE"""),164.24)</f>
        <v>164.24</v>
      </c>
      <c r="E163" s="1">
        <f ca="1">IFERROR(__xludf.DUMMYFUNCTION("""COMPUTED_VALUE"""),12.68)</f>
        <v>12.68</v>
      </c>
      <c r="F163" s="1">
        <f ca="1">IFERROR(__xludf.DUMMYFUNCTION("""COMPUTED_VALUE"""),267.01)</f>
        <v>267.01</v>
      </c>
      <c r="G163" s="1">
        <f ca="1">IFERROR(__xludf.DUMMYFUNCTION("""COMPUTED_VALUE"""),79.02)</f>
        <v>79.02</v>
      </c>
      <c r="H163" s="1">
        <f ca="1">IFERROR(__xludf.DUMMYFUNCTION("""COMPUTED_VALUE"""),136.67)</f>
        <v>136.66999999999999</v>
      </c>
      <c r="I163" s="1">
        <f ca="1">IFERROR(__xludf.DUMMYFUNCTION("""COMPUTED_VALUE"""),136.46)</f>
        <v>136.46</v>
      </c>
      <c r="J163" s="1">
        <f ca="1">IFERROR(__xludf.DUMMYFUNCTION("""COMPUTED_VALUE"""),344.61)</f>
        <v>344.61</v>
      </c>
      <c r="K163" s="1">
        <f ca="1">IFERROR(__xludf.DUMMYFUNCTION("""COMPUTED_VALUE"""),33)</f>
        <v>33</v>
      </c>
      <c r="L163" s="1">
        <f ca="1">IFERROR(__xludf.DUMMYFUNCTION("""COMPUTED_VALUE"""),473.22)</f>
        <v>473.22</v>
      </c>
      <c r="M163" s="1">
        <f ca="1">IFERROR(__xludf.DUMMYFUNCTION("""COMPUTED_VALUE"""),492.31)</f>
        <v>492.31</v>
      </c>
      <c r="N163" s="1">
        <f ca="1">IFERROR(__xludf.DUMMYFUNCTION("""COMPUTED_VALUE"""),97.32)</f>
        <v>97.32</v>
      </c>
      <c r="O163" s="1">
        <f ca="1">IFERROR(__xludf.DUMMYFUNCTION("""COMPUTED_VALUE"""),204.13)</f>
        <v>204.13</v>
      </c>
      <c r="P163" s="1">
        <f ca="1">IFERROR(__xludf.DUMMYFUNCTION("""COMPUTED_VALUE"""),152.76)</f>
        <v>152.76</v>
      </c>
      <c r="Q163" s="1">
        <f ca="1">IFERROR(__xludf.DUMMYFUNCTION("""COMPUTED_VALUE"""),314.14)</f>
        <v>314.14</v>
      </c>
      <c r="R163" s="1">
        <f ca="1">IFERROR(__xludf.DUMMYFUNCTION("""COMPUTED_VALUE"""),41.01)</f>
        <v>41.01</v>
      </c>
      <c r="S163" s="1">
        <f ca="1">IFERROR(__xludf.DUMMYFUNCTION("""COMPUTED_VALUE"""),70.6)</f>
        <v>70.599999999999994</v>
      </c>
      <c r="T163" s="1">
        <f ca="1">IFERROR(__xludf.DUMMYFUNCTION("""COMPUTED_VALUE"""),43.88)</f>
        <v>43.88</v>
      </c>
      <c r="U163" s="1">
        <f ca="1">IFERROR(__xludf.DUMMYFUNCTION("""COMPUTED_VALUE"""),109.75)</f>
        <v>109.75</v>
      </c>
      <c r="V163" s="1">
        <f ca="1">IFERROR(__xludf.DUMMYFUNCTION("""COMPUTED_VALUE"""),138.43)</f>
        <v>138.43</v>
      </c>
      <c r="W163" s="1">
        <f ca="1">IFERROR(__xludf.DUMMYFUNCTION("""COMPUTED_VALUE"""),389.57)</f>
        <v>389.57</v>
      </c>
      <c r="X163" s="1">
        <f ca="1">IFERROR(__xludf.DUMMYFUNCTION("""COMPUTED_VALUE"""),372.12)</f>
        <v>372.12</v>
      </c>
      <c r="Y163" s="1">
        <f ca="1">IFERROR(__xludf.DUMMYFUNCTION("""COMPUTED_VALUE"""),78.34)</f>
        <v>78.34</v>
      </c>
      <c r="Z163" s="1">
        <f ca="1">IFERROR(__xludf.DUMMYFUNCTION("""COMPUTED_VALUE"""),202.43)</f>
        <v>202.43</v>
      </c>
      <c r="AA163" s="1">
        <f ca="1">IFERROR(__xludf.DUMMYFUNCTION("""COMPUTED_VALUE"""),36.83)</f>
        <v>36.83</v>
      </c>
      <c r="AB163" s="1">
        <f ca="1">IFERROR(__xludf.DUMMYFUNCTION("""COMPUTED_VALUE"""),77.07)</f>
        <v>77.069999999999993</v>
      </c>
      <c r="AC163" s="1">
        <f ca="1">IFERROR(__xludf.DUMMYFUNCTION("""COMPUTED_VALUE"""),83.81)</f>
        <v>83.81</v>
      </c>
    </row>
    <row r="164" spans="1:29" x14ac:dyDescent="0.25">
      <c r="A164" s="2">
        <f ca="1">IFERROR(__xludf.DUMMYFUNCTION("""COMPUTED_VALUE"""),44067.6666666666)</f>
        <v>44067.666666666599</v>
      </c>
      <c r="B164" s="1">
        <f ca="1">IFERROR(__xludf.DUMMYFUNCTION("""COMPUTED_VALUE"""),125.86)</f>
        <v>125.86</v>
      </c>
      <c r="C164" s="1">
        <f ca="1">IFERROR(__xludf.DUMMYFUNCTION("""COMPUTED_VALUE"""),213.69)</f>
        <v>213.69</v>
      </c>
      <c r="D164" s="1">
        <f ca="1">IFERROR(__xludf.DUMMYFUNCTION("""COMPUTED_VALUE"""),165.37)</f>
        <v>165.37</v>
      </c>
      <c r="E164" s="1">
        <f ca="1">IFERROR(__xludf.DUMMYFUNCTION("""COMPUTED_VALUE"""),12.72)</f>
        <v>12.72</v>
      </c>
      <c r="F164" s="1">
        <f ca="1">IFERROR(__xludf.DUMMYFUNCTION("""COMPUTED_VALUE"""),271.39)</f>
        <v>271.39</v>
      </c>
      <c r="G164" s="1">
        <f ca="1">IFERROR(__xludf.DUMMYFUNCTION("""COMPUTED_VALUE"""),79.41)</f>
        <v>79.41</v>
      </c>
      <c r="H164" s="1">
        <f ca="1">IFERROR(__xludf.DUMMYFUNCTION("""COMPUTED_VALUE"""),134.28)</f>
        <v>134.28</v>
      </c>
      <c r="I164" s="1">
        <f ca="1">IFERROR(__xludf.DUMMYFUNCTION("""COMPUTED_VALUE"""),137.64)</f>
        <v>137.63999999999999</v>
      </c>
      <c r="J164" s="1">
        <f ca="1">IFERROR(__xludf.DUMMYFUNCTION("""COMPUTED_VALUE"""),344.13)</f>
        <v>344.13</v>
      </c>
      <c r="K164" s="1">
        <f ca="1">IFERROR(__xludf.DUMMYFUNCTION("""COMPUTED_VALUE"""),33.4)</f>
        <v>33.4</v>
      </c>
      <c r="L164" s="1">
        <f ca="1">IFERROR(__xludf.DUMMYFUNCTION("""COMPUTED_VALUE"""),476.3)</f>
        <v>476.3</v>
      </c>
      <c r="M164" s="1">
        <f ca="1">IFERROR(__xludf.DUMMYFUNCTION("""COMPUTED_VALUE"""),488.81)</f>
        <v>488.81</v>
      </c>
      <c r="N164" s="1">
        <f ca="1">IFERROR(__xludf.DUMMYFUNCTION("""COMPUTED_VALUE"""),100.06)</f>
        <v>100.06</v>
      </c>
      <c r="O164" s="1">
        <f ca="1">IFERROR(__xludf.DUMMYFUNCTION("""COMPUTED_VALUE"""),206.41)</f>
        <v>206.41</v>
      </c>
      <c r="P164" s="1">
        <f ca="1">IFERROR(__xludf.DUMMYFUNCTION("""COMPUTED_VALUE"""),152.15)</f>
        <v>152.15</v>
      </c>
      <c r="Q164" s="1">
        <f ca="1">IFERROR(__xludf.DUMMYFUNCTION("""COMPUTED_VALUE"""),308.84)</f>
        <v>308.83999999999997</v>
      </c>
      <c r="R164" s="1">
        <f ca="1">IFERROR(__xludf.DUMMYFUNCTION("""COMPUTED_VALUE"""),42.22)</f>
        <v>42.22</v>
      </c>
      <c r="S164" s="1">
        <f ca="1">IFERROR(__xludf.DUMMYFUNCTION("""COMPUTED_VALUE"""),70.66)</f>
        <v>70.66</v>
      </c>
      <c r="T164" s="1">
        <f ca="1">IFERROR(__xludf.DUMMYFUNCTION("""COMPUTED_VALUE"""),43.78)</f>
        <v>43.78</v>
      </c>
      <c r="U164" s="1">
        <f ca="1">IFERROR(__xludf.DUMMYFUNCTION("""COMPUTED_VALUE"""),111.83)</f>
        <v>111.83</v>
      </c>
      <c r="V164" s="1">
        <f ca="1">IFERROR(__xludf.DUMMYFUNCTION("""COMPUTED_VALUE"""),141.68)</f>
        <v>141.68</v>
      </c>
      <c r="W164" s="1">
        <f ca="1">IFERROR(__xludf.DUMMYFUNCTION("""COMPUTED_VALUE"""),395.04)</f>
        <v>395.04</v>
      </c>
      <c r="X164" s="1">
        <f ca="1">IFERROR(__xludf.DUMMYFUNCTION("""COMPUTED_VALUE"""),377.99)</f>
        <v>377.99</v>
      </c>
      <c r="Y164" s="1">
        <f ca="1">IFERROR(__xludf.DUMMYFUNCTION("""COMPUTED_VALUE"""),78.9)</f>
        <v>78.900000000000006</v>
      </c>
      <c r="Z164" s="1">
        <f ca="1">IFERROR(__xludf.DUMMYFUNCTION("""COMPUTED_VALUE"""),207.34)</f>
        <v>207.34</v>
      </c>
      <c r="AA164" s="1">
        <f ca="1">IFERROR(__xludf.DUMMYFUNCTION("""COMPUTED_VALUE"""),36.79)</f>
        <v>36.79</v>
      </c>
      <c r="AB164" s="1">
        <f ca="1">IFERROR(__xludf.DUMMYFUNCTION("""COMPUTED_VALUE"""),78.68)</f>
        <v>78.680000000000007</v>
      </c>
      <c r="AC164" s="1">
        <f ca="1">IFERROR(__xludf.DUMMYFUNCTION("""COMPUTED_VALUE"""),83.08)</f>
        <v>83.08</v>
      </c>
    </row>
    <row r="165" spans="1:29" x14ac:dyDescent="0.25">
      <c r="A165" s="2">
        <f ca="1">IFERROR(__xludf.DUMMYFUNCTION("""COMPUTED_VALUE"""),44068.6666666666)</f>
        <v>44068.666666666599</v>
      </c>
      <c r="B165" s="1">
        <f ca="1">IFERROR(__xludf.DUMMYFUNCTION("""COMPUTED_VALUE"""),124.83)</f>
        <v>124.83</v>
      </c>
      <c r="C165" s="1">
        <f ca="1">IFERROR(__xludf.DUMMYFUNCTION("""COMPUTED_VALUE"""),216.47)</f>
        <v>216.47</v>
      </c>
      <c r="D165" s="1">
        <f ca="1">IFERROR(__xludf.DUMMYFUNCTION("""COMPUTED_VALUE"""),167.32)</f>
        <v>167.32</v>
      </c>
      <c r="E165" s="1">
        <f ca="1">IFERROR(__xludf.DUMMYFUNCTION("""COMPUTED_VALUE"""),12.75)</f>
        <v>12.75</v>
      </c>
      <c r="F165" s="1">
        <f ca="1">IFERROR(__xludf.DUMMYFUNCTION("""COMPUTED_VALUE"""),280.82)</f>
        <v>280.82</v>
      </c>
      <c r="G165" s="1">
        <f ca="1">IFERROR(__xludf.DUMMYFUNCTION("""COMPUTED_VALUE"""),80.41)</f>
        <v>80.41</v>
      </c>
      <c r="H165" s="1">
        <f ca="1">IFERROR(__xludf.DUMMYFUNCTION("""COMPUTED_VALUE"""),134.89)</f>
        <v>134.88999999999999</v>
      </c>
      <c r="I165" s="1">
        <f ca="1">IFERROR(__xludf.DUMMYFUNCTION("""COMPUTED_VALUE"""),137.3)</f>
        <v>137.30000000000001</v>
      </c>
      <c r="J165" s="1">
        <f ca="1">IFERROR(__xludf.DUMMYFUNCTION("""COMPUTED_VALUE"""),344.71)</f>
        <v>344.71</v>
      </c>
      <c r="K165" s="1">
        <f ca="1">IFERROR(__xludf.DUMMYFUNCTION("""COMPUTED_VALUE"""),33.61)</f>
        <v>33.61</v>
      </c>
      <c r="L165" s="1">
        <f ca="1">IFERROR(__xludf.DUMMYFUNCTION("""COMPUTED_VALUE"""),484.43)</f>
        <v>484.43</v>
      </c>
      <c r="M165" s="1">
        <f ca="1">IFERROR(__xludf.DUMMYFUNCTION("""COMPUTED_VALUE"""),490.58)</f>
        <v>490.58</v>
      </c>
      <c r="N165" s="1">
        <f ca="1">IFERROR(__xludf.DUMMYFUNCTION("""COMPUTED_VALUE"""),100.5)</f>
        <v>100.5</v>
      </c>
      <c r="O165" s="1">
        <f ca="1">IFERROR(__xludf.DUMMYFUNCTION("""COMPUTED_VALUE"""),208.1)</f>
        <v>208.1</v>
      </c>
      <c r="P165" s="1">
        <f ca="1">IFERROR(__xludf.DUMMYFUNCTION("""COMPUTED_VALUE"""),152.06)</f>
        <v>152.06</v>
      </c>
      <c r="Q165" s="1">
        <f ca="1">IFERROR(__xludf.DUMMYFUNCTION("""COMPUTED_VALUE"""),312.22)</f>
        <v>312.22000000000003</v>
      </c>
      <c r="R165" s="1">
        <f ca="1">IFERROR(__xludf.DUMMYFUNCTION("""COMPUTED_VALUE"""),40.88)</f>
        <v>40.880000000000003</v>
      </c>
      <c r="S165" s="1">
        <f ca="1">IFERROR(__xludf.DUMMYFUNCTION("""COMPUTED_VALUE"""),70.33)</f>
        <v>70.33</v>
      </c>
      <c r="T165" s="1">
        <f ca="1">IFERROR(__xludf.DUMMYFUNCTION("""COMPUTED_VALUE"""),43.54)</f>
        <v>43.54</v>
      </c>
      <c r="U165" s="1">
        <f ca="1">IFERROR(__xludf.DUMMYFUNCTION("""COMPUTED_VALUE"""),111.51)</f>
        <v>111.51</v>
      </c>
      <c r="V165" s="1">
        <f ca="1">IFERROR(__xludf.DUMMYFUNCTION("""COMPUTED_VALUE"""),141.15)</f>
        <v>141.15</v>
      </c>
      <c r="W165" s="1">
        <f ca="1">IFERROR(__xludf.DUMMYFUNCTION("""COMPUTED_VALUE"""),394.84)</f>
        <v>394.84</v>
      </c>
      <c r="X165" s="1">
        <f ca="1">IFERROR(__xludf.DUMMYFUNCTION("""COMPUTED_VALUE"""),380.83)</f>
        <v>380.83</v>
      </c>
      <c r="Y165" s="1">
        <f ca="1">IFERROR(__xludf.DUMMYFUNCTION("""COMPUTED_VALUE"""),80.04)</f>
        <v>80.040000000000006</v>
      </c>
      <c r="Z165" s="1">
        <f ca="1">IFERROR(__xludf.DUMMYFUNCTION("""COMPUTED_VALUE"""),206)</f>
        <v>206</v>
      </c>
      <c r="AA165" s="1">
        <f ca="1">IFERROR(__xludf.DUMMYFUNCTION("""COMPUTED_VALUE"""),36.39)</f>
        <v>36.39</v>
      </c>
      <c r="AB165" s="1">
        <f ca="1">IFERROR(__xludf.DUMMYFUNCTION("""COMPUTED_VALUE"""),82.72)</f>
        <v>82.72</v>
      </c>
      <c r="AC165" s="1">
        <f ca="1">IFERROR(__xludf.DUMMYFUNCTION("""COMPUTED_VALUE"""),86.35)</f>
        <v>86.35</v>
      </c>
    </row>
    <row r="166" spans="1:29" x14ac:dyDescent="0.25">
      <c r="A166" s="2">
        <f ca="1">IFERROR(__xludf.DUMMYFUNCTION("""COMPUTED_VALUE"""),44069.6666666666)</f>
        <v>44069.666666666599</v>
      </c>
      <c r="B166" s="1">
        <f ca="1">IFERROR(__xludf.DUMMYFUNCTION("""COMPUTED_VALUE"""),126.52)</f>
        <v>126.52</v>
      </c>
      <c r="C166" s="1">
        <f ca="1">IFERROR(__xludf.DUMMYFUNCTION("""COMPUTED_VALUE"""),221.15)</f>
        <v>221.15</v>
      </c>
      <c r="D166" s="1">
        <f ca="1">IFERROR(__xludf.DUMMYFUNCTION("""COMPUTED_VALUE"""),172.09)</f>
        <v>172.09</v>
      </c>
      <c r="E166" s="1">
        <f ca="1">IFERROR(__xludf.DUMMYFUNCTION("""COMPUTED_VALUE"""),12.77)</f>
        <v>12.77</v>
      </c>
      <c r="F166" s="1">
        <f ca="1">IFERROR(__xludf.DUMMYFUNCTION("""COMPUTED_VALUE"""),303.91)</f>
        <v>303.91000000000003</v>
      </c>
      <c r="G166" s="1">
        <f ca="1">IFERROR(__xludf.DUMMYFUNCTION("""COMPUTED_VALUE"""),82.62)</f>
        <v>82.62</v>
      </c>
      <c r="H166" s="1">
        <f ca="1">IFERROR(__xludf.DUMMYFUNCTION("""COMPUTED_VALUE"""),143.54)</f>
        <v>143.54</v>
      </c>
      <c r="I166" s="1">
        <f ca="1">IFERROR(__xludf.DUMMYFUNCTION("""COMPUTED_VALUE"""),138.47)</f>
        <v>138.47</v>
      </c>
      <c r="J166" s="1">
        <f ca="1">IFERROR(__xludf.DUMMYFUNCTION("""COMPUTED_VALUE"""),344.27)</f>
        <v>344.27</v>
      </c>
      <c r="K166" s="1">
        <f ca="1">IFERROR(__xludf.DUMMYFUNCTION("""COMPUTED_VALUE"""),33.97)</f>
        <v>33.97</v>
      </c>
      <c r="L166" s="1">
        <f ca="1">IFERROR(__xludf.DUMMYFUNCTION("""COMPUTED_VALUE"""),528.49)</f>
        <v>528.49</v>
      </c>
      <c r="M166" s="1">
        <f ca="1">IFERROR(__xludf.DUMMYFUNCTION("""COMPUTED_VALUE"""),547.53)</f>
        <v>547.53</v>
      </c>
      <c r="N166" s="1">
        <f ca="1">IFERROR(__xludf.DUMMYFUNCTION("""COMPUTED_VALUE"""),99.09)</f>
        <v>99.09</v>
      </c>
      <c r="O166" s="1">
        <f ca="1">IFERROR(__xludf.DUMMYFUNCTION("""COMPUTED_VALUE"""),210.26)</f>
        <v>210.26</v>
      </c>
      <c r="P166" s="1">
        <f ca="1">IFERROR(__xludf.DUMMYFUNCTION("""COMPUTED_VALUE"""),152.3)</f>
        <v>152.30000000000001</v>
      </c>
      <c r="Q166" s="1">
        <f ca="1">IFERROR(__xludf.DUMMYFUNCTION("""COMPUTED_VALUE"""),308.82)</f>
        <v>308.82</v>
      </c>
      <c r="R166" s="1">
        <f ca="1">IFERROR(__xludf.DUMMYFUNCTION("""COMPUTED_VALUE"""),40.01)</f>
        <v>40.01</v>
      </c>
      <c r="S166" s="1">
        <f ca="1">IFERROR(__xludf.DUMMYFUNCTION("""COMPUTED_VALUE"""),69.75)</f>
        <v>69.75</v>
      </c>
      <c r="T166" s="1">
        <f ca="1">IFERROR(__xludf.DUMMYFUNCTION("""COMPUTED_VALUE"""),43.57)</f>
        <v>43.57</v>
      </c>
      <c r="U166" s="1">
        <f ca="1">IFERROR(__xludf.DUMMYFUNCTION("""COMPUTED_VALUE"""),111.53)</f>
        <v>111.53</v>
      </c>
      <c r="V166" s="1">
        <f ca="1">IFERROR(__xludf.DUMMYFUNCTION("""COMPUTED_VALUE"""),141.83)</f>
        <v>141.83000000000001</v>
      </c>
      <c r="W166" s="1">
        <f ca="1">IFERROR(__xludf.DUMMYFUNCTION("""COMPUTED_VALUE"""),395.44)</f>
        <v>395.44</v>
      </c>
      <c r="X166" s="1">
        <f ca="1">IFERROR(__xludf.DUMMYFUNCTION("""COMPUTED_VALUE"""),385.92)</f>
        <v>385.92</v>
      </c>
      <c r="Y166" s="1">
        <f ca="1">IFERROR(__xludf.DUMMYFUNCTION("""COMPUTED_VALUE"""),81.75)</f>
        <v>81.75</v>
      </c>
      <c r="Z166" s="1">
        <f ca="1">IFERROR(__xludf.DUMMYFUNCTION("""COMPUTED_VALUE"""),207.22)</f>
        <v>207.22</v>
      </c>
      <c r="AA166" s="1">
        <f ca="1">IFERROR(__xludf.DUMMYFUNCTION("""COMPUTED_VALUE"""),36.05)</f>
        <v>36.049999999999997</v>
      </c>
      <c r="AB166" s="1">
        <f ca="1">IFERROR(__xludf.DUMMYFUNCTION("""COMPUTED_VALUE"""),82.41)</f>
        <v>82.41</v>
      </c>
      <c r="AC166" s="1">
        <f ca="1">IFERROR(__xludf.DUMMYFUNCTION("""COMPUTED_VALUE"""),86.02)</f>
        <v>86.02</v>
      </c>
    </row>
    <row r="167" spans="1:29" x14ac:dyDescent="0.25">
      <c r="A167" s="2">
        <f ca="1">IFERROR(__xludf.DUMMYFUNCTION("""COMPUTED_VALUE"""),44070.6666666666)</f>
        <v>44070.666666666599</v>
      </c>
      <c r="B167" s="1">
        <f ca="1">IFERROR(__xludf.DUMMYFUNCTION("""COMPUTED_VALUE"""),125.01)</f>
        <v>125.01</v>
      </c>
      <c r="C167" s="1">
        <f ca="1">IFERROR(__xludf.DUMMYFUNCTION("""COMPUTED_VALUE"""),226.58)</f>
        <v>226.58</v>
      </c>
      <c r="D167" s="1">
        <f ca="1">IFERROR(__xludf.DUMMYFUNCTION("""COMPUTED_VALUE"""),170)</f>
        <v>170</v>
      </c>
      <c r="E167" s="1">
        <f ca="1">IFERROR(__xludf.DUMMYFUNCTION("""COMPUTED_VALUE"""),12.63)</f>
        <v>12.63</v>
      </c>
      <c r="F167" s="1">
        <f ca="1">IFERROR(__xludf.DUMMYFUNCTION("""COMPUTED_VALUE"""),293.22)</f>
        <v>293.22000000000003</v>
      </c>
      <c r="G167" s="1">
        <f ca="1">IFERROR(__xludf.DUMMYFUNCTION("""COMPUTED_VALUE"""),81.72)</f>
        <v>81.72</v>
      </c>
      <c r="H167" s="1">
        <f ca="1">IFERROR(__xludf.DUMMYFUNCTION("""COMPUTED_VALUE"""),149.25)</f>
        <v>149.25</v>
      </c>
      <c r="I167" s="1">
        <f ca="1">IFERROR(__xludf.DUMMYFUNCTION("""COMPUTED_VALUE"""),138.4)</f>
        <v>138.4</v>
      </c>
      <c r="J167" s="1">
        <f ca="1">IFERROR(__xludf.DUMMYFUNCTION("""COMPUTED_VALUE"""),346.36)</f>
        <v>346.36</v>
      </c>
      <c r="K167" s="1">
        <f ca="1">IFERROR(__xludf.DUMMYFUNCTION("""COMPUTED_VALUE"""),33.91)</f>
        <v>33.909999999999997</v>
      </c>
      <c r="L167" s="1">
        <f ca="1">IFERROR(__xludf.DUMMYFUNCTION("""COMPUTED_VALUE"""),510.32)</f>
        <v>510.32</v>
      </c>
      <c r="M167" s="1">
        <f ca="1">IFERROR(__xludf.DUMMYFUNCTION("""COMPUTED_VALUE"""),526.27)</f>
        <v>526.27</v>
      </c>
      <c r="N167" s="1">
        <f ca="1">IFERROR(__xludf.DUMMYFUNCTION("""COMPUTED_VALUE"""),102.35)</f>
        <v>102.35</v>
      </c>
      <c r="O167" s="1">
        <f ca="1">IFERROR(__xludf.DUMMYFUNCTION("""COMPUTED_VALUE"""),211.03)</f>
        <v>211.03</v>
      </c>
      <c r="P167" s="1">
        <f ca="1">IFERROR(__xludf.DUMMYFUNCTION("""COMPUTED_VALUE"""),152.98)</f>
        <v>152.97999999999999</v>
      </c>
      <c r="Q167" s="1">
        <f ca="1">IFERROR(__xludf.DUMMYFUNCTION("""COMPUTED_VALUE"""),311.67)</f>
        <v>311.67</v>
      </c>
      <c r="R167" s="1">
        <f ca="1">IFERROR(__xludf.DUMMYFUNCTION("""COMPUTED_VALUE"""),39.74)</f>
        <v>39.74</v>
      </c>
      <c r="S167" s="1">
        <f ca="1">IFERROR(__xludf.DUMMYFUNCTION("""COMPUTED_VALUE"""),69.72)</f>
        <v>69.72</v>
      </c>
      <c r="T167" s="1">
        <f ca="1">IFERROR(__xludf.DUMMYFUNCTION("""COMPUTED_VALUE"""),45.54)</f>
        <v>45.54</v>
      </c>
      <c r="U167" s="1">
        <f ca="1">IFERROR(__xludf.DUMMYFUNCTION("""COMPUTED_VALUE"""),110.84)</f>
        <v>110.84</v>
      </c>
      <c r="V167" s="1">
        <f ca="1">IFERROR(__xludf.DUMMYFUNCTION("""COMPUTED_VALUE"""),143.37)</f>
        <v>143.37</v>
      </c>
      <c r="W167" s="1">
        <f ca="1">IFERROR(__xludf.DUMMYFUNCTION("""COMPUTED_VALUE"""),395.02)</f>
        <v>395.02</v>
      </c>
      <c r="X167" s="1">
        <f ca="1">IFERROR(__xludf.DUMMYFUNCTION("""COMPUTED_VALUE"""),376.22)</f>
        <v>376.22</v>
      </c>
      <c r="Y167" s="1">
        <f ca="1">IFERROR(__xludf.DUMMYFUNCTION("""COMPUTED_VALUE"""),80.6)</f>
        <v>80.599999999999994</v>
      </c>
      <c r="Z167" s="1">
        <f ca="1">IFERROR(__xludf.DUMMYFUNCTION("""COMPUTED_VALUE"""),210.15)</f>
        <v>210.15</v>
      </c>
      <c r="AA167" s="1">
        <f ca="1">IFERROR(__xludf.DUMMYFUNCTION("""COMPUTED_VALUE"""),35.87)</f>
        <v>35.869999999999997</v>
      </c>
      <c r="AB167" s="1">
        <f ca="1">IFERROR(__xludf.DUMMYFUNCTION("""COMPUTED_VALUE"""),83.41)</f>
        <v>83.41</v>
      </c>
      <c r="AC167" s="1">
        <f ca="1">IFERROR(__xludf.DUMMYFUNCTION("""COMPUTED_VALUE"""),83.8)</f>
        <v>83.8</v>
      </c>
    </row>
    <row r="168" spans="1:29" x14ac:dyDescent="0.25">
      <c r="A168" s="2">
        <f ca="1">IFERROR(__xludf.DUMMYFUNCTION("""COMPUTED_VALUE"""),44071.6666666666)</f>
        <v>44071.666666666599</v>
      </c>
      <c r="B168" s="1">
        <f ca="1">IFERROR(__xludf.DUMMYFUNCTION("""COMPUTED_VALUE"""),124.81)</f>
        <v>124.81</v>
      </c>
      <c r="C168" s="1">
        <f ca="1">IFERROR(__xludf.DUMMYFUNCTION("""COMPUTED_VALUE"""),228.91)</f>
        <v>228.91</v>
      </c>
      <c r="D168" s="1">
        <f ca="1">IFERROR(__xludf.DUMMYFUNCTION("""COMPUTED_VALUE"""),170.09)</f>
        <v>170.09</v>
      </c>
      <c r="E168" s="1">
        <f ca="1">IFERROR(__xludf.DUMMYFUNCTION("""COMPUTED_VALUE"""),13.15)</f>
        <v>13.15</v>
      </c>
      <c r="F168" s="1">
        <f ca="1">IFERROR(__xludf.DUMMYFUNCTION("""COMPUTED_VALUE"""),293.66)</f>
        <v>293.66000000000003</v>
      </c>
      <c r="G168" s="1">
        <f ca="1">IFERROR(__xludf.DUMMYFUNCTION("""COMPUTED_VALUE"""),82.22)</f>
        <v>82.22</v>
      </c>
      <c r="H168" s="1">
        <f ca="1">IFERROR(__xludf.DUMMYFUNCTION("""COMPUTED_VALUE"""),147.56)</f>
        <v>147.56</v>
      </c>
      <c r="I168" s="1">
        <f ca="1">IFERROR(__xludf.DUMMYFUNCTION("""COMPUTED_VALUE"""),139.94)</f>
        <v>139.94</v>
      </c>
      <c r="J168" s="1">
        <f ca="1">IFERROR(__xludf.DUMMYFUNCTION("""COMPUTED_VALUE"""),348.37)</f>
        <v>348.37</v>
      </c>
      <c r="K168" s="1">
        <f ca="1">IFERROR(__xludf.DUMMYFUNCTION("""COMPUTED_VALUE"""),34.48)</f>
        <v>34.479999999999997</v>
      </c>
      <c r="L168" s="1">
        <f ca="1">IFERROR(__xludf.DUMMYFUNCTION("""COMPUTED_VALUE"""),516.44)</f>
        <v>516.44000000000005</v>
      </c>
      <c r="M168" s="1">
        <f ca="1">IFERROR(__xludf.DUMMYFUNCTION("""COMPUTED_VALUE"""),523.89)</f>
        <v>523.89</v>
      </c>
      <c r="N168" s="1">
        <f ca="1">IFERROR(__xludf.DUMMYFUNCTION("""COMPUTED_VALUE"""),102.77)</f>
        <v>102.77</v>
      </c>
      <c r="O168" s="1">
        <f ca="1">IFERROR(__xludf.DUMMYFUNCTION("""COMPUTED_VALUE"""),215.71)</f>
        <v>215.71</v>
      </c>
      <c r="P168" s="1">
        <f ca="1">IFERROR(__xludf.DUMMYFUNCTION("""COMPUTED_VALUE"""),153.64)</f>
        <v>153.63999999999999</v>
      </c>
      <c r="Q168" s="1">
        <f ca="1">IFERROR(__xludf.DUMMYFUNCTION("""COMPUTED_VALUE"""),314.37)</f>
        <v>314.37</v>
      </c>
      <c r="R168" s="1">
        <f ca="1">IFERROR(__xludf.DUMMYFUNCTION("""COMPUTED_VALUE"""),40.69)</f>
        <v>40.69</v>
      </c>
      <c r="S168" s="1">
        <f ca="1">IFERROR(__xludf.DUMMYFUNCTION("""COMPUTED_VALUE"""),69.89)</f>
        <v>69.89</v>
      </c>
      <c r="T168" s="1">
        <f ca="1">IFERROR(__xludf.DUMMYFUNCTION("""COMPUTED_VALUE"""),46.77)</f>
        <v>46.77</v>
      </c>
      <c r="U168" s="1">
        <f ca="1">IFERROR(__xludf.DUMMYFUNCTION("""COMPUTED_VALUE"""),112.29)</f>
        <v>112.29</v>
      </c>
      <c r="V168" s="1">
        <f ca="1">IFERROR(__xludf.DUMMYFUNCTION("""COMPUTED_VALUE"""),143.63)</f>
        <v>143.63</v>
      </c>
      <c r="W168" s="1">
        <f ca="1">IFERROR(__xludf.DUMMYFUNCTION("""COMPUTED_VALUE"""),395.59)</f>
        <v>395.59</v>
      </c>
      <c r="X168" s="1">
        <f ca="1">IFERROR(__xludf.DUMMYFUNCTION("""COMPUTED_VALUE"""),379.47)</f>
        <v>379.47</v>
      </c>
      <c r="Y168" s="1">
        <f ca="1">IFERROR(__xludf.DUMMYFUNCTION("""COMPUTED_VALUE"""),80.44)</f>
        <v>80.44</v>
      </c>
      <c r="Z168" s="1">
        <f ca="1">IFERROR(__xludf.DUMMYFUNCTION("""COMPUTED_VALUE"""),207.71)</f>
        <v>207.71</v>
      </c>
      <c r="AA168" s="1">
        <f ca="1">IFERROR(__xludf.DUMMYFUNCTION("""COMPUTED_VALUE"""),35.91)</f>
        <v>35.909999999999997</v>
      </c>
      <c r="AB168" s="1">
        <f ca="1">IFERROR(__xludf.DUMMYFUNCTION("""COMPUTED_VALUE"""),85)</f>
        <v>85</v>
      </c>
      <c r="AC168" s="1">
        <f ca="1">IFERROR(__xludf.DUMMYFUNCTION("""COMPUTED_VALUE"""),85.55)</f>
        <v>85.55</v>
      </c>
    </row>
    <row r="169" spans="1:29" x14ac:dyDescent="0.25">
      <c r="A169" s="2">
        <f ca="1">IFERROR(__xludf.DUMMYFUNCTION("""COMPUTED_VALUE"""),44074.6666666666)</f>
        <v>44074.666666666599</v>
      </c>
      <c r="B169" s="1">
        <f ca="1">IFERROR(__xludf.DUMMYFUNCTION("""COMPUTED_VALUE"""),129.04)</f>
        <v>129.04</v>
      </c>
      <c r="C169" s="1">
        <f ca="1">IFERROR(__xludf.DUMMYFUNCTION("""COMPUTED_VALUE"""),225.53)</f>
        <v>225.53</v>
      </c>
      <c r="D169" s="1">
        <f ca="1">IFERROR(__xludf.DUMMYFUNCTION("""COMPUTED_VALUE"""),172.55)</f>
        <v>172.55</v>
      </c>
      <c r="E169" s="1">
        <f ca="1">IFERROR(__xludf.DUMMYFUNCTION("""COMPUTED_VALUE"""),13.37)</f>
        <v>13.37</v>
      </c>
      <c r="F169" s="1">
        <f ca="1">IFERROR(__xludf.DUMMYFUNCTION("""COMPUTED_VALUE"""),293.2)</f>
        <v>293.2</v>
      </c>
      <c r="G169" s="1">
        <f ca="1">IFERROR(__xludf.DUMMYFUNCTION("""COMPUTED_VALUE"""),81.71)</f>
        <v>81.709999999999994</v>
      </c>
      <c r="H169" s="1">
        <f ca="1">IFERROR(__xludf.DUMMYFUNCTION("""COMPUTED_VALUE"""),166.11)</f>
        <v>166.11</v>
      </c>
      <c r="I169" s="1">
        <f ca="1">IFERROR(__xludf.DUMMYFUNCTION("""COMPUTED_VALUE"""),140.06)</f>
        <v>140.06</v>
      </c>
      <c r="J169" s="1">
        <f ca="1">IFERROR(__xludf.DUMMYFUNCTION("""COMPUTED_VALUE"""),347.66)</f>
        <v>347.66</v>
      </c>
      <c r="K169" s="1">
        <f ca="1">IFERROR(__xludf.DUMMYFUNCTION("""COMPUTED_VALUE"""),34.72)</f>
        <v>34.72</v>
      </c>
      <c r="L169" s="1">
        <f ca="1">IFERROR(__xludf.DUMMYFUNCTION("""COMPUTED_VALUE"""),513.39)</f>
        <v>513.39</v>
      </c>
      <c r="M169" s="1">
        <f ca="1">IFERROR(__xludf.DUMMYFUNCTION("""COMPUTED_VALUE"""),529.56)</f>
        <v>529.55999999999995</v>
      </c>
      <c r="N169" s="1">
        <f ca="1">IFERROR(__xludf.DUMMYFUNCTION("""COMPUTED_VALUE"""),100.19)</f>
        <v>100.19</v>
      </c>
      <c r="O169" s="1">
        <f ca="1">IFERROR(__xludf.DUMMYFUNCTION("""COMPUTED_VALUE"""),211.99)</f>
        <v>211.99</v>
      </c>
      <c r="P169" s="1">
        <f ca="1">IFERROR(__xludf.DUMMYFUNCTION("""COMPUTED_VALUE"""),153.41)</f>
        <v>153.41</v>
      </c>
      <c r="Q169" s="1">
        <f ca="1">IFERROR(__xludf.DUMMYFUNCTION("""COMPUTED_VALUE"""),312.55)</f>
        <v>312.55</v>
      </c>
      <c r="R169" s="1">
        <f ca="1">IFERROR(__xludf.DUMMYFUNCTION("""COMPUTED_VALUE"""),39.94)</f>
        <v>39.94</v>
      </c>
      <c r="S169" s="1">
        <f ca="1">IFERROR(__xludf.DUMMYFUNCTION("""COMPUTED_VALUE"""),69.79)</f>
        <v>69.790000000000006</v>
      </c>
      <c r="T169" s="1">
        <f ca="1">IFERROR(__xludf.DUMMYFUNCTION("""COMPUTED_VALUE"""),46.28)</f>
        <v>46.28</v>
      </c>
      <c r="U169" s="1">
        <f ca="1">IFERROR(__xludf.DUMMYFUNCTION("""COMPUTED_VALUE"""),111.89)</f>
        <v>111.89</v>
      </c>
      <c r="V169" s="1">
        <f ca="1">IFERROR(__xludf.DUMMYFUNCTION("""COMPUTED_VALUE"""),142.31)</f>
        <v>142.31</v>
      </c>
      <c r="W169" s="1">
        <f ca="1">IFERROR(__xludf.DUMMYFUNCTION("""COMPUTED_VALUE"""),390.26)</f>
        <v>390.26</v>
      </c>
      <c r="X169" s="1">
        <f ca="1">IFERROR(__xludf.DUMMYFUNCTION("""COMPUTED_VALUE"""),374.18)</f>
        <v>374.18</v>
      </c>
      <c r="Y169" s="1">
        <f ca="1">IFERROR(__xludf.DUMMYFUNCTION("""COMPUTED_VALUE"""),79.25)</f>
        <v>79.25</v>
      </c>
      <c r="Z169" s="1">
        <f ca="1">IFERROR(__xludf.DUMMYFUNCTION("""COMPUTED_VALUE"""),204.87)</f>
        <v>204.87</v>
      </c>
      <c r="AA169" s="1">
        <f ca="1">IFERROR(__xludf.DUMMYFUNCTION("""COMPUTED_VALUE"""),35.8)</f>
        <v>35.799999999999997</v>
      </c>
      <c r="AB169" s="1">
        <f ca="1">IFERROR(__xludf.DUMMYFUNCTION("""COMPUTED_VALUE"""),84.47)</f>
        <v>84.47</v>
      </c>
      <c r="AC169" s="1">
        <f ca="1">IFERROR(__xludf.DUMMYFUNCTION("""COMPUTED_VALUE"""),90.82)</f>
        <v>90.82</v>
      </c>
    </row>
    <row r="170" spans="1:29" x14ac:dyDescent="0.25">
      <c r="A170" s="2">
        <f ca="1">IFERROR(__xludf.DUMMYFUNCTION("""COMPUTED_VALUE"""),44075.6666666666)</f>
        <v>44075.666666666599</v>
      </c>
      <c r="B170" s="1">
        <f ca="1">IFERROR(__xludf.DUMMYFUNCTION("""COMPUTED_VALUE"""),134.18)</f>
        <v>134.18</v>
      </c>
      <c r="C170" s="1">
        <f ca="1">IFERROR(__xludf.DUMMYFUNCTION("""COMPUTED_VALUE"""),227.27)</f>
        <v>227.27</v>
      </c>
      <c r="D170" s="1">
        <f ca="1">IFERROR(__xludf.DUMMYFUNCTION("""COMPUTED_VALUE"""),174.96)</f>
        <v>174.96</v>
      </c>
      <c r="E170" s="1">
        <f ca="1">IFERROR(__xludf.DUMMYFUNCTION("""COMPUTED_VALUE"""),13.82)</f>
        <v>13.82</v>
      </c>
      <c r="F170" s="1">
        <f ca="1">IFERROR(__xludf.DUMMYFUNCTION("""COMPUTED_VALUE"""),295.44)</f>
        <v>295.44</v>
      </c>
      <c r="G170" s="1">
        <f ca="1">IFERROR(__xludf.DUMMYFUNCTION("""COMPUTED_VALUE"""),83.04)</f>
        <v>83.04</v>
      </c>
      <c r="H170" s="1">
        <f ca="1">IFERROR(__xludf.DUMMYFUNCTION("""COMPUTED_VALUE"""),158.35)</f>
        <v>158.35</v>
      </c>
      <c r="I170" s="1">
        <f ca="1">IFERROR(__xludf.DUMMYFUNCTION("""COMPUTED_VALUE"""),139.19)</f>
        <v>139.19</v>
      </c>
      <c r="J170" s="1">
        <f ca="1">IFERROR(__xludf.DUMMYFUNCTION("""COMPUTED_VALUE"""),351.38)</f>
        <v>351.38</v>
      </c>
      <c r="K170" s="1">
        <f ca="1">IFERROR(__xludf.DUMMYFUNCTION("""COMPUTED_VALUE"""),35.95)</f>
        <v>35.950000000000003</v>
      </c>
      <c r="L170" s="1">
        <f ca="1">IFERROR(__xludf.DUMMYFUNCTION("""COMPUTED_VALUE"""),527.95)</f>
        <v>527.95000000000005</v>
      </c>
      <c r="M170" s="1">
        <f ca="1">IFERROR(__xludf.DUMMYFUNCTION("""COMPUTED_VALUE"""),556.55)</f>
        <v>556.54999999999995</v>
      </c>
      <c r="N170" s="1">
        <f ca="1">IFERROR(__xludf.DUMMYFUNCTION("""COMPUTED_VALUE"""),100.14)</f>
        <v>100.14</v>
      </c>
      <c r="O170" s="1">
        <f ca="1">IFERROR(__xludf.DUMMYFUNCTION("""COMPUTED_VALUE"""),213.35)</f>
        <v>213.35</v>
      </c>
      <c r="P170" s="1">
        <f ca="1">IFERROR(__xludf.DUMMYFUNCTION("""COMPUTED_VALUE"""),151.52)</f>
        <v>151.52000000000001</v>
      </c>
      <c r="Q170" s="1">
        <f ca="1">IFERROR(__xludf.DUMMYFUNCTION("""COMPUTED_VALUE"""),312.83)</f>
        <v>312.83</v>
      </c>
      <c r="R170" s="1">
        <f ca="1">IFERROR(__xludf.DUMMYFUNCTION("""COMPUTED_VALUE"""),39.43)</f>
        <v>39.43</v>
      </c>
      <c r="S170" s="1">
        <f ca="1">IFERROR(__xludf.DUMMYFUNCTION("""COMPUTED_VALUE"""),69.28)</f>
        <v>69.28</v>
      </c>
      <c r="T170" s="1">
        <f ca="1">IFERROR(__xludf.DUMMYFUNCTION("""COMPUTED_VALUE"""),49.2)</f>
        <v>49.2</v>
      </c>
      <c r="U170" s="1">
        <f ca="1">IFERROR(__xludf.DUMMYFUNCTION("""COMPUTED_VALUE"""),114.84)</f>
        <v>114.84</v>
      </c>
      <c r="V170" s="1">
        <f ca="1">IFERROR(__xludf.DUMMYFUNCTION("""COMPUTED_VALUE"""),146.05)</f>
        <v>146.05000000000001</v>
      </c>
      <c r="W170" s="1">
        <f ca="1">IFERROR(__xludf.DUMMYFUNCTION("""COMPUTED_VALUE"""),386.81)</f>
        <v>386.81</v>
      </c>
      <c r="X170" s="1">
        <f ca="1">IFERROR(__xludf.DUMMYFUNCTION("""COMPUTED_VALUE"""),386.9)</f>
        <v>386.9</v>
      </c>
      <c r="Y170" s="1">
        <f ca="1">IFERROR(__xludf.DUMMYFUNCTION("""COMPUTED_VALUE"""),81.55)</f>
        <v>81.55</v>
      </c>
      <c r="Z170" s="1">
        <f ca="1">IFERROR(__xludf.DUMMYFUNCTION("""COMPUTED_VALUE"""),205.46)</f>
        <v>205.46</v>
      </c>
      <c r="AA170" s="1">
        <f ca="1">IFERROR(__xludf.DUMMYFUNCTION("""COMPUTED_VALUE"""),34.94)</f>
        <v>34.94</v>
      </c>
      <c r="AB170" s="1">
        <f ca="1">IFERROR(__xludf.DUMMYFUNCTION("""COMPUTED_VALUE"""),86.05)</f>
        <v>86.05</v>
      </c>
      <c r="AC170" s="1">
        <f ca="1">IFERROR(__xludf.DUMMYFUNCTION("""COMPUTED_VALUE"""),92.18)</f>
        <v>92.18</v>
      </c>
    </row>
    <row r="171" spans="1:29" x14ac:dyDescent="0.25">
      <c r="A171" s="2">
        <f ca="1">IFERROR(__xludf.DUMMYFUNCTION("""COMPUTED_VALUE"""),44076.6666666666)</f>
        <v>44076.666666666599</v>
      </c>
      <c r="B171" s="1">
        <f ca="1">IFERROR(__xludf.DUMMYFUNCTION("""COMPUTED_VALUE"""),131.4)</f>
        <v>131.4</v>
      </c>
      <c r="C171" s="1">
        <f ca="1">IFERROR(__xludf.DUMMYFUNCTION("""COMPUTED_VALUE"""),231.65)</f>
        <v>231.65</v>
      </c>
      <c r="D171" s="1">
        <f ca="1">IFERROR(__xludf.DUMMYFUNCTION("""COMPUTED_VALUE"""),176.57)</f>
        <v>176.57</v>
      </c>
      <c r="E171" s="1">
        <f ca="1">IFERROR(__xludf.DUMMYFUNCTION("""COMPUTED_VALUE"""),14.35)</f>
        <v>14.35</v>
      </c>
      <c r="F171" s="1">
        <f ca="1">IFERROR(__xludf.DUMMYFUNCTION("""COMPUTED_VALUE"""),302.5)</f>
        <v>302.5</v>
      </c>
      <c r="G171" s="1">
        <f ca="1">IFERROR(__xludf.DUMMYFUNCTION("""COMPUTED_VALUE"""),86.41)</f>
        <v>86.41</v>
      </c>
      <c r="H171" s="1">
        <f ca="1">IFERROR(__xludf.DUMMYFUNCTION("""COMPUTED_VALUE"""),149.12)</f>
        <v>149.12</v>
      </c>
      <c r="I171" s="1">
        <f ca="1">IFERROR(__xludf.DUMMYFUNCTION("""COMPUTED_VALUE"""),143.29)</f>
        <v>143.29</v>
      </c>
      <c r="J171" s="1">
        <f ca="1">IFERROR(__xludf.DUMMYFUNCTION("""COMPUTED_VALUE"""),358.86)</f>
        <v>358.86</v>
      </c>
      <c r="K171" s="1">
        <f ca="1">IFERROR(__xludf.DUMMYFUNCTION("""COMPUTED_VALUE"""),37.5)</f>
        <v>37.5</v>
      </c>
      <c r="L171" s="1">
        <f ca="1">IFERROR(__xludf.DUMMYFUNCTION("""COMPUTED_VALUE"""),533.8)</f>
        <v>533.79999999999995</v>
      </c>
      <c r="M171" s="1">
        <f ca="1">IFERROR(__xludf.DUMMYFUNCTION("""COMPUTED_VALUE"""),552.84)</f>
        <v>552.84</v>
      </c>
      <c r="N171" s="1">
        <f ca="1">IFERROR(__xludf.DUMMYFUNCTION("""COMPUTED_VALUE"""),101.65)</f>
        <v>101.65</v>
      </c>
      <c r="O171" s="1">
        <f ca="1">IFERROR(__xludf.DUMMYFUNCTION("""COMPUTED_VALUE"""),216.48)</f>
        <v>216.48</v>
      </c>
      <c r="P171" s="1">
        <f ca="1">IFERROR(__xludf.DUMMYFUNCTION("""COMPUTED_VALUE"""),153.83)</f>
        <v>153.83000000000001</v>
      </c>
      <c r="Q171" s="1">
        <f ca="1">IFERROR(__xludf.DUMMYFUNCTION("""COMPUTED_VALUE"""),320.24)</f>
        <v>320.24</v>
      </c>
      <c r="R171" s="1">
        <f ca="1">IFERROR(__xludf.DUMMYFUNCTION("""COMPUTED_VALUE"""),39.19)</f>
        <v>39.19</v>
      </c>
      <c r="S171" s="1">
        <f ca="1">IFERROR(__xludf.DUMMYFUNCTION("""COMPUTED_VALUE"""),72.07)</f>
        <v>72.069999999999993</v>
      </c>
      <c r="T171" s="1">
        <f ca="1">IFERROR(__xludf.DUMMYFUNCTION("""COMPUTED_VALUE"""),49.23)</f>
        <v>49.23</v>
      </c>
      <c r="U171" s="1">
        <f ca="1">IFERROR(__xludf.DUMMYFUNCTION("""COMPUTED_VALUE"""),116.8)</f>
        <v>116.8</v>
      </c>
      <c r="V171" s="1">
        <f ca="1">IFERROR(__xludf.DUMMYFUNCTION("""COMPUTED_VALUE"""),149.27)</f>
        <v>149.27000000000001</v>
      </c>
      <c r="W171" s="1">
        <f ca="1">IFERROR(__xludf.DUMMYFUNCTION("""COMPUTED_VALUE"""),398.07)</f>
        <v>398.07</v>
      </c>
      <c r="X171" s="1">
        <f ca="1">IFERROR(__xludf.DUMMYFUNCTION("""COMPUTED_VALUE"""),398.49)</f>
        <v>398.49</v>
      </c>
      <c r="Y171" s="1">
        <f ca="1">IFERROR(__xludf.DUMMYFUNCTION("""COMPUTED_VALUE"""),82.17)</f>
        <v>82.17</v>
      </c>
      <c r="Z171" s="1">
        <f ca="1">IFERROR(__xludf.DUMMYFUNCTION("""COMPUTED_VALUE"""),210.04)</f>
        <v>210.04</v>
      </c>
      <c r="AA171" s="1">
        <f ca="1">IFERROR(__xludf.DUMMYFUNCTION("""COMPUTED_VALUE"""),35.24)</f>
        <v>35.24</v>
      </c>
      <c r="AB171" s="1">
        <f ca="1">IFERROR(__xludf.DUMMYFUNCTION("""COMPUTED_VALUE"""),88.35)</f>
        <v>88.35</v>
      </c>
      <c r="AC171" s="1">
        <f ca="1">IFERROR(__xludf.DUMMYFUNCTION("""COMPUTED_VALUE"""),90.22)</f>
        <v>90.22</v>
      </c>
    </row>
    <row r="172" spans="1:29" x14ac:dyDescent="0.25">
      <c r="A172" s="2">
        <f ca="1">IFERROR(__xludf.DUMMYFUNCTION("""COMPUTED_VALUE"""),44077.6666666666)</f>
        <v>44077.666666666599</v>
      </c>
      <c r="B172" s="1">
        <f ca="1">IFERROR(__xludf.DUMMYFUNCTION("""COMPUTED_VALUE"""),120.88)</f>
        <v>120.88</v>
      </c>
      <c r="C172" s="1">
        <f ca="1">IFERROR(__xludf.DUMMYFUNCTION("""COMPUTED_VALUE"""),217.3)</f>
        <v>217.3</v>
      </c>
      <c r="D172" s="1">
        <f ca="1">IFERROR(__xludf.DUMMYFUNCTION("""COMPUTED_VALUE"""),168.4)</f>
        <v>168.4</v>
      </c>
      <c r="E172" s="1">
        <f ca="1">IFERROR(__xludf.DUMMYFUNCTION("""COMPUTED_VALUE"""),13.02)</f>
        <v>13.02</v>
      </c>
      <c r="F172" s="1">
        <f ca="1">IFERROR(__xludf.DUMMYFUNCTION("""COMPUTED_VALUE"""),291.12)</f>
        <v>291.12</v>
      </c>
      <c r="G172" s="1">
        <f ca="1">IFERROR(__xludf.DUMMYFUNCTION("""COMPUTED_VALUE"""),82.09)</f>
        <v>82.09</v>
      </c>
      <c r="H172" s="1">
        <f ca="1">IFERROR(__xludf.DUMMYFUNCTION("""COMPUTED_VALUE"""),135.67)</f>
        <v>135.66999999999999</v>
      </c>
      <c r="I172" s="1">
        <f ca="1">IFERROR(__xludf.DUMMYFUNCTION("""COMPUTED_VALUE"""),139.37)</f>
        <v>139.37</v>
      </c>
      <c r="J172" s="1">
        <f ca="1">IFERROR(__xludf.DUMMYFUNCTION("""COMPUTED_VALUE"""),348.3)</f>
        <v>348.3</v>
      </c>
      <c r="K172" s="1">
        <f ca="1">IFERROR(__xludf.DUMMYFUNCTION("""COMPUTED_VALUE"""),35.21)</f>
        <v>35.21</v>
      </c>
      <c r="L172" s="1">
        <f ca="1">IFERROR(__xludf.DUMMYFUNCTION("""COMPUTED_VALUE"""),507.8)</f>
        <v>507.8</v>
      </c>
      <c r="M172" s="1">
        <f ca="1">IFERROR(__xludf.DUMMYFUNCTION("""COMPUTED_VALUE"""),525.75)</f>
        <v>525.75</v>
      </c>
      <c r="N172" s="1">
        <f ca="1">IFERROR(__xludf.DUMMYFUNCTION("""COMPUTED_VALUE"""),101.33)</f>
        <v>101.33</v>
      </c>
      <c r="O172" s="1">
        <f ca="1">IFERROR(__xludf.DUMMYFUNCTION("""COMPUTED_VALUE"""),208.96)</f>
        <v>208.96</v>
      </c>
      <c r="P172" s="1">
        <f ca="1">IFERROR(__xludf.DUMMYFUNCTION("""COMPUTED_VALUE"""),149.55)</f>
        <v>149.55000000000001</v>
      </c>
      <c r="Q172" s="1">
        <f ca="1">IFERROR(__xludf.DUMMYFUNCTION("""COMPUTED_VALUE"""),316.23)</f>
        <v>316.23</v>
      </c>
      <c r="R172" s="1">
        <f ca="1">IFERROR(__xludf.DUMMYFUNCTION("""COMPUTED_VALUE"""),39.11)</f>
        <v>39.11</v>
      </c>
      <c r="S172" s="1">
        <f ca="1">IFERROR(__xludf.DUMMYFUNCTION("""COMPUTED_VALUE"""),70.15)</f>
        <v>70.150000000000006</v>
      </c>
      <c r="T172" s="1">
        <f ca="1">IFERROR(__xludf.DUMMYFUNCTION("""COMPUTED_VALUE"""),48.18)</f>
        <v>48.18</v>
      </c>
      <c r="U172" s="1">
        <f ca="1">IFERROR(__xludf.DUMMYFUNCTION("""COMPUTED_VALUE"""),112.85)</f>
        <v>112.85</v>
      </c>
      <c r="V172" s="1">
        <f ca="1">IFERROR(__xludf.DUMMYFUNCTION("""COMPUTED_VALUE"""),146.76)</f>
        <v>146.76</v>
      </c>
      <c r="W172" s="1">
        <f ca="1">IFERROR(__xludf.DUMMYFUNCTION("""COMPUTED_VALUE"""),386.29)</f>
        <v>386.29</v>
      </c>
      <c r="X172" s="1">
        <f ca="1">IFERROR(__xludf.DUMMYFUNCTION("""COMPUTED_VALUE"""),376.16)</f>
        <v>376.16</v>
      </c>
      <c r="Y172" s="1">
        <f ca="1">IFERROR(__xludf.DUMMYFUNCTION("""COMPUTED_VALUE"""),81.18)</f>
        <v>81.180000000000007</v>
      </c>
      <c r="Z172" s="1">
        <f ca="1">IFERROR(__xludf.DUMMYFUNCTION("""COMPUTED_VALUE"""),207.56)</f>
        <v>207.56</v>
      </c>
      <c r="AA172" s="1">
        <f ca="1">IFERROR(__xludf.DUMMYFUNCTION("""COMPUTED_VALUE"""),34.48)</f>
        <v>34.479999999999997</v>
      </c>
      <c r="AB172" s="1">
        <f ca="1">IFERROR(__xludf.DUMMYFUNCTION("""COMPUTED_VALUE"""),86.48)</f>
        <v>86.48</v>
      </c>
      <c r="AC172" s="1">
        <f ca="1">IFERROR(__xludf.DUMMYFUNCTION("""COMPUTED_VALUE"""),82.54)</f>
        <v>82.54</v>
      </c>
    </row>
    <row r="173" spans="1:29" x14ac:dyDescent="0.25">
      <c r="A173" s="2">
        <f ca="1">IFERROR(__xludf.DUMMYFUNCTION("""COMPUTED_VALUE"""),44078.6666666666)</f>
        <v>44078.666666666599</v>
      </c>
      <c r="B173" s="1">
        <f ca="1">IFERROR(__xludf.DUMMYFUNCTION("""COMPUTED_VALUE"""),120.96)</f>
        <v>120.96</v>
      </c>
      <c r="C173" s="1">
        <f ca="1">IFERROR(__xludf.DUMMYFUNCTION("""COMPUTED_VALUE"""),214.25)</f>
        <v>214.25</v>
      </c>
      <c r="D173" s="1">
        <f ca="1">IFERROR(__xludf.DUMMYFUNCTION("""COMPUTED_VALUE"""),164.73)</f>
        <v>164.73</v>
      </c>
      <c r="E173" s="1">
        <f ca="1">IFERROR(__xludf.DUMMYFUNCTION("""COMPUTED_VALUE"""),12.62)</f>
        <v>12.62</v>
      </c>
      <c r="F173" s="1">
        <f ca="1">IFERROR(__xludf.DUMMYFUNCTION("""COMPUTED_VALUE"""),282.73)</f>
        <v>282.73</v>
      </c>
      <c r="G173" s="1">
        <f ca="1">IFERROR(__xludf.DUMMYFUNCTION("""COMPUTED_VALUE"""),79.55)</f>
        <v>79.55</v>
      </c>
      <c r="H173" s="1">
        <f ca="1">IFERROR(__xludf.DUMMYFUNCTION("""COMPUTED_VALUE"""),139.44)</f>
        <v>139.44</v>
      </c>
      <c r="I173" s="1">
        <f ca="1">IFERROR(__xludf.DUMMYFUNCTION("""COMPUTED_VALUE"""),138.76)</f>
        <v>138.76</v>
      </c>
      <c r="J173" s="1">
        <f ca="1">IFERROR(__xludf.DUMMYFUNCTION("""COMPUTED_VALUE"""),346.57)</f>
        <v>346.57</v>
      </c>
      <c r="K173" s="1">
        <f ca="1">IFERROR(__xludf.DUMMYFUNCTION("""COMPUTED_VALUE"""),36.3)</f>
        <v>36.299999999999997</v>
      </c>
      <c r="L173" s="1">
        <f ca="1">IFERROR(__xludf.DUMMYFUNCTION("""COMPUTED_VALUE"""),491.94)</f>
        <v>491.94</v>
      </c>
      <c r="M173" s="1">
        <f ca="1">IFERROR(__xludf.DUMMYFUNCTION("""COMPUTED_VALUE"""),516.05)</f>
        <v>516.04999999999995</v>
      </c>
      <c r="N173" s="1">
        <f ca="1">IFERROR(__xludf.DUMMYFUNCTION("""COMPUTED_VALUE"""),103.52)</f>
        <v>103.52</v>
      </c>
      <c r="O173" s="1">
        <f ca="1">IFERROR(__xludf.DUMMYFUNCTION("""COMPUTED_VALUE"""),204.66)</f>
        <v>204.66</v>
      </c>
      <c r="P173" s="1">
        <f ca="1">IFERROR(__xludf.DUMMYFUNCTION("""COMPUTED_VALUE"""),148.59)</f>
        <v>148.59</v>
      </c>
      <c r="Q173" s="1">
        <f ca="1">IFERROR(__xludf.DUMMYFUNCTION("""COMPUTED_VALUE"""),312)</f>
        <v>312</v>
      </c>
      <c r="R173" s="1">
        <f ca="1">IFERROR(__xludf.DUMMYFUNCTION("""COMPUTED_VALUE"""),39.08)</f>
        <v>39.08</v>
      </c>
      <c r="S173" s="1">
        <f ca="1">IFERROR(__xludf.DUMMYFUNCTION("""COMPUTED_VALUE"""),69.33)</f>
        <v>69.33</v>
      </c>
      <c r="T173" s="1">
        <f ca="1">IFERROR(__xludf.DUMMYFUNCTION("""COMPUTED_VALUE"""),47.61)</f>
        <v>47.61</v>
      </c>
      <c r="U173" s="1">
        <f ca="1">IFERROR(__xludf.DUMMYFUNCTION("""COMPUTED_VALUE"""),112.4)</f>
        <v>112.4</v>
      </c>
      <c r="V173" s="1">
        <f ca="1">IFERROR(__xludf.DUMMYFUNCTION("""COMPUTED_VALUE"""),148.18)</f>
        <v>148.18</v>
      </c>
      <c r="W173" s="1">
        <f ca="1">IFERROR(__xludf.DUMMYFUNCTION("""COMPUTED_VALUE"""),385.02)</f>
        <v>385.02</v>
      </c>
      <c r="X173" s="1">
        <f ca="1">IFERROR(__xludf.DUMMYFUNCTION("""COMPUTED_VALUE"""),367.42)</f>
        <v>367.42</v>
      </c>
      <c r="Y173" s="1">
        <f ca="1">IFERROR(__xludf.DUMMYFUNCTION("""COMPUTED_VALUE"""),78.91)</f>
        <v>78.91</v>
      </c>
      <c r="Z173" s="1">
        <f ca="1">IFERROR(__xludf.DUMMYFUNCTION("""COMPUTED_VALUE"""),210.94)</f>
        <v>210.94</v>
      </c>
      <c r="AA173" s="1">
        <f ca="1">IFERROR(__xludf.DUMMYFUNCTION("""COMPUTED_VALUE"""),34.45)</f>
        <v>34.450000000000003</v>
      </c>
      <c r="AB173" s="1">
        <f ca="1">IFERROR(__xludf.DUMMYFUNCTION("""COMPUTED_VALUE"""),86.27)</f>
        <v>86.27</v>
      </c>
      <c r="AC173" s="1">
        <f ca="1">IFERROR(__xludf.DUMMYFUNCTION("""COMPUTED_VALUE"""),82.01)</f>
        <v>82.01</v>
      </c>
    </row>
    <row r="174" spans="1:29" x14ac:dyDescent="0.25">
      <c r="A174" s="2">
        <f ca="1">IFERROR(__xludf.DUMMYFUNCTION("""COMPUTED_VALUE"""),44082.6666666666)</f>
        <v>44082.666666666599</v>
      </c>
      <c r="B174" s="1">
        <f ca="1">IFERROR(__xludf.DUMMYFUNCTION("""COMPUTED_VALUE"""),112.82)</f>
        <v>112.82</v>
      </c>
      <c r="C174" s="1">
        <f ca="1">IFERROR(__xludf.DUMMYFUNCTION("""COMPUTED_VALUE"""),202.66)</f>
        <v>202.66</v>
      </c>
      <c r="D174" s="1">
        <f ca="1">IFERROR(__xludf.DUMMYFUNCTION("""COMPUTED_VALUE"""),157.49)</f>
        <v>157.49</v>
      </c>
      <c r="E174" s="1">
        <f ca="1">IFERROR(__xludf.DUMMYFUNCTION("""COMPUTED_VALUE"""),11.91)</f>
        <v>11.91</v>
      </c>
      <c r="F174" s="1">
        <f ca="1">IFERROR(__xludf.DUMMYFUNCTION("""COMPUTED_VALUE"""),271.16)</f>
        <v>271.16000000000003</v>
      </c>
      <c r="G174" s="1">
        <f ca="1">IFERROR(__xludf.DUMMYFUNCTION("""COMPUTED_VALUE"""),76.62)</f>
        <v>76.62</v>
      </c>
      <c r="H174" s="1">
        <f ca="1">IFERROR(__xludf.DUMMYFUNCTION("""COMPUTED_VALUE"""),110.07)</f>
        <v>110.07</v>
      </c>
      <c r="I174" s="1">
        <f ca="1">IFERROR(__xludf.DUMMYFUNCTION("""COMPUTED_VALUE"""),135.55)</f>
        <v>135.55000000000001</v>
      </c>
      <c r="J174" s="1">
        <f ca="1">IFERROR(__xludf.DUMMYFUNCTION("""COMPUTED_VALUE"""),338.86)</f>
        <v>338.86</v>
      </c>
      <c r="K174" s="1">
        <f ca="1">IFERROR(__xludf.DUMMYFUNCTION("""COMPUTED_VALUE"""),35.05)</f>
        <v>35.049999999999997</v>
      </c>
      <c r="L174" s="1">
        <f ca="1">IFERROR(__xludf.DUMMYFUNCTION("""COMPUTED_VALUE"""),462.13)</f>
        <v>462.13</v>
      </c>
      <c r="M174" s="1">
        <f ca="1">IFERROR(__xludf.DUMMYFUNCTION("""COMPUTED_VALUE"""),507.02)</f>
        <v>507.02</v>
      </c>
      <c r="N174" s="1">
        <f ca="1">IFERROR(__xludf.DUMMYFUNCTION("""COMPUTED_VALUE"""),99.92)</f>
        <v>99.92</v>
      </c>
      <c r="O174" s="1">
        <f ca="1">IFERROR(__xludf.DUMMYFUNCTION("""COMPUTED_VALUE"""),200.12)</f>
        <v>200.12</v>
      </c>
      <c r="P174" s="1">
        <f ca="1">IFERROR(__xludf.DUMMYFUNCTION("""COMPUTED_VALUE"""),147.26)</f>
        <v>147.26</v>
      </c>
      <c r="Q174" s="1">
        <f ca="1">IFERROR(__xludf.DUMMYFUNCTION("""COMPUTED_VALUE"""),307.25)</f>
        <v>307.25</v>
      </c>
      <c r="R174" s="1">
        <f ca="1">IFERROR(__xludf.DUMMYFUNCTION("""COMPUTED_VALUE"""),38.18)</f>
        <v>38.18</v>
      </c>
      <c r="S174" s="1">
        <f ca="1">IFERROR(__xludf.DUMMYFUNCTION("""COMPUTED_VALUE"""),69.48)</f>
        <v>69.48</v>
      </c>
      <c r="T174" s="1">
        <f ca="1">IFERROR(__xludf.DUMMYFUNCTION("""COMPUTED_VALUE"""),46.15)</f>
        <v>46.15</v>
      </c>
      <c r="U174" s="1">
        <f ca="1">IFERROR(__xludf.DUMMYFUNCTION("""COMPUTED_VALUE"""),112.72)</f>
        <v>112.72</v>
      </c>
      <c r="V174" s="1">
        <f ca="1">IFERROR(__xludf.DUMMYFUNCTION("""COMPUTED_VALUE"""),148.52)</f>
        <v>148.52000000000001</v>
      </c>
      <c r="W174" s="1">
        <f ca="1">IFERROR(__xludf.DUMMYFUNCTION("""COMPUTED_VALUE"""),380.23)</f>
        <v>380.23</v>
      </c>
      <c r="X174" s="1">
        <f ca="1">IFERROR(__xludf.DUMMYFUNCTION("""COMPUTED_VALUE"""),347.35)</f>
        <v>347.35</v>
      </c>
      <c r="Y174" s="1">
        <f ca="1">IFERROR(__xludf.DUMMYFUNCTION("""COMPUTED_VALUE"""),77.32)</f>
        <v>77.319999999999993</v>
      </c>
      <c r="Z174" s="1">
        <f ca="1">IFERROR(__xludf.DUMMYFUNCTION("""COMPUTED_VALUE"""),202.48)</f>
        <v>202.48</v>
      </c>
      <c r="AA174" s="1">
        <f ca="1">IFERROR(__xludf.DUMMYFUNCTION("""COMPUTED_VALUE"""),34.04)</f>
        <v>34.04</v>
      </c>
      <c r="AB174" s="1">
        <f ca="1">IFERROR(__xludf.DUMMYFUNCTION("""COMPUTED_VALUE"""),85.41)</f>
        <v>85.41</v>
      </c>
      <c r="AC174" s="1">
        <f ca="1">IFERROR(__xludf.DUMMYFUNCTION("""COMPUTED_VALUE"""),78.69)</f>
        <v>78.69</v>
      </c>
    </row>
    <row r="175" spans="1:29" x14ac:dyDescent="0.25">
      <c r="A175" s="2">
        <f ca="1">IFERROR(__xludf.DUMMYFUNCTION("""COMPUTED_VALUE"""),44083.6666666666)</f>
        <v>44083.666666666599</v>
      </c>
      <c r="B175" s="1">
        <f ca="1">IFERROR(__xludf.DUMMYFUNCTION("""COMPUTED_VALUE"""),117.32)</f>
        <v>117.32</v>
      </c>
      <c r="C175" s="1">
        <f ca="1">IFERROR(__xludf.DUMMYFUNCTION("""COMPUTED_VALUE"""),211.29)</f>
        <v>211.29</v>
      </c>
      <c r="D175" s="1">
        <f ca="1">IFERROR(__xludf.DUMMYFUNCTION("""COMPUTED_VALUE"""),163.43)</f>
        <v>163.43</v>
      </c>
      <c r="E175" s="1">
        <f ca="1">IFERROR(__xludf.DUMMYFUNCTION("""COMPUTED_VALUE"""),12.72)</f>
        <v>12.72</v>
      </c>
      <c r="F175" s="1">
        <f ca="1">IFERROR(__xludf.DUMMYFUNCTION("""COMPUTED_VALUE"""),273.72)</f>
        <v>273.72000000000003</v>
      </c>
      <c r="G175" s="1">
        <f ca="1">IFERROR(__xludf.DUMMYFUNCTION("""COMPUTED_VALUE"""),77.85)</f>
        <v>77.849999999999994</v>
      </c>
      <c r="H175" s="1">
        <f ca="1">IFERROR(__xludf.DUMMYFUNCTION("""COMPUTED_VALUE"""),122.09)</f>
        <v>122.09</v>
      </c>
      <c r="I175" s="1">
        <f ca="1">IFERROR(__xludf.DUMMYFUNCTION("""COMPUTED_VALUE"""),137.11)</f>
        <v>137.11000000000001</v>
      </c>
      <c r="J175" s="1">
        <f ca="1">IFERROR(__xludf.DUMMYFUNCTION("""COMPUTED_VALUE"""),346.43)</f>
        <v>346.43</v>
      </c>
      <c r="K175" s="1">
        <f ca="1">IFERROR(__xludf.DUMMYFUNCTION("""COMPUTED_VALUE"""),36)</f>
        <v>36</v>
      </c>
      <c r="L175" s="1">
        <f ca="1">IFERROR(__xludf.DUMMYFUNCTION("""COMPUTED_VALUE"""),479.46)</f>
        <v>479.46</v>
      </c>
      <c r="M175" s="1">
        <f ca="1">IFERROR(__xludf.DUMMYFUNCTION("""COMPUTED_VALUE"""),500.19)</f>
        <v>500.19</v>
      </c>
      <c r="N175" s="1">
        <f ca="1">IFERROR(__xludf.DUMMYFUNCTION("""COMPUTED_VALUE"""),100.87)</f>
        <v>100.87</v>
      </c>
      <c r="O175" s="1">
        <f ca="1">IFERROR(__xludf.DUMMYFUNCTION("""COMPUTED_VALUE"""),204.06)</f>
        <v>204.06</v>
      </c>
      <c r="P175" s="1">
        <f ca="1">IFERROR(__xludf.DUMMYFUNCTION("""COMPUTED_VALUE"""),149.7)</f>
        <v>149.69999999999999</v>
      </c>
      <c r="Q175" s="1">
        <f ca="1">IFERROR(__xludf.DUMMYFUNCTION("""COMPUTED_VALUE"""),312.02)</f>
        <v>312.02</v>
      </c>
      <c r="R175" s="1">
        <f ca="1">IFERROR(__xludf.DUMMYFUNCTION("""COMPUTED_VALUE"""),37.95)</f>
        <v>37.950000000000003</v>
      </c>
      <c r="S175" s="1">
        <f ca="1">IFERROR(__xludf.DUMMYFUNCTION("""COMPUTED_VALUE"""),70.59)</f>
        <v>70.59</v>
      </c>
      <c r="T175" s="1">
        <f ca="1">IFERROR(__xludf.DUMMYFUNCTION("""COMPUTED_VALUE"""),46.63)</f>
        <v>46.63</v>
      </c>
      <c r="U175" s="1">
        <f ca="1">IFERROR(__xludf.DUMMYFUNCTION("""COMPUTED_VALUE"""),114.9)</f>
        <v>114.9</v>
      </c>
      <c r="V175" s="1">
        <f ca="1">IFERROR(__xludf.DUMMYFUNCTION("""COMPUTED_VALUE"""),152.69)</f>
        <v>152.69</v>
      </c>
      <c r="W175" s="1">
        <f ca="1">IFERROR(__xludf.DUMMYFUNCTION("""COMPUTED_VALUE"""),385.24)</f>
        <v>385.24</v>
      </c>
      <c r="X175" s="1">
        <f ca="1">IFERROR(__xludf.DUMMYFUNCTION("""COMPUTED_VALUE"""),359.37)</f>
        <v>359.37</v>
      </c>
      <c r="Y175" s="1">
        <f ca="1">IFERROR(__xludf.DUMMYFUNCTION("""COMPUTED_VALUE"""),79.4)</f>
        <v>79.400000000000006</v>
      </c>
      <c r="Z175" s="1">
        <f ca="1">IFERROR(__xludf.DUMMYFUNCTION("""COMPUTED_VALUE"""),202.22)</f>
        <v>202.22</v>
      </c>
      <c r="AA175" s="1">
        <f ca="1">IFERROR(__xludf.DUMMYFUNCTION("""COMPUTED_VALUE"""),34.27)</f>
        <v>34.270000000000003</v>
      </c>
      <c r="AB175" s="1">
        <f ca="1">IFERROR(__xludf.DUMMYFUNCTION("""COMPUTED_VALUE"""),85.86)</f>
        <v>85.86</v>
      </c>
      <c r="AC175" s="1">
        <f ca="1">IFERROR(__xludf.DUMMYFUNCTION("""COMPUTED_VALUE"""),81.91)</f>
        <v>81.91</v>
      </c>
    </row>
    <row r="176" spans="1:29" x14ac:dyDescent="0.25">
      <c r="A176" s="2">
        <f ca="1">IFERROR(__xludf.DUMMYFUNCTION("""COMPUTED_VALUE"""),44084.6666666666)</f>
        <v>44084.666666666599</v>
      </c>
      <c r="B176" s="1">
        <f ca="1">IFERROR(__xludf.DUMMYFUNCTION("""COMPUTED_VALUE"""),113.49)</f>
        <v>113.49</v>
      </c>
      <c r="C176" s="1">
        <f ca="1">IFERROR(__xludf.DUMMYFUNCTION("""COMPUTED_VALUE"""),205.37)</f>
        <v>205.37</v>
      </c>
      <c r="D176" s="1">
        <f ca="1">IFERROR(__xludf.DUMMYFUNCTION("""COMPUTED_VALUE"""),158.76)</f>
        <v>158.76</v>
      </c>
      <c r="E176" s="1">
        <f ca="1">IFERROR(__xludf.DUMMYFUNCTION("""COMPUTED_VALUE"""),12.31)</f>
        <v>12.31</v>
      </c>
      <c r="F176" s="1">
        <f ca="1">IFERROR(__xludf.DUMMYFUNCTION("""COMPUTED_VALUE"""),268.09)</f>
        <v>268.08999999999997</v>
      </c>
      <c r="G176" s="1">
        <f ca="1">IFERROR(__xludf.DUMMYFUNCTION("""COMPUTED_VALUE"""),76.6)</f>
        <v>76.599999999999994</v>
      </c>
      <c r="H176" s="1">
        <f ca="1">IFERROR(__xludf.DUMMYFUNCTION("""COMPUTED_VALUE"""),123.78)</f>
        <v>123.78</v>
      </c>
      <c r="I176" s="1">
        <f ca="1">IFERROR(__xludf.DUMMYFUNCTION("""COMPUTED_VALUE"""),134.76)</f>
        <v>134.76</v>
      </c>
      <c r="J176" s="1">
        <f ca="1">IFERROR(__xludf.DUMMYFUNCTION("""COMPUTED_VALUE"""),339.53)</f>
        <v>339.53</v>
      </c>
      <c r="K176" s="1">
        <f ca="1">IFERROR(__xludf.DUMMYFUNCTION("""COMPUTED_VALUE"""),35.71)</f>
        <v>35.71</v>
      </c>
      <c r="L176" s="1">
        <f ca="1">IFERROR(__xludf.DUMMYFUNCTION("""COMPUTED_VALUE"""),476.26)</f>
        <v>476.26</v>
      </c>
      <c r="M176" s="1">
        <f ca="1">IFERROR(__xludf.DUMMYFUNCTION("""COMPUTED_VALUE"""),480.67)</f>
        <v>480.67</v>
      </c>
      <c r="N176" s="1">
        <f ca="1">IFERROR(__xludf.DUMMYFUNCTION("""COMPUTED_VALUE"""),99.83)</f>
        <v>99.83</v>
      </c>
      <c r="O176" s="1">
        <f ca="1">IFERROR(__xludf.DUMMYFUNCTION("""COMPUTED_VALUE"""),201.54)</f>
        <v>201.54</v>
      </c>
      <c r="P176" s="1">
        <f ca="1">IFERROR(__xludf.DUMMYFUNCTION("""COMPUTED_VALUE"""),146.91)</f>
        <v>146.91</v>
      </c>
      <c r="Q176" s="1">
        <f ca="1">IFERROR(__xludf.DUMMYFUNCTION("""COMPUTED_VALUE"""),304.6)</f>
        <v>304.60000000000002</v>
      </c>
      <c r="R176" s="1">
        <f ca="1">IFERROR(__xludf.DUMMYFUNCTION("""COMPUTED_VALUE"""),37)</f>
        <v>37</v>
      </c>
      <c r="S176" s="1">
        <f ca="1">IFERROR(__xludf.DUMMYFUNCTION("""COMPUTED_VALUE"""),69.23)</f>
        <v>69.23</v>
      </c>
      <c r="T176" s="1">
        <f ca="1">IFERROR(__xludf.DUMMYFUNCTION("""COMPUTED_VALUE"""),45.6)</f>
        <v>45.6</v>
      </c>
      <c r="U176" s="1">
        <f ca="1">IFERROR(__xludf.DUMMYFUNCTION("""COMPUTED_VALUE"""),114.79)</f>
        <v>114.79</v>
      </c>
      <c r="V176" s="1">
        <f ca="1">IFERROR(__xludf.DUMMYFUNCTION("""COMPUTED_VALUE"""),149.86)</f>
        <v>149.86000000000001</v>
      </c>
      <c r="W176" s="1">
        <f ca="1">IFERROR(__xludf.DUMMYFUNCTION("""COMPUTED_VALUE"""),379.11)</f>
        <v>379.11</v>
      </c>
      <c r="X176" s="1">
        <f ca="1">IFERROR(__xludf.DUMMYFUNCTION("""COMPUTED_VALUE"""),357)</f>
        <v>357</v>
      </c>
      <c r="Y176" s="1">
        <f ca="1">IFERROR(__xludf.DUMMYFUNCTION("""COMPUTED_VALUE"""),78.9)</f>
        <v>78.900000000000006</v>
      </c>
      <c r="Z176" s="1">
        <f ca="1">IFERROR(__xludf.DUMMYFUNCTION("""COMPUTED_VALUE"""),200.01)</f>
        <v>200.01</v>
      </c>
      <c r="AA176" s="1">
        <f ca="1">IFERROR(__xludf.DUMMYFUNCTION("""COMPUTED_VALUE"""),33.77)</f>
        <v>33.770000000000003</v>
      </c>
      <c r="AB176" s="1">
        <f ca="1">IFERROR(__xludf.DUMMYFUNCTION("""COMPUTED_VALUE"""),84.88)</f>
        <v>84.88</v>
      </c>
      <c r="AC176" s="1">
        <f ca="1">IFERROR(__xludf.DUMMYFUNCTION("""COMPUTED_VALUE"""),78.98)</f>
        <v>78.98</v>
      </c>
    </row>
    <row r="177" spans="1:29" x14ac:dyDescent="0.25">
      <c r="A177" s="2">
        <f ca="1">IFERROR(__xludf.DUMMYFUNCTION("""COMPUTED_VALUE"""),44085.6666666666)</f>
        <v>44085.666666666599</v>
      </c>
      <c r="B177" s="1">
        <f ca="1">IFERROR(__xludf.DUMMYFUNCTION("""COMPUTED_VALUE"""),112)</f>
        <v>112</v>
      </c>
      <c r="C177" s="1">
        <f ca="1">IFERROR(__xludf.DUMMYFUNCTION("""COMPUTED_VALUE"""),204.03)</f>
        <v>204.03</v>
      </c>
      <c r="D177" s="1">
        <f ca="1">IFERROR(__xludf.DUMMYFUNCTION("""COMPUTED_VALUE"""),155.81)</f>
        <v>155.81</v>
      </c>
      <c r="E177" s="1">
        <f ca="1">IFERROR(__xludf.DUMMYFUNCTION("""COMPUTED_VALUE"""),12.16)</f>
        <v>12.16</v>
      </c>
      <c r="F177" s="1">
        <f ca="1">IFERROR(__xludf.DUMMYFUNCTION("""COMPUTED_VALUE"""),266.61)</f>
        <v>266.61</v>
      </c>
      <c r="G177" s="1">
        <f ca="1">IFERROR(__xludf.DUMMYFUNCTION("""COMPUTED_VALUE"""),76.04)</f>
        <v>76.040000000000006</v>
      </c>
      <c r="H177" s="1">
        <f ca="1">IFERROR(__xludf.DUMMYFUNCTION("""COMPUTED_VALUE"""),124.24)</f>
        <v>124.24</v>
      </c>
      <c r="I177" s="1">
        <f ca="1">IFERROR(__xludf.DUMMYFUNCTION("""COMPUTED_VALUE"""),135.81)</f>
        <v>135.81</v>
      </c>
      <c r="J177" s="1">
        <f ca="1">IFERROR(__xludf.DUMMYFUNCTION("""COMPUTED_VALUE"""),339.13)</f>
        <v>339.13</v>
      </c>
      <c r="K177" s="1">
        <f ca="1">IFERROR(__xludf.DUMMYFUNCTION("""COMPUTED_VALUE"""),35.97)</f>
        <v>35.97</v>
      </c>
      <c r="L177" s="1">
        <f ca="1">IFERROR(__xludf.DUMMYFUNCTION("""COMPUTED_VALUE"""),471.35)</f>
        <v>471.35</v>
      </c>
      <c r="M177" s="1">
        <f ca="1">IFERROR(__xludf.DUMMYFUNCTION("""COMPUTED_VALUE"""),482.03)</f>
        <v>482.03</v>
      </c>
      <c r="N177" s="1">
        <f ca="1">IFERROR(__xludf.DUMMYFUNCTION("""COMPUTED_VALUE"""),101.07)</f>
        <v>101.07</v>
      </c>
      <c r="O177" s="1">
        <f ca="1">IFERROR(__xludf.DUMMYFUNCTION("""COMPUTED_VALUE"""),200.68)</f>
        <v>200.68</v>
      </c>
      <c r="P177" s="1">
        <f ca="1">IFERROR(__xludf.DUMMYFUNCTION("""COMPUTED_VALUE"""),147.78)</f>
        <v>147.78</v>
      </c>
      <c r="Q177" s="1">
        <f ca="1">IFERROR(__xludf.DUMMYFUNCTION("""COMPUTED_VALUE"""),301.48)</f>
        <v>301.48</v>
      </c>
      <c r="R177" s="1">
        <f ca="1">IFERROR(__xludf.DUMMYFUNCTION("""COMPUTED_VALUE"""),36.9)</f>
        <v>36.9</v>
      </c>
      <c r="S177" s="1">
        <f ca="1">IFERROR(__xludf.DUMMYFUNCTION("""COMPUTED_VALUE"""),69.54)</f>
        <v>69.540000000000006</v>
      </c>
      <c r="T177" s="1">
        <f ca="1">IFERROR(__xludf.DUMMYFUNCTION("""COMPUTED_VALUE"""),45.57)</f>
        <v>45.57</v>
      </c>
      <c r="U177" s="1">
        <f ca="1">IFERROR(__xludf.DUMMYFUNCTION("""COMPUTED_VALUE"""),118)</f>
        <v>118</v>
      </c>
      <c r="V177" s="1">
        <f ca="1">IFERROR(__xludf.DUMMYFUNCTION("""COMPUTED_VALUE"""),153.83)</f>
        <v>153.83000000000001</v>
      </c>
      <c r="W177" s="1">
        <f ca="1">IFERROR(__xludf.DUMMYFUNCTION("""COMPUTED_VALUE"""),389.45)</f>
        <v>389.45</v>
      </c>
      <c r="X177" s="1">
        <f ca="1">IFERROR(__xludf.DUMMYFUNCTION("""COMPUTED_VALUE"""),359.23)</f>
        <v>359.23</v>
      </c>
      <c r="Y177" s="1">
        <f ca="1">IFERROR(__xludf.DUMMYFUNCTION("""COMPUTED_VALUE"""),78.82)</f>
        <v>78.819999999999993</v>
      </c>
      <c r="Z177" s="1">
        <f ca="1">IFERROR(__xludf.DUMMYFUNCTION("""COMPUTED_VALUE"""),200.92)</f>
        <v>200.92</v>
      </c>
      <c r="AA177" s="1">
        <f ca="1">IFERROR(__xludf.DUMMYFUNCTION("""COMPUTED_VALUE"""),34.17)</f>
        <v>34.17</v>
      </c>
      <c r="AB177" s="1">
        <f ca="1">IFERROR(__xludf.DUMMYFUNCTION("""COMPUTED_VALUE"""),85.27)</f>
        <v>85.27</v>
      </c>
      <c r="AC177" s="1">
        <f ca="1">IFERROR(__xludf.DUMMYFUNCTION("""COMPUTED_VALUE"""),76.34)</f>
        <v>76.34</v>
      </c>
    </row>
    <row r="178" spans="1:29" x14ac:dyDescent="0.25">
      <c r="A178" s="2">
        <f ca="1">IFERROR(__xludf.DUMMYFUNCTION("""COMPUTED_VALUE"""),44088.6666666666)</f>
        <v>44088.666666666599</v>
      </c>
      <c r="B178" s="1">
        <f ca="1">IFERROR(__xludf.DUMMYFUNCTION("""COMPUTED_VALUE"""),115.36)</f>
        <v>115.36</v>
      </c>
      <c r="C178" s="1">
        <f ca="1">IFERROR(__xludf.DUMMYFUNCTION("""COMPUTED_VALUE"""),205.41)</f>
        <v>205.41</v>
      </c>
      <c r="D178" s="1">
        <f ca="1">IFERROR(__xludf.DUMMYFUNCTION("""COMPUTED_VALUE"""),155.15)</f>
        <v>155.15</v>
      </c>
      <c r="E178" s="1">
        <f ca="1">IFERROR(__xludf.DUMMYFUNCTION("""COMPUTED_VALUE"""),12.87)</f>
        <v>12.87</v>
      </c>
      <c r="F178" s="1">
        <f ca="1">IFERROR(__xludf.DUMMYFUNCTION("""COMPUTED_VALUE"""),266.15)</f>
        <v>266.14999999999998</v>
      </c>
      <c r="G178" s="1">
        <f ca="1">IFERROR(__xludf.DUMMYFUNCTION("""COMPUTED_VALUE"""),75.96)</f>
        <v>75.959999999999994</v>
      </c>
      <c r="H178" s="1">
        <f ca="1">IFERROR(__xludf.DUMMYFUNCTION("""COMPUTED_VALUE"""),139.87)</f>
        <v>139.87</v>
      </c>
      <c r="I178" s="1">
        <f ca="1">IFERROR(__xludf.DUMMYFUNCTION("""COMPUTED_VALUE"""),136.67)</f>
        <v>136.66999999999999</v>
      </c>
      <c r="J178" s="1">
        <f ca="1">IFERROR(__xludf.DUMMYFUNCTION("""COMPUTED_VALUE"""),342.92)</f>
        <v>342.92</v>
      </c>
      <c r="K178" s="1">
        <f ca="1">IFERROR(__xludf.DUMMYFUNCTION("""COMPUTED_VALUE"""),36.22)</f>
        <v>36.22</v>
      </c>
      <c r="L178" s="1">
        <f ca="1">IFERROR(__xludf.DUMMYFUNCTION("""COMPUTED_VALUE"""),485.91)</f>
        <v>485.91</v>
      </c>
      <c r="M178" s="1">
        <f ca="1">IFERROR(__xludf.DUMMYFUNCTION("""COMPUTED_VALUE"""),476.26)</f>
        <v>476.26</v>
      </c>
      <c r="N178" s="1">
        <f ca="1">IFERROR(__xludf.DUMMYFUNCTION("""COMPUTED_VALUE"""),102.47)</f>
        <v>102.47</v>
      </c>
      <c r="O178" s="1">
        <f ca="1">IFERROR(__xludf.DUMMYFUNCTION("""COMPUTED_VALUE"""),204.98)</f>
        <v>204.98</v>
      </c>
      <c r="P178" s="1">
        <f ca="1">IFERROR(__xludf.DUMMYFUNCTION("""COMPUTED_VALUE"""),148.35)</f>
        <v>148.35</v>
      </c>
      <c r="Q178" s="1">
        <f ca="1">IFERROR(__xludf.DUMMYFUNCTION("""COMPUTED_VALUE"""),308.57)</f>
        <v>308.57</v>
      </c>
      <c r="R178" s="1">
        <f ca="1">IFERROR(__xludf.DUMMYFUNCTION("""COMPUTED_VALUE"""),36.66)</f>
        <v>36.659999999999997</v>
      </c>
      <c r="S178" s="1">
        <f ca="1">IFERROR(__xludf.DUMMYFUNCTION("""COMPUTED_VALUE"""),70.48)</f>
        <v>70.48</v>
      </c>
      <c r="T178" s="1">
        <f ca="1">IFERROR(__xludf.DUMMYFUNCTION("""COMPUTED_VALUE"""),45.77)</f>
        <v>45.77</v>
      </c>
      <c r="U178" s="1">
        <f ca="1">IFERROR(__xludf.DUMMYFUNCTION("""COMPUTED_VALUE"""),119.28)</f>
        <v>119.28</v>
      </c>
      <c r="V178" s="1">
        <f ca="1">IFERROR(__xludf.DUMMYFUNCTION("""COMPUTED_VALUE"""),153.51)</f>
        <v>153.51</v>
      </c>
      <c r="W178" s="1">
        <f ca="1">IFERROR(__xludf.DUMMYFUNCTION("""COMPUTED_VALUE"""),393.75)</f>
        <v>393.75</v>
      </c>
      <c r="X178" s="1">
        <f ca="1">IFERROR(__xludf.DUMMYFUNCTION("""COMPUTED_VALUE"""),367.94)</f>
        <v>367.94</v>
      </c>
      <c r="Y178" s="1">
        <f ca="1">IFERROR(__xludf.DUMMYFUNCTION("""COMPUTED_VALUE"""),80.5)</f>
        <v>80.5</v>
      </c>
      <c r="Z178" s="1">
        <f ca="1">IFERROR(__xludf.DUMMYFUNCTION("""COMPUTED_VALUE"""),201.34)</f>
        <v>201.34</v>
      </c>
      <c r="AA178" s="1">
        <f ca="1">IFERROR(__xludf.DUMMYFUNCTION("""COMPUTED_VALUE"""),35.06)</f>
        <v>35.06</v>
      </c>
      <c r="AB178" s="1">
        <f ca="1">IFERROR(__xludf.DUMMYFUNCTION("""COMPUTED_VALUE"""),86.63)</f>
        <v>86.63</v>
      </c>
      <c r="AC178" s="1">
        <f ca="1">IFERROR(__xludf.DUMMYFUNCTION("""COMPUTED_VALUE"""),77.9)</f>
        <v>77.900000000000006</v>
      </c>
    </row>
    <row r="179" spans="1:29" x14ac:dyDescent="0.25">
      <c r="A179" s="2">
        <f ca="1">IFERROR(__xludf.DUMMYFUNCTION("""COMPUTED_VALUE"""),44089.6666666666)</f>
        <v>44089.666666666599</v>
      </c>
      <c r="B179" s="1">
        <f ca="1">IFERROR(__xludf.DUMMYFUNCTION("""COMPUTED_VALUE"""),115.54)</f>
        <v>115.54</v>
      </c>
      <c r="C179" s="1">
        <f ca="1">IFERROR(__xludf.DUMMYFUNCTION("""COMPUTED_VALUE"""),208.78)</f>
        <v>208.78</v>
      </c>
      <c r="D179" s="1">
        <f ca="1">IFERROR(__xludf.DUMMYFUNCTION("""COMPUTED_VALUE"""),157.81)</f>
        <v>157.81</v>
      </c>
      <c r="E179" s="1">
        <f ca="1">IFERROR(__xludf.DUMMYFUNCTION("""COMPUTED_VALUE"""),12.99)</f>
        <v>12.99</v>
      </c>
      <c r="F179" s="1">
        <f ca="1">IFERROR(__xludf.DUMMYFUNCTION("""COMPUTED_VALUE"""),272.42)</f>
        <v>272.42</v>
      </c>
      <c r="G179" s="1">
        <f ca="1">IFERROR(__xludf.DUMMYFUNCTION("""COMPUTED_VALUE"""),77.07)</f>
        <v>77.069999999999993</v>
      </c>
      <c r="H179" s="1">
        <f ca="1">IFERROR(__xludf.DUMMYFUNCTION("""COMPUTED_VALUE"""),149.92)</f>
        <v>149.91999999999999</v>
      </c>
      <c r="I179" s="1">
        <f ca="1">IFERROR(__xludf.DUMMYFUNCTION("""COMPUTED_VALUE"""),135.62)</f>
        <v>135.62</v>
      </c>
      <c r="J179" s="1">
        <f ca="1">IFERROR(__xludf.DUMMYFUNCTION("""COMPUTED_VALUE"""),343.91)</f>
        <v>343.91</v>
      </c>
      <c r="K179" s="1">
        <f ca="1">IFERROR(__xludf.DUMMYFUNCTION("""COMPUTED_VALUE"""),36.69)</f>
        <v>36.69</v>
      </c>
      <c r="L179" s="1">
        <f ca="1">IFERROR(__xludf.DUMMYFUNCTION("""COMPUTED_VALUE"""),497.67)</f>
        <v>497.67</v>
      </c>
      <c r="M179" s="1">
        <f ca="1">IFERROR(__xludf.DUMMYFUNCTION("""COMPUTED_VALUE"""),495.99)</f>
        <v>495.99</v>
      </c>
      <c r="N179" s="1">
        <f ca="1">IFERROR(__xludf.DUMMYFUNCTION("""COMPUTED_VALUE"""),99.28)</f>
        <v>99.28</v>
      </c>
      <c r="O179" s="1">
        <f ca="1">IFERROR(__xludf.DUMMYFUNCTION("""COMPUTED_VALUE"""),205.39)</f>
        <v>205.39</v>
      </c>
      <c r="P179" s="1">
        <f ca="1">IFERROR(__xludf.DUMMYFUNCTION("""COMPUTED_VALUE"""),148.89)</f>
        <v>148.88999999999999</v>
      </c>
      <c r="Q179" s="1">
        <f ca="1">IFERROR(__xludf.DUMMYFUNCTION("""COMPUTED_VALUE"""),307.23)</f>
        <v>307.23</v>
      </c>
      <c r="R179" s="1">
        <f ca="1">IFERROR(__xludf.DUMMYFUNCTION("""COMPUTED_VALUE"""),36.27)</f>
        <v>36.270000000000003</v>
      </c>
      <c r="S179" s="1">
        <f ca="1">IFERROR(__xludf.DUMMYFUNCTION("""COMPUTED_VALUE"""),73.93)</f>
        <v>73.930000000000007</v>
      </c>
      <c r="T179" s="1">
        <f ca="1">IFERROR(__xludf.DUMMYFUNCTION("""COMPUTED_VALUE"""),45.79)</f>
        <v>45.79</v>
      </c>
      <c r="U179" s="1">
        <f ca="1">IFERROR(__xludf.DUMMYFUNCTION("""COMPUTED_VALUE"""),119.27)</f>
        <v>119.27</v>
      </c>
      <c r="V179" s="1">
        <f ca="1">IFERROR(__xludf.DUMMYFUNCTION("""COMPUTED_VALUE"""),148.6)</f>
        <v>148.6</v>
      </c>
      <c r="W179" s="1">
        <f ca="1">IFERROR(__xludf.DUMMYFUNCTION("""COMPUTED_VALUE"""),392.55)</f>
        <v>392.55</v>
      </c>
      <c r="X179" s="1">
        <f ca="1">IFERROR(__xludf.DUMMYFUNCTION("""COMPUTED_VALUE"""),370.25)</f>
        <v>370.25</v>
      </c>
      <c r="Y179" s="1">
        <f ca="1">IFERROR(__xludf.DUMMYFUNCTION("""COMPUTED_VALUE"""),85.85)</f>
        <v>85.85</v>
      </c>
      <c r="Z179" s="1">
        <f ca="1">IFERROR(__xludf.DUMMYFUNCTION("""COMPUTED_VALUE"""),198)</f>
        <v>198</v>
      </c>
      <c r="AA179" s="1">
        <f ca="1">IFERROR(__xludf.DUMMYFUNCTION("""COMPUTED_VALUE"""),35.01)</f>
        <v>35.01</v>
      </c>
      <c r="AB179" s="1">
        <f ca="1">IFERROR(__xludf.DUMMYFUNCTION("""COMPUTED_VALUE"""),87.71)</f>
        <v>87.71</v>
      </c>
      <c r="AC179" s="1">
        <f ca="1">IFERROR(__xludf.DUMMYFUNCTION("""COMPUTED_VALUE"""),78.93)</f>
        <v>78.930000000000007</v>
      </c>
    </row>
    <row r="180" spans="1:29" x14ac:dyDescent="0.25">
      <c r="A180" s="2">
        <f ca="1">IFERROR(__xludf.DUMMYFUNCTION("""COMPUTED_VALUE"""),44090.6666666666)</f>
        <v>44090.666666666599</v>
      </c>
      <c r="B180" s="1">
        <f ca="1">IFERROR(__xludf.DUMMYFUNCTION("""COMPUTED_VALUE"""),112.13)</f>
        <v>112.13</v>
      </c>
      <c r="C180" s="1">
        <f ca="1">IFERROR(__xludf.DUMMYFUNCTION("""COMPUTED_VALUE"""),205.05)</f>
        <v>205.05</v>
      </c>
      <c r="D180" s="1">
        <f ca="1">IFERROR(__xludf.DUMMYFUNCTION("""COMPUTED_VALUE"""),153.91)</f>
        <v>153.91</v>
      </c>
      <c r="E180" s="1">
        <f ca="1">IFERROR(__xludf.DUMMYFUNCTION("""COMPUTED_VALUE"""),12.51)</f>
        <v>12.51</v>
      </c>
      <c r="F180" s="1">
        <f ca="1">IFERROR(__xludf.DUMMYFUNCTION("""COMPUTED_VALUE"""),263.52)</f>
        <v>263.52</v>
      </c>
      <c r="G180" s="1">
        <f ca="1">IFERROR(__xludf.DUMMYFUNCTION("""COMPUTED_VALUE"""),76.05)</f>
        <v>76.05</v>
      </c>
      <c r="H180" s="1">
        <f ca="1">IFERROR(__xludf.DUMMYFUNCTION("""COMPUTED_VALUE"""),147.25)</f>
        <v>147.25</v>
      </c>
      <c r="I180" s="1">
        <f ca="1">IFERROR(__xludf.DUMMYFUNCTION("""COMPUTED_VALUE"""),134.98)</f>
        <v>134.97999999999999</v>
      </c>
      <c r="J180" s="1">
        <f ca="1">IFERROR(__xludf.DUMMYFUNCTION("""COMPUTED_VALUE"""),343.73)</f>
        <v>343.73</v>
      </c>
      <c r="K180" s="1">
        <f ca="1">IFERROR(__xludf.DUMMYFUNCTION("""COMPUTED_VALUE"""),36.7)</f>
        <v>36.700000000000003</v>
      </c>
      <c r="L180" s="1">
        <f ca="1">IFERROR(__xludf.DUMMYFUNCTION("""COMPUTED_VALUE"""),476)</f>
        <v>476</v>
      </c>
      <c r="M180" s="1">
        <f ca="1">IFERROR(__xludf.DUMMYFUNCTION("""COMPUTED_VALUE"""),483.86)</f>
        <v>483.86</v>
      </c>
      <c r="N180" s="1">
        <f ca="1">IFERROR(__xludf.DUMMYFUNCTION("""COMPUTED_VALUE"""),99.7)</f>
        <v>99.7</v>
      </c>
      <c r="O180" s="1">
        <f ca="1">IFERROR(__xludf.DUMMYFUNCTION("""COMPUTED_VALUE"""),205.13)</f>
        <v>205.13</v>
      </c>
      <c r="P180" s="1">
        <f ca="1">IFERROR(__xludf.DUMMYFUNCTION("""COMPUTED_VALUE"""),148.4)</f>
        <v>148.4</v>
      </c>
      <c r="Q180" s="1">
        <f ca="1">IFERROR(__xludf.DUMMYFUNCTION("""COMPUTED_VALUE"""),306.52)</f>
        <v>306.52</v>
      </c>
      <c r="R180" s="1">
        <f ca="1">IFERROR(__xludf.DUMMYFUNCTION("""COMPUTED_VALUE"""),37.81)</f>
        <v>37.81</v>
      </c>
      <c r="S180" s="1">
        <f ca="1">IFERROR(__xludf.DUMMYFUNCTION("""COMPUTED_VALUE"""),70.09)</f>
        <v>70.09</v>
      </c>
      <c r="T180" s="1">
        <f ca="1">IFERROR(__xludf.DUMMYFUNCTION("""COMPUTED_VALUE"""),45.42)</f>
        <v>45.42</v>
      </c>
      <c r="U180" s="1">
        <f ca="1">IFERROR(__xludf.DUMMYFUNCTION("""COMPUTED_VALUE"""),118.59)</f>
        <v>118.59</v>
      </c>
      <c r="V180" s="1">
        <f ca="1">IFERROR(__xludf.DUMMYFUNCTION("""COMPUTED_VALUE"""),151.11)</f>
        <v>151.11000000000001</v>
      </c>
      <c r="W180" s="1">
        <f ca="1">IFERROR(__xludf.DUMMYFUNCTION("""COMPUTED_VALUE"""),395.58)</f>
        <v>395.58</v>
      </c>
      <c r="X180" s="1">
        <f ca="1">IFERROR(__xludf.DUMMYFUNCTION("""COMPUTED_VALUE"""),362.38)</f>
        <v>362.38</v>
      </c>
      <c r="Y180" s="1">
        <f ca="1">IFERROR(__xludf.DUMMYFUNCTION("""COMPUTED_VALUE"""),83.13)</f>
        <v>83.13</v>
      </c>
      <c r="Z180" s="1">
        <f ca="1">IFERROR(__xludf.DUMMYFUNCTION("""COMPUTED_VALUE"""),200.68)</f>
        <v>200.68</v>
      </c>
      <c r="AA180" s="1">
        <f ca="1">IFERROR(__xludf.DUMMYFUNCTION("""COMPUTED_VALUE"""),34.84)</f>
        <v>34.840000000000003</v>
      </c>
      <c r="AB180" s="1">
        <f ca="1">IFERROR(__xludf.DUMMYFUNCTION("""COMPUTED_VALUE"""),88.38)</f>
        <v>88.38</v>
      </c>
      <c r="AC180" s="1">
        <f ca="1">IFERROR(__xludf.DUMMYFUNCTION("""COMPUTED_VALUE"""),76.66)</f>
        <v>76.66</v>
      </c>
    </row>
    <row r="181" spans="1:29" x14ac:dyDescent="0.25">
      <c r="A181" s="2">
        <f ca="1">IFERROR(__xludf.DUMMYFUNCTION("""COMPUTED_VALUE"""),44091.6666666666)</f>
        <v>44091.666666666599</v>
      </c>
      <c r="B181" s="1">
        <f ca="1">IFERROR(__xludf.DUMMYFUNCTION("""COMPUTED_VALUE"""),110.34)</f>
        <v>110.34</v>
      </c>
      <c r="C181" s="1">
        <f ca="1">IFERROR(__xludf.DUMMYFUNCTION("""COMPUTED_VALUE"""),202.91)</f>
        <v>202.91</v>
      </c>
      <c r="D181" s="1">
        <f ca="1">IFERROR(__xludf.DUMMYFUNCTION("""COMPUTED_VALUE"""),150.44)</f>
        <v>150.44</v>
      </c>
      <c r="E181" s="1">
        <f ca="1">IFERROR(__xludf.DUMMYFUNCTION("""COMPUTED_VALUE"""),12.46)</f>
        <v>12.46</v>
      </c>
      <c r="F181" s="1">
        <f ca="1">IFERROR(__xludf.DUMMYFUNCTION("""COMPUTED_VALUE"""),254.82)</f>
        <v>254.82</v>
      </c>
      <c r="G181" s="1">
        <f ca="1">IFERROR(__xludf.DUMMYFUNCTION("""COMPUTED_VALUE"""),74.78)</f>
        <v>74.78</v>
      </c>
      <c r="H181" s="1">
        <f ca="1">IFERROR(__xludf.DUMMYFUNCTION("""COMPUTED_VALUE"""),141.14)</f>
        <v>141.13999999999999</v>
      </c>
      <c r="I181" s="1">
        <f ca="1">IFERROR(__xludf.DUMMYFUNCTION("""COMPUTED_VALUE"""),133.2)</f>
        <v>133.19999999999999</v>
      </c>
      <c r="J181" s="1">
        <f ca="1">IFERROR(__xludf.DUMMYFUNCTION("""COMPUTED_VALUE"""),338.88)</f>
        <v>338.88</v>
      </c>
      <c r="K181" s="1">
        <f ca="1">IFERROR(__xludf.DUMMYFUNCTION("""COMPUTED_VALUE"""),36.59)</f>
        <v>36.590000000000003</v>
      </c>
      <c r="L181" s="1">
        <f ca="1">IFERROR(__xludf.DUMMYFUNCTION("""COMPUTED_VALUE"""),474.3)</f>
        <v>474.3</v>
      </c>
      <c r="M181" s="1">
        <f ca="1">IFERROR(__xludf.DUMMYFUNCTION("""COMPUTED_VALUE"""),470.2)</f>
        <v>470.2</v>
      </c>
      <c r="N181" s="1">
        <f ca="1">IFERROR(__xludf.DUMMYFUNCTION("""COMPUTED_VALUE"""),98.56)</f>
        <v>98.56</v>
      </c>
      <c r="O181" s="1">
        <f ca="1">IFERROR(__xludf.DUMMYFUNCTION("""COMPUTED_VALUE"""),205.27)</f>
        <v>205.27</v>
      </c>
      <c r="P181" s="1">
        <f ca="1">IFERROR(__xludf.DUMMYFUNCTION("""COMPUTED_VALUE"""),147.17)</f>
        <v>147.16999999999999</v>
      </c>
      <c r="Q181" s="1">
        <f ca="1">IFERROR(__xludf.DUMMYFUNCTION("""COMPUTED_VALUE"""),304.98)</f>
        <v>304.98</v>
      </c>
      <c r="R181" s="1">
        <f ca="1">IFERROR(__xludf.DUMMYFUNCTION("""COMPUTED_VALUE"""),37.8)</f>
        <v>37.799999999999997</v>
      </c>
      <c r="S181" s="1">
        <f ca="1">IFERROR(__xludf.DUMMYFUNCTION("""COMPUTED_VALUE"""),69.88)</f>
        <v>69.88</v>
      </c>
      <c r="T181" s="1">
        <f ca="1">IFERROR(__xludf.DUMMYFUNCTION("""COMPUTED_VALUE"""),45.56)</f>
        <v>45.56</v>
      </c>
      <c r="U181" s="1">
        <f ca="1">IFERROR(__xludf.DUMMYFUNCTION("""COMPUTED_VALUE"""),116.36)</f>
        <v>116.36</v>
      </c>
      <c r="V181" s="1">
        <f ca="1">IFERROR(__xludf.DUMMYFUNCTION("""COMPUTED_VALUE"""),153.87)</f>
        <v>153.87</v>
      </c>
      <c r="W181" s="1">
        <f ca="1">IFERROR(__xludf.DUMMYFUNCTION("""COMPUTED_VALUE"""),395.94)</f>
        <v>395.94</v>
      </c>
      <c r="X181" s="1">
        <f ca="1">IFERROR(__xludf.DUMMYFUNCTION("""COMPUTED_VALUE"""),366.74)</f>
        <v>366.74</v>
      </c>
      <c r="Y181" s="1">
        <f ca="1">IFERROR(__xludf.DUMMYFUNCTION("""COMPUTED_VALUE"""),81.91)</f>
        <v>81.91</v>
      </c>
      <c r="Z181" s="1">
        <f ca="1">IFERROR(__xludf.DUMMYFUNCTION("""COMPUTED_VALUE"""),194.83)</f>
        <v>194.83</v>
      </c>
      <c r="AA181" s="1">
        <f ca="1">IFERROR(__xludf.DUMMYFUNCTION("""COMPUTED_VALUE"""),34.88)</f>
        <v>34.880000000000003</v>
      </c>
      <c r="AB181" s="1">
        <f ca="1">IFERROR(__xludf.DUMMYFUNCTION("""COMPUTED_VALUE"""),86.75)</f>
        <v>86.75</v>
      </c>
      <c r="AC181" s="1">
        <f ca="1">IFERROR(__xludf.DUMMYFUNCTION("""COMPUTED_VALUE"""),76.55)</f>
        <v>76.55</v>
      </c>
    </row>
    <row r="182" spans="1:29" x14ac:dyDescent="0.25">
      <c r="A182" s="2">
        <f ca="1">IFERROR(__xludf.DUMMYFUNCTION("""COMPUTED_VALUE"""),44092.6666666666)</f>
        <v>44092.666666666599</v>
      </c>
      <c r="B182" s="1">
        <f ca="1">IFERROR(__xludf.DUMMYFUNCTION("""COMPUTED_VALUE"""),106.84)</f>
        <v>106.84</v>
      </c>
      <c r="C182" s="1">
        <f ca="1">IFERROR(__xludf.DUMMYFUNCTION("""COMPUTED_VALUE"""),200.39)</f>
        <v>200.39</v>
      </c>
      <c r="D182" s="1">
        <f ca="1">IFERROR(__xludf.DUMMYFUNCTION("""COMPUTED_VALUE"""),147.75)</f>
        <v>147.75</v>
      </c>
      <c r="E182" s="1">
        <f ca="1">IFERROR(__xludf.DUMMYFUNCTION("""COMPUTED_VALUE"""),12.19)</f>
        <v>12.19</v>
      </c>
      <c r="F182" s="1">
        <f ca="1">IFERROR(__xludf.DUMMYFUNCTION("""COMPUTED_VALUE"""),252.53)</f>
        <v>252.53</v>
      </c>
      <c r="G182" s="1">
        <f ca="1">IFERROR(__xludf.DUMMYFUNCTION("""COMPUTED_VALUE"""),73)</f>
        <v>73</v>
      </c>
      <c r="H182" s="1">
        <f ca="1">IFERROR(__xludf.DUMMYFUNCTION("""COMPUTED_VALUE"""),147.38)</f>
        <v>147.38</v>
      </c>
      <c r="I182" s="1">
        <f ca="1">IFERROR(__xludf.DUMMYFUNCTION("""COMPUTED_VALUE"""),131.47)</f>
        <v>131.47</v>
      </c>
      <c r="J182" s="1">
        <f ca="1">IFERROR(__xludf.DUMMYFUNCTION("""COMPUTED_VALUE"""),335.96)</f>
        <v>335.96</v>
      </c>
      <c r="K182" s="1">
        <f ca="1">IFERROR(__xludf.DUMMYFUNCTION("""COMPUTED_VALUE"""),35.97)</f>
        <v>35.97</v>
      </c>
      <c r="L182" s="1">
        <f ca="1">IFERROR(__xludf.DUMMYFUNCTION("""COMPUTED_VALUE"""),467.55)</f>
        <v>467.55</v>
      </c>
      <c r="M182" s="1">
        <f ca="1">IFERROR(__xludf.DUMMYFUNCTION("""COMPUTED_VALUE"""),469.96)</f>
        <v>469.96</v>
      </c>
      <c r="N182" s="1">
        <f ca="1">IFERROR(__xludf.DUMMYFUNCTION("""COMPUTED_VALUE"""),98.35)</f>
        <v>98.35</v>
      </c>
      <c r="O182" s="1">
        <f ca="1">IFERROR(__xludf.DUMMYFUNCTION("""COMPUTED_VALUE"""),202.61)</f>
        <v>202.61</v>
      </c>
      <c r="P182" s="1">
        <f ca="1">IFERROR(__xludf.DUMMYFUNCTION("""COMPUTED_VALUE"""),149.18)</f>
        <v>149.18</v>
      </c>
      <c r="Q182" s="1">
        <f ca="1">IFERROR(__xludf.DUMMYFUNCTION("""COMPUTED_VALUE"""),308.02)</f>
        <v>308.02</v>
      </c>
      <c r="R182" s="1">
        <f ca="1">IFERROR(__xludf.DUMMYFUNCTION("""COMPUTED_VALUE"""),37.19)</f>
        <v>37.19</v>
      </c>
      <c r="S182" s="1">
        <f ca="1">IFERROR(__xludf.DUMMYFUNCTION("""COMPUTED_VALUE"""),69.23)</f>
        <v>69.23</v>
      </c>
      <c r="T182" s="1">
        <f ca="1">IFERROR(__xludf.DUMMYFUNCTION("""COMPUTED_VALUE"""),45.1)</f>
        <v>45.1</v>
      </c>
      <c r="U182" s="1">
        <f ca="1">IFERROR(__xludf.DUMMYFUNCTION("""COMPUTED_VALUE"""),114.66)</f>
        <v>114.66</v>
      </c>
      <c r="V182" s="1">
        <f ca="1">IFERROR(__xludf.DUMMYFUNCTION("""COMPUTED_VALUE"""),152.39)</f>
        <v>152.38999999999999</v>
      </c>
      <c r="W182" s="1">
        <f ca="1">IFERROR(__xludf.DUMMYFUNCTION("""COMPUTED_VALUE"""),395.14)</f>
        <v>395.14</v>
      </c>
      <c r="X182" s="1">
        <f ca="1">IFERROR(__xludf.DUMMYFUNCTION("""COMPUTED_VALUE"""),366.34)</f>
        <v>366.34</v>
      </c>
      <c r="Y182" s="1">
        <f ca="1">IFERROR(__xludf.DUMMYFUNCTION("""COMPUTED_VALUE"""),80.23)</f>
        <v>80.23</v>
      </c>
      <c r="Z182" s="1">
        <f ca="1">IFERROR(__xludf.DUMMYFUNCTION("""COMPUTED_VALUE"""),194.86)</f>
        <v>194.86</v>
      </c>
      <c r="AA182" s="1">
        <f ca="1">IFERROR(__xludf.DUMMYFUNCTION("""COMPUTED_VALUE"""),34.7)</f>
        <v>34.700000000000003</v>
      </c>
      <c r="AB182" s="1">
        <f ca="1">IFERROR(__xludf.DUMMYFUNCTION("""COMPUTED_VALUE"""),84.95)</f>
        <v>84.95</v>
      </c>
      <c r="AC182" s="1">
        <f ca="1">IFERROR(__xludf.DUMMYFUNCTION("""COMPUTED_VALUE"""),74.93)</f>
        <v>74.930000000000007</v>
      </c>
    </row>
    <row r="183" spans="1:29" x14ac:dyDescent="0.25">
      <c r="A183" s="2">
        <f ca="1">IFERROR(__xludf.DUMMYFUNCTION("""COMPUTED_VALUE"""),44095.6666666666)</f>
        <v>44095.666666666599</v>
      </c>
      <c r="B183" s="1">
        <f ca="1">IFERROR(__xludf.DUMMYFUNCTION("""COMPUTED_VALUE"""),110.08)</f>
        <v>110.08</v>
      </c>
      <c r="C183" s="1">
        <f ca="1">IFERROR(__xludf.DUMMYFUNCTION("""COMPUTED_VALUE"""),202.54)</f>
        <v>202.54</v>
      </c>
      <c r="D183" s="1">
        <f ca="1">IFERROR(__xludf.DUMMYFUNCTION("""COMPUTED_VALUE"""),148.02)</f>
        <v>148.02000000000001</v>
      </c>
      <c r="E183" s="1">
        <f ca="1">IFERROR(__xludf.DUMMYFUNCTION("""COMPUTED_VALUE"""),12.52)</f>
        <v>12.52</v>
      </c>
      <c r="F183" s="1">
        <f ca="1">IFERROR(__xludf.DUMMYFUNCTION("""COMPUTED_VALUE"""),248.15)</f>
        <v>248.15</v>
      </c>
      <c r="G183" s="1">
        <f ca="1">IFERROR(__xludf.DUMMYFUNCTION("""COMPUTED_VALUE"""),71.56)</f>
        <v>71.56</v>
      </c>
      <c r="H183" s="1">
        <f ca="1">IFERROR(__xludf.DUMMYFUNCTION("""COMPUTED_VALUE"""),149.8)</f>
        <v>149.80000000000001</v>
      </c>
      <c r="I183" s="1">
        <f ca="1">IFERROR(__xludf.DUMMYFUNCTION("""COMPUTED_VALUE"""),131.24)</f>
        <v>131.24</v>
      </c>
      <c r="J183" s="1">
        <f ca="1">IFERROR(__xludf.DUMMYFUNCTION("""COMPUTED_VALUE"""),339.57)</f>
        <v>339.57</v>
      </c>
      <c r="K183" s="1">
        <f ca="1">IFERROR(__xludf.DUMMYFUNCTION("""COMPUTED_VALUE"""),35.18)</f>
        <v>35.18</v>
      </c>
      <c r="L183" s="1">
        <f ca="1">IFERROR(__xludf.DUMMYFUNCTION("""COMPUTED_VALUE"""),475.64)</f>
        <v>475.64</v>
      </c>
      <c r="M183" s="1">
        <f ca="1">IFERROR(__xludf.DUMMYFUNCTION("""COMPUTED_VALUE"""),487.35)</f>
        <v>487.35</v>
      </c>
      <c r="N183" s="1">
        <f ca="1">IFERROR(__xludf.DUMMYFUNCTION("""COMPUTED_VALUE"""),95.31)</f>
        <v>95.31</v>
      </c>
      <c r="O183" s="1">
        <f ca="1">IFERROR(__xludf.DUMMYFUNCTION("""COMPUTED_VALUE"""),197.45)</f>
        <v>197.45</v>
      </c>
      <c r="P183" s="1">
        <f ca="1">IFERROR(__xludf.DUMMYFUNCTION("""COMPUTED_VALUE"""),145.1)</f>
        <v>145.1</v>
      </c>
      <c r="Q183" s="1">
        <f ca="1">IFERROR(__xludf.DUMMYFUNCTION("""COMPUTED_VALUE"""),299.19)</f>
        <v>299.19</v>
      </c>
      <c r="R183" s="1">
        <f ca="1">IFERROR(__xludf.DUMMYFUNCTION("""COMPUTED_VALUE"""),36.43)</f>
        <v>36.43</v>
      </c>
      <c r="S183" s="1">
        <f ca="1">IFERROR(__xludf.DUMMYFUNCTION("""COMPUTED_VALUE"""),69.05)</f>
        <v>69.05</v>
      </c>
      <c r="T183" s="1">
        <f ca="1">IFERROR(__xludf.DUMMYFUNCTION("""COMPUTED_VALUE"""),45.69)</f>
        <v>45.69</v>
      </c>
      <c r="U183" s="1">
        <f ca="1">IFERROR(__xludf.DUMMYFUNCTION("""COMPUTED_VALUE"""),113.37)</f>
        <v>113.37</v>
      </c>
      <c r="V183" s="1">
        <f ca="1">IFERROR(__xludf.DUMMYFUNCTION("""COMPUTED_VALUE"""),145.33)</f>
        <v>145.33000000000001</v>
      </c>
      <c r="W183" s="1">
        <f ca="1">IFERROR(__xludf.DUMMYFUNCTION("""COMPUTED_VALUE"""),379.61)</f>
        <v>379.61</v>
      </c>
      <c r="X183" s="1">
        <f ca="1">IFERROR(__xludf.DUMMYFUNCTION("""COMPUTED_VALUE"""),362.62)</f>
        <v>362.62</v>
      </c>
      <c r="Y183" s="1">
        <f ca="1">IFERROR(__xludf.DUMMYFUNCTION("""COMPUTED_VALUE"""),80.59)</f>
        <v>80.59</v>
      </c>
      <c r="Z183" s="1">
        <f ca="1">IFERROR(__xludf.DUMMYFUNCTION("""COMPUTED_VALUE"""),194)</f>
        <v>194</v>
      </c>
      <c r="AA183" s="1">
        <f ca="1">IFERROR(__xludf.DUMMYFUNCTION("""COMPUTED_VALUE"""),34.12)</f>
        <v>34.119999999999997</v>
      </c>
      <c r="AB183" s="1">
        <f ca="1">IFERROR(__xludf.DUMMYFUNCTION("""COMPUTED_VALUE"""),83.89)</f>
        <v>83.89</v>
      </c>
      <c r="AC183" s="1">
        <f ca="1">IFERROR(__xludf.DUMMYFUNCTION("""COMPUTED_VALUE"""),77.94)</f>
        <v>77.94</v>
      </c>
    </row>
    <row r="184" spans="1:29" x14ac:dyDescent="0.25">
      <c r="A184" s="2">
        <f ca="1">IFERROR(__xludf.DUMMYFUNCTION("""COMPUTED_VALUE"""),44096.6666666666)</f>
        <v>44096.666666666599</v>
      </c>
      <c r="B184" s="1">
        <f ca="1">IFERROR(__xludf.DUMMYFUNCTION("""COMPUTED_VALUE"""),111.81)</f>
        <v>111.81</v>
      </c>
      <c r="C184" s="1">
        <f ca="1">IFERROR(__xludf.DUMMYFUNCTION("""COMPUTED_VALUE"""),207.42)</f>
        <v>207.42</v>
      </c>
      <c r="D184" s="1">
        <f ca="1">IFERROR(__xludf.DUMMYFUNCTION("""COMPUTED_VALUE"""),156.45)</f>
        <v>156.44999999999999</v>
      </c>
      <c r="E184" s="1">
        <f ca="1">IFERROR(__xludf.DUMMYFUNCTION("""COMPUTED_VALUE"""),12.64)</f>
        <v>12.64</v>
      </c>
      <c r="F184" s="1">
        <f ca="1">IFERROR(__xludf.DUMMYFUNCTION("""COMPUTED_VALUE"""),254.75)</f>
        <v>254.75</v>
      </c>
      <c r="G184" s="1">
        <f ca="1">IFERROR(__xludf.DUMMYFUNCTION("""COMPUTED_VALUE"""),73.27)</f>
        <v>73.27</v>
      </c>
      <c r="H184" s="1">
        <f ca="1">IFERROR(__xludf.DUMMYFUNCTION("""COMPUTED_VALUE"""),141.41)</f>
        <v>141.41</v>
      </c>
      <c r="I184" s="1">
        <f ca="1">IFERROR(__xludf.DUMMYFUNCTION("""COMPUTED_VALUE"""),132.15)</f>
        <v>132.15</v>
      </c>
      <c r="J184" s="1">
        <f ca="1">IFERROR(__xludf.DUMMYFUNCTION("""COMPUTED_VALUE"""),344.45)</f>
        <v>344.45</v>
      </c>
      <c r="K184" s="1">
        <f ca="1">IFERROR(__xludf.DUMMYFUNCTION("""COMPUTED_VALUE"""),36.16)</f>
        <v>36.159999999999997</v>
      </c>
      <c r="L184" s="1">
        <f ca="1">IFERROR(__xludf.DUMMYFUNCTION("""COMPUTED_VALUE"""),486.78)</f>
        <v>486.78</v>
      </c>
      <c r="M184" s="1">
        <f ca="1">IFERROR(__xludf.DUMMYFUNCTION("""COMPUTED_VALUE"""),491.17)</f>
        <v>491.17</v>
      </c>
      <c r="N184" s="1">
        <f ca="1">IFERROR(__xludf.DUMMYFUNCTION("""COMPUTED_VALUE"""),94.27)</f>
        <v>94.27</v>
      </c>
      <c r="O184" s="1">
        <f ca="1">IFERROR(__xludf.DUMMYFUNCTION("""COMPUTED_VALUE"""),200.56)</f>
        <v>200.56</v>
      </c>
      <c r="P184" s="1">
        <f ca="1">IFERROR(__xludf.DUMMYFUNCTION("""COMPUTED_VALUE"""),144.21)</f>
        <v>144.21</v>
      </c>
      <c r="Q184" s="1">
        <f ca="1">IFERROR(__xludf.DUMMYFUNCTION("""COMPUTED_VALUE"""),294.26)</f>
        <v>294.26</v>
      </c>
      <c r="R184" s="1">
        <f ca="1">IFERROR(__xludf.DUMMYFUNCTION("""COMPUTED_VALUE"""),35.53)</f>
        <v>35.53</v>
      </c>
      <c r="S184" s="1">
        <f ca="1">IFERROR(__xludf.DUMMYFUNCTION("""COMPUTED_VALUE"""),69.52)</f>
        <v>69.52</v>
      </c>
      <c r="T184" s="1">
        <f ca="1">IFERROR(__xludf.DUMMYFUNCTION("""COMPUTED_VALUE"""),46.1)</f>
        <v>46.1</v>
      </c>
      <c r="U184" s="1">
        <f ca="1">IFERROR(__xludf.DUMMYFUNCTION("""COMPUTED_VALUE"""),116.87)</f>
        <v>116.87</v>
      </c>
      <c r="V184" s="1">
        <f ca="1">IFERROR(__xludf.DUMMYFUNCTION("""COMPUTED_VALUE"""),147.15)</f>
        <v>147.15</v>
      </c>
      <c r="W184" s="1">
        <f ca="1">IFERROR(__xludf.DUMMYFUNCTION("""COMPUTED_VALUE"""),388.42)</f>
        <v>388.42</v>
      </c>
      <c r="X184" s="1">
        <f ca="1">IFERROR(__xludf.DUMMYFUNCTION("""COMPUTED_VALUE"""),364.64)</f>
        <v>364.64</v>
      </c>
      <c r="Y184" s="1">
        <f ca="1">IFERROR(__xludf.DUMMYFUNCTION("""COMPUTED_VALUE"""),80.48)</f>
        <v>80.48</v>
      </c>
      <c r="Z184" s="1">
        <f ca="1">IFERROR(__xludf.DUMMYFUNCTION("""COMPUTED_VALUE"""),191.62)</f>
        <v>191.62</v>
      </c>
      <c r="AA184" s="1">
        <f ca="1">IFERROR(__xludf.DUMMYFUNCTION("""COMPUTED_VALUE"""),34.34)</f>
        <v>34.340000000000003</v>
      </c>
      <c r="AB184" s="1">
        <f ca="1">IFERROR(__xludf.DUMMYFUNCTION("""COMPUTED_VALUE"""),83.95)</f>
        <v>83.95</v>
      </c>
      <c r="AC184" s="1">
        <f ca="1">IFERROR(__xludf.DUMMYFUNCTION("""COMPUTED_VALUE"""),77.7)</f>
        <v>77.7</v>
      </c>
    </row>
    <row r="185" spans="1:29" x14ac:dyDescent="0.25">
      <c r="A185" s="2">
        <f ca="1">IFERROR(__xludf.DUMMYFUNCTION("""COMPUTED_VALUE"""),44097.6666666666)</f>
        <v>44097.666666666599</v>
      </c>
      <c r="B185" s="1">
        <f ca="1">IFERROR(__xludf.DUMMYFUNCTION("""COMPUTED_VALUE"""),107.12)</f>
        <v>107.12</v>
      </c>
      <c r="C185" s="1">
        <f ca="1">IFERROR(__xludf.DUMMYFUNCTION("""COMPUTED_VALUE"""),200.59)</f>
        <v>200.59</v>
      </c>
      <c r="D185" s="1">
        <f ca="1">IFERROR(__xludf.DUMMYFUNCTION("""COMPUTED_VALUE"""),149.99)</f>
        <v>149.99</v>
      </c>
      <c r="E185" s="1">
        <f ca="1">IFERROR(__xludf.DUMMYFUNCTION("""COMPUTED_VALUE"""),12.12)</f>
        <v>12.12</v>
      </c>
      <c r="F185" s="1">
        <f ca="1">IFERROR(__xludf.DUMMYFUNCTION("""COMPUTED_VALUE"""),249.02)</f>
        <v>249.02</v>
      </c>
      <c r="G185" s="1">
        <f ca="1">IFERROR(__xludf.DUMMYFUNCTION("""COMPUTED_VALUE"""),70.76)</f>
        <v>70.760000000000005</v>
      </c>
      <c r="H185" s="1">
        <f ca="1">IFERROR(__xludf.DUMMYFUNCTION("""COMPUTED_VALUE"""),126.79)</f>
        <v>126.79</v>
      </c>
      <c r="I185" s="1">
        <f ca="1">IFERROR(__xludf.DUMMYFUNCTION("""COMPUTED_VALUE"""),131)</f>
        <v>131</v>
      </c>
      <c r="J185" s="1">
        <f ca="1">IFERROR(__xludf.DUMMYFUNCTION("""COMPUTED_VALUE"""),344.63)</f>
        <v>344.63</v>
      </c>
      <c r="K185" s="1">
        <f ca="1">IFERROR(__xludf.DUMMYFUNCTION("""COMPUTED_VALUE"""),35.16)</f>
        <v>35.159999999999997</v>
      </c>
      <c r="L185" s="1">
        <f ca="1">IFERROR(__xludf.DUMMYFUNCTION("""COMPUTED_VALUE"""),470.39)</f>
        <v>470.39</v>
      </c>
      <c r="M185" s="1">
        <f ca="1">IFERROR(__xludf.DUMMYFUNCTION("""COMPUTED_VALUE"""),470.61)</f>
        <v>470.61</v>
      </c>
      <c r="N185" s="1">
        <f ca="1">IFERROR(__xludf.DUMMYFUNCTION("""COMPUTED_VALUE"""),92.74)</f>
        <v>92.74</v>
      </c>
      <c r="O185" s="1">
        <f ca="1">IFERROR(__xludf.DUMMYFUNCTION("""COMPUTED_VALUE"""),195.37)</f>
        <v>195.37</v>
      </c>
      <c r="P185" s="1">
        <f ca="1">IFERROR(__xludf.DUMMYFUNCTION("""COMPUTED_VALUE"""),144.44)</f>
        <v>144.44</v>
      </c>
      <c r="Q185" s="1">
        <f ca="1">IFERROR(__xludf.DUMMYFUNCTION("""COMPUTED_VALUE"""),292.14)</f>
        <v>292.14</v>
      </c>
      <c r="R185" s="1">
        <f ca="1">IFERROR(__xludf.DUMMYFUNCTION("""COMPUTED_VALUE"""),34.39)</f>
        <v>34.39</v>
      </c>
      <c r="S185" s="1">
        <f ca="1">IFERROR(__xludf.DUMMYFUNCTION("""COMPUTED_VALUE"""),68.33)</f>
        <v>68.33</v>
      </c>
      <c r="T185" s="1">
        <f ca="1">IFERROR(__xludf.DUMMYFUNCTION("""COMPUTED_VALUE"""),45.33)</f>
        <v>45.33</v>
      </c>
      <c r="U185" s="1">
        <f ca="1">IFERROR(__xludf.DUMMYFUNCTION("""COMPUTED_VALUE"""),127.11)</f>
        <v>127.11</v>
      </c>
      <c r="V185" s="1">
        <f ca="1">IFERROR(__xludf.DUMMYFUNCTION("""COMPUTED_VALUE"""),144.38)</f>
        <v>144.38</v>
      </c>
      <c r="W185" s="1">
        <f ca="1">IFERROR(__xludf.DUMMYFUNCTION("""COMPUTED_VALUE"""),383.24)</f>
        <v>383.24</v>
      </c>
      <c r="X185" s="1">
        <f ca="1">IFERROR(__xludf.DUMMYFUNCTION("""COMPUTED_VALUE"""),357.56)</f>
        <v>357.56</v>
      </c>
      <c r="Y185" s="1">
        <f ca="1">IFERROR(__xludf.DUMMYFUNCTION("""COMPUTED_VALUE"""),77.92)</f>
        <v>77.92</v>
      </c>
      <c r="Z185" s="1">
        <f ca="1">IFERROR(__xludf.DUMMYFUNCTION("""COMPUTED_VALUE"""),186.12)</f>
        <v>186.12</v>
      </c>
      <c r="AA185" s="1">
        <f ca="1">IFERROR(__xludf.DUMMYFUNCTION("""COMPUTED_VALUE"""),34.1)</f>
        <v>34.1</v>
      </c>
      <c r="AB185" s="1">
        <f ca="1">IFERROR(__xludf.DUMMYFUNCTION("""COMPUTED_VALUE"""),82.99)</f>
        <v>82.99</v>
      </c>
      <c r="AC185" s="1">
        <f ca="1">IFERROR(__xludf.DUMMYFUNCTION("""COMPUTED_VALUE"""),74.73)</f>
        <v>74.73</v>
      </c>
    </row>
    <row r="186" spans="1:29" x14ac:dyDescent="0.25">
      <c r="A186" s="2">
        <f ca="1">IFERROR(__xludf.DUMMYFUNCTION("""COMPUTED_VALUE"""),44098.6666666666)</f>
        <v>44098.666666666599</v>
      </c>
      <c r="B186" s="1">
        <f ca="1">IFERROR(__xludf.DUMMYFUNCTION("""COMPUTED_VALUE"""),108.22)</f>
        <v>108.22</v>
      </c>
      <c r="C186" s="1">
        <f ca="1">IFERROR(__xludf.DUMMYFUNCTION("""COMPUTED_VALUE"""),203.19)</f>
        <v>203.19</v>
      </c>
      <c r="D186" s="1">
        <f ca="1">IFERROR(__xludf.DUMMYFUNCTION("""COMPUTED_VALUE"""),150.99)</f>
        <v>150.99</v>
      </c>
      <c r="E186" s="1">
        <f ca="1">IFERROR(__xludf.DUMMYFUNCTION("""COMPUTED_VALUE"""),12.35)</f>
        <v>12.35</v>
      </c>
      <c r="F186" s="1">
        <f ca="1">IFERROR(__xludf.DUMMYFUNCTION("""COMPUTED_VALUE"""),249.53)</f>
        <v>249.53</v>
      </c>
      <c r="G186" s="1">
        <f ca="1">IFERROR(__xludf.DUMMYFUNCTION("""COMPUTED_VALUE"""),71.41)</f>
        <v>71.41</v>
      </c>
      <c r="H186" s="1">
        <f ca="1">IFERROR(__xludf.DUMMYFUNCTION("""COMPUTED_VALUE"""),129.26)</f>
        <v>129.26</v>
      </c>
      <c r="I186" s="1">
        <f ca="1">IFERROR(__xludf.DUMMYFUNCTION("""COMPUTED_VALUE"""),131.58)</f>
        <v>131.58000000000001</v>
      </c>
      <c r="J186" s="1">
        <f ca="1">IFERROR(__xludf.DUMMYFUNCTION("""COMPUTED_VALUE"""),347)</f>
        <v>347</v>
      </c>
      <c r="K186" s="1">
        <f ca="1">IFERROR(__xludf.DUMMYFUNCTION("""COMPUTED_VALUE"""),35.25)</f>
        <v>35.25</v>
      </c>
      <c r="L186" s="1">
        <f ca="1">IFERROR(__xludf.DUMMYFUNCTION("""COMPUTED_VALUE"""),467.67)</f>
        <v>467.67</v>
      </c>
      <c r="M186" s="1">
        <f ca="1">IFERROR(__xludf.DUMMYFUNCTION("""COMPUTED_VALUE"""),473.08)</f>
        <v>473.08</v>
      </c>
      <c r="N186" s="1">
        <f ca="1">IFERROR(__xludf.DUMMYFUNCTION("""COMPUTED_VALUE"""),92.66)</f>
        <v>92.66</v>
      </c>
      <c r="O186" s="1">
        <f ca="1">IFERROR(__xludf.DUMMYFUNCTION("""COMPUTED_VALUE"""),195.52)</f>
        <v>195.52</v>
      </c>
      <c r="P186" s="1">
        <f ca="1">IFERROR(__xludf.DUMMYFUNCTION("""COMPUTED_VALUE"""),144.67)</f>
        <v>144.66999999999999</v>
      </c>
      <c r="Q186" s="1">
        <f ca="1">IFERROR(__xludf.DUMMYFUNCTION("""COMPUTED_VALUE"""),292.66)</f>
        <v>292.66000000000003</v>
      </c>
      <c r="R186" s="1">
        <f ca="1">IFERROR(__xludf.DUMMYFUNCTION("""COMPUTED_VALUE"""),34.32)</f>
        <v>34.32</v>
      </c>
      <c r="S186" s="1">
        <f ca="1">IFERROR(__xludf.DUMMYFUNCTION("""COMPUTED_VALUE"""),69.39)</f>
        <v>69.39</v>
      </c>
      <c r="T186" s="1">
        <f ca="1">IFERROR(__xludf.DUMMYFUNCTION("""COMPUTED_VALUE"""),45.57)</f>
        <v>45.57</v>
      </c>
      <c r="U186" s="1">
        <f ca="1">IFERROR(__xludf.DUMMYFUNCTION("""COMPUTED_VALUE"""),124.75)</f>
        <v>124.75</v>
      </c>
      <c r="V186" s="1">
        <f ca="1">IFERROR(__xludf.DUMMYFUNCTION("""COMPUTED_VALUE"""),145.14)</f>
        <v>145.13999999999999</v>
      </c>
      <c r="W186" s="1">
        <f ca="1">IFERROR(__xludf.DUMMYFUNCTION("""COMPUTED_VALUE"""),378.76)</f>
        <v>378.76</v>
      </c>
      <c r="X186" s="1">
        <f ca="1">IFERROR(__xludf.DUMMYFUNCTION("""COMPUTED_VALUE"""),360.16)</f>
        <v>360.16</v>
      </c>
      <c r="Y186" s="1">
        <f ca="1">IFERROR(__xludf.DUMMYFUNCTION("""COMPUTED_VALUE"""),78.38)</f>
        <v>78.38</v>
      </c>
      <c r="Z186" s="1">
        <f ca="1">IFERROR(__xludf.DUMMYFUNCTION("""COMPUTED_VALUE"""),195.11)</f>
        <v>195.11</v>
      </c>
      <c r="AA186" s="1">
        <f ca="1">IFERROR(__xludf.DUMMYFUNCTION("""COMPUTED_VALUE"""),33.88)</f>
        <v>33.880000000000003</v>
      </c>
      <c r="AB186" s="1">
        <f ca="1">IFERROR(__xludf.DUMMYFUNCTION("""COMPUTED_VALUE"""),83.04)</f>
        <v>83.04</v>
      </c>
      <c r="AC186" s="1">
        <f ca="1">IFERROR(__xludf.DUMMYFUNCTION("""COMPUTED_VALUE"""),75.82)</f>
        <v>75.819999999999993</v>
      </c>
    </row>
    <row r="187" spans="1:29" x14ac:dyDescent="0.25">
      <c r="A187" s="2">
        <f ca="1">IFERROR(__xludf.DUMMYFUNCTION("""COMPUTED_VALUE"""),44099.6666666666)</f>
        <v>44099.666666666599</v>
      </c>
      <c r="B187" s="1">
        <f ca="1">IFERROR(__xludf.DUMMYFUNCTION("""COMPUTED_VALUE"""),112.28)</f>
        <v>112.28</v>
      </c>
      <c r="C187" s="1">
        <f ca="1">IFERROR(__xludf.DUMMYFUNCTION("""COMPUTED_VALUE"""),207.82)</f>
        <v>207.82</v>
      </c>
      <c r="D187" s="1">
        <f ca="1">IFERROR(__xludf.DUMMYFUNCTION("""COMPUTED_VALUE"""),154.76)</f>
        <v>154.76</v>
      </c>
      <c r="E187" s="1">
        <f ca="1">IFERROR(__xludf.DUMMYFUNCTION("""COMPUTED_VALUE"""),12.87)</f>
        <v>12.87</v>
      </c>
      <c r="F187" s="1">
        <f ca="1">IFERROR(__xludf.DUMMYFUNCTION("""COMPUTED_VALUE"""),254.82)</f>
        <v>254.82</v>
      </c>
      <c r="G187" s="1">
        <f ca="1">IFERROR(__xludf.DUMMYFUNCTION("""COMPUTED_VALUE"""),72.25)</f>
        <v>72.25</v>
      </c>
      <c r="H187" s="1">
        <f ca="1">IFERROR(__xludf.DUMMYFUNCTION("""COMPUTED_VALUE"""),135.78)</f>
        <v>135.78</v>
      </c>
      <c r="I187" s="1">
        <f ca="1">IFERROR(__xludf.DUMMYFUNCTION("""COMPUTED_VALUE"""),133.55)</f>
        <v>133.55000000000001</v>
      </c>
      <c r="J187" s="1">
        <f ca="1">IFERROR(__xludf.DUMMYFUNCTION("""COMPUTED_VALUE"""),342.58)</f>
        <v>342.58</v>
      </c>
      <c r="K187" s="1">
        <f ca="1">IFERROR(__xludf.DUMMYFUNCTION("""COMPUTED_VALUE"""),35.68)</f>
        <v>35.68</v>
      </c>
      <c r="L187" s="1">
        <f ca="1">IFERROR(__xludf.DUMMYFUNCTION("""COMPUTED_VALUE"""),479.78)</f>
        <v>479.78</v>
      </c>
      <c r="M187" s="1">
        <f ca="1">IFERROR(__xludf.DUMMYFUNCTION("""COMPUTED_VALUE"""),482.88)</f>
        <v>482.88</v>
      </c>
      <c r="N187" s="1">
        <f ca="1">IFERROR(__xludf.DUMMYFUNCTION("""COMPUTED_VALUE"""),93.47)</f>
        <v>93.47</v>
      </c>
      <c r="O187" s="1">
        <f ca="1">IFERROR(__xludf.DUMMYFUNCTION("""COMPUTED_VALUE"""),197.25)</f>
        <v>197.25</v>
      </c>
      <c r="P187" s="1">
        <f ca="1">IFERROR(__xludf.DUMMYFUNCTION("""COMPUTED_VALUE"""),145.66)</f>
        <v>145.66</v>
      </c>
      <c r="Q187" s="1">
        <f ca="1">IFERROR(__xludf.DUMMYFUNCTION("""COMPUTED_VALUE"""),302.5)</f>
        <v>302.5</v>
      </c>
      <c r="R187" s="1">
        <f ca="1">IFERROR(__xludf.DUMMYFUNCTION("""COMPUTED_VALUE"""),34.64)</f>
        <v>34.64</v>
      </c>
      <c r="S187" s="1">
        <f ca="1">IFERROR(__xludf.DUMMYFUNCTION("""COMPUTED_VALUE"""),70.46)</f>
        <v>70.459999999999994</v>
      </c>
      <c r="T187" s="1">
        <f ca="1">IFERROR(__xludf.DUMMYFUNCTION("""COMPUTED_VALUE"""),45.76)</f>
        <v>45.76</v>
      </c>
      <c r="U187" s="1">
        <f ca="1">IFERROR(__xludf.DUMMYFUNCTION("""COMPUTED_VALUE"""),124.23)</f>
        <v>124.23</v>
      </c>
      <c r="V187" s="1">
        <f ca="1">IFERROR(__xludf.DUMMYFUNCTION("""COMPUTED_VALUE"""),145.91)</f>
        <v>145.91</v>
      </c>
      <c r="W187" s="1">
        <f ca="1">IFERROR(__xludf.DUMMYFUNCTION("""COMPUTED_VALUE"""),386.7)</f>
        <v>386.7</v>
      </c>
      <c r="X187" s="1">
        <f ca="1">IFERROR(__xludf.DUMMYFUNCTION("""COMPUTED_VALUE"""),360.48)</f>
        <v>360.48</v>
      </c>
      <c r="Y187" s="1">
        <f ca="1">IFERROR(__xludf.DUMMYFUNCTION("""COMPUTED_VALUE"""),78.88)</f>
        <v>78.88</v>
      </c>
      <c r="Z187" s="1">
        <f ca="1">IFERROR(__xludf.DUMMYFUNCTION("""COMPUTED_VALUE"""),194.95)</f>
        <v>194.95</v>
      </c>
      <c r="AA187" s="1">
        <f ca="1">IFERROR(__xludf.DUMMYFUNCTION("""COMPUTED_VALUE"""),34.15)</f>
        <v>34.15</v>
      </c>
      <c r="AB187" s="1">
        <f ca="1">IFERROR(__xludf.DUMMYFUNCTION("""COMPUTED_VALUE"""),84.3)</f>
        <v>84.3</v>
      </c>
      <c r="AC187" s="1">
        <f ca="1">IFERROR(__xludf.DUMMYFUNCTION("""COMPUTED_VALUE"""),78.06)</f>
        <v>78.06</v>
      </c>
    </row>
    <row r="188" spans="1:29" x14ac:dyDescent="0.25">
      <c r="A188" s="2">
        <f ca="1">IFERROR(__xludf.DUMMYFUNCTION("""COMPUTED_VALUE"""),44102.6666666666)</f>
        <v>44102.666666666599</v>
      </c>
      <c r="B188" s="1">
        <f ca="1">IFERROR(__xludf.DUMMYFUNCTION("""COMPUTED_VALUE"""),114.96)</f>
        <v>114.96</v>
      </c>
      <c r="C188" s="1">
        <f ca="1">IFERROR(__xludf.DUMMYFUNCTION("""COMPUTED_VALUE"""),209.44)</f>
        <v>209.44</v>
      </c>
      <c r="D188" s="1">
        <f ca="1">IFERROR(__xludf.DUMMYFUNCTION("""COMPUTED_VALUE"""),158.7)</f>
        <v>158.69999999999999</v>
      </c>
      <c r="E188" s="1">
        <f ca="1">IFERROR(__xludf.DUMMYFUNCTION("""COMPUTED_VALUE"""),13.04)</f>
        <v>13.04</v>
      </c>
      <c r="F188" s="1">
        <f ca="1">IFERROR(__xludf.DUMMYFUNCTION("""COMPUTED_VALUE"""),256.82)</f>
        <v>256.82</v>
      </c>
      <c r="G188" s="1">
        <f ca="1">IFERROR(__xludf.DUMMYFUNCTION("""COMPUTED_VALUE"""),73.23)</f>
        <v>73.23</v>
      </c>
      <c r="H188" s="1">
        <f ca="1">IFERROR(__xludf.DUMMYFUNCTION("""COMPUTED_VALUE"""),140.4)</f>
        <v>140.4</v>
      </c>
      <c r="I188" s="1">
        <f ca="1">IFERROR(__xludf.DUMMYFUNCTION("""COMPUTED_VALUE"""),137.97)</f>
        <v>137.97</v>
      </c>
      <c r="J188" s="1">
        <f ca="1">IFERROR(__xludf.DUMMYFUNCTION("""COMPUTED_VALUE"""),349.62)</f>
        <v>349.62</v>
      </c>
      <c r="K188" s="1">
        <f ca="1">IFERROR(__xludf.DUMMYFUNCTION("""COMPUTED_VALUE"""),36.73)</f>
        <v>36.729999999999997</v>
      </c>
      <c r="L188" s="1">
        <f ca="1">IFERROR(__xludf.DUMMYFUNCTION("""COMPUTED_VALUE"""),488.51)</f>
        <v>488.51</v>
      </c>
      <c r="M188" s="1">
        <f ca="1">IFERROR(__xludf.DUMMYFUNCTION("""COMPUTED_VALUE"""),490.65)</f>
        <v>490.65</v>
      </c>
      <c r="N188" s="1">
        <f ca="1">IFERROR(__xludf.DUMMYFUNCTION("""COMPUTED_VALUE"""),96.16)</f>
        <v>96.16</v>
      </c>
      <c r="O188" s="1">
        <f ca="1">IFERROR(__xludf.DUMMYFUNCTION("""COMPUTED_VALUE"""),200.32)</f>
        <v>200.32</v>
      </c>
      <c r="P188" s="1">
        <f ca="1">IFERROR(__xludf.DUMMYFUNCTION("""COMPUTED_VALUE"""),147.11)</f>
        <v>147.11000000000001</v>
      </c>
      <c r="Q188" s="1">
        <f ca="1">IFERROR(__xludf.DUMMYFUNCTION("""COMPUTED_VALUE"""),303.23)</f>
        <v>303.23</v>
      </c>
      <c r="R188" s="1">
        <f ca="1">IFERROR(__xludf.DUMMYFUNCTION("""COMPUTED_VALUE"""),35.31)</f>
        <v>35.31</v>
      </c>
      <c r="S188" s="1">
        <f ca="1">IFERROR(__xludf.DUMMYFUNCTION("""COMPUTED_VALUE"""),71.04)</f>
        <v>71.040000000000006</v>
      </c>
      <c r="T188" s="1">
        <f ca="1">IFERROR(__xludf.DUMMYFUNCTION("""COMPUTED_VALUE"""),45.75)</f>
        <v>45.75</v>
      </c>
      <c r="U188" s="1">
        <f ca="1">IFERROR(__xludf.DUMMYFUNCTION("""COMPUTED_VALUE"""),124.32)</f>
        <v>124.32</v>
      </c>
      <c r="V188" s="1">
        <f ca="1">IFERROR(__xludf.DUMMYFUNCTION("""COMPUTED_VALUE"""),147.68)</f>
        <v>147.68</v>
      </c>
      <c r="W188" s="1">
        <f ca="1">IFERROR(__xludf.DUMMYFUNCTION("""COMPUTED_VALUE"""),390.51)</f>
        <v>390.51</v>
      </c>
      <c r="X188" s="1">
        <f ca="1">IFERROR(__xludf.DUMMYFUNCTION("""COMPUTED_VALUE"""),371.06)</f>
        <v>371.06</v>
      </c>
      <c r="Y188" s="1">
        <f ca="1">IFERROR(__xludf.DUMMYFUNCTION("""COMPUTED_VALUE"""),79.77)</f>
        <v>79.77</v>
      </c>
      <c r="Z188" s="1">
        <f ca="1">IFERROR(__xludf.DUMMYFUNCTION("""COMPUTED_VALUE"""),199.07)</f>
        <v>199.07</v>
      </c>
      <c r="AA188" s="1">
        <f ca="1">IFERROR(__xludf.DUMMYFUNCTION("""COMPUTED_VALUE"""),34.47)</f>
        <v>34.47</v>
      </c>
      <c r="AB188" s="1">
        <f ca="1">IFERROR(__xludf.DUMMYFUNCTION("""COMPUTED_VALUE"""),86.07)</f>
        <v>86.07</v>
      </c>
      <c r="AC188" s="1">
        <f ca="1">IFERROR(__xludf.DUMMYFUNCTION("""COMPUTED_VALUE"""),79.48)</f>
        <v>79.48</v>
      </c>
    </row>
    <row r="189" spans="1:29" x14ac:dyDescent="0.25">
      <c r="A189" s="2">
        <f ca="1">IFERROR(__xludf.DUMMYFUNCTION("""COMPUTED_VALUE"""),44103.6666666666)</f>
        <v>44103.666666666599</v>
      </c>
      <c r="B189" s="1">
        <f ca="1">IFERROR(__xludf.DUMMYFUNCTION("""COMPUTED_VALUE"""),114.09)</f>
        <v>114.09</v>
      </c>
      <c r="C189" s="1">
        <f ca="1">IFERROR(__xludf.DUMMYFUNCTION("""COMPUTED_VALUE"""),207.26)</f>
        <v>207.26</v>
      </c>
      <c r="D189" s="1">
        <f ca="1">IFERROR(__xludf.DUMMYFUNCTION("""COMPUTED_VALUE"""),157.24)</f>
        <v>157.24</v>
      </c>
      <c r="E189" s="1">
        <f ca="1">IFERROR(__xludf.DUMMYFUNCTION("""COMPUTED_VALUE"""),13.23)</f>
        <v>13.23</v>
      </c>
      <c r="F189" s="1">
        <f ca="1">IFERROR(__xludf.DUMMYFUNCTION("""COMPUTED_VALUE"""),261.79)</f>
        <v>261.79000000000002</v>
      </c>
      <c r="G189" s="1">
        <f ca="1">IFERROR(__xludf.DUMMYFUNCTION("""COMPUTED_VALUE"""),73.47)</f>
        <v>73.47</v>
      </c>
      <c r="H189" s="1">
        <f ca="1">IFERROR(__xludf.DUMMYFUNCTION("""COMPUTED_VALUE"""),139.69)</f>
        <v>139.69</v>
      </c>
      <c r="I189" s="1">
        <f ca="1">IFERROR(__xludf.DUMMYFUNCTION("""COMPUTED_VALUE"""),137.16)</f>
        <v>137.16</v>
      </c>
      <c r="J189" s="1">
        <f ca="1">IFERROR(__xludf.DUMMYFUNCTION("""COMPUTED_VALUE"""),352.14)</f>
        <v>352.14</v>
      </c>
      <c r="K189" s="1">
        <f ca="1">IFERROR(__xludf.DUMMYFUNCTION("""COMPUTED_VALUE"""),36.43)</f>
        <v>36.43</v>
      </c>
      <c r="L189" s="1">
        <f ca="1">IFERROR(__xludf.DUMMYFUNCTION("""COMPUTED_VALUE"""),489.33)</f>
        <v>489.33</v>
      </c>
      <c r="M189" s="1">
        <f ca="1">IFERROR(__xludf.DUMMYFUNCTION("""COMPUTED_VALUE"""),493.48)</f>
        <v>493.48</v>
      </c>
      <c r="N189" s="1">
        <f ca="1">IFERROR(__xludf.DUMMYFUNCTION("""COMPUTED_VALUE"""),95.35)</f>
        <v>95.35</v>
      </c>
      <c r="O189" s="1">
        <f ca="1">IFERROR(__xludf.DUMMYFUNCTION("""COMPUTED_VALUE"""),199.44)</f>
        <v>199.44</v>
      </c>
      <c r="P189" s="1">
        <f ca="1">IFERROR(__xludf.DUMMYFUNCTION("""COMPUTED_VALUE"""),147.06)</f>
        <v>147.06</v>
      </c>
      <c r="Q189" s="1">
        <f ca="1">IFERROR(__xludf.DUMMYFUNCTION("""COMPUTED_VALUE"""),304.15)</f>
        <v>304.14999999999998</v>
      </c>
      <c r="R189" s="1">
        <f ca="1">IFERROR(__xludf.DUMMYFUNCTION("""COMPUTED_VALUE"""),34.28)</f>
        <v>34.28</v>
      </c>
      <c r="S189" s="1">
        <f ca="1">IFERROR(__xludf.DUMMYFUNCTION("""COMPUTED_VALUE"""),70.78)</f>
        <v>70.78</v>
      </c>
      <c r="T189" s="1">
        <f ca="1">IFERROR(__xludf.DUMMYFUNCTION("""COMPUTED_VALUE"""),45.71)</f>
        <v>45.71</v>
      </c>
      <c r="U189" s="1">
        <f ca="1">IFERROR(__xludf.DUMMYFUNCTION("""COMPUTED_VALUE"""),126.35)</f>
        <v>126.35</v>
      </c>
      <c r="V189" s="1">
        <f ca="1">IFERROR(__xludf.DUMMYFUNCTION("""COMPUTED_VALUE"""),147.41)</f>
        <v>147.41</v>
      </c>
      <c r="W189" s="1">
        <f ca="1">IFERROR(__xludf.DUMMYFUNCTION("""COMPUTED_VALUE"""),388.74)</f>
        <v>388.74</v>
      </c>
      <c r="X189" s="1">
        <f ca="1">IFERROR(__xludf.DUMMYFUNCTION("""COMPUTED_VALUE"""),374)</f>
        <v>374</v>
      </c>
      <c r="Y189" s="1">
        <f ca="1">IFERROR(__xludf.DUMMYFUNCTION("""COMPUTED_VALUE"""),80.51)</f>
        <v>80.510000000000005</v>
      </c>
      <c r="Z189" s="1">
        <f ca="1">IFERROR(__xludf.DUMMYFUNCTION("""COMPUTED_VALUE"""),196.79)</f>
        <v>196.79</v>
      </c>
      <c r="AA189" s="1">
        <f ca="1">IFERROR(__xludf.DUMMYFUNCTION("""COMPUTED_VALUE"""),34.27)</f>
        <v>34.270000000000003</v>
      </c>
      <c r="AB189" s="1">
        <f ca="1">IFERROR(__xludf.DUMMYFUNCTION("""COMPUTED_VALUE"""),84.8)</f>
        <v>84.8</v>
      </c>
      <c r="AC189" s="1">
        <f ca="1">IFERROR(__xludf.DUMMYFUNCTION("""COMPUTED_VALUE"""),81.77)</f>
        <v>81.77</v>
      </c>
    </row>
    <row r="190" spans="1:29" x14ac:dyDescent="0.25">
      <c r="A190" s="2">
        <f ca="1">IFERROR(__xludf.DUMMYFUNCTION("""COMPUTED_VALUE"""),44104.6666666666)</f>
        <v>44104.666666666599</v>
      </c>
      <c r="B190" s="1">
        <f ca="1">IFERROR(__xludf.DUMMYFUNCTION("""COMPUTED_VALUE"""),115.81)</f>
        <v>115.81</v>
      </c>
      <c r="C190" s="1">
        <f ca="1">IFERROR(__xludf.DUMMYFUNCTION("""COMPUTED_VALUE"""),210.33)</f>
        <v>210.33</v>
      </c>
      <c r="D190" s="1">
        <f ca="1">IFERROR(__xludf.DUMMYFUNCTION("""COMPUTED_VALUE"""),157.44)</f>
        <v>157.44</v>
      </c>
      <c r="E190" s="1">
        <f ca="1">IFERROR(__xludf.DUMMYFUNCTION("""COMPUTED_VALUE"""),13.53)</f>
        <v>13.53</v>
      </c>
      <c r="F190" s="1">
        <f ca="1">IFERROR(__xludf.DUMMYFUNCTION("""COMPUTED_VALUE"""),261.9)</f>
        <v>261.89999999999998</v>
      </c>
      <c r="G190" s="1">
        <f ca="1">IFERROR(__xludf.DUMMYFUNCTION("""COMPUTED_VALUE"""),73.48)</f>
        <v>73.48</v>
      </c>
      <c r="H190" s="1">
        <f ca="1">IFERROR(__xludf.DUMMYFUNCTION("""COMPUTED_VALUE"""),143)</f>
        <v>143</v>
      </c>
      <c r="I190" s="1">
        <f ca="1">IFERROR(__xludf.DUMMYFUNCTION("""COMPUTED_VALUE"""),138.6)</f>
        <v>138.6</v>
      </c>
      <c r="J190" s="1">
        <f ca="1">IFERROR(__xludf.DUMMYFUNCTION("""COMPUTED_VALUE"""),355)</f>
        <v>355</v>
      </c>
      <c r="K190" s="1">
        <f ca="1">IFERROR(__xludf.DUMMYFUNCTION("""COMPUTED_VALUE"""),36.43)</f>
        <v>36.43</v>
      </c>
      <c r="L190" s="1">
        <f ca="1">IFERROR(__xludf.DUMMYFUNCTION("""COMPUTED_VALUE"""),490.43)</f>
        <v>490.43</v>
      </c>
      <c r="M190" s="1">
        <f ca="1">IFERROR(__xludf.DUMMYFUNCTION("""COMPUTED_VALUE"""),500.03)</f>
        <v>500.03</v>
      </c>
      <c r="N190" s="1">
        <f ca="1">IFERROR(__xludf.DUMMYFUNCTION("""COMPUTED_VALUE"""),96.27)</f>
        <v>96.27</v>
      </c>
      <c r="O190" s="1">
        <f ca="1">IFERROR(__xludf.DUMMYFUNCTION("""COMPUTED_VALUE"""),199.97)</f>
        <v>199.97</v>
      </c>
      <c r="P190" s="1">
        <f ca="1">IFERROR(__xludf.DUMMYFUNCTION("""COMPUTED_VALUE"""),148.88)</f>
        <v>148.88</v>
      </c>
      <c r="Q190" s="1">
        <f ca="1">IFERROR(__xludf.DUMMYFUNCTION("""COMPUTED_VALUE"""),311.77)</f>
        <v>311.77</v>
      </c>
      <c r="R190" s="1">
        <f ca="1">IFERROR(__xludf.DUMMYFUNCTION("""COMPUTED_VALUE"""),34.33)</f>
        <v>34.33</v>
      </c>
      <c r="S190" s="1">
        <f ca="1">IFERROR(__xludf.DUMMYFUNCTION("""COMPUTED_VALUE"""),69.39)</f>
        <v>69.39</v>
      </c>
      <c r="T190" s="1">
        <f ca="1">IFERROR(__xludf.DUMMYFUNCTION("""COMPUTED_VALUE"""),46.64)</f>
        <v>46.64</v>
      </c>
      <c r="U190" s="1">
        <f ca="1">IFERROR(__xludf.DUMMYFUNCTION("""COMPUTED_VALUE"""),125.54)</f>
        <v>125.54</v>
      </c>
      <c r="V190" s="1">
        <f ca="1">IFERROR(__xludf.DUMMYFUNCTION("""COMPUTED_VALUE"""),149.15)</f>
        <v>149.15</v>
      </c>
      <c r="W190" s="1">
        <f ca="1">IFERROR(__xludf.DUMMYFUNCTION("""COMPUTED_VALUE"""),383.28)</f>
        <v>383.28</v>
      </c>
      <c r="X190" s="1">
        <f ca="1">IFERROR(__xludf.DUMMYFUNCTION("""COMPUTED_VALUE"""),369.27)</f>
        <v>369.27</v>
      </c>
      <c r="Y190" s="1">
        <f ca="1">IFERROR(__xludf.DUMMYFUNCTION("""COMPUTED_VALUE"""),81.07)</f>
        <v>81.069999999999993</v>
      </c>
      <c r="Z190" s="1">
        <f ca="1">IFERROR(__xludf.DUMMYFUNCTION("""COMPUTED_VALUE"""),200.97)</f>
        <v>200.97</v>
      </c>
      <c r="AA190" s="1">
        <f ca="1">IFERROR(__xludf.DUMMYFUNCTION("""COMPUTED_VALUE"""),34.77)</f>
        <v>34.770000000000003</v>
      </c>
      <c r="AB190" s="1">
        <f ca="1">IFERROR(__xludf.DUMMYFUNCTION("""COMPUTED_VALUE"""),85.92)</f>
        <v>85.92</v>
      </c>
      <c r="AC190" s="1">
        <f ca="1">IFERROR(__xludf.DUMMYFUNCTION("""COMPUTED_VALUE"""),81.99)</f>
        <v>81.99</v>
      </c>
    </row>
    <row r="191" spans="1:29" x14ac:dyDescent="0.25">
      <c r="A191" s="2">
        <f ca="1">IFERROR(__xludf.DUMMYFUNCTION("""COMPUTED_VALUE"""),44105.6666666666)</f>
        <v>44105.666666666599</v>
      </c>
      <c r="B191" s="1">
        <f ca="1">IFERROR(__xludf.DUMMYFUNCTION("""COMPUTED_VALUE"""),116.79)</f>
        <v>116.79</v>
      </c>
      <c r="C191" s="1">
        <f ca="1">IFERROR(__xludf.DUMMYFUNCTION("""COMPUTED_VALUE"""),212.46)</f>
        <v>212.46</v>
      </c>
      <c r="D191" s="1">
        <f ca="1">IFERROR(__xludf.DUMMYFUNCTION("""COMPUTED_VALUE"""),161.06)</f>
        <v>161.06</v>
      </c>
      <c r="E191" s="1">
        <f ca="1">IFERROR(__xludf.DUMMYFUNCTION("""COMPUTED_VALUE"""),13.61)</f>
        <v>13.61</v>
      </c>
      <c r="F191" s="1">
        <f ca="1">IFERROR(__xludf.DUMMYFUNCTION("""COMPUTED_VALUE"""),266.63)</f>
        <v>266.63</v>
      </c>
      <c r="G191" s="1">
        <f ca="1">IFERROR(__xludf.DUMMYFUNCTION("""COMPUTED_VALUE"""),74.5)</f>
        <v>74.5</v>
      </c>
      <c r="H191" s="1">
        <f ca="1">IFERROR(__xludf.DUMMYFUNCTION("""COMPUTED_VALUE"""),149.39)</f>
        <v>149.38999999999999</v>
      </c>
      <c r="I191" s="1">
        <f ca="1">IFERROR(__xludf.DUMMYFUNCTION("""COMPUTED_VALUE"""),140.8)</f>
        <v>140.80000000000001</v>
      </c>
      <c r="J191" s="1">
        <f ca="1">IFERROR(__xludf.DUMMYFUNCTION("""COMPUTED_VALUE"""),358.46)</f>
        <v>358.46</v>
      </c>
      <c r="K191" s="1">
        <f ca="1">IFERROR(__xludf.DUMMYFUNCTION("""COMPUTED_VALUE"""),36.86)</f>
        <v>36.86</v>
      </c>
      <c r="L191" s="1">
        <f ca="1">IFERROR(__xludf.DUMMYFUNCTION("""COMPUTED_VALUE"""),499.51)</f>
        <v>499.51</v>
      </c>
      <c r="M191" s="1">
        <f ca="1">IFERROR(__xludf.DUMMYFUNCTION("""COMPUTED_VALUE"""),527.51)</f>
        <v>527.51</v>
      </c>
      <c r="N191" s="1">
        <f ca="1">IFERROR(__xludf.DUMMYFUNCTION("""COMPUTED_VALUE"""),96.97)</f>
        <v>96.97</v>
      </c>
      <c r="O191" s="1">
        <f ca="1">IFERROR(__xludf.DUMMYFUNCTION("""COMPUTED_VALUE"""),203.35)</f>
        <v>203.35</v>
      </c>
      <c r="P191" s="1">
        <f ca="1">IFERROR(__xludf.DUMMYFUNCTION("""COMPUTED_VALUE"""),147.32)</f>
        <v>147.32</v>
      </c>
      <c r="Q191" s="1">
        <f ca="1">IFERROR(__xludf.DUMMYFUNCTION("""COMPUTED_VALUE"""),313.07)</f>
        <v>313.07</v>
      </c>
      <c r="R191" s="1">
        <f ca="1">IFERROR(__xludf.DUMMYFUNCTION("""COMPUTED_VALUE"""),33.13)</f>
        <v>33.130000000000003</v>
      </c>
      <c r="S191" s="1">
        <f ca="1">IFERROR(__xludf.DUMMYFUNCTION("""COMPUTED_VALUE"""),70.69)</f>
        <v>70.69</v>
      </c>
      <c r="T191" s="1">
        <f ca="1">IFERROR(__xludf.DUMMYFUNCTION("""COMPUTED_VALUE"""),47.69)</f>
        <v>47.69</v>
      </c>
      <c r="U191" s="1">
        <f ca="1">IFERROR(__xludf.DUMMYFUNCTION("""COMPUTED_VALUE"""),126.64)</f>
        <v>126.64</v>
      </c>
      <c r="V191" s="1">
        <f ca="1">IFERROR(__xludf.DUMMYFUNCTION("""COMPUTED_VALUE"""),146.71)</f>
        <v>146.71</v>
      </c>
      <c r="W191" s="1">
        <f ca="1">IFERROR(__xludf.DUMMYFUNCTION("""COMPUTED_VALUE"""),380.89)</f>
        <v>380.89</v>
      </c>
      <c r="X191" s="1">
        <f ca="1">IFERROR(__xludf.DUMMYFUNCTION("""COMPUTED_VALUE"""),382.01)</f>
        <v>382.01</v>
      </c>
      <c r="Y191" s="1">
        <f ca="1">IFERROR(__xludf.DUMMYFUNCTION("""COMPUTED_VALUE"""),82.62)</f>
        <v>82.62</v>
      </c>
      <c r="Z191" s="1">
        <f ca="1">IFERROR(__xludf.DUMMYFUNCTION("""COMPUTED_VALUE"""),198.55)</f>
        <v>198.55</v>
      </c>
      <c r="AA191" s="1">
        <f ca="1">IFERROR(__xludf.DUMMYFUNCTION("""COMPUTED_VALUE"""),34.45)</f>
        <v>34.450000000000003</v>
      </c>
      <c r="AB191" s="1">
        <f ca="1">IFERROR(__xludf.DUMMYFUNCTION("""COMPUTED_VALUE"""),86.74)</f>
        <v>86.74</v>
      </c>
      <c r="AC191" s="1">
        <f ca="1">IFERROR(__xludf.DUMMYFUNCTION("""COMPUTED_VALUE"""),84.86)</f>
        <v>84.86</v>
      </c>
    </row>
    <row r="192" spans="1:29" x14ac:dyDescent="0.25">
      <c r="A192" s="2">
        <f ca="1">IFERROR(__xludf.DUMMYFUNCTION("""COMPUTED_VALUE"""),44106.6666666666)</f>
        <v>44106.666666666599</v>
      </c>
      <c r="B192" s="1">
        <f ca="1">IFERROR(__xludf.DUMMYFUNCTION("""COMPUTED_VALUE"""),113.02)</f>
        <v>113.02</v>
      </c>
      <c r="C192" s="1">
        <f ca="1">IFERROR(__xludf.DUMMYFUNCTION("""COMPUTED_VALUE"""),206.19)</f>
        <v>206.19</v>
      </c>
      <c r="D192" s="1">
        <f ca="1">IFERROR(__xludf.DUMMYFUNCTION("""COMPUTED_VALUE"""),156.25)</f>
        <v>156.25</v>
      </c>
      <c r="E192" s="1">
        <f ca="1">IFERROR(__xludf.DUMMYFUNCTION("""COMPUTED_VALUE"""),13.06)</f>
        <v>13.06</v>
      </c>
      <c r="F192" s="1">
        <f ca="1">IFERROR(__xludf.DUMMYFUNCTION("""COMPUTED_VALUE"""),259.94)</f>
        <v>259.94</v>
      </c>
      <c r="G192" s="1">
        <f ca="1">IFERROR(__xludf.DUMMYFUNCTION("""COMPUTED_VALUE"""),72.92)</f>
        <v>72.92</v>
      </c>
      <c r="H192" s="1">
        <f ca="1">IFERROR(__xludf.DUMMYFUNCTION("""COMPUTED_VALUE"""),138.36)</f>
        <v>138.36000000000001</v>
      </c>
      <c r="I192" s="1">
        <f ca="1">IFERROR(__xludf.DUMMYFUNCTION("""COMPUTED_VALUE"""),138.06)</f>
        <v>138.06</v>
      </c>
      <c r="J192" s="1">
        <f ca="1">IFERROR(__xludf.DUMMYFUNCTION("""COMPUTED_VALUE"""),355.01)</f>
        <v>355.01</v>
      </c>
      <c r="K192" s="1">
        <f ca="1">IFERROR(__xludf.DUMMYFUNCTION("""COMPUTED_VALUE"""),35.68)</f>
        <v>35.68</v>
      </c>
      <c r="L192" s="1">
        <f ca="1">IFERROR(__xludf.DUMMYFUNCTION("""COMPUTED_VALUE"""),478.99)</f>
        <v>478.99</v>
      </c>
      <c r="M192" s="1">
        <f ca="1">IFERROR(__xludf.DUMMYFUNCTION("""COMPUTED_VALUE"""),503.06)</f>
        <v>503.06</v>
      </c>
      <c r="N192" s="1">
        <f ca="1">IFERROR(__xludf.DUMMYFUNCTION("""COMPUTED_VALUE"""),97.89)</f>
        <v>97.89</v>
      </c>
      <c r="O192" s="1">
        <f ca="1">IFERROR(__xludf.DUMMYFUNCTION("""COMPUTED_VALUE"""),201.46)</f>
        <v>201.46</v>
      </c>
      <c r="P192" s="1">
        <f ca="1">IFERROR(__xludf.DUMMYFUNCTION("""COMPUTED_VALUE"""),146.24)</f>
        <v>146.24</v>
      </c>
      <c r="Q192" s="1">
        <f ca="1">IFERROR(__xludf.DUMMYFUNCTION("""COMPUTED_VALUE"""),311.98)</f>
        <v>311.98</v>
      </c>
      <c r="R192" s="1">
        <f ca="1">IFERROR(__xludf.DUMMYFUNCTION("""COMPUTED_VALUE"""),32.98)</f>
        <v>32.979999999999997</v>
      </c>
      <c r="S192" s="1">
        <f ca="1">IFERROR(__xludf.DUMMYFUNCTION("""COMPUTED_VALUE"""),70.29)</f>
        <v>70.290000000000006</v>
      </c>
      <c r="T192" s="1">
        <f ca="1">IFERROR(__xludf.DUMMYFUNCTION("""COMPUTED_VALUE"""),46.83)</f>
        <v>46.83</v>
      </c>
      <c r="U192" s="1">
        <f ca="1">IFERROR(__xludf.DUMMYFUNCTION("""COMPUTED_VALUE"""),126.64)</f>
        <v>126.64</v>
      </c>
      <c r="V192" s="1">
        <f ca="1">IFERROR(__xludf.DUMMYFUNCTION("""COMPUTED_VALUE"""),149.94)</f>
        <v>149.94</v>
      </c>
      <c r="W192" s="1">
        <f ca="1">IFERROR(__xludf.DUMMYFUNCTION("""COMPUTED_VALUE"""),380.58)</f>
        <v>380.58</v>
      </c>
      <c r="X192" s="1">
        <f ca="1">IFERROR(__xludf.DUMMYFUNCTION("""COMPUTED_VALUE"""),370)</f>
        <v>370</v>
      </c>
      <c r="Y192" s="1">
        <f ca="1">IFERROR(__xludf.DUMMYFUNCTION("""COMPUTED_VALUE"""),80.8)</f>
        <v>80.8</v>
      </c>
      <c r="Z192" s="1">
        <f ca="1">IFERROR(__xludf.DUMMYFUNCTION("""COMPUTED_VALUE"""),199.9)</f>
        <v>199.9</v>
      </c>
      <c r="AA192" s="1">
        <f ca="1">IFERROR(__xludf.DUMMYFUNCTION("""COMPUTED_VALUE"""),34.46)</f>
        <v>34.46</v>
      </c>
      <c r="AB192" s="1">
        <f ca="1">IFERROR(__xludf.DUMMYFUNCTION("""COMPUTED_VALUE"""),86.57)</f>
        <v>86.57</v>
      </c>
      <c r="AC192" s="1">
        <f ca="1">IFERROR(__xludf.DUMMYFUNCTION("""COMPUTED_VALUE"""),81.8)</f>
        <v>81.8</v>
      </c>
    </row>
    <row r="193" spans="1:29" x14ac:dyDescent="0.25">
      <c r="A193" s="2">
        <f ca="1">IFERROR(__xludf.DUMMYFUNCTION("""COMPUTED_VALUE"""),44109.6666666666)</f>
        <v>44109.666666666599</v>
      </c>
      <c r="B193" s="1">
        <f ca="1">IFERROR(__xludf.DUMMYFUNCTION("""COMPUTED_VALUE"""),116.5)</f>
        <v>116.5</v>
      </c>
      <c r="C193" s="1">
        <f ca="1">IFERROR(__xludf.DUMMYFUNCTION("""COMPUTED_VALUE"""),210.38)</f>
        <v>210.38</v>
      </c>
      <c r="D193" s="1">
        <f ca="1">IFERROR(__xludf.DUMMYFUNCTION("""COMPUTED_VALUE"""),159.96)</f>
        <v>159.96</v>
      </c>
      <c r="E193" s="1">
        <f ca="1">IFERROR(__xludf.DUMMYFUNCTION("""COMPUTED_VALUE"""),13.64)</f>
        <v>13.64</v>
      </c>
      <c r="F193" s="1">
        <f ca="1">IFERROR(__xludf.DUMMYFUNCTION("""COMPUTED_VALUE"""),264.65)</f>
        <v>264.64999999999998</v>
      </c>
      <c r="G193" s="1">
        <f ca="1">IFERROR(__xludf.DUMMYFUNCTION("""COMPUTED_VALUE"""),74.3)</f>
        <v>74.3</v>
      </c>
      <c r="H193" s="1">
        <f ca="1">IFERROR(__xludf.DUMMYFUNCTION("""COMPUTED_VALUE"""),141.89)</f>
        <v>141.88999999999999</v>
      </c>
      <c r="I193" s="1">
        <f ca="1">IFERROR(__xludf.DUMMYFUNCTION("""COMPUTED_VALUE"""),137.93)</f>
        <v>137.93</v>
      </c>
      <c r="J193" s="1">
        <f ca="1">IFERROR(__xludf.DUMMYFUNCTION("""COMPUTED_VALUE"""),358.58)</f>
        <v>358.58</v>
      </c>
      <c r="K193" s="1">
        <f ca="1">IFERROR(__xludf.DUMMYFUNCTION("""COMPUTED_VALUE"""),36.61)</f>
        <v>36.61</v>
      </c>
      <c r="L193" s="1">
        <f ca="1">IFERROR(__xludf.DUMMYFUNCTION("""COMPUTED_VALUE"""),486.47)</f>
        <v>486.47</v>
      </c>
      <c r="M193" s="1">
        <f ca="1">IFERROR(__xludf.DUMMYFUNCTION("""COMPUTED_VALUE"""),520.65)</f>
        <v>520.65</v>
      </c>
      <c r="N193" s="1">
        <f ca="1">IFERROR(__xludf.DUMMYFUNCTION("""COMPUTED_VALUE"""),99.04)</f>
        <v>99.04</v>
      </c>
      <c r="O193" s="1">
        <f ca="1">IFERROR(__xludf.DUMMYFUNCTION("""COMPUTED_VALUE"""),203.54)</f>
        <v>203.54</v>
      </c>
      <c r="P193" s="1">
        <f ca="1">IFERROR(__xludf.DUMMYFUNCTION("""COMPUTED_VALUE"""),148.23)</f>
        <v>148.22999999999999</v>
      </c>
      <c r="Q193" s="1">
        <f ca="1">IFERROR(__xludf.DUMMYFUNCTION("""COMPUTED_VALUE"""),318.15)</f>
        <v>318.14999999999998</v>
      </c>
      <c r="R193" s="1">
        <f ca="1">IFERROR(__xludf.DUMMYFUNCTION("""COMPUTED_VALUE"""),33.74)</f>
        <v>33.74</v>
      </c>
      <c r="S193" s="1">
        <f ca="1">IFERROR(__xludf.DUMMYFUNCTION("""COMPUTED_VALUE"""),71.98)</f>
        <v>71.98</v>
      </c>
      <c r="T193" s="1">
        <f ca="1">IFERROR(__xludf.DUMMYFUNCTION("""COMPUTED_VALUE"""),47.27)</f>
        <v>47.27</v>
      </c>
      <c r="U193" s="1">
        <f ca="1">IFERROR(__xludf.DUMMYFUNCTION("""COMPUTED_VALUE"""),127.91)</f>
        <v>127.91</v>
      </c>
      <c r="V193" s="1">
        <f ca="1">IFERROR(__xludf.DUMMYFUNCTION("""COMPUTED_VALUE"""),153.49)</f>
        <v>153.49</v>
      </c>
      <c r="W193" s="1">
        <f ca="1">IFERROR(__xludf.DUMMYFUNCTION("""COMPUTED_VALUE"""),383.96)</f>
        <v>383.96</v>
      </c>
      <c r="X193" s="1">
        <f ca="1">IFERROR(__xludf.DUMMYFUNCTION("""COMPUTED_VALUE"""),382.11)</f>
        <v>382.11</v>
      </c>
      <c r="Y193" s="1">
        <f ca="1">IFERROR(__xludf.DUMMYFUNCTION("""COMPUTED_VALUE"""),84.54)</f>
        <v>84.54</v>
      </c>
      <c r="Z193" s="1">
        <f ca="1">IFERROR(__xludf.DUMMYFUNCTION("""COMPUTED_VALUE"""),201.8)</f>
        <v>201.8</v>
      </c>
      <c r="AA193" s="1">
        <f ca="1">IFERROR(__xludf.DUMMYFUNCTION("""COMPUTED_VALUE"""),34.81)</f>
        <v>34.81</v>
      </c>
      <c r="AB193" s="1">
        <f ca="1">IFERROR(__xludf.DUMMYFUNCTION("""COMPUTED_VALUE"""),88.47)</f>
        <v>88.47</v>
      </c>
      <c r="AC193" s="1">
        <f ca="1">IFERROR(__xludf.DUMMYFUNCTION("""COMPUTED_VALUE"""),86.15)</f>
        <v>86.15</v>
      </c>
    </row>
    <row r="194" spans="1:29" x14ac:dyDescent="0.25">
      <c r="A194" s="2">
        <f ca="1">IFERROR(__xludf.DUMMYFUNCTION("""COMPUTED_VALUE"""),44110.6666666666)</f>
        <v>44110.666666666599</v>
      </c>
      <c r="B194" s="1">
        <f ca="1">IFERROR(__xludf.DUMMYFUNCTION("""COMPUTED_VALUE"""),113.16)</f>
        <v>113.16</v>
      </c>
      <c r="C194" s="1">
        <f ca="1">IFERROR(__xludf.DUMMYFUNCTION("""COMPUTED_VALUE"""),205.91)</f>
        <v>205.91</v>
      </c>
      <c r="D194" s="1">
        <f ca="1">IFERROR(__xludf.DUMMYFUNCTION("""COMPUTED_VALUE"""),155)</f>
        <v>155</v>
      </c>
      <c r="E194" s="1">
        <f ca="1">IFERROR(__xludf.DUMMYFUNCTION("""COMPUTED_VALUE"""),13.74)</f>
        <v>13.74</v>
      </c>
      <c r="F194" s="1">
        <f ca="1">IFERROR(__xludf.DUMMYFUNCTION("""COMPUTED_VALUE"""),258.66)</f>
        <v>258.66000000000003</v>
      </c>
      <c r="G194" s="1">
        <f ca="1">IFERROR(__xludf.DUMMYFUNCTION("""COMPUTED_VALUE"""),72.67)</f>
        <v>72.67</v>
      </c>
      <c r="H194" s="1">
        <f ca="1">IFERROR(__xludf.DUMMYFUNCTION("""COMPUTED_VALUE"""),137.99)</f>
        <v>137.99</v>
      </c>
      <c r="I194" s="1">
        <f ca="1">IFERROR(__xludf.DUMMYFUNCTION("""COMPUTED_VALUE"""),135.7)</f>
        <v>135.69999999999999</v>
      </c>
      <c r="J194" s="1">
        <f ca="1">IFERROR(__xludf.DUMMYFUNCTION("""COMPUTED_VALUE"""),358.35)</f>
        <v>358.35</v>
      </c>
      <c r="K194" s="1">
        <f ca="1">IFERROR(__xludf.DUMMYFUNCTION("""COMPUTED_VALUE"""),36.4)</f>
        <v>36.4</v>
      </c>
      <c r="L194" s="1">
        <f ca="1">IFERROR(__xludf.DUMMYFUNCTION("""COMPUTED_VALUE"""),478.98)</f>
        <v>478.98</v>
      </c>
      <c r="M194" s="1">
        <f ca="1">IFERROR(__xludf.DUMMYFUNCTION("""COMPUTED_VALUE"""),505.87)</f>
        <v>505.87</v>
      </c>
      <c r="N194" s="1">
        <f ca="1">IFERROR(__xludf.DUMMYFUNCTION("""COMPUTED_VALUE"""),98.02)</f>
        <v>98.02</v>
      </c>
      <c r="O194" s="1">
        <f ca="1">IFERROR(__xludf.DUMMYFUNCTION("""COMPUTED_VALUE"""),200.45)</f>
        <v>200.45</v>
      </c>
      <c r="P194" s="1">
        <f ca="1">IFERROR(__xludf.DUMMYFUNCTION("""COMPUTED_VALUE"""),146.26)</f>
        <v>146.26</v>
      </c>
      <c r="Q194" s="1">
        <f ca="1">IFERROR(__xludf.DUMMYFUNCTION("""COMPUTED_VALUE"""),314.45)</f>
        <v>314.45</v>
      </c>
      <c r="R194" s="1">
        <f ca="1">IFERROR(__xludf.DUMMYFUNCTION("""COMPUTED_VALUE"""),33.39)</f>
        <v>33.39</v>
      </c>
      <c r="S194" s="1">
        <f ca="1">IFERROR(__xludf.DUMMYFUNCTION("""COMPUTED_VALUE"""),72.57)</f>
        <v>72.569999999999993</v>
      </c>
      <c r="T194" s="1">
        <f ca="1">IFERROR(__xludf.DUMMYFUNCTION("""COMPUTED_VALUE"""),46.88)</f>
        <v>46.88</v>
      </c>
      <c r="U194" s="1">
        <f ca="1">IFERROR(__xludf.DUMMYFUNCTION("""COMPUTED_VALUE"""),127.65)</f>
        <v>127.65</v>
      </c>
      <c r="V194" s="1">
        <f ca="1">IFERROR(__xludf.DUMMYFUNCTION("""COMPUTED_VALUE"""),151.53)</f>
        <v>151.53</v>
      </c>
      <c r="W194" s="1">
        <f ca="1">IFERROR(__xludf.DUMMYFUNCTION("""COMPUTED_VALUE"""),376.46)</f>
        <v>376.46</v>
      </c>
      <c r="X194" s="1">
        <f ca="1">IFERROR(__xludf.DUMMYFUNCTION("""COMPUTED_VALUE"""),370.11)</f>
        <v>370.11</v>
      </c>
      <c r="Y194" s="1">
        <f ca="1">IFERROR(__xludf.DUMMYFUNCTION("""COMPUTED_VALUE"""),83.12)</f>
        <v>83.12</v>
      </c>
      <c r="Z194" s="1">
        <f ca="1">IFERROR(__xludf.DUMMYFUNCTION("""COMPUTED_VALUE"""),201.09)</f>
        <v>201.09</v>
      </c>
      <c r="AA194" s="1">
        <f ca="1">IFERROR(__xludf.DUMMYFUNCTION("""COMPUTED_VALUE"""),34.27)</f>
        <v>34.270000000000003</v>
      </c>
      <c r="AB194" s="1">
        <f ca="1">IFERROR(__xludf.DUMMYFUNCTION("""COMPUTED_VALUE"""),87.01)</f>
        <v>87.01</v>
      </c>
      <c r="AC194" s="1">
        <f ca="1">IFERROR(__xludf.DUMMYFUNCTION("""COMPUTED_VALUE"""),84.48)</f>
        <v>84.48</v>
      </c>
    </row>
    <row r="195" spans="1:29" x14ac:dyDescent="0.25">
      <c r="A195" s="2">
        <f ca="1">IFERROR(__xludf.DUMMYFUNCTION("""COMPUTED_VALUE"""),44111.6666666666)</f>
        <v>44111.666666666599</v>
      </c>
      <c r="B195" s="1">
        <f ca="1">IFERROR(__xludf.DUMMYFUNCTION("""COMPUTED_VALUE"""),115.08)</f>
        <v>115.08</v>
      </c>
      <c r="C195" s="1">
        <f ca="1">IFERROR(__xludf.DUMMYFUNCTION("""COMPUTED_VALUE"""),209.83)</f>
        <v>209.83</v>
      </c>
      <c r="D195" s="1">
        <f ca="1">IFERROR(__xludf.DUMMYFUNCTION("""COMPUTED_VALUE"""),159.78)</f>
        <v>159.78</v>
      </c>
      <c r="E195" s="1">
        <f ca="1">IFERROR(__xludf.DUMMYFUNCTION("""COMPUTED_VALUE"""),13.96)</f>
        <v>13.96</v>
      </c>
      <c r="F195" s="1">
        <f ca="1">IFERROR(__xludf.DUMMYFUNCTION("""COMPUTED_VALUE"""),258.12)</f>
        <v>258.12</v>
      </c>
      <c r="G195" s="1">
        <f ca="1">IFERROR(__xludf.DUMMYFUNCTION("""COMPUTED_VALUE"""),73.01)</f>
        <v>73.010000000000005</v>
      </c>
      <c r="H195" s="1">
        <f ca="1">IFERROR(__xludf.DUMMYFUNCTION("""COMPUTED_VALUE"""),141.77)</f>
        <v>141.77000000000001</v>
      </c>
      <c r="I195" s="1">
        <f ca="1">IFERROR(__xludf.DUMMYFUNCTION("""COMPUTED_VALUE"""),137.01)</f>
        <v>137.01</v>
      </c>
      <c r="J195" s="1">
        <f ca="1">IFERROR(__xludf.DUMMYFUNCTION("""COMPUTED_VALUE"""),363.02)</f>
        <v>363.02</v>
      </c>
      <c r="K195" s="1">
        <f ca="1">IFERROR(__xludf.DUMMYFUNCTION("""COMPUTED_VALUE"""),36.67)</f>
        <v>36.67</v>
      </c>
      <c r="L195" s="1">
        <f ca="1">IFERROR(__xludf.DUMMYFUNCTION("""COMPUTED_VALUE"""),493.15)</f>
        <v>493.15</v>
      </c>
      <c r="M195" s="1">
        <f ca="1">IFERROR(__xludf.DUMMYFUNCTION("""COMPUTED_VALUE"""),534.66)</f>
        <v>534.66</v>
      </c>
      <c r="N195" s="1">
        <f ca="1">IFERROR(__xludf.DUMMYFUNCTION("""COMPUTED_VALUE"""),99.73)</f>
        <v>99.73</v>
      </c>
      <c r="O195" s="1">
        <f ca="1">IFERROR(__xludf.DUMMYFUNCTION("""COMPUTED_VALUE"""),202.47)</f>
        <v>202.47</v>
      </c>
      <c r="P195" s="1">
        <f ca="1">IFERROR(__xludf.DUMMYFUNCTION("""COMPUTED_VALUE"""),147.88)</f>
        <v>147.88</v>
      </c>
      <c r="Q195" s="1">
        <f ca="1">IFERROR(__xludf.DUMMYFUNCTION("""COMPUTED_VALUE"""),323.17)</f>
        <v>323.17</v>
      </c>
      <c r="R195" s="1">
        <f ca="1">IFERROR(__xludf.DUMMYFUNCTION("""COMPUTED_VALUE"""),33.5)</f>
        <v>33.5</v>
      </c>
      <c r="S195" s="1">
        <f ca="1">IFERROR(__xludf.DUMMYFUNCTION("""COMPUTED_VALUE"""),74.28)</f>
        <v>74.28</v>
      </c>
      <c r="T195" s="1">
        <f ca="1">IFERROR(__xludf.DUMMYFUNCTION("""COMPUTED_VALUE"""),46.96)</f>
        <v>46.96</v>
      </c>
      <c r="U195" s="1">
        <f ca="1">IFERROR(__xludf.DUMMYFUNCTION("""COMPUTED_VALUE"""),130.06)</f>
        <v>130.06</v>
      </c>
      <c r="V195" s="1">
        <f ca="1">IFERROR(__xludf.DUMMYFUNCTION("""COMPUTED_VALUE"""),154.77)</f>
        <v>154.77000000000001</v>
      </c>
      <c r="W195" s="1">
        <f ca="1">IFERROR(__xludf.DUMMYFUNCTION("""COMPUTED_VALUE"""),382.94)</f>
        <v>382.94</v>
      </c>
      <c r="X195" s="1">
        <f ca="1">IFERROR(__xludf.DUMMYFUNCTION("""COMPUTED_VALUE"""),375.8)</f>
        <v>375.8</v>
      </c>
      <c r="Y195" s="1">
        <f ca="1">IFERROR(__xludf.DUMMYFUNCTION("""COMPUTED_VALUE"""),86.92)</f>
        <v>86.92</v>
      </c>
      <c r="Z195" s="1">
        <f ca="1">IFERROR(__xludf.DUMMYFUNCTION("""COMPUTED_VALUE"""),203.6)</f>
        <v>203.6</v>
      </c>
      <c r="AA195" s="1">
        <f ca="1">IFERROR(__xludf.DUMMYFUNCTION("""COMPUTED_VALUE"""),34.55)</f>
        <v>34.549999999999997</v>
      </c>
      <c r="AB195" s="1">
        <f ca="1">IFERROR(__xludf.DUMMYFUNCTION("""COMPUTED_VALUE"""),88.45)</f>
        <v>88.45</v>
      </c>
      <c r="AC195" s="1">
        <f ca="1">IFERROR(__xludf.DUMMYFUNCTION("""COMPUTED_VALUE"""),86.69)</f>
        <v>86.69</v>
      </c>
    </row>
    <row r="196" spans="1:29" x14ac:dyDescent="0.25">
      <c r="A196" s="2">
        <f ca="1">IFERROR(__xludf.DUMMYFUNCTION("""COMPUTED_VALUE"""),44112.6666666666)</f>
        <v>44112.666666666599</v>
      </c>
      <c r="B196" s="1">
        <f ca="1">IFERROR(__xludf.DUMMYFUNCTION("""COMPUTED_VALUE"""),114.97)</f>
        <v>114.97</v>
      </c>
      <c r="C196" s="1">
        <f ca="1">IFERROR(__xludf.DUMMYFUNCTION("""COMPUTED_VALUE"""),210.58)</f>
        <v>210.58</v>
      </c>
      <c r="D196" s="1">
        <f ca="1">IFERROR(__xludf.DUMMYFUNCTION("""COMPUTED_VALUE"""),159.53)</f>
        <v>159.53</v>
      </c>
      <c r="E196" s="1">
        <f ca="1">IFERROR(__xludf.DUMMYFUNCTION("""COMPUTED_VALUE"""),13.84)</f>
        <v>13.84</v>
      </c>
      <c r="F196" s="1">
        <f ca="1">IFERROR(__xludf.DUMMYFUNCTION("""COMPUTED_VALUE"""),263.76)</f>
        <v>263.76</v>
      </c>
      <c r="G196" s="1">
        <f ca="1">IFERROR(__xludf.DUMMYFUNCTION("""COMPUTED_VALUE"""),74.3)</f>
        <v>74.3</v>
      </c>
      <c r="H196" s="1">
        <f ca="1">IFERROR(__xludf.DUMMYFUNCTION("""COMPUTED_VALUE"""),141.97)</f>
        <v>141.97</v>
      </c>
      <c r="I196" s="1">
        <f ca="1">IFERROR(__xludf.DUMMYFUNCTION("""COMPUTED_VALUE"""),137.85)</f>
        <v>137.85</v>
      </c>
      <c r="J196" s="1">
        <f ca="1">IFERROR(__xludf.DUMMYFUNCTION("""COMPUTED_VALUE"""),365.09)</f>
        <v>365.09</v>
      </c>
      <c r="K196" s="1">
        <f ca="1">IFERROR(__xludf.DUMMYFUNCTION("""COMPUTED_VALUE"""),37.33)</f>
        <v>37.33</v>
      </c>
      <c r="L196" s="1">
        <f ca="1">IFERROR(__xludf.DUMMYFUNCTION("""COMPUTED_VALUE"""),490.84)</f>
        <v>490.84</v>
      </c>
      <c r="M196" s="1">
        <f ca="1">IFERROR(__xludf.DUMMYFUNCTION("""COMPUTED_VALUE"""),531.79)</f>
        <v>531.79</v>
      </c>
      <c r="N196" s="1">
        <f ca="1">IFERROR(__xludf.DUMMYFUNCTION("""COMPUTED_VALUE"""),101.78)</f>
        <v>101.78</v>
      </c>
      <c r="O196" s="1">
        <f ca="1">IFERROR(__xludf.DUMMYFUNCTION("""COMPUTED_VALUE"""),202.98)</f>
        <v>202.98</v>
      </c>
      <c r="P196" s="1">
        <f ca="1">IFERROR(__xludf.DUMMYFUNCTION("""COMPUTED_VALUE"""),148.89)</f>
        <v>148.88999999999999</v>
      </c>
      <c r="Q196" s="1">
        <f ca="1">IFERROR(__xludf.DUMMYFUNCTION("""COMPUTED_VALUE"""),322.41)</f>
        <v>322.41000000000003</v>
      </c>
      <c r="R196" s="1">
        <f ca="1">IFERROR(__xludf.DUMMYFUNCTION("""COMPUTED_VALUE"""),35.26)</f>
        <v>35.26</v>
      </c>
      <c r="S196" s="1">
        <f ca="1">IFERROR(__xludf.DUMMYFUNCTION("""COMPUTED_VALUE"""),75.26)</f>
        <v>75.260000000000005</v>
      </c>
      <c r="T196" s="1">
        <f ca="1">IFERROR(__xludf.DUMMYFUNCTION("""COMPUTED_VALUE"""),47.12)</f>
        <v>47.12</v>
      </c>
      <c r="U196" s="1">
        <f ca="1">IFERROR(__xludf.DUMMYFUNCTION("""COMPUTED_VALUE"""),129.71)</f>
        <v>129.71</v>
      </c>
      <c r="V196" s="1">
        <f ca="1">IFERROR(__xludf.DUMMYFUNCTION("""COMPUTED_VALUE"""),156.66)</f>
        <v>156.66</v>
      </c>
      <c r="W196" s="1">
        <f ca="1">IFERROR(__xludf.DUMMYFUNCTION("""COMPUTED_VALUE"""),388.59)</f>
        <v>388.59</v>
      </c>
      <c r="X196" s="1">
        <f ca="1">IFERROR(__xludf.DUMMYFUNCTION("""COMPUTED_VALUE"""),380.89)</f>
        <v>380.89</v>
      </c>
      <c r="Y196" s="1">
        <f ca="1">IFERROR(__xludf.DUMMYFUNCTION("""COMPUTED_VALUE"""),87.8)</f>
        <v>87.8</v>
      </c>
      <c r="Z196" s="1">
        <f ca="1">IFERROR(__xludf.DUMMYFUNCTION("""COMPUTED_VALUE"""),207.98)</f>
        <v>207.98</v>
      </c>
      <c r="AA196" s="1">
        <f ca="1">IFERROR(__xludf.DUMMYFUNCTION("""COMPUTED_VALUE"""),34.95)</f>
        <v>34.950000000000003</v>
      </c>
      <c r="AB196" s="1">
        <f ca="1">IFERROR(__xludf.DUMMYFUNCTION("""COMPUTED_VALUE"""),89.53)</f>
        <v>89.53</v>
      </c>
      <c r="AC196" s="1">
        <f ca="1">IFERROR(__xludf.DUMMYFUNCTION("""COMPUTED_VALUE"""),86.51)</f>
        <v>86.51</v>
      </c>
    </row>
    <row r="197" spans="1:29" x14ac:dyDescent="0.25">
      <c r="A197" s="2">
        <f ca="1">IFERROR(__xludf.DUMMYFUNCTION("""COMPUTED_VALUE"""),44113.6666666666)</f>
        <v>44113.666666666599</v>
      </c>
      <c r="B197" s="1">
        <f ca="1">IFERROR(__xludf.DUMMYFUNCTION("""COMPUTED_VALUE"""),116.97)</f>
        <v>116.97</v>
      </c>
      <c r="C197" s="1">
        <f ca="1">IFERROR(__xludf.DUMMYFUNCTION("""COMPUTED_VALUE"""),215.81)</f>
        <v>215.81</v>
      </c>
      <c r="D197" s="1">
        <f ca="1">IFERROR(__xludf.DUMMYFUNCTION("""COMPUTED_VALUE"""),164.33)</f>
        <v>164.33</v>
      </c>
      <c r="E197" s="1">
        <f ca="1">IFERROR(__xludf.DUMMYFUNCTION("""COMPUTED_VALUE"""),13.76)</f>
        <v>13.76</v>
      </c>
      <c r="F197" s="1">
        <f ca="1">IFERROR(__xludf.DUMMYFUNCTION("""COMPUTED_VALUE"""),264.45)</f>
        <v>264.45</v>
      </c>
      <c r="G197" s="1">
        <f ca="1">IFERROR(__xludf.DUMMYFUNCTION("""COMPUTED_VALUE"""),75.76)</f>
        <v>75.760000000000005</v>
      </c>
      <c r="H197" s="1">
        <f ca="1">IFERROR(__xludf.DUMMYFUNCTION("""COMPUTED_VALUE"""),144.67)</f>
        <v>144.66999999999999</v>
      </c>
      <c r="I197" s="1">
        <f ca="1">IFERROR(__xludf.DUMMYFUNCTION("""COMPUTED_VALUE"""),138.44)</f>
        <v>138.44</v>
      </c>
      <c r="J197" s="1">
        <f ca="1">IFERROR(__xludf.DUMMYFUNCTION("""COMPUTED_VALUE"""),369.46)</f>
        <v>369.46</v>
      </c>
      <c r="K197" s="1">
        <f ca="1">IFERROR(__xludf.DUMMYFUNCTION("""COMPUTED_VALUE"""),37.67)</f>
        <v>37.67</v>
      </c>
      <c r="L197" s="1">
        <f ca="1">IFERROR(__xludf.DUMMYFUNCTION("""COMPUTED_VALUE"""),502.16)</f>
        <v>502.16</v>
      </c>
      <c r="M197" s="1">
        <f ca="1">IFERROR(__xludf.DUMMYFUNCTION("""COMPUTED_VALUE"""),539.44)</f>
        <v>539.44000000000005</v>
      </c>
      <c r="N197" s="1">
        <f ca="1">IFERROR(__xludf.DUMMYFUNCTION("""COMPUTED_VALUE"""),101.2)</f>
        <v>101.2</v>
      </c>
      <c r="O197" s="1">
        <f ca="1">IFERROR(__xludf.DUMMYFUNCTION("""COMPUTED_VALUE"""),206.64)</f>
        <v>206.64</v>
      </c>
      <c r="P197" s="1">
        <f ca="1">IFERROR(__xludf.DUMMYFUNCTION("""COMPUTED_VALUE"""),150.97)</f>
        <v>150.97</v>
      </c>
      <c r="Q197" s="1">
        <f ca="1">IFERROR(__xludf.DUMMYFUNCTION("""COMPUTED_VALUE"""),327.84)</f>
        <v>327.84</v>
      </c>
      <c r="R197" s="1">
        <f ca="1">IFERROR(__xludf.DUMMYFUNCTION("""COMPUTED_VALUE"""),34.74)</f>
        <v>34.74</v>
      </c>
      <c r="S197" s="1">
        <f ca="1">IFERROR(__xludf.DUMMYFUNCTION("""COMPUTED_VALUE"""),75.73)</f>
        <v>75.73</v>
      </c>
      <c r="T197" s="1">
        <f ca="1">IFERROR(__xludf.DUMMYFUNCTION("""COMPUTED_VALUE"""),47.59)</f>
        <v>47.59</v>
      </c>
      <c r="U197" s="1">
        <f ca="1">IFERROR(__xludf.DUMMYFUNCTION("""COMPUTED_VALUE"""),130.98)</f>
        <v>130.97999999999999</v>
      </c>
      <c r="V197" s="1">
        <f ca="1">IFERROR(__xludf.DUMMYFUNCTION("""COMPUTED_VALUE"""),158.94)</f>
        <v>158.94</v>
      </c>
      <c r="W197" s="1">
        <f ca="1">IFERROR(__xludf.DUMMYFUNCTION("""COMPUTED_VALUE"""),385.93)</f>
        <v>385.93</v>
      </c>
      <c r="X197" s="1">
        <f ca="1">IFERROR(__xludf.DUMMYFUNCTION("""COMPUTED_VALUE"""),388.99)</f>
        <v>388.99</v>
      </c>
      <c r="Y197" s="1">
        <f ca="1">IFERROR(__xludf.DUMMYFUNCTION("""COMPUTED_VALUE"""),88.78)</f>
        <v>88.78</v>
      </c>
      <c r="Z197" s="1">
        <f ca="1">IFERROR(__xludf.DUMMYFUNCTION("""COMPUTED_VALUE"""),207.54)</f>
        <v>207.54</v>
      </c>
      <c r="AA197" s="1">
        <f ca="1">IFERROR(__xludf.DUMMYFUNCTION("""COMPUTED_VALUE"""),34.85)</f>
        <v>34.85</v>
      </c>
      <c r="AB197" s="1">
        <f ca="1">IFERROR(__xludf.DUMMYFUNCTION("""COMPUTED_VALUE"""),90.01)</f>
        <v>90.01</v>
      </c>
      <c r="AC197" s="1">
        <f ca="1">IFERROR(__xludf.DUMMYFUNCTION("""COMPUTED_VALUE"""),83.1)</f>
        <v>83.1</v>
      </c>
    </row>
    <row r="198" spans="1:29" x14ac:dyDescent="0.25">
      <c r="A198" s="2">
        <f ca="1">IFERROR(__xludf.DUMMYFUNCTION("""COMPUTED_VALUE"""),44116.6666666666)</f>
        <v>44116.666666666599</v>
      </c>
      <c r="B198" s="1">
        <f ca="1">IFERROR(__xludf.DUMMYFUNCTION("""COMPUTED_VALUE"""),124.4)</f>
        <v>124.4</v>
      </c>
      <c r="C198" s="1">
        <f ca="1">IFERROR(__xludf.DUMMYFUNCTION("""COMPUTED_VALUE"""),221.4)</f>
        <v>221.4</v>
      </c>
      <c r="D198" s="1">
        <f ca="1">IFERROR(__xludf.DUMMYFUNCTION("""COMPUTED_VALUE"""),172.15)</f>
        <v>172.15</v>
      </c>
      <c r="E198" s="1">
        <f ca="1">IFERROR(__xludf.DUMMYFUNCTION("""COMPUTED_VALUE"""),14.23)</f>
        <v>14.23</v>
      </c>
      <c r="F198" s="1">
        <f ca="1">IFERROR(__xludf.DUMMYFUNCTION("""COMPUTED_VALUE"""),275.75)</f>
        <v>275.75</v>
      </c>
      <c r="G198" s="1">
        <f ca="1">IFERROR(__xludf.DUMMYFUNCTION("""COMPUTED_VALUE"""),78.46)</f>
        <v>78.459999999999994</v>
      </c>
      <c r="H198" s="1">
        <f ca="1">IFERROR(__xludf.DUMMYFUNCTION("""COMPUTED_VALUE"""),147.43)</f>
        <v>147.43</v>
      </c>
      <c r="I198" s="1">
        <f ca="1">IFERROR(__xludf.DUMMYFUNCTION("""COMPUTED_VALUE"""),142.13)</f>
        <v>142.13</v>
      </c>
      <c r="J198" s="1">
        <f ca="1">IFERROR(__xludf.DUMMYFUNCTION("""COMPUTED_VALUE"""),376.48)</f>
        <v>376.48</v>
      </c>
      <c r="K198" s="1">
        <f ca="1">IFERROR(__xludf.DUMMYFUNCTION("""COMPUTED_VALUE"""),38.24)</f>
        <v>38.24</v>
      </c>
      <c r="L198" s="1">
        <f ca="1">IFERROR(__xludf.DUMMYFUNCTION("""COMPUTED_VALUE"""),510.89)</f>
        <v>510.89</v>
      </c>
      <c r="M198" s="1">
        <f ca="1">IFERROR(__xludf.DUMMYFUNCTION("""COMPUTED_VALUE"""),539.81)</f>
        <v>539.80999999999995</v>
      </c>
      <c r="N198" s="1">
        <f ca="1">IFERROR(__xludf.DUMMYFUNCTION("""COMPUTED_VALUE"""),102.44)</f>
        <v>102.44</v>
      </c>
      <c r="O198" s="1">
        <f ca="1">IFERROR(__xludf.DUMMYFUNCTION("""COMPUTED_VALUE"""),206.4)</f>
        <v>206.4</v>
      </c>
      <c r="P198" s="1">
        <f ca="1">IFERROR(__xludf.DUMMYFUNCTION("""COMPUTED_VALUE"""),151.84)</f>
        <v>151.84</v>
      </c>
      <c r="Q198" s="1">
        <f ca="1">IFERROR(__xludf.DUMMYFUNCTION("""COMPUTED_VALUE"""),329.97)</f>
        <v>329.97</v>
      </c>
      <c r="R198" s="1">
        <f ca="1">IFERROR(__xludf.DUMMYFUNCTION("""COMPUTED_VALUE"""),34.63)</f>
        <v>34.630000000000003</v>
      </c>
      <c r="S198" s="1">
        <f ca="1">IFERROR(__xludf.DUMMYFUNCTION("""COMPUTED_VALUE"""),76.42)</f>
        <v>76.42</v>
      </c>
      <c r="T198" s="1">
        <f ca="1">IFERROR(__xludf.DUMMYFUNCTION("""COMPUTED_VALUE"""),48.08)</f>
        <v>48.08</v>
      </c>
      <c r="U198" s="1">
        <f ca="1">IFERROR(__xludf.DUMMYFUNCTION("""COMPUTED_VALUE"""),129.46)</f>
        <v>129.46</v>
      </c>
      <c r="V198" s="1">
        <f ca="1">IFERROR(__xludf.DUMMYFUNCTION("""COMPUTED_VALUE"""),162.61)</f>
        <v>162.61000000000001</v>
      </c>
      <c r="W198" s="1">
        <f ca="1">IFERROR(__xludf.DUMMYFUNCTION("""COMPUTED_VALUE"""),388.92)</f>
        <v>388.92</v>
      </c>
      <c r="X198" s="1">
        <f ca="1">IFERROR(__xludf.DUMMYFUNCTION("""COMPUTED_VALUE"""),399.04)</f>
        <v>399.04</v>
      </c>
      <c r="Y198" s="1">
        <f ca="1">IFERROR(__xludf.DUMMYFUNCTION("""COMPUTED_VALUE"""),90.91)</f>
        <v>90.91</v>
      </c>
      <c r="Z198" s="1">
        <f ca="1">IFERROR(__xludf.DUMMYFUNCTION("""COMPUTED_VALUE"""),214.12)</f>
        <v>214.12</v>
      </c>
      <c r="AA198" s="1">
        <f ca="1">IFERROR(__xludf.DUMMYFUNCTION("""COMPUTED_VALUE"""),34.88)</f>
        <v>34.880000000000003</v>
      </c>
      <c r="AB198" s="1">
        <f ca="1">IFERROR(__xludf.DUMMYFUNCTION("""COMPUTED_VALUE"""),90.78)</f>
        <v>90.78</v>
      </c>
      <c r="AC198" s="1">
        <f ca="1">IFERROR(__xludf.DUMMYFUNCTION("""COMPUTED_VALUE"""),84.29)</f>
        <v>84.29</v>
      </c>
    </row>
    <row r="199" spans="1:29" x14ac:dyDescent="0.25">
      <c r="A199" s="2">
        <f ca="1">IFERROR(__xludf.DUMMYFUNCTION("""COMPUTED_VALUE"""),44117.6666666666)</f>
        <v>44117.666666666599</v>
      </c>
      <c r="B199" s="1">
        <f ca="1">IFERROR(__xludf.DUMMYFUNCTION("""COMPUTED_VALUE"""),121.1)</f>
        <v>121.1</v>
      </c>
      <c r="C199" s="1">
        <f ca="1">IFERROR(__xludf.DUMMYFUNCTION("""COMPUTED_VALUE"""),222.86)</f>
        <v>222.86</v>
      </c>
      <c r="D199" s="1">
        <f ca="1">IFERROR(__xludf.DUMMYFUNCTION("""COMPUTED_VALUE"""),172.18)</f>
        <v>172.18</v>
      </c>
      <c r="E199" s="1">
        <f ca="1">IFERROR(__xludf.DUMMYFUNCTION("""COMPUTED_VALUE"""),14.25)</f>
        <v>14.25</v>
      </c>
      <c r="F199" s="1">
        <f ca="1">IFERROR(__xludf.DUMMYFUNCTION("""COMPUTED_VALUE"""),276.14)</f>
        <v>276.14</v>
      </c>
      <c r="G199" s="1">
        <f ca="1">IFERROR(__xludf.DUMMYFUNCTION("""COMPUTED_VALUE"""),78.58)</f>
        <v>78.58</v>
      </c>
      <c r="H199" s="1">
        <f ca="1">IFERROR(__xludf.DUMMYFUNCTION("""COMPUTED_VALUE"""),148.88)</f>
        <v>148.88</v>
      </c>
      <c r="I199" s="1">
        <f ca="1">IFERROR(__xludf.DUMMYFUNCTION("""COMPUTED_VALUE"""),143.54)</f>
        <v>143.54</v>
      </c>
      <c r="J199" s="1">
        <f ca="1">IFERROR(__xludf.DUMMYFUNCTION("""COMPUTED_VALUE"""),380.68)</f>
        <v>380.68</v>
      </c>
      <c r="K199" s="1">
        <f ca="1">IFERROR(__xludf.DUMMYFUNCTION("""COMPUTED_VALUE"""),38.15)</f>
        <v>38.15</v>
      </c>
      <c r="L199" s="1">
        <f ca="1">IFERROR(__xludf.DUMMYFUNCTION("""COMPUTED_VALUE"""),514.31)</f>
        <v>514.30999999999995</v>
      </c>
      <c r="M199" s="1">
        <f ca="1">IFERROR(__xludf.DUMMYFUNCTION("""COMPUTED_VALUE"""),554.09)</f>
        <v>554.09</v>
      </c>
      <c r="N199" s="1">
        <f ca="1">IFERROR(__xludf.DUMMYFUNCTION("""COMPUTED_VALUE"""),100.78)</f>
        <v>100.78</v>
      </c>
      <c r="O199" s="1">
        <f ca="1">IFERROR(__xludf.DUMMYFUNCTION("""COMPUTED_VALUE"""),204.32)</f>
        <v>204.32</v>
      </c>
      <c r="P199" s="1">
        <f ca="1">IFERROR(__xludf.DUMMYFUNCTION("""COMPUTED_VALUE"""),148.36)</f>
        <v>148.36000000000001</v>
      </c>
      <c r="Q199" s="1">
        <f ca="1">IFERROR(__xludf.DUMMYFUNCTION("""COMPUTED_VALUE"""),331.42)</f>
        <v>331.42</v>
      </c>
      <c r="R199" s="1">
        <f ca="1">IFERROR(__xludf.DUMMYFUNCTION("""COMPUTED_VALUE"""),34.22)</f>
        <v>34.22</v>
      </c>
      <c r="S199" s="1">
        <f ca="1">IFERROR(__xludf.DUMMYFUNCTION("""COMPUTED_VALUE"""),75.37)</f>
        <v>75.37</v>
      </c>
      <c r="T199" s="1">
        <f ca="1">IFERROR(__xludf.DUMMYFUNCTION("""COMPUTED_VALUE"""),48.74)</f>
        <v>48.74</v>
      </c>
      <c r="U199" s="1">
        <f ca="1">IFERROR(__xludf.DUMMYFUNCTION("""COMPUTED_VALUE"""),129.2)</f>
        <v>129.19999999999999</v>
      </c>
      <c r="V199" s="1">
        <f ca="1">IFERROR(__xludf.DUMMYFUNCTION("""COMPUTED_VALUE"""),162.12)</f>
        <v>162.12</v>
      </c>
      <c r="W199" s="1">
        <f ca="1">IFERROR(__xludf.DUMMYFUNCTION("""COMPUTED_VALUE"""),388.95)</f>
        <v>388.95</v>
      </c>
      <c r="X199" s="1">
        <f ca="1">IFERROR(__xludf.DUMMYFUNCTION("""COMPUTED_VALUE"""),405.15)</f>
        <v>405.15</v>
      </c>
      <c r="Y199" s="1">
        <f ca="1">IFERROR(__xludf.DUMMYFUNCTION("""COMPUTED_VALUE"""),89.64)</f>
        <v>89.64</v>
      </c>
      <c r="Z199" s="1">
        <f ca="1">IFERROR(__xludf.DUMMYFUNCTION("""COMPUTED_VALUE"""),210.81)</f>
        <v>210.81</v>
      </c>
      <c r="AA199" s="1">
        <f ca="1">IFERROR(__xludf.DUMMYFUNCTION("""COMPUTED_VALUE"""),34.96)</f>
        <v>34.96</v>
      </c>
      <c r="AB199" s="1">
        <f ca="1">IFERROR(__xludf.DUMMYFUNCTION("""COMPUTED_VALUE"""),90.16)</f>
        <v>90.16</v>
      </c>
      <c r="AC199" s="1">
        <f ca="1">IFERROR(__xludf.DUMMYFUNCTION("""COMPUTED_VALUE"""),85.28)</f>
        <v>85.28</v>
      </c>
    </row>
    <row r="200" spans="1:29" x14ac:dyDescent="0.25">
      <c r="A200" s="2">
        <f ca="1">IFERROR(__xludf.DUMMYFUNCTION("""COMPUTED_VALUE"""),44118.6666666666)</f>
        <v>44118.666666666599</v>
      </c>
      <c r="B200" s="1">
        <f ca="1">IFERROR(__xludf.DUMMYFUNCTION("""COMPUTED_VALUE"""),121.19)</f>
        <v>121.19</v>
      </c>
      <c r="C200" s="1">
        <f ca="1">IFERROR(__xludf.DUMMYFUNCTION("""COMPUTED_VALUE"""),220.86)</f>
        <v>220.86</v>
      </c>
      <c r="D200" s="1">
        <f ca="1">IFERROR(__xludf.DUMMYFUNCTION("""COMPUTED_VALUE"""),168.19)</f>
        <v>168.19</v>
      </c>
      <c r="E200" s="1">
        <f ca="1">IFERROR(__xludf.DUMMYFUNCTION("""COMPUTED_VALUE"""),14.1)</f>
        <v>14.1</v>
      </c>
      <c r="F200" s="1">
        <f ca="1">IFERROR(__xludf.DUMMYFUNCTION("""COMPUTED_VALUE"""),271.82)</f>
        <v>271.82</v>
      </c>
      <c r="G200" s="1">
        <f ca="1">IFERROR(__xludf.DUMMYFUNCTION("""COMPUTED_VALUE"""),78.4)</f>
        <v>78.400000000000006</v>
      </c>
      <c r="H200" s="1">
        <f ca="1">IFERROR(__xludf.DUMMYFUNCTION("""COMPUTED_VALUE"""),153.77)</f>
        <v>153.77000000000001</v>
      </c>
      <c r="I200" s="1">
        <f ca="1">IFERROR(__xludf.DUMMYFUNCTION("""COMPUTED_VALUE"""),142.52)</f>
        <v>142.52000000000001</v>
      </c>
      <c r="J200" s="1">
        <f ca="1">IFERROR(__xludf.DUMMYFUNCTION("""COMPUTED_VALUE"""),378.34)</f>
        <v>378.34</v>
      </c>
      <c r="K200" s="1">
        <f ca="1">IFERROR(__xludf.DUMMYFUNCTION("""COMPUTED_VALUE"""),38.03)</f>
        <v>38.03</v>
      </c>
      <c r="L200" s="1">
        <f ca="1">IFERROR(__xludf.DUMMYFUNCTION("""COMPUTED_VALUE"""),506.31)</f>
        <v>506.31</v>
      </c>
      <c r="M200" s="1">
        <f ca="1">IFERROR(__xludf.DUMMYFUNCTION("""COMPUTED_VALUE"""),541.45)</f>
        <v>541.45000000000005</v>
      </c>
      <c r="N200" s="1">
        <f ca="1">IFERROR(__xludf.DUMMYFUNCTION("""COMPUTED_VALUE"""),100.22)</f>
        <v>100.22</v>
      </c>
      <c r="O200" s="1">
        <f ca="1">IFERROR(__xludf.DUMMYFUNCTION("""COMPUTED_VALUE"""),202.2)</f>
        <v>202.2</v>
      </c>
      <c r="P200" s="1">
        <f ca="1">IFERROR(__xludf.DUMMYFUNCTION("""COMPUTED_VALUE"""),148.1)</f>
        <v>148.1</v>
      </c>
      <c r="Q200" s="1">
        <f ca="1">IFERROR(__xludf.DUMMYFUNCTION("""COMPUTED_VALUE"""),321.85)</f>
        <v>321.85000000000002</v>
      </c>
      <c r="R200" s="1">
        <f ca="1">IFERROR(__xludf.DUMMYFUNCTION("""COMPUTED_VALUE"""),34.15)</f>
        <v>34.15</v>
      </c>
      <c r="S200" s="1">
        <f ca="1">IFERROR(__xludf.DUMMYFUNCTION("""COMPUTED_VALUE"""),75.16)</f>
        <v>75.16</v>
      </c>
      <c r="T200" s="1">
        <f ca="1">IFERROR(__xludf.DUMMYFUNCTION("""COMPUTED_VALUE"""),47.98)</f>
        <v>47.98</v>
      </c>
      <c r="U200" s="1">
        <f ca="1">IFERROR(__xludf.DUMMYFUNCTION("""COMPUTED_VALUE"""),127.66)</f>
        <v>127.66</v>
      </c>
      <c r="V200" s="1">
        <f ca="1">IFERROR(__xludf.DUMMYFUNCTION("""COMPUTED_VALUE"""),163.61)</f>
        <v>163.61000000000001</v>
      </c>
      <c r="W200" s="1">
        <f ca="1">IFERROR(__xludf.DUMMYFUNCTION("""COMPUTED_VALUE"""),390.72)</f>
        <v>390.72</v>
      </c>
      <c r="X200" s="1">
        <f ca="1">IFERROR(__xludf.DUMMYFUNCTION("""COMPUTED_VALUE"""),398.03)</f>
        <v>398.03</v>
      </c>
      <c r="Y200" s="1">
        <f ca="1">IFERROR(__xludf.DUMMYFUNCTION("""COMPUTED_VALUE"""),88.6)</f>
        <v>88.6</v>
      </c>
      <c r="Z200" s="1">
        <f ca="1">IFERROR(__xludf.DUMMYFUNCTION("""COMPUTED_VALUE"""),211.23)</f>
        <v>211.23</v>
      </c>
      <c r="AA200" s="1">
        <f ca="1">IFERROR(__xludf.DUMMYFUNCTION("""COMPUTED_VALUE"""),34.92)</f>
        <v>34.92</v>
      </c>
      <c r="AB200" s="1">
        <f ca="1">IFERROR(__xludf.DUMMYFUNCTION("""COMPUTED_VALUE"""),89.31)</f>
        <v>89.31</v>
      </c>
      <c r="AC200" s="1">
        <f ca="1">IFERROR(__xludf.DUMMYFUNCTION("""COMPUTED_VALUE"""),84.21)</f>
        <v>84.21</v>
      </c>
    </row>
    <row r="201" spans="1:29" x14ac:dyDescent="0.25">
      <c r="A201" s="2">
        <f ca="1">IFERROR(__xludf.DUMMYFUNCTION("""COMPUTED_VALUE"""),44119.6666666666)</f>
        <v>44119.666666666599</v>
      </c>
      <c r="B201" s="1">
        <f ca="1">IFERROR(__xludf.DUMMYFUNCTION("""COMPUTED_VALUE"""),120.71)</f>
        <v>120.71</v>
      </c>
      <c r="C201" s="1">
        <f ca="1">IFERROR(__xludf.DUMMYFUNCTION("""COMPUTED_VALUE"""),219.66)</f>
        <v>219.66</v>
      </c>
      <c r="D201" s="1">
        <f ca="1">IFERROR(__xludf.DUMMYFUNCTION("""COMPUTED_VALUE"""),166.93)</f>
        <v>166.93</v>
      </c>
      <c r="E201" s="1">
        <f ca="1">IFERROR(__xludf.DUMMYFUNCTION("""COMPUTED_VALUE"""),13.97)</f>
        <v>13.97</v>
      </c>
      <c r="F201" s="1">
        <f ca="1">IFERROR(__xludf.DUMMYFUNCTION("""COMPUTED_VALUE"""),266.72)</f>
        <v>266.72000000000003</v>
      </c>
      <c r="G201" s="1">
        <f ca="1">IFERROR(__xludf.DUMMYFUNCTION("""COMPUTED_VALUE"""),77.96)</f>
        <v>77.959999999999994</v>
      </c>
      <c r="H201" s="1">
        <f ca="1">IFERROR(__xludf.DUMMYFUNCTION("""COMPUTED_VALUE"""),149.63)</f>
        <v>149.63</v>
      </c>
      <c r="I201" s="1">
        <f ca="1">IFERROR(__xludf.DUMMYFUNCTION("""COMPUTED_VALUE"""),141.43)</f>
        <v>141.43</v>
      </c>
      <c r="J201" s="1">
        <f ca="1">IFERROR(__xludf.DUMMYFUNCTION("""COMPUTED_VALUE"""),376.58)</f>
        <v>376.58</v>
      </c>
      <c r="K201" s="1">
        <f ca="1">IFERROR(__xludf.DUMMYFUNCTION("""COMPUTED_VALUE"""),37.99)</f>
        <v>37.99</v>
      </c>
      <c r="L201" s="1">
        <f ca="1">IFERROR(__xludf.DUMMYFUNCTION("""COMPUTED_VALUE"""),501.15)</f>
        <v>501.15</v>
      </c>
      <c r="M201" s="1">
        <f ca="1">IFERROR(__xludf.DUMMYFUNCTION("""COMPUTED_VALUE"""),541.94)</f>
        <v>541.94000000000005</v>
      </c>
      <c r="N201" s="1">
        <f ca="1">IFERROR(__xludf.DUMMYFUNCTION("""COMPUTED_VALUE"""),101.72)</f>
        <v>101.72</v>
      </c>
      <c r="O201" s="1">
        <f ca="1">IFERROR(__xludf.DUMMYFUNCTION("""COMPUTED_VALUE"""),199.55)</f>
        <v>199.55</v>
      </c>
      <c r="P201" s="1">
        <f ca="1">IFERROR(__xludf.DUMMYFUNCTION("""COMPUTED_VALUE"""),147.19)</f>
        <v>147.19</v>
      </c>
      <c r="Q201" s="1">
        <f ca="1">IFERROR(__xludf.DUMMYFUNCTION("""COMPUTED_VALUE"""),324.57)</f>
        <v>324.57</v>
      </c>
      <c r="R201" s="1">
        <f ca="1">IFERROR(__xludf.DUMMYFUNCTION("""COMPUTED_VALUE"""),34.45)</f>
        <v>34.450000000000003</v>
      </c>
      <c r="S201" s="1">
        <f ca="1">IFERROR(__xludf.DUMMYFUNCTION("""COMPUTED_VALUE"""),74.61)</f>
        <v>74.61</v>
      </c>
      <c r="T201" s="1">
        <f ca="1">IFERROR(__xludf.DUMMYFUNCTION("""COMPUTED_VALUE"""),48.18)</f>
        <v>48.18</v>
      </c>
      <c r="U201" s="1">
        <f ca="1">IFERROR(__xludf.DUMMYFUNCTION("""COMPUTED_VALUE"""),129)</f>
        <v>129</v>
      </c>
      <c r="V201" s="1">
        <f ca="1">IFERROR(__xludf.DUMMYFUNCTION("""COMPUTED_VALUE"""),165.04)</f>
        <v>165.04</v>
      </c>
      <c r="W201" s="1">
        <f ca="1">IFERROR(__xludf.DUMMYFUNCTION("""COMPUTED_VALUE"""),386.12)</f>
        <v>386.12</v>
      </c>
      <c r="X201" s="1">
        <f ca="1">IFERROR(__xludf.DUMMYFUNCTION("""COMPUTED_VALUE"""),386.57)</f>
        <v>386.57</v>
      </c>
      <c r="Y201" s="1">
        <f ca="1">IFERROR(__xludf.DUMMYFUNCTION("""COMPUTED_VALUE"""),88.15)</f>
        <v>88.15</v>
      </c>
      <c r="Z201" s="1">
        <f ca="1">IFERROR(__xludf.DUMMYFUNCTION("""COMPUTED_VALUE"""),208.6)</f>
        <v>208.6</v>
      </c>
      <c r="AA201" s="1">
        <f ca="1">IFERROR(__xludf.DUMMYFUNCTION("""COMPUTED_VALUE"""),34.63)</f>
        <v>34.630000000000003</v>
      </c>
      <c r="AB201" s="1">
        <f ca="1">IFERROR(__xludf.DUMMYFUNCTION("""COMPUTED_VALUE"""),88.83)</f>
        <v>88.83</v>
      </c>
      <c r="AC201" s="1">
        <f ca="1">IFERROR(__xludf.DUMMYFUNCTION("""COMPUTED_VALUE"""),83.13)</f>
        <v>83.13</v>
      </c>
    </row>
    <row r="202" spans="1:29" x14ac:dyDescent="0.25">
      <c r="A202" s="2">
        <f ca="1">IFERROR(__xludf.DUMMYFUNCTION("""COMPUTED_VALUE"""),44120.6666666666)</f>
        <v>44120.666666666599</v>
      </c>
      <c r="B202" s="1">
        <f ca="1">IFERROR(__xludf.DUMMYFUNCTION("""COMPUTED_VALUE"""),119.02)</f>
        <v>119.02</v>
      </c>
      <c r="C202" s="1">
        <f ca="1">IFERROR(__xludf.DUMMYFUNCTION("""COMPUTED_VALUE"""),219.66)</f>
        <v>219.66</v>
      </c>
      <c r="D202" s="1">
        <f ca="1">IFERROR(__xludf.DUMMYFUNCTION("""COMPUTED_VALUE"""),163.64)</f>
        <v>163.63999999999999</v>
      </c>
      <c r="E202" s="1">
        <f ca="1">IFERROR(__xludf.DUMMYFUNCTION("""COMPUTED_VALUE"""),13.81)</f>
        <v>13.81</v>
      </c>
      <c r="F202" s="1">
        <f ca="1">IFERROR(__xludf.DUMMYFUNCTION("""COMPUTED_VALUE"""),265.93)</f>
        <v>265.93</v>
      </c>
      <c r="G202" s="1">
        <f ca="1">IFERROR(__xludf.DUMMYFUNCTION("""COMPUTED_VALUE"""),78.65)</f>
        <v>78.650000000000006</v>
      </c>
      <c r="H202" s="1">
        <f ca="1">IFERROR(__xludf.DUMMYFUNCTION("""COMPUTED_VALUE"""),146.56)</f>
        <v>146.56</v>
      </c>
      <c r="I202" s="1">
        <f ca="1">IFERROR(__xludf.DUMMYFUNCTION("""COMPUTED_VALUE"""),141.73)</f>
        <v>141.72999999999999</v>
      </c>
      <c r="J202" s="1">
        <f ca="1">IFERROR(__xludf.DUMMYFUNCTION("""COMPUTED_VALUE"""),381.54)</f>
        <v>381.54</v>
      </c>
      <c r="K202" s="1">
        <f ca="1">IFERROR(__xludf.DUMMYFUNCTION("""COMPUTED_VALUE"""),37.87)</f>
        <v>37.869999999999997</v>
      </c>
      <c r="L202" s="1">
        <f ca="1">IFERROR(__xludf.DUMMYFUNCTION("""COMPUTED_VALUE"""),502.82)</f>
        <v>502.82</v>
      </c>
      <c r="M202" s="1">
        <f ca="1">IFERROR(__xludf.DUMMYFUNCTION("""COMPUTED_VALUE"""),530.79)</f>
        <v>530.79</v>
      </c>
      <c r="N202" s="1">
        <f ca="1">IFERROR(__xludf.DUMMYFUNCTION("""COMPUTED_VALUE"""),101.51)</f>
        <v>101.51</v>
      </c>
      <c r="O202" s="1">
        <f ca="1">IFERROR(__xludf.DUMMYFUNCTION("""COMPUTED_VALUE"""),200.26)</f>
        <v>200.26</v>
      </c>
      <c r="P202" s="1">
        <f ca="1">IFERROR(__xludf.DUMMYFUNCTION("""COMPUTED_VALUE"""),148.1)</f>
        <v>148.1</v>
      </c>
      <c r="Q202" s="1">
        <f ca="1">IFERROR(__xludf.DUMMYFUNCTION("""COMPUTED_VALUE"""),329.9)</f>
        <v>329.9</v>
      </c>
      <c r="R202" s="1">
        <f ca="1">IFERROR(__xludf.DUMMYFUNCTION("""COMPUTED_VALUE"""),34.1)</f>
        <v>34.1</v>
      </c>
      <c r="S202" s="1">
        <f ca="1">IFERROR(__xludf.DUMMYFUNCTION("""COMPUTED_VALUE"""),76.4)</f>
        <v>76.400000000000006</v>
      </c>
      <c r="T202" s="1">
        <f ca="1">IFERROR(__xludf.DUMMYFUNCTION("""COMPUTED_VALUE"""),48.24)</f>
        <v>48.24</v>
      </c>
      <c r="U202" s="1">
        <f ca="1">IFERROR(__xludf.DUMMYFUNCTION("""COMPUTED_VALUE"""),128)</f>
        <v>128</v>
      </c>
      <c r="V202" s="1">
        <f ca="1">IFERROR(__xludf.DUMMYFUNCTION("""COMPUTED_VALUE"""),168.75)</f>
        <v>168.75</v>
      </c>
      <c r="W202" s="1">
        <f ca="1">IFERROR(__xludf.DUMMYFUNCTION("""COMPUTED_VALUE"""),386.5)</f>
        <v>386.5</v>
      </c>
      <c r="X202" s="1">
        <f ca="1">IFERROR(__xludf.DUMMYFUNCTION("""COMPUTED_VALUE"""),386.9)</f>
        <v>386.9</v>
      </c>
      <c r="Y202" s="1">
        <f ca="1">IFERROR(__xludf.DUMMYFUNCTION("""COMPUTED_VALUE"""),86.7)</f>
        <v>86.7</v>
      </c>
      <c r="Z202" s="1">
        <f ca="1">IFERROR(__xludf.DUMMYFUNCTION("""COMPUTED_VALUE"""),206.21)</f>
        <v>206.21</v>
      </c>
      <c r="AA202" s="1">
        <f ca="1">IFERROR(__xludf.DUMMYFUNCTION("""COMPUTED_VALUE"""),35.95)</f>
        <v>35.950000000000003</v>
      </c>
      <c r="AB202" s="1">
        <f ca="1">IFERROR(__xludf.DUMMYFUNCTION("""COMPUTED_VALUE"""),88.52)</f>
        <v>88.52</v>
      </c>
      <c r="AC202" s="1">
        <f ca="1">IFERROR(__xludf.DUMMYFUNCTION("""COMPUTED_VALUE"""),83.17)</f>
        <v>83.17</v>
      </c>
    </row>
    <row r="203" spans="1:29" x14ac:dyDescent="0.25">
      <c r="A203" s="2">
        <f ca="1">IFERROR(__xludf.DUMMYFUNCTION("""COMPUTED_VALUE"""),44123.6666666666)</f>
        <v>44123.666666666599</v>
      </c>
      <c r="B203" s="1">
        <f ca="1">IFERROR(__xludf.DUMMYFUNCTION("""COMPUTED_VALUE"""),115.98)</f>
        <v>115.98</v>
      </c>
      <c r="C203" s="1">
        <f ca="1">IFERROR(__xludf.DUMMYFUNCTION("""COMPUTED_VALUE"""),214.22)</f>
        <v>214.22</v>
      </c>
      <c r="D203" s="1">
        <f ca="1">IFERROR(__xludf.DUMMYFUNCTION("""COMPUTED_VALUE"""),160.36)</f>
        <v>160.36000000000001</v>
      </c>
      <c r="E203" s="1">
        <f ca="1">IFERROR(__xludf.DUMMYFUNCTION("""COMPUTED_VALUE"""),13.5)</f>
        <v>13.5</v>
      </c>
      <c r="F203" s="1">
        <f ca="1">IFERROR(__xludf.DUMMYFUNCTION("""COMPUTED_VALUE"""),261.4)</f>
        <v>261.39999999999998</v>
      </c>
      <c r="G203" s="1">
        <f ca="1">IFERROR(__xludf.DUMMYFUNCTION("""COMPUTED_VALUE"""),76.73)</f>
        <v>76.73</v>
      </c>
      <c r="H203" s="1">
        <f ca="1">IFERROR(__xludf.DUMMYFUNCTION("""COMPUTED_VALUE"""),143.61)</f>
        <v>143.61000000000001</v>
      </c>
      <c r="I203" s="1">
        <f ca="1">IFERROR(__xludf.DUMMYFUNCTION("""COMPUTED_VALUE"""),139.68)</f>
        <v>139.68</v>
      </c>
      <c r="J203" s="1">
        <f ca="1">IFERROR(__xludf.DUMMYFUNCTION("""COMPUTED_VALUE"""),375.56)</f>
        <v>375.56</v>
      </c>
      <c r="K203" s="1">
        <f ca="1">IFERROR(__xludf.DUMMYFUNCTION("""COMPUTED_VALUE"""),37.58)</f>
        <v>37.58</v>
      </c>
      <c r="L203" s="1">
        <f ca="1">IFERROR(__xludf.DUMMYFUNCTION("""COMPUTED_VALUE"""),495.2)</f>
        <v>495.2</v>
      </c>
      <c r="M203" s="1">
        <f ca="1">IFERROR(__xludf.DUMMYFUNCTION("""COMPUTED_VALUE"""),530.72)</f>
        <v>530.72</v>
      </c>
      <c r="N203" s="1">
        <f ca="1">IFERROR(__xludf.DUMMYFUNCTION("""COMPUTED_VALUE"""),99.8)</f>
        <v>99.8</v>
      </c>
      <c r="O203" s="1">
        <f ca="1">IFERROR(__xludf.DUMMYFUNCTION("""COMPUTED_VALUE"""),196.97)</f>
        <v>196.97</v>
      </c>
      <c r="P203" s="1">
        <f ca="1">IFERROR(__xludf.DUMMYFUNCTION("""COMPUTED_VALUE"""),144.32)</f>
        <v>144.32</v>
      </c>
      <c r="Q203" s="1">
        <f ca="1">IFERROR(__xludf.DUMMYFUNCTION("""COMPUTED_VALUE"""),324.22)</f>
        <v>324.22000000000003</v>
      </c>
      <c r="R203" s="1">
        <f ca="1">IFERROR(__xludf.DUMMYFUNCTION("""COMPUTED_VALUE"""),33.42)</f>
        <v>33.42</v>
      </c>
      <c r="S203" s="1">
        <f ca="1">IFERROR(__xludf.DUMMYFUNCTION("""COMPUTED_VALUE"""),74.89)</f>
        <v>74.89</v>
      </c>
      <c r="T203" s="1">
        <f ca="1">IFERROR(__xludf.DUMMYFUNCTION("""COMPUTED_VALUE"""),47.65)</f>
        <v>47.65</v>
      </c>
      <c r="U203" s="1">
        <f ca="1">IFERROR(__xludf.DUMMYFUNCTION("""COMPUTED_VALUE"""),127.43)</f>
        <v>127.43</v>
      </c>
      <c r="V203" s="1">
        <f ca="1">IFERROR(__xludf.DUMMYFUNCTION("""COMPUTED_VALUE"""),167.53)</f>
        <v>167.53</v>
      </c>
      <c r="W203" s="1">
        <f ca="1">IFERROR(__xludf.DUMMYFUNCTION("""COMPUTED_VALUE"""),383.71)</f>
        <v>383.71</v>
      </c>
      <c r="X203" s="1">
        <f ca="1">IFERROR(__xludf.DUMMYFUNCTION("""COMPUTED_VALUE"""),385.31)</f>
        <v>385.31</v>
      </c>
      <c r="Y203" s="1">
        <f ca="1">IFERROR(__xludf.DUMMYFUNCTION("""COMPUTED_VALUE"""),87.56)</f>
        <v>87.56</v>
      </c>
      <c r="Z203" s="1">
        <f ca="1">IFERROR(__xludf.DUMMYFUNCTION("""COMPUTED_VALUE"""),205.69)</f>
        <v>205.69</v>
      </c>
      <c r="AA203" s="1">
        <f ca="1">IFERROR(__xludf.DUMMYFUNCTION("""COMPUTED_VALUE"""),35.81)</f>
        <v>35.81</v>
      </c>
      <c r="AB203" s="1">
        <f ca="1">IFERROR(__xludf.DUMMYFUNCTION("""COMPUTED_VALUE"""),87.6)</f>
        <v>87.6</v>
      </c>
      <c r="AC203" s="1">
        <f ca="1">IFERROR(__xludf.DUMMYFUNCTION("""COMPUTED_VALUE"""),82)</f>
        <v>82</v>
      </c>
    </row>
    <row r="204" spans="1:29" x14ac:dyDescent="0.25">
      <c r="A204" s="2">
        <f ca="1">IFERROR(__xludf.DUMMYFUNCTION("""COMPUTED_VALUE"""),44124.6666666666)</f>
        <v>44124.666666666599</v>
      </c>
      <c r="B204" s="1">
        <f ca="1">IFERROR(__xludf.DUMMYFUNCTION("""COMPUTED_VALUE"""),117.51)</f>
        <v>117.51</v>
      </c>
      <c r="C204" s="1">
        <f ca="1">IFERROR(__xludf.DUMMYFUNCTION("""COMPUTED_VALUE"""),214.65)</f>
        <v>214.65</v>
      </c>
      <c r="D204" s="1">
        <f ca="1">IFERROR(__xludf.DUMMYFUNCTION("""COMPUTED_VALUE"""),160.85)</f>
        <v>160.85</v>
      </c>
      <c r="E204" s="1">
        <f ca="1">IFERROR(__xludf.DUMMYFUNCTION("""COMPUTED_VALUE"""),13.65)</f>
        <v>13.65</v>
      </c>
      <c r="F204" s="1">
        <f ca="1">IFERROR(__xludf.DUMMYFUNCTION("""COMPUTED_VALUE"""),267.56)</f>
        <v>267.56</v>
      </c>
      <c r="G204" s="1">
        <f ca="1">IFERROR(__xludf.DUMMYFUNCTION("""COMPUTED_VALUE"""),77.8)</f>
        <v>77.8</v>
      </c>
      <c r="H204" s="1">
        <f ca="1">IFERROR(__xludf.DUMMYFUNCTION("""COMPUTED_VALUE"""),140.65)</f>
        <v>140.65</v>
      </c>
      <c r="I204" s="1">
        <f ca="1">IFERROR(__xludf.DUMMYFUNCTION("""COMPUTED_VALUE"""),139.71)</f>
        <v>139.71</v>
      </c>
      <c r="J204" s="1">
        <f ca="1">IFERROR(__xludf.DUMMYFUNCTION("""COMPUTED_VALUE"""),378.31)</f>
        <v>378.31</v>
      </c>
      <c r="K204" s="1">
        <f ca="1">IFERROR(__xludf.DUMMYFUNCTION("""COMPUTED_VALUE"""),37.7)</f>
        <v>37.700000000000003</v>
      </c>
      <c r="L204" s="1">
        <f ca="1">IFERROR(__xludf.DUMMYFUNCTION("""COMPUTED_VALUE"""),494.58)</f>
        <v>494.58</v>
      </c>
      <c r="M204" s="1">
        <f ca="1">IFERROR(__xludf.DUMMYFUNCTION("""COMPUTED_VALUE"""),525.42)</f>
        <v>525.41999999999996</v>
      </c>
      <c r="N204" s="1">
        <f ca="1">IFERROR(__xludf.DUMMYFUNCTION("""COMPUTED_VALUE"""),100.37)</f>
        <v>100.37</v>
      </c>
      <c r="O204" s="1">
        <f ca="1">IFERROR(__xludf.DUMMYFUNCTION("""COMPUTED_VALUE"""),197.7)</f>
        <v>197.7</v>
      </c>
      <c r="P204" s="1">
        <f ca="1">IFERROR(__xludf.DUMMYFUNCTION("""COMPUTED_VALUE"""),144.55)</f>
        <v>144.55000000000001</v>
      </c>
      <c r="Q204" s="1">
        <f ca="1">IFERROR(__xludf.DUMMYFUNCTION("""COMPUTED_VALUE"""),323.41)</f>
        <v>323.41000000000003</v>
      </c>
      <c r="R204" s="1">
        <f ca="1">IFERROR(__xludf.DUMMYFUNCTION("""COMPUTED_VALUE"""),33.7)</f>
        <v>33.700000000000003</v>
      </c>
      <c r="S204" s="1">
        <f ca="1">IFERROR(__xludf.DUMMYFUNCTION("""COMPUTED_VALUE"""),75.25)</f>
        <v>75.25</v>
      </c>
      <c r="T204" s="1">
        <f ca="1">IFERROR(__xludf.DUMMYFUNCTION("""COMPUTED_VALUE"""),47.97)</f>
        <v>47.97</v>
      </c>
      <c r="U204" s="1">
        <f ca="1">IFERROR(__xludf.DUMMYFUNCTION("""COMPUTED_VALUE"""),128.49)</f>
        <v>128.49</v>
      </c>
      <c r="V204" s="1">
        <f ca="1">IFERROR(__xludf.DUMMYFUNCTION("""COMPUTED_VALUE"""),168.99)</f>
        <v>168.99</v>
      </c>
      <c r="W204" s="1">
        <f ca="1">IFERROR(__xludf.DUMMYFUNCTION("""COMPUTED_VALUE"""),372.21)</f>
        <v>372.21</v>
      </c>
      <c r="X204" s="1">
        <f ca="1">IFERROR(__xludf.DUMMYFUNCTION("""COMPUTED_VALUE"""),384.96)</f>
        <v>384.96</v>
      </c>
      <c r="Y204" s="1">
        <f ca="1">IFERROR(__xludf.DUMMYFUNCTION("""COMPUTED_VALUE"""),88.26)</f>
        <v>88.26</v>
      </c>
      <c r="Z204" s="1">
        <f ca="1">IFERROR(__xludf.DUMMYFUNCTION("""COMPUTED_VALUE"""),208.03)</f>
        <v>208.03</v>
      </c>
      <c r="AA204" s="1">
        <f ca="1">IFERROR(__xludf.DUMMYFUNCTION("""COMPUTED_VALUE"""),35.52)</f>
        <v>35.520000000000003</v>
      </c>
      <c r="AB204" s="1">
        <f ca="1">IFERROR(__xludf.DUMMYFUNCTION("""COMPUTED_VALUE"""),88.51)</f>
        <v>88.51</v>
      </c>
      <c r="AC204" s="1">
        <f ca="1">IFERROR(__xludf.DUMMYFUNCTION("""COMPUTED_VALUE"""),81.56)</f>
        <v>81.56</v>
      </c>
    </row>
    <row r="205" spans="1:29" x14ac:dyDescent="0.25">
      <c r="A205" s="2">
        <f ca="1">IFERROR(__xludf.DUMMYFUNCTION("""COMPUTED_VALUE"""),44125.6666666666)</f>
        <v>44125.666666666599</v>
      </c>
      <c r="B205" s="1">
        <f ca="1">IFERROR(__xludf.DUMMYFUNCTION("""COMPUTED_VALUE"""),116.87)</f>
        <v>116.87</v>
      </c>
      <c r="C205" s="1">
        <f ca="1">IFERROR(__xludf.DUMMYFUNCTION("""COMPUTED_VALUE"""),214.8)</f>
        <v>214.8</v>
      </c>
      <c r="D205" s="1">
        <f ca="1">IFERROR(__xludf.DUMMYFUNCTION("""COMPUTED_VALUE"""),159.25)</f>
        <v>159.25</v>
      </c>
      <c r="E205" s="1">
        <f ca="1">IFERROR(__xludf.DUMMYFUNCTION("""COMPUTED_VALUE"""),13.52)</f>
        <v>13.52</v>
      </c>
      <c r="F205" s="1">
        <f ca="1">IFERROR(__xludf.DUMMYFUNCTION("""COMPUTED_VALUE"""),278.73)</f>
        <v>278.73</v>
      </c>
      <c r="G205" s="1">
        <f ca="1">IFERROR(__xludf.DUMMYFUNCTION("""COMPUTED_VALUE"""),79.67)</f>
        <v>79.67</v>
      </c>
      <c r="H205" s="1">
        <f ca="1">IFERROR(__xludf.DUMMYFUNCTION("""COMPUTED_VALUE"""),140.88)</f>
        <v>140.88</v>
      </c>
      <c r="I205" s="1">
        <f ca="1">IFERROR(__xludf.DUMMYFUNCTION("""COMPUTED_VALUE"""),139.6)</f>
        <v>139.6</v>
      </c>
      <c r="J205" s="1">
        <f ca="1">IFERROR(__xludf.DUMMYFUNCTION("""COMPUTED_VALUE"""),377.82)</f>
        <v>377.82</v>
      </c>
      <c r="K205" s="1">
        <f ca="1">IFERROR(__xludf.DUMMYFUNCTION("""COMPUTED_VALUE"""),37.21)</f>
        <v>37.21</v>
      </c>
      <c r="L205" s="1">
        <f ca="1">IFERROR(__xludf.DUMMYFUNCTION("""COMPUTED_VALUE"""),495.96)</f>
        <v>495.96</v>
      </c>
      <c r="M205" s="1">
        <f ca="1">IFERROR(__xludf.DUMMYFUNCTION("""COMPUTED_VALUE"""),489.05)</f>
        <v>489.05</v>
      </c>
      <c r="N205" s="1">
        <f ca="1">IFERROR(__xludf.DUMMYFUNCTION("""COMPUTED_VALUE"""),99.37)</f>
        <v>99.37</v>
      </c>
      <c r="O205" s="1">
        <f ca="1">IFERROR(__xludf.DUMMYFUNCTION("""COMPUTED_VALUE"""),198.43)</f>
        <v>198.43</v>
      </c>
      <c r="P205" s="1">
        <f ca="1">IFERROR(__xludf.DUMMYFUNCTION("""COMPUTED_VALUE"""),143.93)</f>
        <v>143.93</v>
      </c>
      <c r="Q205" s="1">
        <f ca="1">IFERROR(__xludf.DUMMYFUNCTION("""COMPUTED_VALUE"""),322.79)</f>
        <v>322.79000000000002</v>
      </c>
      <c r="R205" s="1">
        <f ca="1">IFERROR(__xludf.DUMMYFUNCTION("""COMPUTED_VALUE"""),33.16)</f>
        <v>33.159999999999997</v>
      </c>
      <c r="S205" s="1">
        <f ca="1">IFERROR(__xludf.DUMMYFUNCTION("""COMPUTED_VALUE"""),74.42)</f>
        <v>74.42</v>
      </c>
      <c r="T205" s="1">
        <f ca="1">IFERROR(__xludf.DUMMYFUNCTION("""COMPUTED_VALUE"""),48.13)</f>
        <v>48.13</v>
      </c>
      <c r="U205" s="1">
        <f ca="1">IFERROR(__xludf.DUMMYFUNCTION("""COMPUTED_VALUE"""),129.43)</f>
        <v>129.43</v>
      </c>
      <c r="V205" s="1">
        <f ca="1">IFERROR(__xludf.DUMMYFUNCTION("""COMPUTED_VALUE"""),167.4)</f>
        <v>167.4</v>
      </c>
      <c r="W205" s="1">
        <f ca="1">IFERROR(__xludf.DUMMYFUNCTION("""COMPUTED_VALUE"""),367.14)</f>
        <v>367.14</v>
      </c>
      <c r="X205" s="1">
        <f ca="1">IFERROR(__xludf.DUMMYFUNCTION("""COMPUTED_VALUE"""),383)</f>
        <v>383</v>
      </c>
      <c r="Y205" s="1">
        <f ca="1">IFERROR(__xludf.DUMMYFUNCTION("""COMPUTED_VALUE"""),87.64)</f>
        <v>87.64</v>
      </c>
      <c r="Z205" s="1">
        <f ca="1">IFERROR(__xludf.DUMMYFUNCTION("""COMPUTED_VALUE"""),202.91)</f>
        <v>202.91</v>
      </c>
      <c r="AA205" s="1">
        <f ca="1">IFERROR(__xludf.DUMMYFUNCTION("""COMPUTED_VALUE"""),35.13)</f>
        <v>35.130000000000003</v>
      </c>
      <c r="AB205" s="1">
        <f ca="1">IFERROR(__xludf.DUMMYFUNCTION("""COMPUTED_VALUE"""),88.27)</f>
        <v>88.27</v>
      </c>
      <c r="AC205" s="1">
        <f ca="1">IFERROR(__xludf.DUMMYFUNCTION("""COMPUTED_VALUE"""),79.2)</f>
        <v>79.2</v>
      </c>
    </row>
    <row r="206" spans="1:29" x14ac:dyDescent="0.25">
      <c r="A206" s="2">
        <f ca="1">IFERROR(__xludf.DUMMYFUNCTION("""COMPUTED_VALUE"""),44126.6666666666)</f>
        <v>44126.666666666599</v>
      </c>
      <c r="B206" s="1">
        <f ca="1">IFERROR(__xludf.DUMMYFUNCTION("""COMPUTED_VALUE"""),115.75)</f>
        <v>115.75</v>
      </c>
      <c r="C206" s="1">
        <f ca="1">IFERROR(__xludf.DUMMYFUNCTION("""COMPUTED_VALUE"""),214.89)</f>
        <v>214.89</v>
      </c>
      <c r="D206" s="1">
        <f ca="1">IFERROR(__xludf.DUMMYFUNCTION("""COMPUTED_VALUE"""),158.82)</f>
        <v>158.82</v>
      </c>
      <c r="E206" s="1">
        <f ca="1">IFERROR(__xludf.DUMMYFUNCTION("""COMPUTED_VALUE"""),13.36)</f>
        <v>13.36</v>
      </c>
      <c r="F206" s="1">
        <f ca="1">IFERROR(__xludf.DUMMYFUNCTION("""COMPUTED_VALUE"""),278.12)</f>
        <v>278.12</v>
      </c>
      <c r="G206" s="1">
        <f ca="1">IFERROR(__xludf.DUMMYFUNCTION("""COMPUTED_VALUE"""),80.77)</f>
        <v>80.77</v>
      </c>
      <c r="H206" s="1">
        <f ca="1">IFERROR(__xludf.DUMMYFUNCTION("""COMPUTED_VALUE"""),141.93)</f>
        <v>141.93</v>
      </c>
      <c r="I206" s="1">
        <f ca="1">IFERROR(__xludf.DUMMYFUNCTION("""COMPUTED_VALUE"""),139.61)</f>
        <v>139.61000000000001</v>
      </c>
      <c r="J206" s="1">
        <f ca="1">IFERROR(__xludf.DUMMYFUNCTION("""COMPUTED_VALUE"""),375.75)</f>
        <v>375.75</v>
      </c>
      <c r="K206" s="1">
        <f ca="1">IFERROR(__xludf.DUMMYFUNCTION("""COMPUTED_VALUE"""),37.34)</f>
        <v>37.340000000000003</v>
      </c>
      <c r="L206" s="1">
        <f ca="1">IFERROR(__xludf.DUMMYFUNCTION("""COMPUTED_VALUE"""),483.6)</f>
        <v>483.6</v>
      </c>
      <c r="M206" s="1">
        <f ca="1">IFERROR(__xludf.DUMMYFUNCTION("""COMPUTED_VALUE"""),485.23)</f>
        <v>485.23</v>
      </c>
      <c r="N206" s="1">
        <f ca="1">IFERROR(__xludf.DUMMYFUNCTION("""COMPUTED_VALUE"""),102.88)</f>
        <v>102.88</v>
      </c>
      <c r="O206" s="1">
        <f ca="1">IFERROR(__xludf.DUMMYFUNCTION("""COMPUTED_VALUE"""),197.99)</f>
        <v>197.99</v>
      </c>
      <c r="P206" s="1">
        <f ca="1">IFERROR(__xludf.DUMMYFUNCTION("""COMPUTED_VALUE"""),145.08)</f>
        <v>145.08000000000001</v>
      </c>
      <c r="Q206" s="1">
        <f ca="1">IFERROR(__xludf.DUMMYFUNCTION("""COMPUTED_VALUE"""),325.73)</f>
        <v>325.73</v>
      </c>
      <c r="R206" s="1">
        <f ca="1">IFERROR(__xludf.DUMMYFUNCTION("""COMPUTED_VALUE"""),34.86)</f>
        <v>34.86</v>
      </c>
      <c r="S206" s="1">
        <f ca="1">IFERROR(__xludf.DUMMYFUNCTION("""COMPUTED_VALUE"""),75.57)</f>
        <v>75.569999999999993</v>
      </c>
      <c r="T206" s="1">
        <f ca="1">IFERROR(__xludf.DUMMYFUNCTION("""COMPUTED_VALUE"""),47.85)</f>
        <v>47.85</v>
      </c>
      <c r="U206" s="1">
        <f ca="1">IFERROR(__xludf.DUMMYFUNCTION("""COMPUTED_VALUE"""),130.02)</f>
        <v>130.02000000000001</v>
      </c>
      <c r="V206" s="1">
        <f ca="1">IFERROR(__xludf.DUMMYFUNCTION("""COMPUTED_VALUE"""),169.66)</f>
        <v>169.66</v>
      </c>
      <c r="W206" s="1">
        <f ca="1">IFERROR(__xludf.DUMMYFUNCTION("""COMPUTED_VALUE"""),368.96)</f>
        <v>368.96</v>
      </c>
      <c r="X206" s="1">
        <f ca="1">IFERROR(__xludf.DUMMYFUNCTION("""COMPUTED_VALUE"""),375.5)</f>
        <v>375.5</v>
      </c>
      <c r="Y206" s="1">
        <f ca="1">IFERROR(__xludf.DUMMYFUNCTION("""COMPUTED_VALUE"""),88.21)</f>
        <v>88.21</v>
      </c>
      <c r="Z206" s="1">
        <f ca="1">IFERROR(__xludf.DUMMYFUNCTION("""COMPUTED_VALUE"""),205.4)</f>
        <v>205.4</v>
      </c>
      <c r="AA206" s="1">
        <f ca="1">IFERROR(__xludf.DUMMYFUNCTION("""COMPUTED_VALUE"""),35.46)</f>
        <v>35.46</v>
      </c>
      <c r="AB206" s="1">
        <f ca="1">IFERROR(__xludf.DUMMYFUNCTION("""COMPUTED_VALUE"""),89.36)</f>
        <v>89.36</v>
      </c>
      <c r="AC206" s="1">
        <f ca="1">IFERROR(__xludf.DUMMYFUNCTION("""COMPUTED_VALUE"""),79.42)</f>
        <v>79.42</v>
      </c>
    </row>
    <row r="207" spans="1:29" x14ac:dyDescent="0.25">
      <c r="A207" s="2">
        <f ca="1">IFERROR(__xludf.DUMMYFUNCTION("""COMPUTED_VALUE"""),44127.6666666666)</f>
        <v>44127.666666666599</v>
      </c>
      <c r="B207" s="1">
        <f ca="1">IFERROR(__xludf.DUMMYFUNCTION("""COMPUTED_VALUE"""),115.04)</f>
        <v>115.04</v>
      </c>
      <c r="C207" s="1">
        <f ca="1">IFERROR(__xludf.DUMMYFUNCTION("""COMPUTED_VALUE"""),216.23)</f>
        <v>216.23</v>
      </c>
      <c r="D207" s="1">
        <f ca="1">IFERROR(__xludf.DUMMYFUNCTION("""COMPUTED_VALUE"""),160.22)</f>
        <v>160.22</v>
      </c>
      <c r="E207" s="1">
        <f ca="1">IFERROR(__xludf.DUMMYFUNCTION("""COMPUTED_VALUE"""),13.59)</f>
        <v>13.59</v>
      </c>
      <c r="F207" s="1">
        <f ca="1">IFERROR(__xludf.DUMMYFUNCTION("""COMPUTED_VALUE"""),284.79)</f>
        <v>284.79000000000002</v>
      </c>
      <c r="G207" s="1">
        <f ca="1">IFERROR(__xludf.DUMMYFUNCTION("""COMPUTED_VALUE"""),82.05)</f>
        <v>82.05</v>
      </c>
      <c r="H207" s="1">
        <f ca="1">IFERROR(__xludf.DUMMYFUNCTION("""COMPUTED_VALUE"""),140.21)</f>
        <v>140.21</v>
      </c>
      <c r="I207" s="1">
        <f ca="1">IFERROR(__xludf.DUMMYFUNCTION("""COMPUTED_VALUE"""),139.56)</f>
        <v>139.56</v>
      </c>
      <c r="J207" s="1">
        <f ca="1">IFERROR(__xludf.DUMMYFUNCTION("""COMPUTED_VALUE"""),374.6)</f>
        <v>374.6</v>
      </c>
      <c r="K207" s="1">
        <f ca="1">IFERROR(__xludf.DUMMYFUNCTION("""COMPUTED_VALUE"""),37.27)</f>
        <v>37.270000000000003</v>
      </c>
      <c r="L207" s="1">
        <f ca="1">IFERROR(__xludf.DUMMYFUNCTION("""COMPUTED_VALUE"""),488.5)</f>
        <v>488.5</v>
      </c>
      <c r="M207" s="1">
        <f ca="1">IFERROR(__xludf.DUMMYFUNCTION("""COMPUTED_VALUE"""),488.28)</f>
        <v>488.28</v>
      </c>
      <c r="N207" s="1">
        <f ca="1">IFERROR(__xludf.DUMMYFUNCTION("""COMPUTED_VALUE"""),103.81)</f>
        <v>103.81</v>
      </c>
      <c r="O207" s="1">
        <f ca="1">IFERROR(__xludf.DUMMYFUNCTION("""COMPUTED_VALUE"""),198.01)</f>
        <v>198.01</v>
      </c>
      <c r="P207" s="1">
        <f ca="1">IFERROR(__xludf.DUMMYFUNCTION("""COMPUTED_VALUE"""),145.24)</f>
        <v>145.24</v>
      </c>
      <c r="Q207" s="1">
        <f ca="1">IFERROR(__xludf.DUMMYFUNCTION("""COMPUTED_VALUE"""),330.6)</f>
        <v>330.6</v>
      </c>
      <c r="R207" s="1">
        <f ca="1">IFERROR(__xludf.DUMMYFUNCTION("""COMPUTED_VALUE"""),34.16)</f>
        <v>34.159999999999997</v>
      </c>
      <c r="S207" s="1">
        <f ca="1">IFERROR(__xludf.DUMMYFUNCTION("""COMPUTED_VALUE"""),75.77)</f>
        <v>75.77</v>
      </c>
      <c r="T207" s="1">
        <f ca="1">IFERROR(__xludf.DUMMYFUNCTION("""COMPUTED_VALUE"""),47.95)</f>
        <v>47.95</v>
      </c>
      <c r="U207" s="1">
        <f ca="1">IFERROR(__xludf.DUMMYFUNCTION("""COMPUTED_VALUE"""),129.99)</f>
        <v>129.99</v>
      </c>
      <c r="V207" s="1">
        <f ca="1">IFERROR(__xludf.DUMMYFUNCTION("""COMPUTED_VALUE"""),168.59)</f>
        <v>168.59</v>
      </c>
      <c r="W207" s="1">
        <f ca="1">IFERROR(__xludf.DUMMYFUNCTION("""COMPUTED_VALUE"""),374.33)</f>
        <v>374.33</v>
      </c>
      <c r="X207" s="1">
        <f ca="1">IFERROR(__xludf.DUMMYFUNCTION("""COMPUTED_VALUE"""),378.56)</f>
        <v>378.56</v>
      </c>
      <c r="Y207" s="1">
        <f ca="1">IFERROR(__xludf.DUMMYFUNCTION("""COMPUTED_VALUE"""),88.31)</f>
        <v>88.31</v>
      </c>
      <c r="Z207" s="1">
        <f ca="1">IFERROR(__xludf.DUMMYFUNCTION("""COMPUTED_VALUE"""),205.04)</f>
        <v>205.04</v>
      </c>
      <c r="AA207" s="1">
        <f ca="1">IFERROR(__xludf.DUMMYFUNCTION("""COMPUTED_VALUE"""),36.17)</f>
        <v>36.17</v>
      </c>
      <c r="AB207" s="1">
        <f ca="1">IFERROR(__xludf.DUMMYFUNCTION("""COMPUTED_VALUE"""),90.8)</f>
        <v>90.8</v>
      </c>
      <c r="AC207" s="1">
        <f ca="1">IFERROR(__xludf.DUMMYFUNCTION("""COMPUTED_VALUE"""),81.96)</f>
        <v>81.96</v>
      </c>
    </row>
    <row r="208" spans="1:29" x14ac:dyDescent="0.25">
      <c r="A208" s="2">
        <f ca="1">IFERROR(__xludf.DUMMYFUNCTION("""COMPUTED_VALUE"""),44130.6666666666)</f>
        <v>44130.666666666599</v>
      </c>
      <c r="B208" s="1">
        <f ca="1">IFERROR(__xludf.DUMMYFUNCTION("""COMPUTED_VALUE"""),115.05)</f>
        <v>115.05</v>
      </c>
      <c r="C208" s="1">
        <f ca="1">IFERROR(__xludf.DUMMYFUNCTION("""COMPUTED_VALUE"""),210.08)</f>
        <v>210.08</v>
      </c>
      <c r="D208" s="1">
        <f ca="1">IFERROR(__xludf.DUMMYFUNCTION("""COMPUTED_VALUE"""),160.35)</f>
        <v>160.35</v>
      </c>
      <c r="E208" s="1">
        <f ca="1">IFERROR(__xludf.DUMMYFUNCTION("""COMPUTED_VALUE"""),13.14)</f>
        <v>13.14</v>
      </c>
      <c r="F208" s="1">
        <f ca="1">IFERROR(__xludf.DUMMYFUNCTION("""COMPUTED_VALUE"""),277.11)</f>
        <v>277.11</v>
      </c>
      <c r="G208" s="1">
        <f ca="1">IFERROR(__xludf.DUMMYFUNCTION("""COMPUTED_VALUE"""),79.52)</f>
        <v>79.52</v>
      </c>
      <c r="H208" s="1">
        <f ca="1">IFERROR(__xludf.DUMMYFUNCTION("""COMPUTED_VALUE"""),140.09)</f>
        <v>140.09</v>
      </c>
      <c r="I208" s="1">
        <f ca="1">IFERROR(__xludf.DUMMYFUNCTION("""COMPUTED_VALUE"""),138.06)</f>
        <v>138.06</v>
      </c>
      <c r="J208" s="1">
        <f ca="1">IFERROR(__xludf.DUMMYFUNCTION("""COMPUTED_VALUE"""),370.71)</f>
        <v>370.71</v>
      </c>
      <c r="K208" s="1">
        <f ca="1">IFERROR(__xludf.DUMMYFUNCTION("""COMPUTED_VALUE"""),36.3)</f>
        <v>36.299999999999997</v>
      </c>
      <c r="L208" s="1">
        <f ca="1">IFERROR(__xludf.DUMMYFUNCTION("""COMPUTED_VALUE"""),475.2)</f>
        <v>475.2</v>
      </c>
      <c r="M208" s="1">
        <f ca="1">IFERROR(__xludf.DUMMYFUNCTION("""COMPUTED_VALUE"""),488.24)</f>
        <v>488.24</v>
      </c>
      <c r="N208" s="1">
        <f ca="1">IFERROR(__xludf.DUMMYFUNCTION("""COMPUTED_VALUE"""),101.24)</f>
        <v>101.24</v>
      </c>
      <c r="O208" s="1">
        <f ca="1">IFERROR(__xludf.DUMMYFUNCTION("""COMPUTED_VALUE"""),193.07)</f>
        <v>193.07</v>
      </c>
      <c r="P208" s="1">
        <f ca="1">IFERROR(__xludf.DUMMYFUNCTION("""COMPUTED_VALUE"""),143.97)</f>
        <v>143.97</v>
      </c>
      <c r="Q208" s="1">
        <f ca="1">IFERROR(__xludf.DUMMYFUNCTION("""COMPUTED_VALUE"""),323.06)</f>
        <v>323.06</v>
      </c>
      <c r="R208" s="1">
        <f ca="1">IFERROR(__xludf.DUMMYFUNCTION("""COMPUTED_VALUE"""),33.35)</f>
        <v>33.35</v>
      </c>
      <c r="S208" s="1">
        <f ca="1">IFERROR(__xludf.DUMMYFUNCTION("""COMPUTED_VALUE"""),75.66)</f>
        <v>75.66</v>
      </c>
      <c r="T208" s="1">
        <f ca="1">IFERROR(__xludf.DUMMYFUNCTION("""COMPUTED_VALUE"""),47.39)</f>
        <v>47.39</v>
      </c>
      <c r="U208" s="1">
        <f ca="1">IFERROR(__xludf.DUMMYFUNCTION("""COMPUTED_VALUE"""),128.37)</f>
        <v>128.37</v>
      </c>
      <c r="V208" s="1">
        <f ca="1">IFERROR(__xludf.DUMMYFUNCTION("""COMPUTED_VALUE"""),163.2)</f>
        <v>163.19999999999999</v>
      </c>
      <c r="W208" s="1">
        <f ca="1">IFERROR(__xludf.DUMMYFUNCTION("""COMPUTED_VALUE"""),368.55)</f>
        <v>368.55</v>
      </c>
      <c r="X208" s="1">
        <f ca="1">IFERROR(__xludf.DUMMYFUNCTION("""COMPUTED_VALUE"""),367.49)</f>
        <v>367.49</v>
      </c>
      <c r="Y208" s="1">
        <f ca="1">IFERROR(__xludf.DUMMYFUNCTION("""COMPUTED_VALUE"""),86.73)</f>
        <v>86.73</v>
      </c>
      <c r="Z208" s="1">
        <f ca="1">IFERROR(__xludf.DUMMYFUNCTION("""COMPUTED_VALUE"""),201.14)</f>
        <v>201.14</v>
      </c>
      <c r="AA208" s="1">
        <f ca="1">IFERROR(__xludf.DUMMYFUNCTION("""COMPUTED_VALUE"""),35.92)</f>
        <v>35.92</v>
      </c>
      <c r="AB208" s="1">
        <f ca="1">IFERROR(__xludf.DUMMYFUNCTION("""COMPUTED_VALUE"""),89.66)</f>
        <v>89.66</v>
      </c>
      <c r="AC208" s="1">
        <f ca="1">IFERROR(__xludf.DUMMYFUNCTION("""COMPUTED_VALUE"""),82.23)</f>
        <v>82.23</v>
      </c>
    </row>
    <row r="209" spans="1:29" x14ac:dyDescent="0.25">
      <c r="A209" s="2">
        <f ca="1">IFERROR(__xludf.DUMMYFUNCTION("""COMPUTED_VALUE"""),44131.6666666666)</f>
        <v>44131.666666666599</v>
      </c>
      <c r="B209" s="1">
        <f ca="1">IFERROR(__xludf.DUMMYFUNCTION("""COMPUTED_VALUE"""),116.6)</f>
        <v>116.6</v>
      </c>
      <c r="C209" s="1">
        <f ca="1">IFERROR(__xludf.DUMMYFUNCTION("""COMPUTED_VALUE"""),213.25)</f>
        <v>213.25</v>
      </c>
      <c r="D209" s="1">
        <f ca="1">IFERROR(__xludf.DUMMYFUNCTION("""COMPUTED_VALUE"""),164.32)</f>
        <v>164.32</v>
      </c>
      <c r="E209" s="1">
        <f ca="1">IFERROR(__xludf.DUMMYFUNCTION("""COMPUTED_VALUE"""),13.4)</f>
        <v>13.4</v>
      </c>
      <c r="F209" s="1">
        <f ca="1">IFERROR(__xludf.DUMMYFUNCTION("""COMPUTED_VALUE"""),283.29)</f>
        <v>283.29000000000002</v>
      </c>
      <c r="G209" s="1">
        <f ca="1">IFERROR(__xludf.DUMMYFUNCTION("""COMPUTED_VALUE"""),80.21)</f>
        <v>80.209999999999994</v>
      </c>
      <c r="H209" s="1">
        <f ca="1">IFERROR(__xludf.DUMMYFUNCTION("""COMPUTED_VALUE"""),141.56)</f>
        <v>141.56</v>
      </c>
      <c r="I209" s="1">
        <f ca="1">IFERROR(__xludf.DUMMYFUNCTION("""COMPUTED_VALUE"""),139.12)</f>
        <v>139.12</v>
      </c>
      <c r="J209" s="1">
        <f ca="1">IFERROR(__xludf.DUMMYFUNCTION("""COMPUTED_VALUE"""),372.72)</f>
        <v>372.72</v>
      </c>
      <c r="K209" s="1">
        <f ca="1">IFERROR(__xludf.DUMMYFUNCTION("""COMPUTED_VALUE"""),35.96)</f>
        <v>35.96</v>
      </c>
      <c r="L209" s="1">
        <f ca="1">IFERROR(__xludf.DUMMYFUNCTION("""COMPUTED_VALUE"""),478.56)</f>
        <v>478.56</v>
      </c>
      <c r="M209" s="1">
        <f ca="1">IFERROR(__xludf.DUMMYFUNCTION("""COMPUTED_VALUE"""),488.93)</f>
        <v>488.93</v>
      </c>
      <c r="N209" s="1">
        <f ca="1">IFERROR(__xludf.DUMMYFUNCTION("""COMPUTED_VALUE"""),99.33)</f>
        <v>99.33</v>
      </c>
      <c r="O209" s="1">
        <f ca="1">IFERROR(__xludf.DUMMYFUNCTION("""COMPUTED_VALUE"""),190.06)</f>
        <v>190.06</v>
      </c>
      <c r="P209" s="1">
        <f ca="1">IFERROR(__xludf.DUMMYFUNCTION("""COMPUTED_VALUE"""),143.15)</f>
        <v>143.15</v>
      </c>
      <c r="Q209" s="1">
        <f ca="1">IFERROR(__xludf.DUMMYFUNCTION("""COMPUTED_VALUE"""),320.51)</f>
        <v>320.51</v>
      </c>
      <c r="R209" s="1">
        <f ca="1">IFERROR(__xludf.DUMMYFUNCTION("""COMPUTED_VALUE"""),32.82)</f>
        <v>32.82</v>
      </c>
      <c r="S209" s="1">
        <f ca="1">IFERROR(__xludf.DUMMYFUNCTION("""COMPUTED_VALUE"""),75.78)</f>
        <v>75.78</v>
      </c>
      <c r="T209" s="1">
        <f ca="1">IFERROR(__xludf.DUMMYFUNCTION("""COMPUTED_VALUE"""),47.62)</f>
        <v>47.62</v>
      </c>
      <c r="U209" s="1">
        <f ca="1">IFERROR(__xludf.DUMMYFUNCTION("""COMPUTED_VALUE"""),127.99)</f>
        <v>127.99</v>
      </c>
      <c r="V209" s="1">
        <f ca="1">IFERROR(__xludf.DUMMYFUNCTION("""COMPUTED_VALUE"""),157.91)</f>
        <v>157.91</v>
      </c>
      <c r="W209" s="1">
        <f ca="1">IFERROR(__xludf.DUMMYFUNCTION("""COMPUTED_VALUE"""),362.43)</f>
        <v>362.43</v>
      </c>
      <c r="X209" s="1">
        <f ca="1">IFERROR(__xludf.DUMMYFUNCTION("""COMPUTED_VALUE"""),366.37)</f>
        <v>366.37</v>
      </c>
      <c r="Y209" s="1">
        <f ca="1">IFERROR(__xludf.DUMMYFUNCTION("""COMPUTED_VALUE"""),86.71)</f>
        <v>86.71</v>
      </c>
      <c r="Z209" s="1">
        <f ca="1">IFERROR(__xludf.DUMMYFUNCTION("""COMPUTED_VALUE"""),195.68)</f>
        <v>195.68</v>
      </c>
      <c r="AA209" s="1">
        <f ca="1">IFERROR(__xludf.DUMMYFUNCTION("""COMPUTED_VALUE"""),35.46)</f>
        <v>35.46</v>
      </c>
      <c r="AB209" s="1">
        <f ca="1">IFERROR(__xludf.DUMMYFUNCTION("""COMPUTED_VALUE"""),90.05)</f>
        <v>90.05</v>
      </c>
      <c r="AC209" s="1">
        <f ca="1">IFERROR(__xludf.DUMMYFUNCTION("""COMPUTED_VALUE"""),78.88)</f>
        <v>78.88</v>
      </c>
    </row>
    <row r="210" spans="1:29" x14ac:dyDescent="0.25">
      <c r="A210" s="2">
        <f ca="1">IFERROR(__xludf.DUMMYFUNCTION("""COMPUTED_VALUE"""),44132.6666666666)</f>
        <v>44132.666666666599</v>
      </c>
      <c r="B210" s="1">
        <f ca="1">IFERROR(__xludf.DUMMYFUNCTION("""COMPUTED_VALUE"""),111.2)</f>
        <v>111.2</v>
      </c>
      <c r="C210" s="1">
        <f ca="1">IFERROR(__xludf.DUMMYFUNCTION("""COMPUTED_VALUE"""),202.68)</f>
        <v>202.68</v>
      </c>
      <c r="D210" s="1">
        <f ca="1">IFERROR(__xludf.DUMMYFUNCTION("""COMPUTED_VALUE"""),158.14)</f>
        <v>158.13999999999999</v>
      </c>
      <c r="E210" s="1">
        <f ca="1">IFERROR(__xludf.DUMMYFUNCTION("""COMPUTED_VALUE"""),12.63)</f>
        <v>12.63</v>
      </c>
      <c r="F210" s="1">
        <f ca="1">IFERROR(__xludf.DUMMYFUNCTION("""COMPUTED_VALUE"""),267.67)</f>
        <v>267.67</v>
      </c>
      <c r="G210" s="1">
        <f ca="1">IFERROR(__xludf.DUMMYFUNCTION("""COMPUTED_VALUE"""),75.83)</f>
        <v>75.83</v>
      </c>
      <c r="H210" s="1">
        <f ca="1">IFERROR(__xludf.DUMMYFUNCTION("""COMPUTED_VALUE"""),135.34)</f>
        <v>135.34</v>
      </c>
      <c r="I210" s="1">
        <f ca="1">IFERROR(__xludf.DUMMYFUNCTION("""COMPUTED_VALUE"""),134.17)</f>
        <v>134.16999999999999</v>
      </c>
      <c r="J210" s="1">
        <f ca="1">IFERROR(__xludf.DUMMYFUNCTION("""COMPUTED_VALUE"""),364.96)</f>
        <v>364.96</v>
      </c>
      <c r="K210" s="1">
        <f ca="1">IFERROR(__xludf.DUMMYFUNCTION("""COMPUTED_VALUE"""),34.72)</f>
        <v>34.72</v>
      </c>
      <c r="L210" s="1">
        <f ca="1">IFERROR(__xludf.DUMMYFUNCTION("""COMPUTED_VALUE"""),456.97)</f>
        <v>456.97</v>
      </c>
      <c r="M210" s="1">
        <f ca="1">IFERROR(__xludf.DUMMYFUNCTION("""COMPUTED_VALUE"""),486.24)</f>
        <v>486.24</v>
      </c>
      <c r="N210" s="1">
        <f ca="1">IFERROR(__xludf.DUMMYFUNCTION("""COMPUTED_VALUE"""),96.54)</f>
        <v>96.54</v>
      </c>
      <c r="O210" s="1">
        <f ca="1">IFERROR(__xludf.DUMMYFUNCTION("""COMPUTED_VALUE"""),180.87)</f>
        <v>180.87</v>
      </c>
      <c r="P210" s="1">
        <f ca="1">IFERROR(__xludf.DUMMYFUNCTION("""COMPUTED_VALUE"""),138.36)</f>
        <v>138.36000000000001</v>
      </c>
      <c r="Q210" s="1">
        <f ca="1">IFERROR(__xludf.DUMMYFUNCTION("""COMPUTED_VALUE"""),308)</f>
        <v>308</v>
      </c>
      <c r="R210" s="1">
        <f ca="1">IFERROR(__xludf.DUMMYFUNCTION("""COMPUTED_VALUE"""),31.57)</f>
        <v>31.57</v>
      </c>
      <c r="S210" s="1">
        <f ca="1">IFERROR(__xludf.DUMMYFUNCTION("""COMPUTED_VALUE"""),74.46)</f>
        <v>74.459999999999994</v>
      </c>
      <c r="T210" s="1">
        <f ca="1">IFERROR(__xludf.DUMMYFUNCTION("""COMPUTED_VALUE"""),46.68)</f>
        <v>46.68</v>
      </c>
      <c r="U210" s="1">
        <f ca="1">IFERROR(__xludf.DUMMYFUNCTION("""COMPUTED_VALUE"""),122.08)</f>
        <v>122.08</v>
      </c>
      <c r="V210" s="1">
        <f ca="1">IFERROR(__xludf.DUMMYFUNCTION("""COMPUTED_VALUE"""),151.16)</f>
        <v>151.16</v>
      </c>
      <c r="W210" s="1">
        <f ca="1">IFERROR(__xludf.DUMMYFUNCTION("""COMPUTED_VALUE"""),350.86)</f>
        <v>350.86</v>
      </c>
      <c r="X210" s="1">
        <f ca="1">IFERROR(__xludf.DUMMYFUNCTION("""COMPUTED_VALUE"""),362.86)</f>
        <v>362.86</v>
      </c>
      <c r="Y210" s="1">
        <f ca="1">IFERROR(__xludf.DUMMYFUNCTION("""COMPUTED_VALUE"""),83.85)</f>
        <v>83.85</v>
      </c>
      <c r="Z210" s="1">
        <f ca="1">IFERROR(__xludf.DUMMYFUNCTION("""COMPUTED_VALUE"""),189.77)</f>
        <v>189.77</v>
      </c>
      <c r="AA210" s="1">
        <f ca="1">IFERROR(__xludf.DUMMYFUNCTION("""COMPUTED_VALUE"""),33.58)</f>
        <v>33.58</v>
      </c>
      <c r="AB210" s="1">
        <f ca="1">IFERROR(__xludf.DUMMYFUNCTION("""COMPUTED_VALUE"""),87.17)</f>
        <v>87.17</v>
      </c>
      <c r="AC210" s="1">
        <f ca="1">IFERROR(__xludf.DUMMYFUNCTION("""COMPUTED_VALUE"""),76.4)</f>
        <v>76.400000000000006</v>
      </c>
    </row>
    <row r="211" spans="1:29" x14ac:dyDescent="0.25">
      <c r="A211" s="2">
        <f ca="1">IFERROR(__xludf.DUMMYFUNCTION("""COMPUTED_VALUE"""),44133.6666666666)</f>
        <v>44133.666666666599</v>
      </c>
      <c r="B211" s="1">
        <f ca="1">IFERROR(__xludf.DUMMYFUNCTION("""COMPUTED_VALUE"""),115.32)</f>
        <v>115.32</v>
      </c>
      <c r="C211" s="1">
        <f ca="1">IFERROR(__xludf.DUMMYFUNCTION("""COMPUTED_VALUE"""),204.72)</f>
        <v>204.72</v>
      </c>
      <c r="D211" s="1">
        <f ca="1">IFERROR(__xludf.DUMMYFUNCTION("""COMPUTED_VALUE"""),160.55)</f>
        <v>160.55000000000001</v>
      </c>
      <c r="E211" s="1">
        <f ca="1">IFERROR(__xludf.DUMMYFUNCTION("""COMPUTED_VALUE"""),13.02)</f>
        <v>13.02</v>
      </c>
      <c r="F211" s="1">
        <f ca="1">IFERROR(__xludf.DUMMYFUNCTION("""COMPUTED_VALUE"""),280.83)</f>
        <v>280.83</v>
      </c>
      <c r="G211" s="1">
        <f ca="1">IFERROR(__xludf.DUMMYFUNCTION("""COMPUTED_VALUE"""),78.36)</f>
        <v>78.36</v>
      </c>
      <c r="H211" s="1">
        <f ca="1">IFERROR(__xludf.DUMMYFUNCTION("""COMPUTED_VALUE"""),136.94)</f>
        <v>136.94</v>
      </c>
      <c r="I211" s="1">
        <f ca="1">IFERROR(__xludf.DUMMYFUNCTION("""COMPUTED_VALUE"""),133.99)</f>
        <v>133.99</v>
      </c>
      <c r="J211" s="1">
        <f ca="1">IFERROR(__xludf.DUMMYFUNCTION("""COMPUTED_VALUE"""),364.86)</f>
        <v>364.86</v>
      </c>
      <c r="K211" s="1">
        <f ca="1">IFERROR(__xludf.DUMMYFUNCTION("""COMPUTED_VALUE"""),35.5)</f>
        <v>35.5</v>
      </c>
      <c r="L211" s="1">
        <f ca="1">IFERROR(__xludf.DUMMYFUNCTION("""COMPUTED_VALUE"""),461.11)</f>
        <v>461.11</v>
      </c>
      <c r="M211" s="1">
        <f ca="1">IFERROR(__xludf.DUMMYFUNCTION("""COMPUTED_VALUE"""),504.21)</f>
        <v>504.21</v>
      </c>
      <c r="N211" s="1">
        <f ca="1">IFERROR(__xludf.DUMMYFUNCTION("""COMPUTED_VALUE"""),97.17)</f>
        <v>97.17</v>
      </c>
      <c r="O211" s="1">
        <f ca="1">IFERROR(__xludf.DUMMYFUNCTION("""COMPUTED_VALUE"""),184.87)</f>
        <v>184.87</v>
      </c>
      <c r="P211" s="1">
        <f ca="1">IFERROR(__xludf.DUMMYFUNCTION("""COMPUTED_VALUE"""),137.19)</f>
        <v>137.19</v>
      </c>
      <c r="Q211" s="1">
        <f ca="1">IFERROR(__xludf.DUMMYFUNCTION("""COMPUTED_VALUE"""),303.68)</f>
        <v>303.68</v>
      </c>
      <c r="R211" s="1">
        <f ca="1">IFERROR(__xludf.DUMMYFUNCTION("""COMPUTED_VALUE"""),32.97)</f>
        <v>32.97</v>
      </c>
      <c r="S211" s="1">
        <f ca="1">IFERROR(__xludf.DUMMYFUNCTION("""COMPUTED_VALUE"""),74.01)</f>
        <v>74.010000000000005</v>
      </c>
      <c r="T211" s="1">
        <f ca="1">IFERROR(__xludf.DUMMYFUNCTION("""COMPUTED_VALUE"""),46.64)</f>
        <v>46.64</v>
      </c>
      <c r="U211" s="1">
        <f ca="1">IFERROR(__xludf.DUMMYFUNCTION("""COMPUTED_VALUE"""),122.86)</f>
        <v>122.86</v>
      </c>
      <c r="V211" s="1">
        <f ca="1">IFERROR(__xludf.DUMMYFUNCTION("""COMPUTED_VALUE"""),154.67)</f>
        <v>154.66999999999999</v>
      </c>
      <c r="W211" s="1">
        <f ca="1">IFERROR(__xludf.DUMMYFUNCTION("""COMPUTED_VALUE"""),352.44)</f>
        <v>352.44</v>
      </c>
      <c r="X211" s="1">
        <f ca="1">IFERROR(__xludf.DUMMYFUNCTION("""COMPUTED_VALUE"""),370.86)</f>
        <v>370.86</v>
      </c>
      <c r="Y211" s="1">
        <f ca="1">IFERROR(__xludf.DUMMYFUNCTION("""COMPUTED_VALUE"""),84.89)</f>
        <v>84.89</v>
      </c>
      <c r="Z211" s="1">
        <f ca="1">IFERROR(__xludf.DUMMYFUNCTION("""COMPUTED_VALUE"""),189.94)</f>
        <v>189.94</v>
      </c>
      <c r="AA211" s="1">
        <f ca="1">IFERROR(__xludf.DUMMYFUNCTION("""COMPUTED_VALUE"""),33.42)</f>
        <v>33.42</v>
      </c>
      <c r="AB211" s="1">
        <f ca="1">IFERROR(__xludf.DUMMYFUNCTION("""COMPUTED_VALUE"""),88.3)</f>
        <v>88.3</v>
      </c>
      <c r="AC211" s="1">
        <f ca="1">IFERROR(__xludf.DUMMYFUNCTION("""COMPUTED_VALUE"""),78.02)</f>
        <v>78.02</v>
      </c>
    </row>
    <row r="212" spans="1:29" x14ac:dyDescent="0.25">
      <c r="A212" s="2">
        <f ca="1">IFERROR(__xludf.DUMMYFUNCTION("""COMPUTED_VALUE"""),44134.6666666666)</f>
        <v>44134.666666666599</v>
      </c>
      <c r="B212" s="1">
        <f ca="1">IFERROR(__xludf.DUMMYFUNCTION("""COMPUTED_VALUE"""),108.86)</f>
        <v>108.86</v>
      </c>
      <c r="C212" s="1">
        <f ca="1">IFERROR(__xludf.DUMMYFUNCTION("""COMPUTED_VALUE"""),202.47)</f>
        <v>202.47</v>
      </c>
      <c r="D212" s="1">
        <f ca="1">IFERROR(__xludf.DUMMYFUNCTION("""COMPUTED_VALUE"""),151.81)</f>
        <v>151.81</v>
      </c>
      <c r="E212" s="1">
        <f ca="1">IFERROR(__xludf.DUMMYFUNCTION("""COMPUTED_VALUE"""),12.53)</f>
        <v>12.53</v>
      </c>
      <c r="F212" s="1">
        <f ca="1">IFERROR(__xludf.DUMMYFUNCTION("""COMPUTED_VALUE"""),263.11)</f>
        <v>263.11</v>
      </c>
      <c r="G212" s="1">
        <f ca="1">IFERROR(__xludf.DUMMYFUNCTION("""COMPUTED_VALUE"""),81.05)</f>
        <v>81.05</v>
      </c>
      <c r="H212" s="1">
        <f ca="1">IFERROR(__xludf.DUMMYFUNCTION("""COMPUTED_VALUE"""),129.35)</f>
        <v>129.35</v>
      </c>
      <c r="I212" s="1">
        <f ca="1">IFERROR(__xludf.DUMMYFUNCTION("""COMPUTED_VALUE"""),133.29)</f>
        <v>133.29</v>
      </c>
      <c r="J212" s="1">
        <f ca="1">IFERROR(__xludf.DUMMYFUNCTION("""COMPUTED_VALUE"""),357.62)</f>
        <v>357.62</v>
      </c>
      <c r="K212" s="1">
        <f ca="1">IFERROR(__xludf.DUMMYFUNCTION("""COMPUTED_VALUE"""),34.96)</f>
        <v>34.96</v>
      </c>
      <c r="L212" s="1">
        <f ca="1">IFERROR(__xludf.DUMMYFUNCTION("""COMPUTED_VALUE"""),447.1)</f>
        <v>447.1</v>
      </c>
      <c r="M212" s="1">
        <f ca="1">IFERROR(__xludf.DUMMYFUNCTION("""COMPUTED_VALUE"""),475.74)</f>
        <v>475.74</v>
      </c>
      <c r="N212" s="1">
        <f ca="1">IFERROR(__xludf.DUMMYFUNCTION("""COMPUTED_VALUE"""),98.04)</f>
        <v>98.04</v>
      </c>
      <c r="O212" s="1">
        <f ca="1">IFERROR(__xludf.DUMMYFUNCTION("""COMPUTED_VALUE"""),181.71)</f>
        <v>181.71</v>
      </c>
      <c r="P212" s="1">
        <f ca="1">IFERROR(__xludf.DUMMYFUNCTION("""COMPUTED_VALUE"""),137.11)</f>
        <v>137.11000000000001</v>
      </c>
      <c r="Q212" s="1">
        <f ca="1">IFERROR(__xludf.DUMMYFUNCTION("""COMPUTED_VALUE"""),305.14)</f>
        <v>305.14</v>
      </c>
      <c r="R212" s="1">
        <f ca="1">IFERROR(__xludf.DUMMYFUNCTION("""COMPUTED_VALUE"""),32.62)</f>
        <v>32.619999999999997</v>
      </c>
      <c r="S212" s="1">
        <f ca="1">IFERROR(__xludf.DUMMYFUNCTION("""COMPUTED_VALUE"""),73.21)</f>
        <v>73.209999999999994</v>
      </c>
      <c r="T212" s="1">
        <f ca="1">IFERROR(__xludf.DUMMYFUNCTION("""COMPUTED_VALUE"""),46.25)</f>
        <v>46.25</v>
      </c>
      <c r="U212" s="1">
        <f ca="1">IFERROR(__xludf.DUMMYFUNCTION("""COMPUTED_VALUE"""),120.08)</f>
        <v>120.08</v>
      </c>
      <c r="V212" s="1">
        <f ca="1">IFERROR(__xludf.DUMMYFUNCTION("""COMPUTED_VALUE"""),157.05)</f>
        <v>157.05000000000001</v>
      </c>
      <c r="W212" s="1">
        <f ca="1">IFERROR(__xludf.DUMMYFUNCTION("""COMPUTED_VALUE"""),350.13)</f>
        <v>350.13</v>
      </c>
      <c r="X212" s="1">
        <f ca="1">IFERROR(__xludf.DUMMYFUNCTION("""COMPUTED_VALUE"""),361.21)</f>
        <v>361.21</v>
      </c>
      <c r="Y212" s="1">
        <f ca="1">IFERROR(__xludf.DUMMYFUNCTION("""COMPUTED_VALUE"""),83.87)</f>
        <v>83.87</v>
      </c>
      <c r="Z212" s="1">
        <f ca="1">IFERROR(__xludf.DUMMYFUNCTION("""COMPUTED_VALUE"""),189.04)</f>
        <v>189.04</v>
      </c>
      <c r="AA212" s="1">
        <f ca="1">IFERROR(__xludf.DUMMYFUNCTION("""COMPUTED_VALUE"""),33.61)</f>
        <v>33.61</v>
      </c>
      <c r="AB212" s="1">
        <f ca="1">IFERROR(__xludf.DUMMYFUNCTION("""COMPUTED_VALUE"""),86.96)</f>
        <v>86.96</v>
      </c>
      <c r="AC212" s="1">
        <f ca="1">IFERROR(__xludf.DUMMYFUNCTION("""COMPUTED_VALUE"""),75.29)</f>
        <v>75.290000000000006</v>
      </c>
    </row>
    <row r="213" spans="1:29" x14ac:dyDescent="0.25">
      <c r="A213" s="2">
        <f ca="1">IFERROR(__xludf.DUMMYFUNCTION("""COMPUTED_VALUE"""),44137.6666666666)</f>
        <v>44137.666666666599</v>
      </c>
      <c r="B213" s="1">
        <f ca="1">IFERROR(__xludf.DUMMYFUNCTION("""COMPUTED_VALUE"""),108.77)</f>
        <v>108.77</v>
      </c>
      <c r="C213" s="1">
        <f ca="1">IFERROR(__xludf.DUMMYFUNCTION("""COMPUTED_VALUE"""),202.33)</f>
        <v>202.33</v>
      </c>
      <c r="D213" s="1">
        <f ca="1">IFERROR(__xludf.DUMMYFUNCTION("""COMPUTED_VALUE"""),150.22)</f>
        <v>150.22</v>
      </c>
      <c r="E213" s="1">
        <f ca="1">IFERROR(__xludf.DUMMYFUNCTION("""COMPUTED_VALUE"""),12.58)</f>
        <v>12.58</v>
      </c>
      <c r="F213" s="1">
        <f ca="1">IFERROR(__xludf.DUMMYFUNCTION("""COMPUTED_VALUE"""),261.36)</f>
        <v>261.36</v>
      </c>
      <c r="G213" s="1">
        <f ca="1">IFERROR(__xludf.DUMMYFUNCTION("""COMPUTED_VALUE"""),81.3)</f>
        <v>81.3</v>
      </c>
      <c r="H213" s="1">
        <f ca="1">IFERROR(__xludf.DUMMYFUNCTION("""COMPUTED_VALUE"""),133.5)</f>
        <v>133.5</v>
      </c>
      <c r="I213" s="1">
        <f ca="1">IFERROR(__xludf.DUMMYFUNCTION("""COMPUTED_VALUE"""),135.15)</f>
        <v>135.15</v>
      </c>
      <c r="J213" s="1">
        <f ca="1">IFERROR(__xludf.DUMMYFUNCTION("""COMPUTED_VALUE"""),364.39)</f>
        <v>364.39</v>
      </c>
      <c r="K213" s="1">
        <f ca="1">IFERROR(__xludf.DUMMYFUNCTION("""COMPUTED_VALUE"""),35.13)</f>
        <v>35.130000000000003</v>
      </c>
      <c r="L213" s="1">
        <f ca="1">IFERROR(__xludf.DUMMYFUNCTION("""COMPUTED_VALUE"""),444.94)</f>
        <v>444.94</v>
      </c>
      <c r="M213" s="1">
        <f ca="1">IFERROR(__xludf.DUMMYFUNCTION("""COMPUTED_VALUE"""),484.12)</f>
        <v>484.12</v>
      </c>
      <c r="N213" s="1">
        <f ca="1">IFERROR(__xludf.DUMMYFUNCTION("""COMPUTED_VALUE"""),100.25)</f>
        <v>100.25</v>
      </c>
      <c r="O213" s="1">
        <f ca="1">IFERROR(__xludf.DUMMYFUNCTION("""COMPUTED_VALUE"""),184.74)</f>
        <v>184.74</v>
      </c>
      <c r="P213" s="1">
        <f ca="1">IFERROR(__xludf.DUMMYFUNCTION("""COMPUTED_VALUE"""),138.69)</f>
        <v>138.69</v>
      </c>
      <c r="Q213" s="1">
        <f ca="1">IFERROR(__xludf.DUMMYFUNCTION("""COMPUTED_VALUE"""),312.1)</f>
        <v>312.10000000000002</v>
      </c>
      <c r="R213" s="1">
        <f ca="1">IFERROR(__xludf.DUMMYFUNCTION("""COMPUTED_VALUE"""),33.99)</f>
        <v>33.99</v>
      </c>
      <c r="S213" s="1">
        <f ca="1">IFERROR(__xludf.DUMMYFUNCTION("""COMPUTED_VALUE"""),75.13)</f>
        <v>75.13</v>
      </c>
      <c r="T213" s="1">
        <f ca="1">IFERROR(__xludf.DUMMYFUNCTION("""COMPUTED_VALUE"""),46.8)</f>
        <v>46.8</v>
      </c>
      <c r="U213" s="1">
        <f ca="1">IFERROR(__xludf.DUMMYFUNCTION("""COMPUTED_VALUE"""),122.39)</f>
        <v>122.39</v>
      </c>
      <c r="V213" s="1">
        <f ca="1">IFERROR(__xludf.DUMMYFUNCTION("""COMPUTED_VALUE"""),163.27)</f>
        <v>163.27000000000001</v>
      </c>
      <c r="W213" s="1">
        <f ca="1">IFERROR(__xludf.DUMMYFUNCTION("""COMPUTED_VALUE"""),352.42)</f>
        <v>352.42</v>
      </c>
      <c r="X213" s="1">
        <f ca="1">IFERROR(__xludf.DUMMYFUNCTION("""COMPUTED_VALUE"""),365.21)</f>
        <v>365.21</v>
      </c>
      <c r="Y213" s="1">
        <f ca="1">IFERROR(__xludf.DUMMYFUNCTION("""COMPUTED_VALUE"""),85.71)</f>
        <v>85.71</v>
      </c>
      <c r="Z213" s="1">
        <f ca="1">IFERROR(__xludf.DUMMYFUNCTION("""COMPUTED_VALUE"""),190.2)</f>
        <v>190.2</v>
      </c>
      <c r="AA213" s="1">
        <f ca="1">IFERROR(__xludf.DUMMYFUNCTION("""COMPUTED_VALUE"""),34.32)</f>
        <v>34.32</v>
      </c>
      <c r="AB213" s="1">
        <f ca="1">IFERROR(__xludf.DUMMYFUNCTION("""COMPUTED_VALUE"""),85.97)</f>
        <v>85.97</v>
      </c>
      <c r="AC213" s="1">
        <f ca="1">IFERROR(__xludf.DUMMYFUNCTION("""COMPUTED_VALUE"""),74.7)</f>
        <v>74.7</v>
      </c>
    </row>
    <row r="214" spans="1:29" x14ac:dyDescent="0.25">
      <c r="A214" s="2">
        <f ca="1">IFERROR(__xludf.DUMMYFUNCTION("""COMPUTED_VALUE"""),44138.6666666666)</f>
        <v>44138.666666666599</v>
      </c>
      <c r="B214" s="1">
        <f ca="1">IFERROR(__xludf.DUMMYFUNCTION("""COMPUTED_VALUE"""),110.44)</f>
        <v>110.44</v>
      </c>
      <c r="C214" s="1">
        <f ca="1">IFERROR(__xludf.DUMMYFUNCTION("""COMPUTED_VALUE"""),206.43)</f>
        <v>206.43</v>
      </c>
      <c r="D214" s="1">
        <f ca="1">IFERROR(__xludf.DUMMYFUNCTION("""COMPUTED_VALUE"""),152.42)</f>
        <v>152.41999999999999</v>
      </c>
      <c r="E214" s="1">
        <f ca="1">IFERROR(__xludf.DUMMYFUNCTION("""COMPUTED_VALUE"""),13.02)</f>
        <v>13.02</v>
      </c>
      <c r="F214" s="1">
        <f ca="1">IFERROR(__xludf.DUMMYFUNCTION("""COMPUTED_VALUE"""),265.3)</f>
        <v>265.3</v>
      </c>
      <c r="G214" s="1">
        <f ca="1">IFERROR(__xludf.DUMMYFUNCTION("""COMPUTED_VALUE"""),82.51)</f>
        <v>82.51</v>
      </c>
      <c r="H214" s="1">
        <f ca="1">IFERROR(__xludf.DUMMYFUNCTION("""COMPUTED_VALUE"""),141.3)</f>
        <v>141.30000000000001</v>
      </c>
      <c r="I214" s="1">
        <f ca="1">IFERROR(__xludf.DUMMYFUNCTION("""COMPUTED_VALUE"""),137.04)</f>
        <v>137.04</v>
      </c>
      <c r="J214" s="1">
        <f ca="1">IFERROR(__xludf.DUMMYFUNCTION("""COMPUTED_VALUE"""),371.96)</f>
        <v>371.96</v>
      </c>
      <c r="K214" s="1">
        <f ca="1">IFERROR(__xludf.DUMMYFUNCTION("""COMPUTED_VALUE"""),35.38)</f>
        <v>35.380000000000003</v>
      </c>
      <c r="L214" s="1">
        <f ca="1">IFERROR(__xludf.DUMMYFUNCTION("""COMPUTED_VALUE"""),454.02)</f>
        <v>454.02</v>
      </c>
      <c r="M214" s="1">
        <f ca="1">IFERROR(__xludf.DUMMYFUNCTION("""COMPUTED_VALUE"""),487.22)</f>
        <v>487.22</v>
      </c>
      <c r="N214" s="1">
        <f ca="1">IFERROR(__xludf.DUMMYFUNCTION("""COMPUTED_VALUE"""),103.41)</f>
        <v>103.41</v>
      </c>
      <c r="O214" s="1">
        <f ca="1">IFERROR(__xludf.DUMMYFUNCTION("""COMPUTED_VALUE"""),188.34)</f>
        <v>188.34</v>
      </c>
      <c r="P214" s="1">
        <f ca="1">IFERROR(__xludf.DUMMYFUNCTION("""COMPUTED_VALUE"""),138.5)</f>
        <v>138.5</v>
      </c>
      <c r="Q214" s="1">
        <f ca="1">IFERROR(__xludf.DUMMYFUNCTION("""COMPUTED_VALUE"""),321.35)</f>
        <v>321.35000000000002</v>
      </c>
      <c r="R214" s="1">
        <f ca="1">IFERROR(__xludf.DUMMYFUNCTION("""COMPUTED_VALUE"""),33.41)</f>
        <v>33.409999999999997</v>
      </c>
      <c r="S214" s="1">
        <f ca="1">IFERROR(__xludf.DUMMYFUNCTION("""COMPUTED_VALUE"""),76.02)</f>
        <v>76.02</v>
      </c>
      <c r="T214" s="1">
        <f ca="1">IFERROR(__xludf.DUMMYFUNCTION("""COMPUTED_VALUE"""),47.59)</f>
        <v>47.59</v>
      </c>
      <c r="U214" s="1">
        <f ca="1">IFERROR(__xludf.DUMMYFUNCTION("""COMPUTED_VALUE"""),124.59)</f>
        <v>124.59</v>
      </c>
      <c r="V214" s="1">
        <f ca="1">IFERROR(__xludf.DUMMYFUNCTION("""COMPUTED_VALUE"""),167.69)</f>
        <v>167.69</v>
      </c>
      <c r="W214" s="1">
        <f ca="1">IFERROR(__xludf.DUMMYFUNCTION("""COMPUTED_VALUE"""),363.44)</f>
        <v>363.44</v>
      </c>
      <c r="X214" s="1">
        <f ca="1">IFERROR(__xludf.DUMMYFUNCTION("""COMPUTED_VALUE"""),372.06)</f>
        <v>372.06</v>
      </c>
      <c r="Y214" s="1">
        <f ca="1">IFERROR(__xludf.DUMMYFUNCTION("""COMPUTED_VALUE"""),87.69)</f>
        <v>87.69</v>
      </c>
      <c r="Z214" s="1">
        <f ca="1">IFERROR(__xludf.DUMMYFUNCTION("""COMPUTED_VALUE"""),197.93)</f>
        <v>197.93</v>
      </c>
      <c r="AA214" s="1">
        <f ca="1">IFERROR(__xludf.DUMMYFUNCTION("""COMPUTED_VALUE"""),34.28)</f>
        <v>34.28</v>
      </c>
      <c r="AB214" s="1">
        <f ca="1">IFERROR(__xludf.DUMMYFUNCTION("""COMPUTED_VALUE"""),88.39)</f>
        <v>88.39</v>
      </c>
      <c r="AC214" s="1">
        <f ca="1">IFERROR(__xludf.DUMMYFUNCTION("""COMPUTED_VALUE"""),76.58)</f>
        <v>76.58</v>
      </c>
    </row>
    <row r="215" spans="1:29" x14ac:dyDescent="0.25">
      <c r="A215" s="2">
        <f ca="1">IFERROR(__xludf.DUMMYFUNCTION("""COMPUTED_VALUE"""),44139.6666666666)</f>
        <v>44139.666666666599</v>
      </c>
      <c r="B215" s="1">
        <f ca="1">IFERROR(__xludf.DUMMYFUNCTION("""COMPUTED_VALUE"""),114.95)</f>
        <v>114.95</v>
      </c>
      <c r="C215" s="1">
        <f ca="1">IFERROR(__xludf.DUMMYFUNCTION("""COMPUTED_VALUE"""),216.39)</f>
        <v>216.39</v>
      </c>
      <c r="D215" s="1">
        <f ca="1">IFERROR(__xludf.DUMMYFUNCTION("""COMPUTED_VALUE"""),162.06)</f>
        <v>162.06</v>
      </c>
      <c r="E215" s="1">
        <f ca="1">IFERROR(__xludf.DUMMYFUNCTION("""COMPUTED_VALUE"""),13.79)</f>
        <v>13.79</v>
      </c>
      <c r="F215" s="1">
        <f ca="1">IFERROR(__xludf.DUMMYFUNCTION("""COMPUTED_VALUE"""),287.38)</f>
        <v>287.38</v>
      </c>
      <c r="G215" s="1">
        <f ca="1">IFERROR(__xludf.DUMMYFUNCTION("""COMPUTED_VALUE"""),87.46)</f>
        <v>87.46</v>
      </c>
      <c r="H215" s="1">
        <f ca="1">IFERROR(__xludf.DUMMYFUNCTION("""COMPUTED_VALUE"""),140.33)</f>
        <v>140.33000000000001</v>
      </c>
      <c r="I215" s="1">
        <f ca="1">IFERROR(__xludf.DUMMYFUNCTION("""COMPUTED_VALUE"""),137.86)</f>
        <v>137.86000000000001</v>
      </c>
      <c r="J215" s="1">
        <f ca="1">IFERROR(__xludf.DUMMYFUNCTION("""COMPUTED_VALUE"""),376.17)</f>
        <v>376.17</v>
      </c>
      <c r="K215" s="1">
        <f ca="1">IFERROR(__xludf.DUMMYFUNCTION("""COMPUTED_VALUE"""),36.46)</f>
        <v>36.46</v>
      </c>
      <c r="L215" s="1">
        <f ca="1">IFERROR(__xludf.DUMMYFUNCTION("""COMPUTED_VALUE"""),487.23)</f>
        <v>487.23</v>
      </c>
      <c r="M215" s="1">
        <f ca="1">IFERROR(__xludf.DUMMYFUNCTION("""COMPUTED_VALUE"""),496.95)</f>
        <v>496.95</v>
      </c>
      <c r="N215" s="1">
        <f ca="1">IFERROR(__xludf.DUMMYFUNCTION("""COMPUTED_VALUE"""),100.25)</f>
        <v>100.25</v>
      </c>
      <c r="O215" s="1">
        <f ca="1">IFERROR(__xludf.DUMMYFUNCTION("""COMPUTED_VALUE"""),193.97)</f>
        <v>193.97</v>
      </c>
      <c r="P215" s="1">
        <f ca="1">IFERROR(__xludf.DUMMYFUNCTION("""COMPUTED_VALUE"""),139.4)</f>
        <v>139.4</v>
      </c>
      <c r="Q215" s="1">
        <f ca="1">IFERROR(__xludf.DUMMYFUNCTION("""COMPUTED_VALUE"""),354.56)</f>
        <v>354.56</v>
      </c>
      <c r="R215" s="1">
        <f ca="1">IFERROR(__xludf.DUMMYFUNCTION("""COMPUTED_VALUE"""),33.23)</f>
        <v>33.229999999999997</v>
      </c>
      <c r="S215" s="1">
        <f ca="1">IFERROR(__xludf.DUMMYFUNCTION("""COMPUTED_VALUE"""),73.32)</f>
        <v>73.319999999999993</v>
      </c>
      <c r="T215" s="1">
        <f ca="1">IFERROR(__xludf.DUMMYFUNCTION("""COMPUTED_VALUE"""),47.32)</f>
        <v>47.32</v>
      </c>
      <c r="U215" s="1">
        <f ca="1">IFERROR(__xludf.DUMMYFUNCTION("""COMPUTED_VALUE"""),127.34)</f>
        <v>127.34</v>
      </c>
      <c r="V215" s="1">
        <f ca="1">IFERROR(__xludf.DUMMYFUNCTION("""COMPUTED_VALUE"""),155.23)</f>
        <v>155.22999999999999</v>
      </c>
      <c r="W215" s="1">
        <f ca="1">IFERROR(__xludf.DUMMYFUNCTION("""COMPUTED_VALUE"""),372.16)</f>
        <v>372.16</v>
      </c>
      <c r="X215" s="1">
        <f ca="1">IFERROR(__xludf.DUMMYFUNCTION("""COMPUTED_VALUE"""),383)</f>
        <v>383</v>
      </c>
      <c r="Y215" s="1">
        <f ca="1">IFERROR(__xludf.DUMMYFUNCTION("""COMPUTED_VALUE"""),89.45)</f>
        <v>89.45</v>
      </c>
      <c r="Z215" s="1">
        <f ca="1">IFERROR(__xludf.DUMMYFUNCTION("""COMPUTED_VALUE"""),197.87)</f>
        <v>197.87</v>
      </c>
      <c r="AA215" s="1">
        <f ca="1">IFERROR(__xludf.DUMMYFUNCTION("""COMPUTED_VALUE"""),35.36)</f>
        <v>35.36</v>
      </c>
      <c r="AB215" s="1">
        <f ca="1">IFERROR(__xludf.DUMMYFUNCTION("""COMPUTED_VALUE"""),89.79)</f>
        <v>89.79</v>
      </c>
      <c r="AC215" s="1">
        <f ca="1">IFERROR(__xludf.DUMMYFUNCTION("""COMPUTED_VALUE"""),81.35)</f>
        <v>81.349999999999994</v>
      </c>
    </row>
    <row r="216" spans="1:29" x14ac:dyDescent="0.25">
      <c r="A216" s="2">
        <f ca="1">IFERROR(__xludf.DUMMYFUNCTION("""COMPUTED_VALUE"""),44140.6666666666)</f>
        <v>44140.666666666599</v>
      </c>
      <c r="B216" s="1">
        <f ca="1">IFERROR(__xludf.DUMMYFUNCTION("""COMPUTED_VALUE"""),119.03)</f>
        <v>119.03</v>
      </c>
      <c r="C216" s="1">
        <f ca="1">IFERROR(__xludf.DUMMYFUNCTION("""COMPUTED_VALUE"""),223.29)</f>
        <v>223.29</v>
      </c>
      <c r="D216" s="1">
        <f ca="1">IFERROR(__xludf.DUMMYFUNCTION("""COMPUTED_VALUE"""),166.1)</f>
        <v>166.1</v>
      </c>
      <c r="E216" s="1">
        <f ca="1">IFERROR(__xludf.DUMMYFUNCTION("""COMPUTED_VALUE"""),14.16)</f>
        <v>14.16</v>
      </c>
      <c r="F216" s="1">
        <f ca="1">IFERROR(__xludf.DUMMYFUNCTION("""COMPUTED_VALUE"""),294.68)</f>
        <v>294.68</v>
      </c>
      <c r="G216" s="1">
        <f ca="1">IFERROR(__xludf.DUMMYFUNCTION("""COMPUTED_VALUE"""),88.17)</f>
        <v>88.17</v>
      </c>
      <c r="H216" s="1">
        <f ca="1">IFERROR(__xludf.DUMMYFUNCTION("""COMPUTED_VALUE"""),146.03)</f>
        <v>146.03</v>
      </c>
      <c r="I216" s="1">
        <f ca="1">IFERROR(__xludf.DUMMYFUNCTION("""COMPUTED_VALUE"""),138.05)</f>
        <v>138.05000000000001</v>
      </c>
      <c r="J216" s="1">
        <f ca="1">IFERROR(__xludf.DUMMYFUNCTION("""COMPUTED_VALUE"""),385.23)</f>
        <v>385.23</v>
      </c>
      <c r="K216" s="1">
        <f ca="1">IFERROR(__xludf.DUMMYFUNCTION("""COMPUTED_VALUE"""),38.09)</f>
        <v>38.090000000000003</v>
      </c>
      <c r="L216" s="1">
        <f ca="1">IFERROR(__xludf.DUMMYFUNCTION("""COMPUTED_VALUE"""),496.47)</f>
        <v>496.47</v>
      </c>
      <c r="M216" s="1">
        <f ca="1">IFERROR(__xludf.DUMMYFUNCTION("""COMPUTED_VALUE"""),513.76)</f>
        <v>513.76</v>
      </c>
      <c r="N216" s="1">
        <f ca="1">IFERROR(__xludf.DUMMYFUNCTION("""COMPUTED_VALUE"""),104.35)</f>
        <v>104.35</v>
      </c>
      <c r="O216" s="1">
        <f ca="1">IFERROR(__xludf.DUMMYFUNCTION("""COMPUTED_VALUE"""),197.64)</f>
        <v>197.64</v>
      </c>
      <c r="P216" s="1">
        <f ca="1">IFERROR(__xludf.DUMMYFUNCTION("""COMPUTED_VALUE"""),139.76)</f>
        <v>139.76</v>
      </c>
      <c r="Q216" s="1">
        <f ca="1">IFERROR(__xludf.DUMMYFUNCTION("""COMPUTED_VALUE"""),354.4)</f>
        <v>354.4</v>
      </c>
      <c r="R216" s="1">
        <f ca="1">IFERROR(__xludf.DUMMYFUNCTION("""COMPUTED_VALUE"""),33.17)</f>
        <v>33.17</v>
      </c>
      <c r="S216" s="1">
        <f ca="1">IFERROR(__xludf.DUMMYFUNCTION("""COMPUTED_VALUE"""),74.75)</f>
        <v>74.75</v>
      </c>
      <c r="T216" s="1">
        <f ca="1">IFERROR(__xludf.DUMMYFUNCTION("""COMPUTED_VALUE"""),47.82)</f>
        <v>47.82</v>
      </c>
      <c r="U216" s="1">
        <f ca="1">IFERROR(__xludf.DUMMYFUNCTION("""COMPUTED_VALUE"""),129.7)</f>
        <v>129.69999999999999</v>
      </c>
      <c r="V216" s="1">
        <f ca="1">IFERROR(__xludf.DUMMYFUNCTION("""COMPUTED_VALUE"""),163.09)</f>
        <v>163.09</v>
      </c>
      <c r="W216" s="1">
        <f ca="1">IFERROR(__xludf.DUMMYFUNCTION("""COMPUTED_VALUE"""),364.7)</f>
        <v>364.7</v>
      </c>
      <c r="X216" s="1">
        <f ca="1">IFERROR(__xludf.DUMMYFUNCTION("""COMPUTED_VALUE"""),398.19)</f>
        <v>398.19</v>
      </c>
      <c r="Y216" s="1">
        <f ca="1">IFERROR(__xludf.DUMMYFUNCTION("""COMPUTED_VALUE"""),90.43)</f>
        <v>90.43</v>
      </c>
      <c r="Z216" s="1">
        <f ca="1">IFERROR(__xludf.DUMMYFUNCTION("""COMPUTED_VALUE"""),202.96)</f>
        <v>202.96</v>
      </c>
      <c r="AA216" s="1">
        <f ca="1">IFERROR(__xludf.DUMMYFUNCTION("""COMPUTED_VALUE"""),34.47)</f>
        <v>34.47</v>
      </c>
      <c r="AB216" s="1">
        <f ca="1">IFERROR(__xludf.DUMMYFUNCTION("""COMPUTED_VALUE"""),90.62)</f>
        <v>90.62</v>
      </c>
      <c r="AC216" s="1">
        <f ca="1">IFERROR(__xludf.DUMMYFUNCTION("""COMPUTED_VALUE"""),83)</f>
        <v>83</v>
      </c>
    </row>
    <row r="217" spans="1:29" x14ac:dyDescent="0.25">
      <c r="A217" s="2">
        <f ca="1">IFERROR(__xludf.DUMMYFUNCTION("""COMPUTED_VALUE"""),44141.6666666666)</f>
        <v>44141.666666666599</v>
      </c>
      <c r="B217" s="1">
        <f ca="1">IFERROR(__xludf.DUMMYFUNCTION("""COMPUTED_VALUE"""),118.69)</f>
        <v>118.69</v>
      </c>
      <c r="C217" s="1">
        <f ca="1">IFERROR(__xludf.DUMMYFUNCTION("""COMPUTED_VALUE"""),223.72)</f>
        <v>223.72</v>
      </c>
      <c r="D217" s="1">
        <f ca="1">IFERROR(__xludf.DUMMYFUNCTION("""COMPUTED_VALUE"""),165.57)</f>
        <v>165.57</v>
      </c>
      <c r="E217" s="1">
        <f ca="1">IFERROR(__xludf.DUMMYFUNCTION("""COMPUTED_VALUE"""),14.56)</f>
        <v>14.56</v>
      </c>
      <c r="F217" s="1">
        <f ca="1">IFERROR(__xludf.DUMMYFUNCTION("""COMPUTED_VALUE"""),293.41)</f>
        <v>293.41000000000003</v>
      </c>
      <c r="G217" s="1">
        <f ca="1">IFERROR(__xludf.DUMMYFUNCTION("""COMPUTED_VALUE"""),88.09)</f>
        <v>88.09</v>
      </c>
      <c r="H217" s="1">
        <f ca="1">IFERROR(__xludf.DUMMYFUNCTION("""COMPUTED_VALUE"""),143.32)</f>
        <v>143.32</v>
      </c>
      <c r="I217" s="1">
        <f ca="1">IFERROR(__xludf.DUMMYFUNCTION("""COMPUTED_VALUE"""),138.38)</f>
        <v>138.38</v>
      </c>
      <c r="J217" s="1">
        <f ca="1">IFERROR(__xludf.DUMMYFUNCTION("""COMPUTED_VALUE"""),385.66)</f>
        <v>385.66</v>
      </c>
      <c r="K217" s="1">
        <f ca="1">IFERROR(__xludf.DUMMYFUNCTION("""COMPUTED_VALUE"""),38.06)</f>
        <v>38.06</v>
      </c>
      <c r="L217" s="1">
        <f ca="1">IFERROR(__xludf.DUMMYFUNCTION("""COMPUTED_VALUE"""),494.63)</f>
        <v>494.63</v>
      </c>
      <c r="M217" s="1">
        <f ca="1">IFERROR(__xludf.DUMMYFUNCTION("""COMPUTED_VALUE"""),514.73)</f>
        <v>514.73</v>
      </c>
      <c r="N217" s="1">
        <f ca="1">IFERROR(__xludf.DUMMYFUNCTION("""COMPUTED_VALUE"""),102.96)</f>
        <v>102.96</v>
      </c>
      <c r="O217" s="1">
        <f ca="1">IFERROR(__xludf.DUMMYFUNCTION("""COMPUTED_VALUE"""),198.47)</f>
        <v>198.47</v>
      </c>
      <c r="P217" s="1">
        <f ca="1">IFERROR(__xludf.DUMMYFUNCTION("""COMPUTED_VALUE"""),142.25)</f>
        <v>142.25</v>
      </c>
      <c r="Q217" s="1">
        <f ca="1">IFERROR(__xludf.DUMMYFUNCTION("""COMPUTED_VALUE"""),347.46)</f>
        <v>347.46</v>
      </c>
      <c r="R217" s="1">
        <f ca="1">IFERROR(__xludf.DUMMYFUNCTION("""COMPUTED_VALUE"""),32.78)</f>
        <v>32.78</v>
      </c>
      <c r="S217" s="1">
        <f ca="1">IFERROR(__xludf.DUMMYFUNCTION("""COMPUTED_VALUE"""),75.72)</f>
        <v>75.72</v>
      </c>
      <c r="T217" s="1">
        <f ca="1">IFERROR(__xludf.DUMMYFUNCTION("""COMPUTED_VALUE"""),48.59)</f>
        <v>48.59</v>
      </c>
      <c r="U217" s="1">
        <f ca="1">IFERROR(__xludf.DUMMYFUNCTION("""COMPUTED_VALUE"""),128.9)</f>
        <v>128.9</v>
      </c>
      <c r="V217" s="1">
        <f ca="1">IFERROR(__xludf.DUMMYFUNCTION("""COMPUTED_VALUE"""),161.29)</f>
        <v>161.29</v>
      </c>
      <c r="W217" s="1">
        <f ca="1">IFERROR(__xludf.DUMMYFUNCTION("""COMPUTED_VALUE"""),361.27)</f>
        <v>361.27</v>
      </c>
      <c r="X217" s="1">
        <f ca="1">IFERROR(__xludf.DUMMYFUNCTION("""COMPUTED_VALUE"""),406.24)</f>
        <v>406.24</v>
      </c>
      <c r="Y217" s="1">
        <f ca="1">IFERROR(__xludf.DUMMYFUNCTION("""COMPUTED_VALUE"""),91.41)</f>
        <v>91.41</v>
      </c>
      <c r="Z217" s="1">
        <f ca="1">IFERROR(__xludf.DUMMYFUNCTION("""COMPUTED_VALUE"""),201.26)</f>
        <v>201.26</v>
      </c>
      <c r="AA217" s="1">
        <f ca="1">IFERROR(__xludf.DUMMYFUNCTION("""COMPUTED_VALUE"""),34.48)</f>
        <v>34.479999999999997</v>
      </c>
      <c r="AB217" s="1">
        <f ca="1">IFERROR(__xludf.DUMMYFUNCTION("""COMPUTED_VALUE"""),90.65)</f>
        <v>90.65</v>
      </c>
      <c r="AC217" s="1">
        <f ca="1">IFERROR(__xludf.DUMMYFUNCTION("""COMPUTED_VALUE"""),85.88)</f>
        <v>85.88</v>
      </c>
    </row>
    <row r="218" spans="1:29" x14ac:dyDescent="0.25">
      <c r="A218" s="2">
        <f ca="1">IFERROR(__xludf.DUMMYFUNCTION("""COMPUTED_VALUE"""),44144.6666666666)</f>
        <v>44144.666666666599</v>
      </c>
      <c r="B218" s="1">
        <f ca="1">IFERROR(__xludf.DUMMYFUNCTION("""COMPUTED_VALUE"""),116.32)</f>
        <v>116.32</v>
      </c>
      <c r="C218" s="1">
        <f ca="1">IFERROR(__xludf.DUMMYFUNCTION("""COMPUTED_VALUE"""),218.39)</f>
        <v>218.39</v>
      </c>
      <c r="D218" s="1">
        <f ca="1">IFERROR(__xludf.DUMMYFUNCTION("""COMPUTED_VALUE"""),157.19)</f>
        <v>157.19</v>
      </c>
      <c r="E218" s="1">
        <f ca="1">IFERROR(__xludf.DUMMYFUNCTION("""COMPUTED_VALUE"""),13.63)</f>
        <v>13.63</v>
      </c>
      <c r="F218" s="1">
        <f ca="1">IFERROR(__xludf.DUMMYFUNCTION("""COMPUTED_VALUE"""),278.77)</f>
        <v>278.77</v>
      </c>
      <c r="G218" s="1">
        <f ca="1">IFERROR(__xludf.DUMMYFUNCTION("""COMPUTED_VALUE"""),88.15)</f>
        <v>88.15</v>
      </c>
      <c r="H218" s="1">
        <f ca="1">IFERROR(__xludf.DUMMYFUNCTION("""COMPUTED_VALUE"""),140.42)</f>
        <v>140.41999999999999</v>
      </c>
      <c r="I218" s="1">
        <f ca="1">IFERROR(__xludf.DUMMYFUNCTION("""COMPUTED_VALUE"""),138.45)</f>
        <v>138.44999999999999</v>
      </c>
      <c r="J218" s="1">
        <f ca="1">IFERROR(__xludf.DUMMYFUNCTION("""COMPUTED_VALUE"""),365)</f>
        <v>365</v>
      </c>
      <c r="K218" s="1">
        <f ca="1">IFERROR(__xludf.DUMMYFUNCTION("""COMPUTED_VALUE"""),37.55)</f>
        <v>37.549999999999997</v>
      </c>
      <c r="L218" s="1">
        <f ca="1">IFERROR(__xludf.DUMMYFUNCTION("""COMPUTED_VALUE"""),471.14)</f>
        <v>471.14</v>
      </c>
      <c r="M218" s="1">
        <f ca="1">IFERROR(__xludf.DUMMYFUNCTION("""COMPUTED_VALUE"""),470.5)</f>
        <v>470.5</v>
      </c>
      <c r="N218" s="1">
        <f ca="1">IFERROR(__xludf.DUMMYFUNCTION("""COMPUTED_VALUE"""),116.9)</f>
        <v>116.9</v>
      </c>
      <c r="O218" s="1">
        <f ca="1">IFERROR(__xludf.DUMMYFUNCTION("""COMPUTED_VALUE"""),212.68)</f>
        <v>212.68</v>
      </c>
      <c r="P218" s="1">
        <f ca="1">IFERROR(__xludf.DUMMYFUNCTION("""COMPUTED_VALUE"""),146.08)</f>
        <v>146.08000000000001</v>
      </c>
      <c r="Q218" s="1">
        <f ca="1">IFERROR(__xludf.DUMMYFUNCTION("""COMPUTED_VALUE"""),350)</f>
        <v>350</v>
      </c>
      <c r="R218" s="1">
        <f ca="1">IFERROR(__xludf.DUMMYFUNCTION("""COMPUTED_VALUE"""),36.93)</f>
        <v>36.93</v>
      </c>
      <c r="S218" s="1">
        <f ca="1">IFERROR(__xludf.DUMMYFUNCTION("""COMPUTED_VALUE"""),75.51)</f>
        <v>75.510000000000005</v>
      </c>
      <c r="T218" s="1">
        <f ca="1">IFERROR(__xludf.DUMMYFUNCTION("""COMPUTED_VALUE"""),47.85)</f>
        <v>47.85</v>
      </c>
      <c r="U218" s="1">
        <f ca="1">IFERROR(__xludf.DUMMYFUNCTION("""COMPUTED_VALUE"""),128.95)</f>
        <v>128.94999999999999</v>
      </c>
      <c r="V218" s="1">
        <f ca="1">IFERROR(__xludf.DUMMYFUNCTION("""COMPUTED_VALUE"""),170.82)</f>
        <v>170.82</v>
      </c>
      <c r="W218" s="1">
        <f ca="1">IFERROR(__xludf.DUMMYFUNCTION("""COMPUTED_VALUE"""),363.95)</f>
        <v>363.95</v>
      </c>
      <c r="X218" s="1">
        <f ca="1">IFERROR(__xludf.DUMMYFUNCTION("""COMPUTED_VALUE"""),406.33)</f>
        <v>406.33</v>
      </c>
      <c r="Y218" s="1">
        <f ca="1">IFERROR(__xludf.DUMMYFUNCTION("""COMPUTED_VALUE"""),89.03)</f>
        <v>89.03</v>
      </c>
      <c r="Z218" s="1">
        <f ca="1">IFERROR(__xludf.DUMMYFUNCTION("""COMPUTED_VALUE"""),214.93)</f>
        <v>214.93</v>
      </c>
      <c r="AA218" s="1">
        <f ca="1">IFERROR(__xludf.DUMMYFUNCTION("""COMPUTED_VALUE"""),37.14)</f>
        <v>37.14</v>
      </c>
      <c r="AB218" s="1">
        <f ca="1">IFERROR(__xludf.DUMMYFUNCTION("""COMPUTED_VALUE"""),95.88)</f>
        <v>95.88</v>
      </c>
      <c r="AC218" s="1">
        <f ca="1">IFERROR(__xludf.DUMMYFUNCTION("""COMPUTED_VALUE"""),83.12)</f>
        <v>83.12</v>
      </c>
    </row>
    <row r="219" spans="1:29" x14ac:dyDescent="0.25">
      <c r="A219" s="2">
        <f ca="1">IFERROR(__xludf.DUMMYFUNCTION("""COMPUTED_VALUE"""),44145.6666666666)</f>
        <v>44145.666666666599</v>
      </c>
      <c r="B219" s="1">
        <f ca="1">IFERROR(__xludf.DUMMYFUNCTION("""COMPUTED_VALUE"""),115.97)</f>
        <v>115.97</v>
      </c>
      <c r="C219" s="1">
        <f ca="1">IFERROR(__xludf.DUMMYFUNCTION("""COMPUTED_VALUE"""),211.01)</f>
        <v>211.01</v>
      </c>
      <c r="D219" s="1">
        <f ca="1">IFERROR(__xludf.DUMMYFUNCTION("""COMPUTED_VALUE"""),151.75)</f>
        <v>151.75</v>
      </c>
      <c r="E219" s="1">
        <f ca="1">IFERROR(__xludf.DUMMYFUNCTION("""COMPUTED_VALUE"""),12.77)</f>
        <v>12.77</v>
      </c>
      <c r="F219" s="1">
        <f ca="1">IFERROR(__xludf.DUMMYFUNCTION("""COMPUTED_VALUE"""),272.43)</f>
        <v>272.43</v>
      </c>
      <c r="G219" s="1">
        <f ca="1">IFERROR(__xludf.DUMMYFUNCTION("""COMPUTED_VALUE"""),87.02)</f>
        <v>87.02</v>
      </c>
      <c r="H219" s="1">
        <f ca="1">IFERROR(__xludf.DUMMYFUNCTION("""COMPUTED_VALUE"""),136.79)</f>
        <v>136.79</v>
      </c>
      <c r="I219" s="1">
        <f ca="1">IFERROR(__xludf.DUMMYFUNCTION("""COMPUTED_VALUE"""),141.72)</f>
        <v>141.72</v>
      </c>
      <c r="J219" s="1">
        <f ca="1">IFERROR(__xludf.DUMMYFUNCTION("""COMPUTED_VALUE"""),366.62)</f>
        <v>366.62</v>
      </c>
      <c r="K219" s="1">
        <f ca="1">IFERROR(__xludf.DUMMYFUNCTION("""COMPUTED_VALUE"""),36.31)</f>
        <v>36.31</v>
      </c>
      <c r="L219" s="1">
        <f ca="1">IFERROR(__xludf.DUMMYFUNCTION("""COMPUTED_VALUE"""),452)</f>
        <v>452</v>
      </c>
      <c r="M219" s="1">
        <f ca="1">IFERROR(__xludf.DUMMYFUNCTION("""COMPUTED_VALUE"""),480.24)</f>
        <v>480.24</v>
      </c>
      <c r="N219" s="1">
        <f ca="1">IFERROR(__xludf.DUMMYFUNCTION("""COMPUTED_VALUE"""),116.52)</f>
        <v>116.52</v>
      </c>
      <c r="O219" s="1">
        <f ca="1">IFERROR(__xludf.DUMMYFUNCTION("""COMPUTED_VALUE"""),213.31)</f>
        <v>213.31</v>
      </c>
      <c r="P219" s="1">
        <f ca="1">IFERROR(__xludf.DUMMYFUNCTION("""COMPUTED_VALUE"""),148.28)</f>
        <v>148.28</v>
      </c>
      <c r="Q219" s="1">
        <f ca="1">IFERROR(__xludf.DUMMYFUNCTION("""COMPUTED_VALUE"""),353.69)</f>
        <v>353.69</v>
      </c>
      <c r="R219" s="1">
        <f ca="1">IFERROR(__xludf.DUMMYFUNCTION("""COMPUTED_VALUE"""),36.86)</f>
        <v>36.86</v>
      </c>
      <c r="S219" s="1">
        <f ca="1">IFERROR(__xludf.DUMMYFUNCTION("""COMPUTED_VALUE"""),75.99)</f>
        <v>75.989999999999995</v>
      </c>
      <c r="T219" s="1">
        <f ca="1">IFERROR(__xludf.DUMMYFUNCTION("""COMPUTED_VALUE"""),48.52)</f>
        <v>48.52</v>
      </c>
      <c r="U219" s="1">
        <f ca="1">IFERROR(__xludf.DUMMYFUNCTION("""COMPUTED_VALUE"""),127.71)</f>
        <v>127.71</v>
      </c>
      <c r="V219" s="1">
        <f ca="1">IFERROR(__xludf.DUMMYFUNCTION("""COMPUTED_VALUE"""),172.3)</f>
        <v>172.3</v>
      </c>
      <c r="W219" s="1">
        <f ca="1">IFERROR(__xludf.DUMMYFUNCTION("""COMPUTED_VALUE"""),371.28)</f>
        <v>371.28</v>
      </c>
      <c r="X219" s="1">
        <f ca="1">IFERROR(__xludf.DUMMYFUNCTION("""COMPUTED_VALUE"""),399.3)</f>
        <v>399.3</v>
      </c>
      <c r="Y219" s="1">
        <f ca="1">IFERROR(__xludf.DUMMYFUNCTION("""COMPUTED_VALUE"""),87.66)</f>
        <v>87.66</v>
      </c>
      <c r="Z219" s="1">
        <f ca="1">IFERROR(__xludf.DUMMYFUNCTION("""COMPUTED_VALUE"""),217.47)</f>
        <v>217.47</v>
      </c>
      <c r="AA219" s="1">
        <f ca="1">IFERROR(__xludf.DUMMYFUNCTION("""COMPUTED_VALUE"""),36.64)</f>
        <v>36.64</v>
      </c>
      <c r="AB219" s="1">
        <f ca="1">IFERROR(__xludf.DUMMYFUNCTION("""COMPUTED_VALUE"""),93.92)</f>
        <v>93.92</v>
      </c>
      <c r="AC219" s="1">
        <f ca="1">IFERROR(__xludf.DUMMYFUNCTION("""COMPUTED_VALUE"""),77.99)</f>
        <v>77.989999999999995</v>
      </c>
    </row>
    <row r="220" spans="1:29" x14ac:dyDescent="0.25">
      <c r="A220" s="2">
        <f ca="1">IFERROR(__xludf.DUMMYFUNCTION("""COMPUTED_VALUE"""),44146.6666666666)</f>
        <v>44146.666666666599</v>
      </c>
      <c r="B220" s="1">
        <f ca="1">IFERROR(__xludf.DUMMYFUNCTION("""COMPUTED_VALUE"""),119.49)</f>
        <v>119.49</v>
      </c>
      <c r="C220" s="1">
        <f ca="1">IFERROR(__xludf.DUMMYFUNCTION("""COMPUTED_VALUE"""),216.55)</f>
        <v>216.55</v>
      </c>
      <c r="D220" s="1">
        <f ca="1">IFERROR(__xludf.DUMMYFUNCTION("""COMPUTED_VALUE"""),156.87)</f>
        <v>156.87</v>
      </c>
      <c r="E220" s="1">
        <f ca="1">IFERROR(__xludf.DUMMYFUNCTION("""COMPUTED_VALUE"""),13.42)</f>
        <v>13.42</v>
      </c>
      <c r="F220" s="1">
        <f ca="1">IFERROR(__xludf.DUMMYFUNCTION("""COMPUTED_VALUE"""),276.48)</f>
        <v>276.48</v>
      </c>
      <c r="G220" s="1">
        <f ca="1">IFERROR(__xludf.DUMMYFUNCTION("""COMPUTED_VALUE"""),87.64)</f>
        <v>87.64</v>
      </c>
      <c r="H220" s="1">
        <f ca="1">IFERROR(__xludf.DUMMYFUNCTION("""COMPUTED_VALUE"""),139.04)</f>
        <v>139.04</v>
      </c>
      <c r="I220" s="1">
        <f ca="1">IFERROR(__xludf.DUMMYFUNCTION("""COMPUTED_VALUE"""),143.9)</f>
        <v>143.9</v>
      </c>
      <c r="J220" s="1">
        <f ca="1">IFERROR(__xludf.DUMMYFUNCTION("""COMPUTED_VALUE"""),372.92)</f>
        <v>372.92</v>
      </c>
      <c r="K220" s="1">
        <f ca="1">IFERROR(__xludf.DUMMYFUNCTION("""COMPUTED_VALUE"""),37.59)</f>
        <v>37.590000000000003</v>
      </c>
      <c r="L220" s="1">
        <f ca="1">IFERROR(__xludf.DUMMYFUNCTION("""COMPUTED_VALUE"""),467.75)</f>
        <v>467.75</v>
      </c>
      <c r="M220" s="1">
        <f ca="1">IFERROR(__xludf.DUMMYFUNCTION("""COMPUTED_VALUE"""),490.76)</f>
        <v>490.76</v>
      </c>
      <c r="N220" s="1">
        <f ca="1">IFERROR(__xludf.DUMMYFUNCTION("""COMPUTED_VALUE"""),114.78)</f>
        <v>114.78</v>
      </c>
      <c r="O220" s="1">
        <f ca="1">IFERROR(__xludf.DUMMYFUNCTION("""COMPUTED_VALUE"""),212.7)</f>
        <v>212.7</v>
      </c>
      <c r="P220" s="1">
        <f ca="1">IFERROR(__xludf.DUMMYFUNCTION("""COMPUTED_VALUE"""),147.8)</f>
        <v>147.80000000000001</v>
      </c>
      <c r="Q220" s="1">
        <f ca="1">IFERROR(__xludf.DUMMYFUNCTION("""COMPUTED_VALUE"""),351.7)</f>
        <v>351.7</v>
      </c>
      <c r="R220" s="1">
        <f ca="1">IFERROR(__xludf.DUMMYFUNCTION("""COMPUTED_VALUE"""),36.48)</f>
        <v>36.479999999999997</v>
      </c>
      <c r="S220" s="1">
        <f ca="1">IFERROR(__xludf.DUMMYFUNCTION("""COMPUTED_VALUE"""),77.54)</f>
        <v>77.540000000000006</v>
      </c>
      <c r="T220" s="1">
        <f ca="1">IFERROR(__xludf.DUMMYFUNCTION("""COMPUTED_VALUE"""),49.33)</f>
        <v>49.33</v>
      </c>
      <c r="U220" s="1">
        <f ca="1">IFERROR(__xludf.DUMMYFUNCTION("""COMPUTED_VALUE"""),127.66)</f>
        <v>127.66</v>
      </c>
      <c r="V220" s="1">
        <f ca="1">IFERROR(__xludf.DUMMYFUNCTION("""COMPUTED_VALUE"""),169.46)</f>
        <v>169.46</v>
      </c>
      <c r="W220" s="1">
        <f ca="1">IFERROR(__xludf.DUMMYFUNCTION("""COMPUTED_VALUE"""),369.28)</f>
        <v>369.28</v>
      </c>
      <c r="X220" s="1">
        <f ca="1">IFERROR(__xludf.DUMMYFUNCTION("""COMPUTED_VALUE"""),418.05)</f>
        <v>418.05</v>
      </c>
      <c r="Y220" s="1">
        <f ca="1">IFERROR(__xludf.DUMMYFUNCTION("""COMPUTED_VALUE"""),90.88)</f>
        <v>90.88</v>
      </c>
      <c r="Z220" s="1">
        <f ca="1">IFERROR(__xludf.DUMMYFUNCTION("""COMPUTED_VALUE"""),218.05)</f>
        <v>218.05</v>
      </c>
      <c r="AA220" s="1">
        <f ca="1">IFERROR(__xludf.DUMMYFUNCTION("""COMPUTED_VALUE"""),36.47)</f>
        <v>36.47</v>
      </c>
      <c r="AB220" s="1">
        <f ca="1">IFERROR(__xludf.DUMMYFUNCTION("""COMPUTED_VALUE"""),95.04)</f>
        <v>95.04</v>
      </c>
      <c r="AC220" s="1">
        <f ca="1">IFERROR(__xludf.DUMMYFUNCTION("""COMPUTED_VALUE"""),81.28)</f>
        <v>81.28</v>
      </c>
    </row>
    <row r="221" spans="1:29" x14ac:dyDescent="0.25">
      <c r="A221" s="2">
        <f ca="1">IFERROR(__xludf.DUMMYFUNCTION("""COMPUTED_VALUE"""),44147.6666666666)</f>
        <v>44147.666666666599</v>
      </c>
      <c r="B221" s="1">
        <f ca="1">IFERROR(__xludf.DUMMYFUNCTION("""COMPUTED_VALUE"""),119.21)</f>
        <v>119.21</v>
      </c>
      <c r="C221" s="1">
        <f ca="1">IFERROR(__xludf.DUMMYFUNCTION("""COMPUTED_VALUE"""),215.44)</f>
        <v>215.44</v>
      </c>
      <c r="D221" s="1">
        <f ca="1">IFERROR(__xludf.DUMMYFUNCTION("""COMPUTED_VALUE"""),155.51)</f>
        <v>155.51</v>
      </c>
      <c r="E221" s="1">
        <f ca="1">IFERROR(__xludf.DUMMYFUNCTION("""COMPUTED_VALUE"""),13.46)</f>
        <v>13.46</v>
      </c>
      <c r="F221" s="1">
        <f ca="1">IFERROR(__xludf.DUMMYFUNCTION("""COMPUTED_VALUE"""),275.08)</f>
        <v>275.08</v>
      </c>
      <c r="G221" s="1">
        <f ca="1">IFERROR(__xludf.DUMMYFUNCTION("""COMPUTED_VALUE"""),87.49)</f>
        <v>87.49</v>
      </c>
      <c r="H221" s="1">
        <f ca="1">IFERROR(__xludf.DUMMYFUNCTION("""COMPUTED_VALUE"""),137.25)</f>
        <v>137.25</v>
      </c>
      <c r="I221" s="1">
        <f ca="1">IFERROR(__xludf.DUMMYFUNCTION("""COMPUTED_VALUE"""),143.84)</f>
        <v>143.84</v>
      </c>
      <c r="J221" s="1">
        <f ca="1">IFERROR(__xludf.DUMMYFUNCTION("""COMPUTED_VALUE"""),375.71)</f>
        <v>375.71</v>
      </c>
      <c r="K221" s="1">
        <f ca="1">IFERROR(__xludf.DUMMYFUNCTION("""COMPUTED_VALUE"""),37.02)</f>
        <v>37.020000000000003</v>
      </c>
      <c r="L221" s="1">
        <f ca="1">IFERROR(__xludf.DUMMYFUNCTION("""COMPUTED_VALUE"""),462.58)</f>
        <v>462.58</v>
      </c>
      <c r="M221" s="1">
        <f ca="1">IFERROR(__xludf.DUMMYFUNCTION("""COMPUTED_VALUE"""),486.77)</f>
        <v>486.77</v>
      </c>
      <c r="N221" s="1">
        <f ca="1">IFERROR(__xludf.DUMMYFUNCTION("""COMPUTED_VALUE"""),113.37)</f>
        <v>113.37</v>
      </c>
      <c r="O221" s="1">
        <f ca="1">IFERROR(__xludf.DUMMYFUNCTION("""COMPUTED_VALUE"""),208.26)</f>
        <v>208.26</v>
      </c>
      <c r="P221" s="1">
        <f ca="1">IFERROR(__xludf.DUMMYFUNCTION("""COMPUTED_VALUE"""),148.3)</f>
        <v>148.30000000000001</v>
      </c>
      <c r="Q221" s="1">
        <f ca="1">IFERROR(__xludf.DUMMYFUNCTION("""COMPUTED_VALUE"""),354.41)</f>
        <v>354.41</v>
      </c>
      <c r="R221" s="1">
        <f ca="1">IFERROR(__xludf.DUMMYFUNCTION("""COMPUTED_VALUE"""),35.23)</f>
        <v>35.229999999999997</v>
      </c>
      <c r="S221" s="1">
        <f ca="1">IFERROR(__xludf.DUMMYFUNCTION("""COMPUTED_VALUE"""),76.67)</f>
        <v>76.67</v>
      </c>
      <c r="T221" s="1">
        <f ca="1">IFERROR(__xludf.DUMMYFUNCTION("""COMPUTED_VALUE"""),49.41)</f>
        <v>49.41</v>
      </c>
      <c r="U221" s="1">
        <f ca="1">IFERROR(__xludf.DUMMYFUNCTION("""COMPUTED_VALUE"""),126.64)</f>
        <v>126.64</v>
      </c>
      <c r="V221" s="1">
        <f ca="1">IFERROR(__xludf.DUMMYFUNCTION("""COMPUTED_VALUE"""),169.13)</f>
        <v>169.13</v>
      </c>
      <c r="W221" s="1">
        <f ca="1">IFERROR(__xludf.DUMMYFUNCTION("""COMPUTED_VALUE"""),367.89)</f>
        <v>367.89</v>
      </c>
      <c r="X221" s="1">
        <f ca="1">IFERROR(__xludf.DUMMYFUNCTION("""COMPUTED_VALUE"""),412.72)</f>
        <v>412.72</v>
      </c>
      <c r="Y221" s="1">
        <f ca="1">IFERROR(__xludf.DUMMYFUNCTION("""COMPUTED_VALUE"""),89.82)</f>
        <v>89.82</v>
      </c>
      <c r="Z221" s="1">
        <f ca="1">IFERROR(__xludf.DUMMYFUNCTION("""COMPUTED_VALUE"""),214.51)</f>
        <v>214.51</v>
      </c>
      <c r="AA221" s="1">
        <f ca="1">IFERROR(__xludf.DUMMYFUNCTION("""COMPUTED_VALUE"""),35.57)</f>
        <v>35.57</v>
      </c>
      <c r="AB221" s="1">
        <f ca="1">IFERROR(__xludf.DUMMYFUNCTION("""COMPUTED_VALUE"""),93.53)</f>
        <v>93.53</v>
      </c>
      <c r="AC221" s="1">
        <f ca="1">IFERROR(__xludf.DUMMYFUNCTION("""COMPUTED_VALUE"""),81.84)</f>
        <v>81.84</v>
      </c>
    </row>
    <row r="222" spans="1:29" x14ac:dyDescent="0.25">
      <c r="A222" s="2">
        <f ca="1">IFERROR(__xludf.DUMMYFUNCTION("""COMPUTED_VALUE"""),44148.6666666666)</f>
        <v>44148.666666666599</v>
      </c>
      <c r="B222" s="1">
        <f ca="1">IFERROR(__xludf.DUMMYFUNCTION("""COMPUTED_VALUE"""),119.26)</f>
        <v>119.26</v>
      </c>
      <c r="C222" s="1">
        <f ca="1">IFERROR(__xludf.DUMMYFUNCTION("""COMPUTED_VALUE"""),216.51)</f>
        <v>216.51</v>
      </c>
      <c r="D222" s="1">
        <f ca="1">IFERROR(__xludf.DUMMYFUNCTION("""COMPUTED_VALUE"""),156.44)</f>
        <v>156.44</v>
      </c>
      <c r="E222" s="1">
        <f ca="1">IFERROR(__xludf.DUMMYFUNCTION("""COMPUTED_VALUE"""),13.3)</f>
        <v>13.3</v>
      </c>
      <c r="F222" s="1">
        <f ca="1">IFERROR(__xludf.DUMMYFUNCTION("""COMPUTED_VALUE"""),276.95)</f>
        <v>276.95</v>
      </c>
      <c r="G222" s="1">
        <f ca="1">IFERROR(__xludf.DUMMYFUNCTION("""COMPUTED_VALUE"""),88.85)</f>
        <v>88.85</v>
      </c>
      <c r="H222" s="1">
        <f ca="1">IFERROR(__xludf.DUMMYFUNCTION("""COMPUTED_VALUE"""),136.17)</f>
        <v>136.16999999999999</v>
      </c>
      <c r="I222" s="1">
        <f ca="1">IFERROR(__xludf.DUMMYFUNCTION("""COMPUTED_VALUE"""),144.71)</f>
        <v>144.71</v>
      </c>
      <c r="J222" s="1">
        <f ca="1">IFERROR(__xludf.DUMMYFUNCTION("""COMPUTED_VALUE"""),378.84)</f>
        <v>378.84</v>
      </c>
      <c r="K222" s="1">
        <f ca="1">IFERROR(__xludf.DUMMYFUNCTION("""COMPUTED_VALUE"""),37.35)</f>
        <v>37.35</v>
      </c>
      <c r="L222" s="1">
        <f ca="1">IFERROR(__xludf.DUMMYFUNCTION("""COMPUTED_VALUE"""),469.34)</f>
        <v>469.34</v>
      </c>
      <c r="M222" s="1">
        <f ca="1">IFERROR(__xludf.DUMMYFUNCTION("""COMPUTED_VALUE"""),482.84)</f>
        <v>482.84</v>
      </c>
      <c r="N222" s="1">
        <f ca="1">IFERROR(__xludf.DUMMYFUNCTION("""COMPUTED_VALUE"""),114.08)</f>
        <v>114.08</v>
      </c>
      <c r="O222" s="1">
        <f ca="1">IFERROR(__xludf.DUMMYFUNCTION("""COMPUTED_VALUE"""),210.48)</f>
        <v>210.48</v>
      </c>
      <c r="P222" s="1">
        <f ca="1">IFERROR(__xludf.DUMMYFUNCTION("""COMPUTED_VALUE"""),149.9)</f>
        <v>149.9</v>
      </c>
      <c r="Q222" s="1">
        <f ca="1">IFERROR(__xludf.DUMMYFUNCTION("""COMPUTED_VALUE"""),355.67)</f>
        <v>355.67</v>
      </c>
      <c r="R222" s="1">
        <f ca="1">IFERROR(__xludf.DUMMYFUNCTION("""COMPUTED_VALUE"""),36.08)</f>
        <v>36.08</v>
      </c>
      <c r="S222" s="1">
        <f ca="1">IFERROR(__xludf.DUMMYFUNCTION("""COMPUTED_VALUE"""),77.19)</f>
        <v>77.19</v>
      </c>
      <c r="T222" s="1">
        <f ca="1">IFERROR(__xludf.DUMMYFUNCTION("""COMPUTED_VALUE"""),50.18)</f>
        <v>50.18</v>
      </c>
      <c r="U222" s="1">
        <f ca="1">IFERROR(__xludf.DUMMYFUNCTION("""COMPUTED_VALUE"""),128.28)</f>
        <v>128.28</v>
      </c>
      <c r="V222" s="1">
        <f ca="1">IFERROR(__xludf.DUMMYFUNCTION("""COMPUTED_VALUE"""),171.71)</f>
        <v>171.71</v>
      </c>
      <c r="W222" s="1">
        <f ca="1">IFERROR(__xludf.DUMMYFUNCTION("""COMPUTED_VALUE"""),375.14)</f>
        <v>375.14</v>
      </c>
      <c r="X222" s="1">
        <f ca="1">IFERROR(__xludf.DUMMYFUNCTION("""COMPUTED_VALUE"""),419.59)</f>
        <v>419.59</v>
      </c>
      <c r="Y222" s="1">
        <f ca="1">IFERROR(__xludf.DUMMYFUNCTION("""COMPUTED_VALUE"""),93.22)</f>
        <v>93.22</v>
      </c>
      <c r="Z222" s="1">
        <f ca="1">IFERROR(__xludf.DUMMYFUNCTION("""COMPUTED_VALUE"""),219.08)</f>
        <v>219.08</v>
      </c>
      <c r="AA222" s="1">
        <f ca="1">IFERROR(__xludf.DUMMYFUNCTION("""COMPUTED_VALUE"""),36.59)</f>
        <v>36.590000000000003</v>
      </c>
      <c r="AB222" s="1">
        <f ca="1">IFERROR(__xludf.DUMMYFUNCTION("""COMPUTED_VALUE"""),95.56)</f>
        <v>95.56</v>
      </c>
      <c r="AC222" s="1">
        <f ca="1">IFERROR(__xludf.DUMMYFUNCTION("""COMPUTED_VALUE"""),81.43)</f>
        <v>81.430000000000007</v>
      </c>
    </row>
    <row r="223" spans="1:29" x14ac:dyDescent="0.25">
      <c r="A223" s="2">
        <f ca="1">IFERROR(__xludf.DUMMYFUNCTION("""COMPUTED_VALUE"""),44151.6666666666)</f>
        <v>44151.666666666599</v>
      </c>
      <c r="B223" s="1">
        <f ca="1">IFERROR(__xludf.DUMMYFUNCTION("""COMPUTED_VALUE"""),120.3)</f>
        <v>120.3</v>
      </c>
      <c r="C223" s="1">
        <f ca="1">IFERROR(__xludf.DUMMYFUNCTION("""COMPUTED_VALUE"""),217.23)</f>
        <v>217.23</v>
      </c>
      <c r="D223" s="1">
        <f ca="1">IFERROR(__xludf.DUMMYFUNCTION("""COMPUTED_VALUE"""),156.55)</f>
        <v>156.55000000000001</v>
      </c>
      <c r="E223" s="1">
        <f ca="1">IFERROR(__xludf.DUMMYFUNCTION("""COMPUTED_VALUE"""),13.52)</f>
        <v>13.52</v>
      </c>
      <c r="F223" s="1">
        <f ca="1">IFERROR(__xludf.DUMMYFUNCTION("""COMPUTED_VALUE"""),278.96)</f>
        <v>278.95999999999998</v>
      </c>
      <c r="G223" s="1">
        <f ca="1">IFERROR(__xludf.DUMMYFUNCTION("""COMPUTED_VALUE"""),89.07)</f>
        <v>89.07</v>
      </c>
      <c r="H223" s="1">
        <f ca="1">IFERROR(__xludf.DUMMYFUNCTION("""COMPUTED_VALUE"""),136.03)</f>
        <v>136.03</v>
      </c>
      <c r="I223" s="1">
        <f ca="1">IFERROR(__xludf.DUMMYFUNCTION("""COMPUTED_VALUE"""),145.76)</f>
        <v>145.76</v>
      </c>
      <c r="J223" s="1">
        <f ca="1">IFERROR(__xludf.DUMMYFUNCTION("""COMPUTED_VALUE"""),379.79)</f>
        <v>379.79</v>
      </c>
      <c r="K223" s="1">
        <f ca="1">IFERROR(__xludf.DUMMYFUNCTION("""COMPUTED_VALUE"""),38.08)</f>
        <v>38.08</v>
      </c>
      <c r="L223" s="1">
        <f ca="1">IFERROR(__xludf.DUMMYFUNCTION("""COMPUTED_VALUE"""),460.95)</f>
        <v>460.95</v>
      </c>
      <c r="M223" s="1">
        <f ca="1">IFERROR(__xludf.DUMMYFUNCTION("""COMPUTED_VALUE"""),479.1)</f>
        <v>479.1</v>
      </c>
      <c r="N223" s="1">
        <f ca="1">IFERROR(__xludf.DUMMYFUNCTION("""COMPUTED_VALUE"""),117.3)</f>
        <v>117.3</v>
      </c>
      <c r="O223" s="1">
        <f ca="1">IFERROR(__xludf.DUMMYFUNCTION("""COMPUTED_VALUE"""),212.7)</f>
        <v>212.7</v>
      </c>
      <c r="P223" s="1">
        <f ca="1">IFERROR(__xludf.DUMMYFUNCTION("""COMPUTED_VALUE"""),150.85)</f>
        <v>150.85</v>
      </c>
      <c r="Q223" s="1">
        <f ca="1">IFERROR(__xludf.DUMMYFUNCTION("""COMPUTED_VALUE"""),356.82)</f>
        <v>356.82</v>
      </c>
      <c r="R223" s="1">
        <f ca="1">IFERROR(__xludf.DUMMYFUNCTION("""COMPUTED_VALUE"""),38.16)</f>
        <v>38.159999999999997</v>
      </c>
      <c r="S223" s="1">
        <f ca="1">IFERROR(__xludf.DUMMYFUNCTION("""COMPUTED_VALUE"""),77.75)</f>
        <v>77.75</v>
      </c>
      <c r="T223" s="1">
        <f ca="1">IFERROR(__xludf.DUMMYFUNCTION("""COMPUTED_VALUE"""),50.81)</f>
        <v>50.81</v>
      </c>
      <c r="U223" s="1">
        <f ca="1">IFERROR(__xludf.DUMMYFUNCTION("""COMPUTED_VALUE"""),130.11)</f>
        <v>130.11000000000001</v>
      </c>
      <c r="V223" s="1">
        <f ca="1">IFERROR(__xludf.DUMMYFUNCTION("""COMPUTED_VALUE"""),173.19)</f>
        <v>173.19</v>
      </c>
      <c r="W223" s="1">
        <f ca="1">IFERROR(__xludf.DUMMYFUNCTION("""COMPUTED_VALUE"""),377.13)</f>
        <v>377.13</v>
      </c>
      <c r="X223" s="1">
        <f ca="1">IFERROR(__xludf.DUMMYFUNCTION("""COMPUTED_VALUE"""),426.51)</f>
        <v>426.51</v>
      </c>
      <c r="Y223" s="1">
        <f ca="1">IFERROR(__xludf.DUMMYFUNCTION("""COMPUTED_VALUE"""),99.27)</f>
        <v>99.27</v>
      </c>
      <c r="Z223" s="1">
        <f ca="1">IFERROR(__xludf.DUMMYFUNCTION("""COMPUTED_VALUE"""),222.38)</f>
        <v>222.38</v>
      </c>
      <c r="AA223" s="1">
        <f ca="1">IFERROR(__xludf.DUMMYFUNCTION("""COMPUTED_VALUE"""),35.36)</f>
        <v>35.36</v>
      </c>
      <c r="AB223" s="1">
        <f ca="1">IFERROR(__xludf.DUMMYFUNCTION("""COMPUTED_VALUE"""),97.78)</f>
        <v>97.78</v>
      </c>
      <c r="AC223" s="1">
        <f ca="1">IFERROR(__xludf.DUMMYFUNCTION("""COMPUTED_VALUE"""),83.73)</f>
        <v>83.73</v>
      </c>
    </row>
    <row r="224" spans="1:29" x14ac:dyDescent="0.25">
      <c r="A224" s="2">
        <f ca="1">IFERROR(__xludf.DUMMYFUNCTION("""COMPUTED_VALUE"""),44152.6666666666)</f>
        <v>44152.666666666599</v>
      </c>
      <c r="B224" s="1">
        <f ca="1">IFERROR(__xludf.DUMMYFUNCTION("""COMPUTED_VALUE"""),119.39)</f>
        <v>119.39</v>
      </c>
      <c r="C224" s="1">
        <f ca="1">IFERROR(__xludf.DUMMYFUNCTION("""COMPUTED_VALUE"""),214.46)</f>
        <v>214.46</v>
      </c>
      <c r="D224" s="1">
        <f ca="1">IFERROR(__xludf.DUMMYFUNCTION("""COMPUTED_VALUE"""),156.78)</f>
        <v>156.78</v>
      </c>
      <c r="E224" s="1">
        <f ca="1">IFERROR(__xludf.DUMMYFUNCTION("""COMPUTED_VALUE"""),13.42)</f>
        <v>13.42</v>
      </c>
      <c r="F224" s="1">
        <f ca="1">IFERROR(__xludf.DUMMYFUNCTION("""COMPUTED_VALUE"""),275)</f>
        <v>275</v>
      </c>
      <c r="G224" s="1">
        <f ca="1">IFERROR(__xludf.DUMMYFUNCTION("""COMPUTED_VALUE"""),88.51)</f>
        <v>88.51</v>
      </c>
      <c r="H224" s="1">
        <f ca="1">IFERROR(__xludf.DUMMYFUNCTION("""COMPUTED_VALUE"""),147.2)</f>
        <v>147.19999999999999</v>
      </c>
      <c r="I224" s="1">
        <f ca="1">IFERROR(__xludf.DUMMYFUNCTION("""COMPUTED_VALUE"""),145.24)</f>
        <v>145.24</v>
      </c>
      <c r="J224" s="1">
        <f ca="1">IFERROR(__xludf.DUMMYFUNCTION("""COMPUTED_VALUE"""),381.92)</f>
        <v>381.92</v>
      </c>
      <c r="K224" s="1">
        <f ca="1">IFERROR(__xludf.DUMMYFUNCTION("""COMPUTED_VALUE"""),38.06)</f>
        <v>38.06</v>
      </c>
      <c r="L224" s="1">
        <f ca="1">IFERROR(__xludf.DUMMYFUNCTION("""COMPUTED_VALUE"""),467.95)</f>
        <v>467.95</v>
      </c>
      <c r="M224" s="1">
        <f ca="1">IFERROR(__xludf.DUMMYFUNCTION("""COMPUTED_VALUE"""),480.63)</f>
        <v>480.63</v>
      </c>
      <c r="N224" s="1">
        <f ca="1">IFERROR(__xludf.DUMMYFUNCTION("""COMPUTED_VALUE"""),116.11)</f>
        <v>116.11</v>
      </c>
      <c r="O224" s="1">
        <f ca="1">IFERROR(__xludf.DUMMYFUNCTION("""COMPUTED_VALUE"""),210.71)</f>
        <v>210.71</v>
      </c>
      <c r="P224" s="1">
        <f ca="1">IFERROR(__xludf.DUMMYFUNCTION("""COMPUTED_VALUE"""),149.35)</f>
        <v>149.35</v>
      </c>
      <c r="Q224" s="1">
        <f ca="1">IFERROR(__xludf.DUMMYFUNCTION("""COMPUTED_VALUE"""),352.1)</f>
        <v>352.1</v>
      </c>
      <c r="R224" s="1">
        <f ca="1">IFERROR(__xludf.DUMMYFUNCTION("""COMPUTED_VALUE"""),38.67)</f>
        <v>38.67</v>
      </c>
      <c r="S224" s="1">
        <f ca="1">IFERROR(__xludf.DUMMYFUNCTION("""COMPUTED_VALUE"""),76.61)</f>
        <v>76.61</v>
      </c>
      <c r="T224" s="1">
        <f ca="1">IFERROR(__xludf.DUMMYFUNCTION("""COMPUTED_VALUE"""),49.79)</f>
        <v>49.79</v>
      </c>
      <c r="U224" s="1">
        <f ca="1">IFERROR(__xludf.DUMMYFUNCTION("""COMPUTED_VALUE"""),132.21)</f>
        <v>132.21</v>
      </c>
      <c r="V224" s="1">
        <f ca="1">IFERROR(__xludf.DUMMYFUNCTION("""COMPUTED_VALUE"""),171.91)</f>
        <v>171.91</v>
      </c>
      <c r="W224" s="1">
        <f ca="1">IFERROR(__xludf.DUMMYFUNCTION("""COMPUTED_VALUE"""),375.9)</f>
        <v>375.9</v>
      </c>
      <c r="X224" s="1">
        <f ca="1">IFERROR(__xludf.DUMMYFUNCTION("""COMPUTED_VALUE"""),426.48)</f>
        <v>426.48</v>
      </c>
      <c r="Y224" s="1">
        <f ca="1">IFERROR(__xludf.DUMMYFUNCTION("""COMPUTED_VALUE"""),95.71)</f>
        <v>95.71</v>
      </c>
      <c r="Z224" s="1">
        <f ca="1">IFERROR(__xludf.DUMMYFUNCTION("""COMPUTED_VALUE"""),224.65)</f>
        <v>224.65</v>
      </c>
      <c r="AA224" s="1">
        <f ca="1">IFERROR(__xludf.DUMMYFUNCTION("""COMPUTED_VALUE"""),36.04)</f>
        <v>36.04</v>
      </c>
      <c r="AB224" s="1">
        <f ca="1">IFERROR(__xludf.DUMMYFUNCTION("""COMPUTED_VALUE"""),98.6)</f>
        <v>98.6</v>
      </c>
      <c r="AC224" s="1">
        <f ca="1">IFERROR(__xludf.DUMMYFUNCTION("""COMPUTED_VALUE"""),83.36)</f>
        <v>83.36</v>
      </c>
    </row>
    <row r="225" spans="1:29" x14ac:dyDescent="0.25">
      <c r="A225" s="2">
        <f ca="1">IFERROR(__xludf.DUMMYFUNCTION("""COMPUTED_VALUE"""),44153.6666666666)</f>
        <v>44153.666666666599</v>
      </c>
      <c r="B225" s="1">
        <f ca="1">IFERROR(__xludf.DUMMYFUNCTION("""COMPUTED_VALUE"""),118.03)</f>
        <v>118.03</v>
      </c>
      <c r="C225" s="1">
        <f ca="1">IFERROR(__xludf.DUMMYFUNCTION("""COMPUTED_VALUE"""),211.08)</f>
        <v>211.08</v>
      </c>
      <c r="D225" s="1">
        <f ca="1">IFERROR(__xludf.DUMMYFUNCTION("""COMPUTED_VALUE"""),155.27)</f>
        <v>155.27000000000001</v>
      </c>
      <c r="E225" s="1">
        <f ca="1">IFERROR(__xludf.DUMMYFUNCTION("""COMPUTED_VALUE"""),13.43)</f>
        <v>13.43</v>
      </c>
      <c r="F225" s="1">
        <f ca="1">IFERROR(__xludf.DUMMYFUNCTION("""COMPUTED_VALUE"""),271.97)</f>
        <v>271.97000000000003</v>
      </c>
      <c r="G225" s="1">
        <f ca="1">IFERROR(__xludf.DUMMYFUNCTION("""COMPUTED_VALUE"""),87.34)</f>
        <v>87.34</v>
      </c>
      <c r="H225" s="1">
        <f ca="1">IFERROR(__xludf.DUMMYFUNCTION("""COMPUTED_VALUE"""),162.21)</f>
        <v>162.21</v>
      </c>
      <c r="I225" s="1">
        <f ca="1">IFERROR(__xludf.DUMMYFUNCTION("""COMPUTED_VALUE"""),143.38)</f>
        <v>143.38</v>
      </c>
      <c r="J225" s="1">
        <f ca="1">IFERROR(__xludf.DUMMYFUNCTION("""COMPUTED_VALUE"""),382.23)</f>
        <v>382.23</v>
      </c>
      <c r="K225" s="1">
        <f ca="1">IFERROR(__xludf.DUMMYFUNCTION("""COMPUTED_VALUE"""),38.06)</f>
        <v>38.06</v>
      </c>
      <c r="L225" s="1">
        <f ca="1">IFERROR(__xludf.DUMMYFUNCTION("""COMPUTED_VALUE"""),459.47)</f>
        <v>459.47</v>
      </c>
      <c r="M225" s="1">
        <f ca="1">IFERROR(__xludf.DUMMYFUNCTION("""COMPUTED_VALUE"""),481.79)</f>
        <v>481.79</v>
      </c>
      <c r="N225" s="1">
        <f ca="1">IFERROR(__xludf.DUMMYFUNCTION("""COMPUTED_VALUE"""),115.25)</f>
        <v>115.25</v>
      </c>
      <c r="O225" s="1">
        <f ca="1">IFERROR(__xludf.DUMMYFUNCTION("""COMPUTED_VALUE"""),207.83)</f>
        <v>207.83</v>
      </c>
      <c r="P225" s="1">
        <f ca="1">IFERROR(__xludf.DUMMYFUNCTION("""COMPUTED_VALUE"""),147.37)</f>
        <v>147.37</v>
      </c>
      <c r="Q225" s="1">
        <f ca="1">IFERROR(__xludf.DUMMYFUNCTION("""COMPUTED_VALUE"""),344.51)</f>
        <v>344.51</v>
      </c>
      <c r="R225" s="1">
        <f ca="1">IFERROR(__xludf.DUMMYFUNCTION("""COMPUTED_VALUE"""),37.21)</f>
        <v>37.21</v>
      </c>
      <c r="S225" s="1">
        <f ca="1">IFERROR(__xludf.DUMMYFUNCTION("""COMPUTED_VALUE"""),75.79)</f>
        <v>75.790000000000006</v>
      </c>
      <c r="T225" s="1">
        <f ca="1">IFERROR(__xludf.DUMMYFUNCTION("""COMPUTED_VALUE"""),49.7)</f>
        <v>49.7</v>
      </c>
      <c r="U225" s="1">
        <f ca="1">IFERROR(__xludf.DUMMYFUNCTION("""COMPUTED_VALUE"""),131.63)</f>
        <v>131.63</v>
      </c>
      <c r="V225" s="1">
        <f ca="1">IFERROR(__xludf.DUMMYFUNCTION("""COMPUTED_VALUE"""),172.74)</f>
        <v>172.74</v>
      </c>
      <c r="W225" s="1">
        <f ca="1">IFERROR(__xludf.DUMMYFUNCTION("""COMPUTED_VALUE"""),377.56)</f>
        <v>377.56</v>
      </c>
      <c r="X225" s="1">
        <f ca="1">IFERROR(__xludf.DUMMYFUNCTION("""COMPUTED_VALUE"""),423.81)</f>
        <v>423.81</v>
      </c>
      <c r="Y225" s="1">
        <f ca="1">IFERROR(__xludf.DUMMYFUNCTION("""COMPUTED_VALUE"""),96.93)</f>
        <v>96.93</v>
      </c>
      <c r="Z225" s="1">
        <f ca="1">IFERROR(__xludf.DUMMYFUNCTION("""COMPUTED_VALUE"""),224.3)</f>
        <v>224.3</v>
      </c>
      <c r="AA225" s="1">
        <f ca="1">IFERROR(__xludf.DUMMYFUNCTION("""COMPUTED_VALUE"""),36.32)</f>
        <v>36.32</v>
      </c>
      <c r="AB225" s="1">
        <f ca="1">IFERROR(__xludf.DUMMYFUNCTION("""COMPUTED_VALUE"""),97.91)</f>
        <v>97.91</v>
      </c>
      <c r="AC225" s="1">
        <f ca="1">IFERROR(__xludf.DUMMYFUNCTION("""COMPUTED_VALUE"""),82.54)</f>
        <v>82.54</v>
      </c>
    </row>
    <row r="226" spans="1:29" x14ac:dyDescent="0.25">
      <c r="A226" s="2">
        <f ca="1">IFERROR(__xludf.DUMMYFUNCTION("""COMPUTED_VALUE"""),44154.6666666666)</f>
        <v>44154.666666666599</v>
      </c>
      <c r="B226" s="1">
        <f ca="1">IFERROR(__xludf.DUMMYFUNCTION("""COMPUTED_VALUE"""),118.64)</f>
        <v>118.64</v>
      </c>
      <c r="C226" s="1">
        <f ca="1">IFERROR(__xludf.DUMMYFUNCTION("""COMPUTED_VALUE"""),212.42)</f>
        <v>212.42</v>
      </c>
      <c r="D226" s="1">
        <f ca="1">IFERROR(__xludf.DUMMYFUNCTION("""COMPUTED_VALUE"""),155.85)</f>
        <v>155.85</v>
      </c>
      <c r="E226" s="1">
        <f ca="1">IFERROR(__xludf.DUMMYFUNCTION("""COMPUTED_VALUE"""),13.44)</f>
        <v>13.44</v>
      </c>
      <c r="F226" s="1">
        <f ca="1">IFERROR(__xludf.DUMMYFUNCTION("""COMPUTED_VALUE"""),272.94)</f>
        <v>272.94</v>
      </c>
      <c r="G226" s="1">
        <f ca="1">IFERROR(__xludf.DUMMYFUNCTION("""COMPUTED_VALUE"""),88.2)</f>
        <v>88.2</v>
      </c>
      <c r="H226" s="1">
        <f ca="1">IFERROR(__xludf.DUMMYFUNCTION("""COMPUTED_VALUE"""),166.42)</f>
        <v>166.42</v>
      </c>
      <c r="I226" s="1">
        <f ca="1">IFERROR(__xludf.DUMMYFUNCTION("""COMPUTED_VALUE"""),143.32)</f>
        <v>143.32</v>
      </c>
      <c r="J226" s="1">
        <f ca="1">IFERROR(__xludf.DUMMYFUNCTION("""COMPUTED_VALUE"""),383.54)</f>
        <v>383.54</v>
      </c>
      <c r="K226" s="1">
        <f ca="1">IFERROR(__xludf.DUMMYFUNCTION("""COMPUTED_VALUE"""),38.43)</f>
        <v>38.43</v>
      </c>
      <c r="L226" s="1">
        <f ca="1">IFERROR(__xludf.DUMMYFUNCTION("""COMPUTED_VALUE"""),466.41)</f>
        <v>466.41</v>
      </c>
      <c r="M226" s="1">
        <f ca="1">IFERROR(__xludf.DUMMYFUNCTION("""COMPUTED_VALUE"""),484.67)</f>
        <v>484.67</v>
      </c>
      <c r="N226" s="1">
        <f ca="1">IFERROR(__xludf.DUMMYFUNCTION("""COMPUTED_VALUE"""),115.56)</f>
        <v>115.56</v>
      </c>
      <c r="O226" s="1">
        <f ca="1">IFERROR(__xludf.DUMMYFUNCTION("""COMPUTED_VALUE"""),207.57)</f>
        <v>207.57</v>
      </c>
      <c r="P226" s="1">
        <f ca="1">IFERROR(__xludf.DUMMYFUNCTION("""COMPUTED_VALUE"""),147.14)</f>
        <v>147.13999999999999</v>
      </c>
      <c r="Q226" s="1">
        <f ca="1">IFERROR(__xludf.DUMMYFUNCTION("""COMPUTED_VALUE"""),337)</f>
        <v>337</v>
      </c>
      <c r="R226" s="1">
        <f ca="1">IFERROR(__xludf.DUMMYFUNCTION("""COMPUTED_VALUE"""),37.4)</f>
        <v>37.4</v>
      </c>
      <c r="S226" s="1">
        <f ca="1">IFERROR(__xludf.DUMMYFUNCTION("""COMPUTED_VALUE"""),75.13)</f>
        <v>75.13</v>
      </c>
      <c r="T226" s="1">
        <f ca="1">IFERROR(__xludf.DUMMYFUNCTION("""COMPUTED_VALUE"""),50.71)</f>
        <v>50.71</v>
      </c>
      <c r="U226" s="1">
        <f ca="1">IFERROR(__xludf.DUMMYFUNCTION("""COMPUTED_VALUE"""),131.91)</f>
        <v>131.91</v>
      </c>
      <c r="V226" s="1">
        <f ca="1">IFERROR(__xludf.DUMMYFUNCTION("""COMPUTED_VALUE"""),172.9)</f>
        <v>172.9</v>
      </c>
      <c r="W226" s="1">
        <f ca="1">IFERROR(__xludf.DUMMYFUNCTION("""COMPUTED_VALUE"""),376.46)</f>
        <v>376.46</v>
      </c>
      <c r="X226" s="1">
        <f ca="1">IFERROR(__xludf.DUMMYFUNCTION("""COMPUTED_VALUE"""),423.36)</f>
        <v>423.36</v>
      </c>
      <c r="Y226" s="1">
        <f ca="1">IFERROR(__xludf.DUMMYFUNCTION("""COMPUTED_VALUE"""),96.61)</f>
        <v>96.61</v>
      </c>
      <c r="Z226" s="1">
        <f ca="1">IFERROR(__xludf.DUMMYFUNCTION("""COMPUTED_VALUE"""),224.57)</f>
        <v>224.57</v>
      </c>
      <c r="AA226" s="1">
        <f ca="1">IFERROR(__xludf.DUMMYFUNCTION("""COMPUTED_VALUE"""),36.19)</f>
        <v>36.19</v>
      </c>
      <c r="AB226" s="1">
        <f ca="1">IFERROR(__xludf.DUMMYFUNCTION("""COMPUTED_VALUE"""),97.76)</f>
        <v>97.76</v>
      </c>
      <c r="AC226" s="1">
        <f ca="1">IFERROR(__xludf.DUMMYFUNCTION("""COMPUTED_VALUE"""),85.54)</f>
        <v>85.54</v>
      </c>
    </row>
    <row r="227" spans="1:29" x14ac:dyDescent="0.25">
      <c r="A227" s="2">
        <f ca="1">IFERROR(__xludf.DUMMYFUNCTION("""COMPUTED_VALUE"""),44155.6666666666)</f>
        <v>44155.666666666599</v>
      </c>
      <c r="B227" s="1">
        <f ca="1">IFERROR(__xludf.DUMMYFUNCTION("""COMPUTED_VALUE"""),117.34)</f>
        <v>117.34</v>
      </c>
      <c r="C227" s="1">
        <f ca="1">IFERROR(__xludf.DUMMYFUNCTION("""COMPUTED_VALUE"""),210.39)</f>
        <v>210.39</v>
      </c>
      <c r="D227" s="1">
        <f ca="1">IFERROR(__xludf.DUMMYFUNCTION("""COMPUTED_VALUE"""),154.97)</f>
        <v>154.97</v>
      </c>
      <c r="E227" s="1">
        <f ca="1">IFERROR(__xludf.DUMMYFUNCTION("""COMPUTED_VALUE"""),13.09)</f>
        <v>13.09</v>
      </c>
      <c r="F227" s="1">
        <f ca="1">IFERROR(__xludf.DUMMYFUNCTION("""COMPUTED_VALUE"""),269.7)</f>
        <v>269.7</v>
      </c>
      <c r="G227" s="1">
        <f ca="1">IFERROR(__xludf.DUMMYFUNCTION("""COMPUTED_VALUE"""),87.11)</f>
        <v>87.11</v>
      </c>
      <c r="H227" s="1">
        <f ca="1">IFERROR(__xludf.DUMMYFUNCTION("""COMPUTED_VALUE"""),163.2)</f>
        <v>163.19999999999999</v>
      </c>
      <c r="I227" s="1">
        <f ca="1">IFERROR(__xludf.DUMMYFUNCTION("""COMPUTED_VALUE"""),143.42)</f>
        <v>143.41999999999999</v>
      </c>
      <c r="J227" s="1">
        <f ca="1">IFERROR(__xludf.DUMMYFUNCTION("""COMPUTED_VALUE"""),381.12)</f>
        <v>381.12</v>
      </c>
      <c r="K227" s="1">
        <f ca="1">IFERROR(__xludf.DUMMYFUNCTION("""COMPUTED_VALUE"""),38.33)</f>
        <v>38.33</v>
      </c>
      <c r="L227" s="1">
        <f ca="1">IFERROR(__xludf.DUMMYFUNCTION("""COMPUTED_VALUE"""),462.92)</f>
        <v>462.92</v>
      </c>
      <c r="M227" s="1">
        <f ca="1">IFERROR(__xludf.DUMMYFUNCTION("""COMPUTED_VALUE"""),488.24)</f>
        <v>488.24</v>
      </c>
      <c r="N227" s="1">
        <f ca="1">IFERROR(__xludf.DUMMYFUNCTION("""COMPUTED_VALUE"""),114.57)</f>
        <v>114.57</v>
      </c>
      <c r="O227" s="1">
        <f ca="1">IFERROR(__xludf.DUMMYFUNCTION("""COMPUTED_VALUE"""),203.88)</f>
        <v>203.88</v>
      </c>
      <c r="P227" s="1">
        <f ca="1">IFERROR(__xludf.DUMMYFUNCTION("""COMPUTED_VALUE"""),146.36)</f>
        <v>146.36000000000001</v>
      </c>
      <c r="Q227" s="1">
        <f ca="1">IFERROR(__xludf.DUMMYFUNCTION("""COMPUTED_VALUE"""),334.7)</f>
        <v>334.7</v>
      </c>
      <c r="R227" s="1">
        <f ca="1">IFERROR(__xludf.DUMMYFUNCTION("""COMPUTED_VALUE"""),36.94)</f>
        <v>36.94</v>
      </c>
      <c r="S227" s="1">
        <f ca="1">IFERROR(__xludf.DUMMYFUNCTION("""COMPUTED_VALUE"""),75.55)</f>
        <v>75.55</v>
      </c>
      <c r="T227" s="1">
        <f ca="1">IFERROR(__xludf.DUMMYFUNCTION("""COMPUTED_VALUE"""),50.08)</f>
        <v>50.08</v>
      </c>
      <c r="U227" s="1">
        <f ca="1">IFERROR(__xludf.DUMMYFUNCTION("""COMPUTED_VALUE"""),132.98)</f>
        <v>132.97999999999999</v>
      </c>
      <c r="V227" s="1">
        <f ca="1">IFERROR(__xludf.DUMMYFUNCTION("""COMPUTED_VALUE"""),172.23)</f>
        <v>172.23</v>
      </c>
      <c r="W227" s="1">
        <f ca="1">IFERROR(__xludf.DUMMYFUNCTION("""COMPUTED_VALUE"""),368.02)</f>
        <v>368.02</v>
      </c>
      <c r="X227" s="1">
        <f ca="1">IFERROR(__xludf.DUMMYFUNCTION("""COMPUTED_VALUE"""),423.59)</f>
        <v>423.59</v>
      </c>
      <c r="Y227" s="1">
        <f ca="1">IFERROR(__xludf.DUMMYFUNCTION("""COMPUTED_VALUE"""),95.33)</f>
        <v>95.33</v>
      </c>
      <c r="Z227" s="1">
        <f ca="1">IFERROR(__xludf.DUMMYFUNCTION("""COMPUTED_VALUE"""),223.35)</f>
        <v>223.35</v>
      </c>
      <c r="AA227" s="1">
        <f ca="1">IFERROR(__xludf.DUMMYFUNCTION("""COMPUTED_VALUE"""),36.7)</f>
        <v>36.700000000000003</v>
      </c>
      <c r="AB227" s="1">
        <f ca="1">IFERROR(__xludf.DUMMYFUNCTION("""COMPUTED_VALUE"""),97.01)</f>
        <v>97.01</v>
      </c>
      <c r="AC227" s="1">
        <f ca="1">IFERROR(__xludf.DUMMYFUNCTION("""COMPUTED_VALUE"""),84.64)</f>
        <v>84.64</v>
      </c>
    </row>
    <row r="228" spans="1:29" x14ac:dyDescent="0.25">
      <c r="A228" s="2">
        <f ca="1">IFERROR(__xludf.DUMMYFUNCTION("""COMPUTED_VALUE"""),44158.6666666666)</f>
        <v>44158.666666666599</v>
      </c>
      <c r="B228" s="1">
        <f ca="1">IFERROR(__xludf.DUMMYFUNCTION("""COMPUTED_VALUE"""),113.85)</f>
        <v>113.85</v>
      </c>
      <c r="C228" s="1">
        <f ca="1">IFERROR(__xludf.DUMMYFUNCTION("""COMPUTED_VALUE"""),210.11)</f>
        <v>210.11</v>
      </c>
      <c r="D228" s="1">
        <f ca="1">IFERROR(__xludf.DUMMYFUNCTION("""COMPUTED_VALUE"""),154.92)</f>
        <v>154.91999999999999</v>
      </c>
      <c r="E228" s="1">
        <f ca="1">IFERROR(__xludf.DUMMYFUNCTION("""COMPUTED_VALUE"""),13.14)</f>
        <v>13.14</v>
      </c>
      <c r="F228" s="1">
        <f ca="1">IFERROR(__xludf.DUMMYFUNCTION("""COMPUTED_VALUE"""),268.43)</f>
        <v>268.43</v>
      </c>
      <c r="G228" s="1">
        <f ca="1">IFERROR(__xludf.DUMMYFUNCTION("""COMPUTED_VALUE"""),86.74)</f>
        <v>86.74</v>
      </c>
      <c r="H228" s="1">
        <f ca="1">IFERROR(__xludf.DUMMYFUNCTION("""COMPUTED_VALUE"""),173.95)</f>
        <v>173.95</v>
      </c>
      <c r="I228" s="1">
        <f ca="1">IFERROR(__xludf.DUMMYFUNCTION("""COMPUTED_VALUE"""),143.02)</f>
        <v>143.02000000000001</v>
      </c>
      <c r="J228" s="1">
        <f ca="1">IFERROR(__xludf.DUMMYFUNCTION("""COMPUTED_VALUE"""),381.71)</f>
        <v>381.71</v>
      </c>
      <c r="K228" s="1">
        <f ca="1">IFERROR(__xludf.DUMMYFUNCTION("""COMPUTED_VALUE"""),38.7)</f>
        <v>38.700000000000003</v>
      </c>
      <c r="L228" s="1">
        <f ca="1">IFERROR(__xludf.DUMMYFUNCTION("""COMPUTED_VALUE"""),460.61)</f>
        <v>460.61</v>
      </c>
      <c r="M228" s="1">
        <f ca="1">IFERROR(__xludf.DUMMYFUNCTION("""COMPUTED_VALUE"""),476.62)</f>
        <v>476.62</v>
      </c>
      <c r="N228" s="1">
        <f ca="1">IFERROR(__xludf.DUMMYFUNCTION("""COMPUTED_VALUE"""),117.87)</f>
        <v>117.87</v>
      </c>
      <c r="O228" s="1">
        <f ca="1">IFERROR(__xludf.DUMMYFUNCTION("""COMPUTED_VALUE"""),208.16)</f>
        <v>208.16</v>
      </c>
      <c r="P228" s="1">
        <f ca="1">IFERROR(__xludf.DUMMYFUNCTION("""COMPUTED_VALUE"""),143.87)</f>
        <v>143.87</v>
      </c>
      <c r="Q228" s="1">
        <f ca="1">IFERROR(__xludf.DUMMYFUNCTION("""COMPUTED_VALUE"""),335.06)</f>
        <v>335.06</v>
      </c>
      <c r="R228" s="1">
        <f ca="1">IFERROR(__xludf.DUMMYFUNCTION("""COMPUTED_VALUE"""),39.36)</f>
        <v>39.36</v>
      </c>
      <c r="S228" s="1">
        <f ca="1">IFERROR(__xludf.DUMMYFUNCTION("""COMPUTED_VALUE"""),74.57)</f>
        <v>74.569999999999993</v>
      </c>
      <c r="T228" s="1">
        <f ca="1">IFERROR(__xludf.DUMMYFUNCTION("""COMPUTED_VALUE"""),50.31)</f>
        <v>50.31</v>
      </c>
      <c r="U228" s="1">
        <f ca="1">IFERROR(__xludf.DUMMYFUNCTION("""COMPUTED_VALUE"""),134.13)</f>
        <v>134.13</v>
      </c>
      <c r="V228" s="1">
        <f ca="1">IFERROR(__xludf.DUMMYFUNCTION("""COMPUTED_VALUE"""),174.78)</f>
        <v>174.78</v>
      </c>
      <c r="W228" s="1">
        <f ca="1">IFERROR(__xludf.DUMMYFUNCTION("""COMPUTED_VALUE"""),370.85)</f>
        <v>370.85</v>
      </c>
      <c r="X228" s="1">
        <f ca="1">IFERROR(__xludf.DUMMYFUNCTION("""COMPUTED_VALUE"""),427.15)</f>
        <v>427.15</v>
      </c>
      <c r="Y228" s="1">
        <f ca="1">IFERROR(__xludf.DUMMYFUNCTION("""COMPUTED_VALUE"""),98.13)</f>
        <v>98.13</v>
      </c>
      <c r="Z228" s="1">
        <f ca="1">IFERROR(__xludf.DUMMYFUNCTION("""COMPUTED_VALUE"""),228.83)</f>
        <v>228.83</v>
      </c>
      <c r="AA228" s="1">
        <f ca="1">IFERROR(__xludf.DUMMYFUNCTION("""COMPUTED_VALUE"""),36.52)</f>
        <v>36.520000000000003</v>
      </c>
      <c r="AB228" s="1">
        <f ca="1">IFERROR(__xludf.DUMMYFUNCTION("""COMPUTED_VALUE"""),96.88)</f>
        <v>96.88</v>
      </c>
      <c r="AC228" s="1">
        <f ca="1">IFERROR(__xludf.DUMMYFUNCTION("""COMPUTED_VALUE"""),85.31)</f>
        <v>85.31</v>
      </c>
    </row>
    <row r="229" spans="1:29" x14ac:dyDescent="0.25">
      <c r="A229" s="2">
        <f ca="1">IFERROR(__xludf.DUMMYFUNCTION("""COMPUTED_VALUE"""),44159.6666666666)</f>
        <v>44159.666666666599</v>
      </c>
      <c r="B229" s="1">
        <f ca="1">IFERROR(__xludf.DUMMYFUNCTION("""COMPUTED_VALUE"""),115.17)</f>
        <v>115.17</v>
      </c>
      <c r="C229" s="1">
        <f ca="1">IFERROR(__xludf.DUMMYFUNCTION("""COMPUTED_VALUE"""),213.86)</f>
        <v>213.86</v>
      </c>
      <c r="D229" s="1">
        <f ca="1">IFERROR(__xludf.DUMMYFUNCTION("""COMPUTED_VALUE"""),155.9)</f>
        <v>155.9</v>
      </c>
      <c r="E229" s="1">
        <f ca="1">IFERROR(__xludf.DUMMYFUNCTION("""COMPUTED_VALUE"""),12.96)</f>
        <v>12.96</v>
      </c>
      <c r="F229" s="1">
        <f ca="1">IFERROR(__xludf.DUMMYFUNCTION("""COMPUTED_VALUE"""),276.92)</f>
        <v>276.92</v>
      </c>
      <c r="G229" s="1">
        <f ca="1">IFERROR(__xludf.DUMMYFUNCTION("""COMPUTED_VALUE"""),88.44)</f>
        <v>88.44</v>
      </c>
      <c r="H229" s="1">
        <f ca="1">IFERROR(__xludf.DUMMYFUNCTION("""COMPUTED_VALUE"""),185.13)</f>
        <v>185.13</v>
      </c>
      <c r="I229" s="1">
        <f ca="1">IFERROR(__xludf.DUMMYFUNCTION("""COMPUTED_VALUE"""),144.03)</f>
        <v>144.03</v>
      </c>
      <c r="J229" s="1">
        <f ca="1">IFERROR(__xludf.DUMMYFUNCTION("""COMPUTED_VALUE"""),384.22)</f>
        <v>384.22</v>
      </c>
      <c r="K229" s="1">
        <f ca="1">IFERROR(__xludf.DUMMYFUNCTION("""COMPUTED_VALUE"""),39.22)</f>
        <v>39.22</v>
      </c>
      <c r="L229" s="1">
        <f ca="1">IFERROR(__xludf.DUMMYFUNCTION("""COMPUTED_VALUE"""),462.7)</f>
        <v>462.7</v>
      </c>
      <c r="M229" s="1">
        <f ca="1">IFERROR(__xludf.DUMMYFUNCTION("""COMPUTED_VALUE"""),482.88)</f>
        <v>482.88</v>
      </c>
      <c r="N229" s="1">
        <f ca="1">IFERROR(__xludf.DUMMYFUNCTION("""COMPUTED_VALUE"""),123.32)</f>
        <v>123.32</v>
      </c>
      <c r="O229" s="1">
        <f ca="1">IFERROR(__xludf.DUMMYFUNCTION("""COMPUTED_VALUE"""),209.68)</f>
        <v>209.68</v>
      </c>
      <c r="P229" s="1">
        <f ca="1">IFERROR(__xludf.DUMMYFUNCTION("""COMPUTED_VALUE"""),143.87)</f>
        <v>143.87</v>
      </c>
      <c r="Q229" s="1">
        <f ca="1">IFERROR(__xludf.DUMMYFUNCTION("""COMPUTED_VALUE"""),336.01)</f>
        <v>336.01</v>
      </c>
      <c r="R229" s="1">
        <f ca="1">IFERROR(__xludf.DUMMYFUNCTION("""COMPUTED_VALUE"""),41.98)</f>
        <v>41.98</v>
      </c>
      <c r="S229" s="1">
        <f ca="1">IFERROR(__xludf.DUMMYFUNCTION("""COMPUTED_VALUE"""),74.98)</f>
        <v>74.98</v>
      </c>
      <c r="T229" s="1">
        <f ca="1">IFERROR(__xludf.DUMMYFUNCTION("""COMPUTED_VALUE"""),50.45)</f>
        <v>50.45</v>
      </c>
      <c r="U229" s="1">
        <f ca="1">IFERROR(__xludf.DUMMYFUNCTION("""COMPUTED_VALUE"""),134.7)</f>
        <v>134.69999999999999</v>
      </c>
      <c r="V229" s="1">
        <f ca="1">IFERROR(__xludf.DUMMYFUNCTION("""COMPUTED_VALUE"""),176.9)</f>
        <v>176.9</v>
      </c>
      <c r="W229" s="1">
        <f ca="1">IFERROR(__xludf.DUMMYFUNCTION("""COMPUTED_VALUE"""),378.48)</f>
        <v>378.48</v>
      </c>
      <c r="X229" s="1">
        <f ca="1">IFERROR(__xludf.DUMMYFUNCTION("""COMPUTED_VALUE"""),424.27)</f>
        <v>424.27</v>
      </c>
      <c r="Y229" s="1">
        <f ca="1">IFERROR(__xludf.DUMMYFUNCTION("""COMPUTED_VALUE"""),96.64)</f>
        <v>96.64</v>
      </c>
      <c r="Z229" s="1">
        <f ca="1">IFERROR(__xludf.DUMMYFUNCTION("""COMPUTED_VALUE"""),237.5)</f>
        <v>237.5</v>
      </c>
      <c r="AA229" s="1">
        <f ca="1">IFERROR(__xludf.DUMMYFUNCTION("""COMPUTED_VALUE"""),36.6)</f>
        <v>36.6</v>
      </c>
      <c r="AB229" s="1">
        <f ca="1">IFERROR(__xludf.DUMMYFUNCTION("""COMPUTED_VALUE"""),98.3)</f>
        <v>98.3</v>
      </c>
      <c r="AC229" s="1">
        <f ca="1">IFERROR(__xludf.DUMMYFUNCTION("""COMPUTED_VALUE"""),85.07)</f>
        <v>85.07</v>
      </c>
    </row>
    <row r="230" spans="1:29" x14ac:dyDescent="0.25">
      <c r="A230" s="2">
        <f ca="1">IFERROR(__xludf.DUMMYFUNCTION("""COMPUTED_VALUE"""),44160.6666666666)</f>
        <v>44160.666666666599</v>
      </c>
      <c r="B230" s="1">
        <f ca="1">IFERROR(__xludf.DUMMYFUNCTION("""COMPUTED_VALUE"""),116.03)</f>
        <v>116.03</v>
      </c>
      <c r="C230" s="1">
        <f ca="1">IFERROR(__xludf.DUMMYFUNCTION("""COMPUTED_VALUE"""),213.87)</f>
        <v>213.87</v>
      </c>
      <c r="D230" s="1">
        <f ca="1">IFERROR(__xludf.DUMMYFUNCTION("""COMPUTED_VALUE"""),159.25)</f>
        <v>159.25</v>
      </c>
      <c r="E230" s="1">
        <f ca="1">IFERROR(__xludf.DUMMYFUNCTION("""COMPUTED_VALUE"""),13.23)</f>
        <v>13.23</v>
      </c>
      <c r="F230" s="1">
        <f ca="1">IFERROR(__xludf.DUMMYFUNCTION("""COMPUTED_VALUE"""),275.59)</f>
        <v>275.58999999999997</v>
      </c>
      <c r="G230" s="1">
        <f ca="1">IFERROR(__xludf.DUMMYFUNCTION("""COMPUTED_VALUE"""),88.57)</f>
        <v>88.57</v>
      </c>
      <c r="H230" s="1">
        <f ca="1">IFERROR(__xludf.DUMMYFUNCTION("""COMPUTED_VALUE"""),191.33)</f>
        <v>191.33</v>
      </c>
      <c r="I230" s="1">
        <f ca="1">IFERROR(__xludf.DUMMYFUNCTION("""COMPUTED_VALUE"""),144.16)</f>
        <v>144.16</v>
      </c>
      <c r="J230" s="1">
        <f ca="1">IFERROR(__xludf.DUMMYFUNCTION("""COMPUTED_VALUE"""),387.75)</f>
        <v>387.75</v>
      </c>
      <c r="K230" s="1">
        <f ca="1">IFERROR(__xludf.DUMMYFUNCTION("""COMPUTED_VALUE"""),39.08)</f>
        <v>39.08</v>
      </c>
      <c r="L230" s="1">
        <f ca="1">IFERROR(__xludf.DUMMYFUNCTION("""COMPUTED_VALUE"""),470.08)</f>
        <v>470.08</v>
      </c>
      <c r="M230" s="1">
        <f ca="1">IFERROR(__xludf.DUMMYFUNCTION("""COMPUTED_VALUE"""),485)</f>
        <v>485</v>
      </c>
      <c r="N230" s="1">
        <f ca="1">IFERROR(__xludf.DUMMYFUNCTION("""COMPUTED_VALUE"""),122.03)</f>
        <v>122.03</v>
      </c>
      <c r="O230" s="1">
        <f ca="1">IFERROR(__xludf.DUMMYFUNCTION("""COMPUTED_VALUE"""),210.89)</f>
        <v>210.89</v>
      </c>
      <c r="P230" s="1">
        <f ca="1">IFERROR(__xludf.DUMMYFUNCTION("""COMPUTED_VALUE"""),143.68)</f>
        <v>143.68</v>
      </c>
      <c r="Q230" s="1">
        <f ca="1">IFERROR(__xludf.DUMMYFUNCTION("""COMPUTED_VALUE"""),333.19)</f>
        <v>333.19</v>
      </c>
      <c r="R230" s="1">
        <f ca="1">IFERROR(__xludf.DUMMYFUNCTION("""COMPUTED_VALUE"""),40.81)</f>
        <v>40.81</v>
      </c>
      <c r="S230" s="1">
        <f ca="1">IFERROR(__xludf.DUMMYFUNCTION("""COMPUTED_VALUE"""),75.97)</f>
        <v>75.97</v>
      </c>
      <c r="T230" s="1">
        <f ca="1">IFERROR(__xludf.DUMMYFUNCTION("""COMPUTED_VALUE"""),50.61)</f>
        <v>50.61</v>
      </c>
      <c r="U230" s="1">
        <f ca="1">IFERROR(__xludf.DUMMYFUNCTION("""COMPUTED_VALUE"""),135.54)</f>
        <v>135.54</v>
      </c>
      <c r="V230" s="1">
        <f ca="1">IFERROR(__xludf.DUMMYFUNCTION("""COMPUTED_VALUE"""),174.63)</f>
        <v>174.63</v>
      </c>
      <c r="W230" s="1">
        <f ca="1">IFERROR(__xludf.DUMMYFUNCTION("""COMPUTED_VALUE"""),378.34)</f>
        <v>378.34</v>
      </c>
      <c r="X230" s="1">
        <f ca="1">IFERROR(__xludf.DUMMYFUNCTION("""COMPUTED_VALUE"""),423.48)</f>
        <v>423.48</v>
      </c>
      <c r="Y230" s="1">
        <f ca="1">IFERROR(__xludf.DUMMYFUNCTION("""COMPUTED_VALUE"""),97.49)</f>
        <v>97.49</v>
      </c>
      <c r="Z230" s="1">
        <f ca="1">IFERROR(__xludf.DUMMYFUNCTION("""COMPUTED_VALUE"""),236.54)</f>
        <v>236.54</v>
      </c>
      <c r="AA230" s="1">
        <f ca="1">IFERROR(__xludf.DUMMYFUNCTION("""COMPUTED_VALUE"""),36.53)</f>
        <v>36.53</v>
      </c>
      <c r="AB230" s="1">
        <f ca="1">IFERROR(__xludf.DUMMYFUNCTION("""COMPUTED_VALUE"""),98.2)</f>
        <v>98.2</v>
      </c>
      <c r="AC230" s="1">
        <f ca="1">IFERROR(__xludf.DUMMYFUNCTION("""COMPUTED_VALUE"""),86.71)</f>
        <v>86.71</v>
      </c>
    </row>
    <row r="231" spans="1:29" x14ac:dyDescent="0.25">
      <c r="A231" s="2">
        <f ca="1">IFERROR(__xludf.DUMMYFUNCTION("""COMPUTED_VALUE"""),44162.5416666666)</f>
        <v>44162.541666666599</v>
      </c>
      <c r="B231" s="1">
        <f ca="1">IFERROR(__xludf.DUMMYFUNCTION("""COMPUTED_VALUE"""),116.59)</f>
        <v>116.59</v>
      </c>
      <c r="C231" s="1">
        <f ca="1">IFERROR(__xludf.DUMMYFUNCTION("""COMPUTED_VALUE"""),215.23)</f>
        <v>215.23</v>
      </c>
      <c r="D231" s="1">
        <f ca="1">IFERROR(__xludf.DUMMYFUNCTION("""COMPUTED_VALUE"""),159.77)</f>
        <v>159.77000000000001</v>
      </c>
      <c r="E231" s="1">
        <f ca="1">IFERROR(__xludf.DUMMYFUNCTION("""COMPUTED_VALUE"""),13.26)</f>
        <v>13.26</v>
      </c>
      <c r="F231" s="1">
        <f ca="1">IFERROR(__xludf.DUMMYFUNCTION("""COMPUTED_VALUE"""),277.81)</f>
        <v>277.81</v>
      </c>
      <c r="G231" s="1">
        <f ca="1">IFERROR(__xludf.DUMMYFUNCTION("""COMPUTED_VALUE"""),89.66)</f>
        <v>89.66</v>
      </c>
      <c r="H231" s="1">
        <f ca="1">IFERROR(__xludf.DUMMYFUNCTION("""COMPUTED_VALUE"""),195.25)</f>
        <v>195.25</v>
      </c>
      <c r="I231" s="1">
        <f ca="1">IFERROR(__xludf.DUMMYFUNCTION("""COMPUTED_VALUE"""),144.6)</f>
        <v>144.6</v>
      </c>
      <c r="J231" s="1">
        <f ca="1">IFERROR(__xludf.DUMMYFUNCTION("""COMPUTED_VALUE"""),388.39)</f>
        <v>388.39</v>
      </c>
      <c r="K231" s="1">
        <f ca="1">IFERROR(__xludf.DUMMYFUNCTION("""COMPUTED_VALUE"""),39.49)</f>
        <v>39.49</v>
      </c>
      <c r="L231" s="1">
        <f ca="1">IFERROR(__xludf.DUMMYFUNCTION("""COMPUTED_VALUE"""),477.03)</f>
        <v>477.03</v>
      </c>
      <c r="M231" s="1">
        <f ca="1">IFERROR(__xludf.DUMMYFUNCTION("""COMPUTED_VALUE"""),491.36)</f>
        <v>491.36</v>
      </c>
      <c r="N231" s="1">
        <f ca="1">IFERROR(__xludf.DUMMYFUNCTION("""COMPUTED_VALUE"""),121.22)</f>
        <v>121.22</v>
      </c>
      <c r="O231" s="1">
        <f ca="1">IFERROR(__xludf.DUMMYFUNCTION("""COMPUTED_VALUE"""),211)</f>
        <v>211</v>
      </c>
      <c r="P231" s="1">
        <f ca="1">IFERROR(__xludf.DUMMYFUNCTION("""COMPUTED_VALUE"""),144)</f>
        <v>144</v>
      </c>
      <c r="Q231" s="1">
        <f ca="1">IFERROR(__xludf.DUMMYFUNCTION("""COMPUTED_VALUE"""),337.94)</f>
        <v>337.94</v>
      </c>
      <c r="R231" s="1">
        <f ca="1">IFERROR(__xludf.DUMMYFUNCTION("""COMPUTED_VALUE"""),40.19)</f>
        <v>40.19</v>
      </c>
      <c r="S231" s="1">
        <f ca="1">IFERROR(__xludf.DUMMYFUNCTION("""COMPUTED_VALUE"""),75.13)</f>
        <v>75.13</v>
      </c>
      <c r="T231" s="1">
        <f ca="1">IFERROR(__xludf.DUMMYFUNCTION("""COMPUTED_VALUE"""),50.53)</f>
        <v>50.53</v>
      </c>
      <c r="U231" s="1">
        <f ca="1">IFERROR(__xludf.DUMMYFUNCTION("""COMPUTED_VALUE"""),134.25)</f>
        <v>134.25</v>
      </c>
      <c r="V231" s="1">
        <f ca="1">IFERROR(__xludf.DUMMYFUNCTION("""COMPUTED_VALUE"""),175.08)</f>
        <v>175.08</v>
      </c>
      <c r="W231" s="1">
        <f ca="1">IFERROR(__xludf.DUMMYFUNCTION("""COMPUTED_VALUE"""),374.34)</f>
        <v>374.34</v>
      </c>
      <c r="X231" s="1">
        <f ca="1">IFERROR(__xludf.DUMMYFUNCTION("""COMPUTED_VALUE"""),437.77)</f>
        <v>437.77</v>
      </c>
      <c r="Y231" s="1">
        <f ca="1">IFERROR(__xludf.DUMMYFUNCTION("""COMPUTED_VALUE"""),98.74)</f>
        <v>98.74</v>
      </c>
      <c r="Z231" s="1">
        <f ca="1">IFERROR(__xludf.DUMMYFUNCTION("""COMPUTED_VALUE"""),235.4)</f>
        <v>235.4</v>
      </c>
      <c r="AA231" s="1">
        <f ca="1">IFERROR(__xludf.DUMMYFUNCTION("""COMPUTED_VALUE"""),37.23)</f>
        <v>37.229999999999997</v>
      </c>
      <c r="AB231" s="1">
        <f ca="1">IFERROR(__xludf.DUMMYFUNCTION("""COMPUTED_VALUE"""),98.66)</f>
        <v>98.66</v>
      </c>
      <c r="AC231" s="1">
        <f ca="1">IFERROR(__xludf.DUMMYFUNCTION("""COMPUTED_VALUE"""),87.19)</f>
        <v>87.19</v>
      </c>
    </row>
    <row r="232" spans="1:29" x14ac:dyDescent="0.25">
      <c r="A232" s="2">
        <f ca="1">IFERROR(__xludf.DUMMYFUNCTION("""COMPUTED_VALUE"""),44165.6666666666)</f>
        <v>44165.666666666599</v>
      </c>
      <c r="B232" s="1">
        <f ca="1">IFERROR(__xludf.DUMMYFUNCTION("""COMPUTED_VALUE"""),119.05)</f>
        <v>119.05</v>
      </c>
      <c r="C232" s="1">
        <f ca="1">IFERROR(__xludf.DUMMYFUNCTION("""COMPUTED_VALUE"""),214.07)</f>
        <v>214.07</v>
      </c>
      <c r="D232" s="1">
        <f ca="1">IFERROR(__xludf.DUMMYFUNCTION("""COMPUTED_VALUE"""),158.4)</f>
        <v>158.4</v>
      </c>
      <c r="E232" s="1">
        <f ca="1">IFERROR(__xludf.DUMMYFUNCTION("""COMPUTED_VALUE"""),13.4)</f>
        <v>13.4</v>
      </c>
      <c r="F232" s="1">
        <f ca="1">IFERROR(__xludf.DUMMYFUNCTION("""COMPUTED_VALUE"""),276.97)</f>
        <v>276.97000000000003</v>
      </c>
      <c r="G232" s="1">
        <f ca="1">IFERROR(__xludf.DUMMYFUNCTION("""COMPUTED_VALUE"""),88.04)</f>
        <v>88.04</v>
      </c>
      <c r="H232" s="1">
        <f ca="1">IFERROR(__xludf.DUMMYFUNCTION("""COMPUTED_VALUE"""),189.2)</f>
        <v>189.2</v>
      </c>
      <c r="I232" s="1">
        <f ca="1">IFERROR(__xludf.DUMMYFUNCTION("""COMPUTED_VALUE"""),144.23)</f>
        <v>144.22999999999999</v>
      </c>
      <c r="J232" s="1">
        <f ca="1">IFERROR(__xludf.DUMMYFUNCTION("""COMPUTED_VALUE"""),391.77)</f>
        <v>391.77</v>
      </c>
      <c r="K232" s="1">
        <f ca="1">IFERROR(__xludf.DUMMYFUNCTION("""COMPUTED_VALUE"""),40.16)</f>
        <v>40.159999999999997</v>
      </c>
      <c r="L232" s="1">
        <f ca="1">IFERROR(__xludf.DUMMYFUNCTION("""COMPUTED_VALUE"""),478.47)</f>
        <v>478.47</v>
      </c>
      <c r="M232" s="1">
        <f ca="1">IFERROR(__xludf.DUMMYFUNCTION("""COMPUTED_VALUE"""),490.7)</f>
        <v>490.7</v>
      </c>
      <c r="N232" s="1">
        <f ca="1">IFERROR(__xludf.DUMMYFUNCTION("""COMPUTED_VALUE"""),117.88)</f>
        <v>117.88</v>
      </c>
      <c r="O232" s="1">
        <f ca="1">IFERROR(__xludf.DUMMYFUNCTION("""COMPUTED_VALUE"""),210.35)</f>
        <v>210.35</v>
      </c>
      <c r="P232" s="1">
        <f ca="1">IFERROR(__xludf.DUMMYFUNCTION("""COMPUTED_VALUE"""),144.68)</f>
        <v>144.68</v>
      </c>
      <c r="Q232" s="1">
        <f ca="1">IFERROR(__xludf.DUMMYFUNCTION("""COMPUTED_VALUE"""),336.34)</f>
        <v>336.34</v>
      </c>
      <c r="R232" s="1">
        <f ca="1">IFERROR(__xludf.DUMMYFUNCTION("""COMPUTED_VALUE"""),38.13)</f>
        <v>38.130000000000003</v>
      </c>
      <c r="S232" s="1">
        <f ca="1">IFERROR(__xludf.DUMMYFUNCTION("""COMPUTED_VALUE"""),73.59)</f>
        <v>73.59</v>
      </c>
      <c r="T232" s="1">
        <f ca="1">IFERROR(__xludf.DUMMYFUNCTION("""COMPUTED_VALUE"""),50.93)</f>
        <v>50.93</v>
      </c>
      <c r="U232" s="1">
        <f ca="1">IFERROR(__xludf.DUMMYFUNCTION("""COMPUTED_VALUE"""),134.7)</f>
        <v>134.69999999999999</v>
      </c>
      <c r="V232" s="1">
        <f ca="1">IFERROR(__xludf.DUMMYFUNCTION("""COMPUTED_VALUE"""),173.59)</f>
        <v>173.59</v>
      </c>
      <c r="W232" s="1">
        <f ca="1">IFERROR(__xludf.DUMMYFUNCTION("""COMPUTED_VALUE"""),365)</f>
        <v>365</v>
      </c>
      <c r="X232" s="1">
        <f ca="1">IFERROR(__xludf.DUMMYFUNCTION("""COMPUTED_VALUE"""),437.73)</f>
        <v>437.73</v>
      </c>
      <c r="Y232" s="1">
        <f ca="1">IFERROR(__xludf.DUMMYFUNCTION("""COMPUTED_VALUE"""),97.02)</f>
        <v>97.02</v>
      </c>
      <c r="Z232" s="1">
        <f ca="1">IFERROR(__xludf.DUMMYFUNCTION("""COMPUTED_VALUE"""),230.58)</f>
        <v>230.58</v>
      </c>
      <c r="AA232" s="1">
        <f ca="1">IFERROR(__xludf.DUMMYFUNCTION("""COMPUTED_VALUE"""),38.31)</f>
        <v>38.31</v>
      </c>
      <c r="AB232" s="1">
        <f ca="1">IFERROR(__xludf.DUMMYFUNCTION("""COMPUTED_VALUE"""),98.02)</f>
        <v>98.02</v>
      </c>
      <c r="AC232" s="1">
        <f ca="1">IFERROR(__xludf.DUMMYFUNCTION("""COMPUTED_VALUE"""),92.66)</f>
        <v>92.66</v>
      </c>
    </row>
    <row r="233" spans="1:29" x14ac:dyDescent="0.25">
      <c r="A233" s="2">
        <f ca="1">IFERROR(__xludf.DUMMYFUNCTION("""COMPUTED_VALUE"""),44166.6666666666)</f>
        <v>44166.666666666599</v>
      </c>
      <c r="B233" s="1">
        <f ca="1">IFERROR(__xludf.DUMMYFUNCTION("""COMPUTED_VALUE"""),122.72)</f>
        <v>122.72</v>
      </c>
      <c r="C233" s="1">
        <f ca="1">IFERROR(__xludf.DUMMYFUNCTION("""COMPUTED_VALUE"""),216.21)</f>
        <v>216.21</v>
      </c>
      <c r="D233" s="1">
        <f ca="1">IFERROR(__xludf.DUMMYFUNCTION("""COMPUTED_VALUE"""),161)</f>
        <v>161</v>
      </c>
      <c r="E233" s="1">
        <f ca="1">IFERROR(__xludf.DUMMYFUNCTION("""COMPUTED_VALUE"""),13.39)</f>
        <v>13.39</v>
      </c>
      <c r="F233" s="1">
        <f ca="1">IFERROR(__xludf.DUMMYFUNCTION("""COMPUTED_VALUE"""),286.55)</f>
        <v>286.55</v>
      </c>
      <c r="G233" s="1">
        <f ca="1">IFERROR(__xludf.DUMMYFUNCTION("""COMPUTED_VALUE"""),89.91)</f>
        <v>89.91</v>
      </c>
      <c r="H233" s="1">
        <f ca="1">IFERROR(__xludf.DUMMYFUNCTION("""COMPUTED_VALUE"""),194.92)</f>
        <v>194.92</v>
      </c>
      <c r="I233" s="1">
        <f ca="1">IFERROR(__xludf.DUMMYFUNCTION("""COMPUTED_VALUE"""),146.07)</f>
        <v>146.07</v>
      </c>
      <c r="J233" s="1">
        <f ca="1">IFERROR(__xludf.DUMMYFUNCTION("""COMPUTED_VALUE"""),387.56)</f>
        <v>387.56</v>
      </c>
      <c r="K233" s="1">
        <f ca="1">IFERROR(__xludf.DUMMYFUNCTION("""COMPUTED_VALUE"""),40.46)</f>
        <v>40.46</v>
      </c>
      <c r="L233" s="1">
        <f ca="1">IFERROR(__xludf.DUMMYFUNCTION("""COMPUTED_VALUE"""),479.15)</f>
        <v>479.15</v>
      </c>
      <c r="M233" s="1">
        <f ca="1">IFERROR(__xludf.DUMMYFUNCTION("""COMPUTED_VALUE"""),504.58)</f>
        <v>504.58</v>
      </c>
      <c r="N233" s="1">
        <f ca="1">IFERROR(__xludf.DUMMYFUNCTION("""COMPUTED_VALUE"""),119.74)</f>
        <v>119.74</v>
      </c>
      <c r="O233" s="1">
        <f ca="1">IFERROR(__xludf.DUMMYFUNCTION("""COMPUTED_VALUE"""),211.2)</f>
        <v>211.2</v>
      </c>
      <c r="P233" s="1">
        <f ca="1">IFERROR(__xludf.DUMMYFUNCTION("""COMPUTED_VALUE"""),147.45)</f>
        <v>147.44999999999999</v>
      </c>
      <c r="Q233" s="1">
        <f ca="1">IFERROR(__xludf.DUMMYFUNCTION("""COMPUTED_VALUE"""),341.19)</f>
        <v>341.19</v>
      </c>
      <c r="R233" s="1">
        <f ca="1">IFERROR(__xludf.DUMMYFUNCTION("""COMPUTED_VALUE"""),38.5)</f>
        <v>38.5</v>
      </c>
      <c r="S233" s="1">
        <f ca="1">IFERROR(__xludf.DUMMYFUNCTION("""COMPUTED_VALUE"""),74.15)</f>
        <v>74.150000000000006</v>
      </c>
      <c r="T233" s="1">
        <f ca="1">IFERROR(__xludf.DUMMYFUNCTION("""COMPUTED_VALUE"""),50.88)</f>
        <v>50.88</v>
      </c>
      <c r="U233" s="1">
        <f ca="1">IFERROR(__xludf.DUMMYFUNCTION("""COMPUTED_VALUE"""),135.44)</f>
        <v>135.44</v>
      </c>
      <c r="V233" s="1">
        <f ca="1">IFERROR(__xludf.DUMMYFUNCTION("""COMPUTED_VALUE"""),173.26)</f>
        <v>173.26</v>
      </c>
      <c r="W233" s="1">
        <f ca="1">IFERROR(__xludf.DUMMYFUNCTION("""COMPUTED_VALUE"""),364.99)</f>
        <v>364.99</v>
      </c>
      <c r="X233" s="1">
        <f ca="1">IFERROR(__xludf.DUMMYFUNCTION("""COMPUTED_VALUE"""),449.24)</f>
        <v>449.24</v>
      </c>
      <c r="Y233" s="1">
        <f ca="1">IFERROR(__xludf.DUMMYFUNCTION("""COMPUTED_VALUE"""),100.86)</f>
        <v>100.86</v>
      </c>
      <c r="Z233" s="1">
        <f ca="1">IFERROR(__xludf.DUMMYFUNCTION("""COMPUTED_VALUE"""),232.08)</f>
        <v>232.08</v>
      </c>
      <c r="AA233" s="1">
        <f ca="1">IFERROR(__xludf.DUMMYFUNCTION("""COMPUTED_VALUE"""),39.41)</f>
        <v>39.409999999999997</v>
      </c>
      <c r="AB233" s="1">
        <f ca="1">IFERROR(__xludf.DUMMYFUNCTION("""COMPUTED_VALUE"""),98.82)</f>
        <v>98.82</v>
      </c>
      <c r="AC233" s="1">
        <f ca="1">IFERROR(__xludf.DUMMYFUNCTION("""COMPUTED_VALUE"""),92.63)</f>
        <v>92.63</v>
      </c>
    </row>
    <row r="234" spans="1:29" x14ac:dyDescent="0.25">
      <c r="A234" s="2">
        <f ca="1">IFERROR(__xludf.DUMMYFUNCTION("""COMPUTED_VALUE"""),44167.6666666666)</f>
        <v>44167.666666666599</v>
      </c>
      <c r="B234" s="1">
        <f ca="1">IFERROR(__xludf.DUMMYFUNCTION("""COMPUTED_VALUE"""),123.08)</f>
        <v>123.08</v>
      </c>
      <c r="C234" s="1">
        <f ca="1">IFERROR(__xludf.DUMMYFUNCTION("""COMPUTED_VALUE"""),215.37)</f>
        <v>215.37</v>
      </c>
      <c r="D234" s="1">
        <f ca="1">IFERROR(__xludf.DUMMYFUNCTION("""COMPUTED_VALUE"""),160.18)</f>
        <v>160.18</v>
      </c>
      <c r="E234" s="1">
        <f ca="1">IFERROR(__xludf.DUMMYFUNCTION("""COMPUTED_VALUE"""),13.54)</f>
        <v>13.54</v>
      </c>
      <c r="F234" s="1">
        <f ca="1">IFERROR(__xludf.DUMMYFUNCTION("""COMPUTED_VALUE"""),287.52)</f>
        <v>287.52</v>
      </c>
      <c r="G234" s="1">
        <f ca="1">IFERROR(__xludf.DUMMYFUNCTION("""COMPUTED_VALUE"""),91.4)</f>
        <v>91.4</v>
      </c>
      <c r="H234" s="1">
        <f ca="1">IFERROR(__xludf.DUMMYFUNCTION("""COMPUTED_VALUE"""),189.61)</f>
        <v>189.61</v>
      </c>
      <c r="I234" s="1">
        <f ca="1">IFERROR(__xludf.DUMMYFUNCTION("""COMPUTED_VALUE"""),144.62)</f>
        <v>144.62</v>
      </c>
      <c r="J234" s="1">
        <f ca="1">IFERROR(__xludf.DUMMYFUNCTION("""COMPUTED_VALUE"""),383.5)</f>
        <v>383.5</v>
      </c>
      <c r="K234" s="1">
        <f ca="1">IFERROR(__xludf.DUMMYFUNCTION("""COMPUTED_VALUE"""),40.37)</f>
        <v>40.369999999999997</v>
      </c>
      <c r="L234" s="1">
        <f ca="1">IFERROR(__xludf.DUMMYFUNCTION("""COMPUTED_VALUE"""),481.26)</f>
        <v>481.26</v>
      </c>
      <c r="M234" s="1">
        <f ca="1">IFERROR(__xludf.DUMMYFUNCTION("""COMPUTED_VALUE"""),503.38)</f>
        <v>503.38</v>
      </c>
      <c r="N234" s="1">
        <f ca="1">IFERROR(__xludf.DUMMYFUNCTION("""COMPUTED_VALUE"""),122.04)</f>
        <v>122.04</v>
      </c>
      <c r="O234" s="1">
        <f ca="1">IFERROR(__xludf.DUMMYFUNCTION("""COMPUTED_VALUE"""),210.18)</f>
        <v>210.18</v>
      </c>
      <c r="P234" s="1">
        <f ca="1">IFERROR(__xludf.DUMMYFUNCTION("""COMPUTED_VALUE"""),148.14)</f>
        <v>148.13999999999999</v>
      </c>
      <c r="Q234" s="1">
        <f ca="1">IFERROR(__xludf.DUMMYFUNCTION("""COMPUTED_VALUE"""),347.56)</f>
        <v>347.56</v>
      </c>
      <c r="R234" s="1">
        <f ca="1">IFERROR(__xludf.DUMMYFUNCTION("""COMPUTED_VALUE"""),39.94)</f>
        <v>39.94</v>
      </c>
      <c r="S234" s="1">
        <f ca="1">IFERROR(__xludf.DUMMYFUNCTION("""COMPUTED_VALUE"""),74.31)</f>
        <v>74.31</v>
      </c>
      <c r="T234" s="1">
        <f ca="1">IFERROR(__xludf.DUMMYFUNCTION("""COMPUTED_VALUE"""),50.17)</f>
        <v>50.17</v>
      </c>
      <c r="U234" s="1">
        <f ca="1">IFERROR(__xludf.DUMMYFUNCTION("""COMPUTED_VALUE"""),135.58)</f>
        <v>135.58000000000001</v>
      </c>
      <c r="V234" s="1">
        <f ca="1">IFERROR(__xludf.DUMMYFUNCTION("""COMPUTED_VALUE"""),173.87)</f>
        <v>173.87</v>
      </c>
      <c r="W234" s="1">
        <f ca="1">IFERROR(__xludf.DUMMYFUNCTION("""COMPUTED_VALUE"""),361.36)</f>
        <v>361.36</v>
      </c>
      <c r="X234" s="1">
        <f ca="1">IFERROR(__xludf.DUMMYFUNCTION("""COMPUTED_VALUE"""),451)</f>
        <v>451</v>
      </c>
      <c r="Y234" s="1">
        <f ca="1">IFERROR(__xludf.DUMMYFUNCTION("""COMPUTED_VALUE"""),99.54)</f>
        <v>99.54</v>
      </c>
      <c r="Z234" s="1">
        <f ca="1">IFERROR(__xludf.DUMMYFUNCTION("""COMPUTED_VALUE"""),237.65)</f>
        <v>237.65</v>
      </c>
      <c r="AA234" s="1">
        <f ca="1">IFERROR(__xludf.DUMMYFUNCTION("""COMPUTED_VALUE"""),40.8)</f>
        <v>40.799999999999997</v>
      </c>
      <c r="AB234" s="1">
        <f ca="1">IFERROR(__xludf.DUMMYFUNCTION("""COMPUTED_VALUE"""),98.91)</f>
        <v>98.91</v>
      </c>
      <c r="AC234" s="1">
        <f ca="1">IFERROR(__xludf.DUMMYFUNCTION("""COMPUTED_VALUE"""),93.74)</f>
        <v>93.74</v>
      </c>
    </row>
    <row r="235" spans="1:29" x14ac:dyDescent="0.25">
      <c r="A235" s="2">
        <f ca="1">IFERROR(__xludf.DUMMYFUNCTION("""COMPUTED_VALUE"""),44168.6666666666)</f>
        <v>44168.666666666599</v>
      </c>
      <c r="B235" s="1">
        <f ca="1">IFERROR(__xludf.DUMMYFUNCTION("""COMPUTED_VALUE"""),122.94)</f>
        <v>122.94</v>
      </c>
      <c r="C235" s="1">
        <f ca="1">IFERROR(__xludf.DUMMYFUNCTION("""COMPUTED_VALUE"""),214.24)</f>
        <v>214.24</v>
      </c>
      <c r="D235" s="1">
        <f ca="1">IFERROR(__xludf.DUMMYFUNCTION("""COMPUTED_VALUE"""),159.34)</f>
        <v>159.34</v>
      </c>
      <c r="E235" s="1">
        <f ca="1">IFERROR(__xludf.DUMMYFUNCTION("""COMPUTED_VALUE"""),13.4)</f>
        <v>13.4</v>
      </c>
      <c r="F235" s="1">
        <f ca="1">IFERROR(__xludf.DUMMYFUNCTION("""COMPUTED_VALUE"""),281.85)</f>
        <v>281.85000000000002</v>
      </c>
      <c r="G235" s="1">
        <f ca="1">IFERROR(__xludf.DUMMYFUNCTION("""COMPUTED_VALUE"""),91.34)</f>
        <v>91.34</v>
      </c>
      <c r="H235" s="1">
        <f ca="1">IFERROR(__xludf.DUMMYFUNCTION("""COMPUTED_VALUE"""),197.79)</f>
        <v>197.79</v>
      </c>
      <c r="I235" s="1">
        <f ca="1">IFERROR(__xludf.DUMMYFUNCTION("""COMPUTED_VALUE"""),144.45)</f>
        <v>144.44999999999999</v>
      </c>
      <c r="J235" s="1">
        <f ca="1">IFERROR(__xludf.DUMMYFUNCTION("""COMPUTED_VALUE"""),374.05)</f>
        <v>374.05</v>
      </c>
      <c r="K235" s="1">
        <f ca="1">IFERROR(__xludf.DUMMYFUNCTION("""COMPUTED_VALUE"""),39.98)</f>
        <v>39.979999999999997</v>
      </c>
      <c r="L235" s="1">
        <f ca="1">IFERROR(__xludf.DUMMYFUNCTION("""COMPUTED_VALUE"""),484.28)</f>
        <v>484.28</v>
      </c>
      <c r="M235" s="1">
        <f ca="1">IFERROR(__xludf.DUMMYFUNCTION("""COMPUTED_VALUE"""),497.52)</f>
        <v>497.52</v>
      </c>
      <c r="N235" s="1">
        <f ca="1">IFERROR(__xludf.DUMMYFUNCTION("""COMPUTED_VALUE"""),121.24)</f>
        <v>121.24</v>
      </c>
      <c r="O235" s="1">
        <f ca="1">IFERROR(__xludf.DUMMYFUNCTION("""COMPUTED_VALUE"""),208.05)</f>
        <v>208.05</v>
      </c>
      <c r="P235" s="1">
        <f ca="1">IFERROR(__xludf.DUMMYFUNCTION("""COMPUTED_VALUE"""),149)</f>
        <v>149</v>
      </c>
      <c r="Q235" s="1">
        <f ca="1">IFERROR(__xludf.DUMMYFUNCTION("""COMPUTED_VALUE"""),348.68)</f>
        <v>348.68</v>
      </c>
      <c r="R235" s="1">
        <f ca="1">IFERROR(__xludf.DUMMYFUNCTION("""COMPUTED_VALUE"""),40.21)</f>
        <v>40.21</v>
      </c>
      <c r="S235" s="1">
        <f ca="1">IFERROR(__xludf.DUMMYFUNCTION("""COMPUTED_VALUE"""),73.35)</f>
        <v>73.349999999999994</v>
      </c>
      <c r="T235" s="1">
        <f ca="1">IFERROR(__xludf.DUMMYFUNCTION("""COMPUTED_VALUE"""),49.77)</f>
        <v>49.77</v>
      </c>
      <c r="U235" s="1">
        <f ca="1">IFERROR(__xludf.DUMMYFUNCTION("""COMPUTED_VALUE"""),136.96)</f>
        <v>136.96</v>
      </c>
      <c r="V235" s="1">
        <f ca="1">IFERROR(__xludf.DUMMYFUNCTION("""COMPUTED_VALUE"""),174.63)</f>
        <v>174.63</v>
      </c>
      <c r="W235" s="1">
        <f ca="1">IFERROR(__xludf.DUMMYFUNCTION("""COMPUTED_VALUE"""),362.03)</f>
        <v>362.03</v>
      </c>
      <c r="X235" s="1">
        <f ca="1">IFERROR(__xludf.DUMMYFUNCTION("""COMPUTED_VALUE"""),452.9)</f>
        <v>452.9</v>
      </c>
      <c r="Y235" s="1">
        <f ca="1">IFERROR(__xludf.DUMMYFUNCTION("""COMPUTED_VALUE"""),99.5)</f>
        <v>99.5</v>
      </c>
      <c r="Z235" s="1">
        <f ca="1">IFERROR(__xludf.DUMMYFUNCTION("""COMPUTED_VALUE"""),235.47)</f>
        <v>235.47</v>
      </c>
      <c r="AA235" s="1">
        <f ca="1">IFERROR(__xludf.DUMMYFUNCTION("""COMPUTED_VALUE"""),40.09)</f>
        <v>40.090000000000003</v>
      </c>
      <c r="AB235" s="1">
        <f ca="1">IFERROR(__xludf.DUMMYFUNCTION("""COMPUTED_VALUE"""),100.11)</f>
        <v>100.11</v>
      </c>
      <c r="AC235" s="1">
        <f ca="1">IFERROR(__xludf.DUMMYFUNCTION("""COMPUTED_VALUE"""),92.31)</f>
        <v>92.31</v>
      </c>
    </row>
    <row r="236" spans="1:29" x14ac:dyDescent="0.25">
      <c r="A236" s="2">
        <f ca="1">IFERROR(__xludf.DUMMYFUNCTION("""COMPUTED_VALUE"""),44169.6666666666)</f>
        <v>44169.666666666599</v>
      </c>
      <c r="B236" s="1">
        <f ca="1">IFERROR(__xludf.DUMMYFUNCTION("""COMPUTED_VALUE"""),122.25)</f>
        <v>122.25</v>
      </c>
      <c r="C236" s="1">
        <f ca="1">IFERROR(__xludf.DUMMYFUNCTION("""COMPUTED_VALUE"""),214.36)</f>
        <v>214.36</v>
      </c>
      <c r="D236" s="1">
        <f ca="1">IFERROR(__xludf.DUMMYFUNCTION("""COMPUTED_VALUE"""),158.13)</f>
        <v>158.13</v>
      </c>
      <c r="E236" s="1">
        <f ca="1">IFERROR(__xludf.DUMMYFUNCTION("""COMPUTED_VALUE"""),13.56)</f>
        <v>13.56</v>
      </c>
      <c r="F236" s="1">
        <f ca="1">IFERROR(__xludf.DUMMYFUNCTION("""COMPUTED_VALUE"""),279.7)</f>
        <v>279.7</v>
      </c>
      <c r="G236" s="1">
        <f ca="1">IFERROR(__xludf.DUMMYFUNCTION("""COMPUTED_VALUE"""),91.4)</f>
        <v>91.4</v>
      </c>
      <c r="H236" s="1">
        <f ca="1">IFERROR(__xludf.DUMMYFUNCTION("""COMPUTED_VALUE"""),199.68)</f>
        <v>199.68</v>
      </c>
      <c r="I236" s="1">
        <f ca="1">IFERROR(__xludf.DUMMYFUNCTION("""COMPUTED_VALUE"""),145.85)</f>
        <v>145.85</v>
      </c>
      <c r="J236" s="1">
        <f ca="1">IFERROR(__xludf.DUMMYFUNCTION("""COMPUTED_VALUE"""),373.43)</f>
        <v>373.43</v>
      </c>
      <c r="K236" s="1">
        <f ca="1">IFERROR(__xludf.DUMMYFUNCTION("""COMPUTED_VALUE"""),41.17)</f>
        <v>41.17</v>
      </c>
      <c r="L236" s="1">
        <f ca="1">IFERROR(__xludf.DUMMYFUNCTION("""COMPUTED_VALUE"""),486)</f>
        <v>486</v>
      </c>
      <c r="M236" s="1">
        <f ca="1">IFERROR(__xludf.DUMMYFUNCTION("""COMPUTED_VALUE"""),498.31)</f>
        <v>498.31</v>
      </c>
      <c r="N236" s="1">
        <f ca="1">IFERROR(__xludf.DUMMYFUNCTION("""COMPUTED_VALUE"""),122.34)</f>
        <v>122.34</v>
      </c>
      <c r="O236" s="1">
        <f ca="1">IFERROR(__xludf.DUMMYFUNCTION("""COMPUTED_VALUE"""),212.68)</f>
        <v>212.68</v>
      </c>
      <c r="P236" s="1">
        <f ca="1">IFERROR(__xludf.DUMMYFUNCTION("""COMPUTED_VALUE"""),150.27)</f>
        <v>150.27000000000001</v>
      </c>
      <c r="Q236" s="1">
        <f ca="1">IFERROR(__xludf.DUMMYFUNCTION("""COMPUTED_VALUE"""),349.89)</f>
        <v>349.89</v>
      </c>
      <c r="R236" s="1">
        <f ca="1">IFERROR(__xludf.DUMMYFUNCTION("""COMPUTED_VALUE"""),41.68)</f>
        <v>41.68</v>
      </c>
      <c r="S236" s="1">
        <f ca="1">IFERROR(__xludf.DUMMYFUNCTION("""COMPUTED_VALUE"""),72.52)</f>
        <v>72.52</v>
      </c>
      <c r="T236" s="1">
        <f ca="1">IFERROR(__xludf.DUMMYFUNCTION("""COMPUTED_VALUE"""),49.64)</f>
        <v>49.64</v>
      </c>
      <c r="U236" s="1">
        <f ca="1">IFERROR(__xludf.DUMMYFUNCTION("""COMPUTED_VALUE"""),137.19)</f>
        <v>137.19</v>
      </c>
      <c r="V236" s="1">
        <f ca="1">IFERROR(__xludf.DUMMYFUNCTION("""COMPUTED_VALUE"""),182.21)</f>
        <v>182.21</v>
      </c>
      <c r="W236" s="1">
        <f ca="1">IFERROR(__xludf.DUMMYFUNCTION("""COMPUTED_VALUE"""),366.61)</f>
        <v>366.61</v>
      </c>
      <c r="X236" s="1">
        <f ca="1">IFERROR(__xludf.DUMMYFUNCTION("""COMPUTED_VALUE"""),464.39)</f>
        <v>464.39</v>
      </c>
      <c r="Y236" s="1">
        <f ca="1">IFERROR(__xludf.DUMMYFUNCTION("""COMPUTED_VALUE"""),103.73)</f>
        <v>103.73</v>
      </c>
      <c r="Z236" s="1">
        <f ca="1">IFERROR(__xludf.DUMMYFUNCTION("""COMPUTED_VALUE"""),239.58)</f>
        <v>239.58</v>
      </c>
      <c r="AA236" s="1">
        <f ca="1">IFERROR(__xludf.DUMMYFUNCTION("""COMPUTED_VALUE"""),40.34)</f>
        <v>40.340000000000003</v>
      </c>
      <c r="AB236" s="1">
        <f ca="1">IFERROR(__xludf.DUMMYFUNCTION("""COMPUTED_VALUE"""),102.28)</f>
        <v>102.28</v>
      </c>
      <c r="AC236" s="1">
        <f ca="1">IFERROR(__xludf.DUMMYFUNCTION("""COMPUTED_VALUE"""),94.04)</f>
        <v>94.04</v>
      </c>
    </row>
    <row r="237" spans="1:29" x14ac:dyDescent="0.25">
      <c r="A237" s="2">
        <f ca="1">IFERROR(__xludf.DUMMYFUNCTION("""COMPUTED_VALUE"""),44172.6666666666)</f>
        <v>44172.666666666599</v>
      </c>
      <c r="B237" s="1">
        <f ca="1">IFERROR(__xludf.DUMMYFUNCTION("""COMPUTED_VALUE"""),123.75)</f>
        <v>123.75</v>
      </c>
      <c r="C237" s="1">
        <f ca="1">IFERROR(__xludf.DUMMYFUNCTION("""COMPUTED_VALUE"""),214.29)</f>
        <v>214.29</v>
      </c>
      <c r="D237" s="1">
        <f ca="1">IFERROR(__xludf.DUMMYFUNCTION("""COMPUTED_VALUE"""),157.9)</f>
        <v>157.9</v>
      </c>
      <c r="E237" s="1">
        <f ca="1">IFERROR(__xludf.DUMMYFUNCTION("""COMPUTED_VALUE"""),13.61)</f>
        <v>13.61</v>
      </c>
      <c r="F237" s="1">
        <f ca="1">IFERROR(__xludf.DUMMYFUNCTION("""COMPUTED_VALUE"""),285.58)</f>
        <v>285.58</v>
      </c>
      <c r="G237" s="1">
        <f ca="1">IFERROR(__xludf.DUMMYFUNCTION("""COMPUTED_VALUE"""),90.97)</f>
        <v>90.97</v>
      </c>
      <c r="H237" s="1">
        <f ca="1">IFERROR(__xludf.DUMMYFUNCTION("""COMPUTED_VALUE"""),213.92)</f>
        <v>213.92</v>
      </c>
      <c r="I237" s="1">
        <f ca="1">IFERROR(__xludf.DUMMYFUNCTION("""COMPUTED_VALUE"""),145.37)</f>
        <v>145.37</v>
      </c>
      <c r="J237" s="1">
        <f ca="1">IFERROR(__xludf.DUMMYFUNCTION("""COMPUTED_VALUE"""),373.33)</f>
        <v>373.33</v>
      </c>
      <c r="K237" s="1">
        <f ca="1">IFERROR(__xludf.DUMMYFUNCTION("""COMPUTED_VALUE"""),42.09)</f>
        <v>42.09</v>
      </c>
      <c r="L237" s="1">
        <f ca="1">IFERROR(__xludf.DUMMYFUNCTION("""COMPUTED_VALUE"""),492.25)</f>
        <v>492.25</v>
      </c>
      <c r="M237" s="1">
        <f ca="1">IFERROR(__xludf.DUMMYFUNCTION("""COMPUTED_VALUE"""),515.78)</f>
        <v>515.78</v>
      </c>
      <c r="N237" s="1">
        <f ca="1">IFERROR(__xludf.DUMMYFUNCTION("""COMPUTED_VALUE"""),121.88)</f>
        <v>121.88</v>
      </c>
      <c r="O237" s="1">
        <f ca="1">IFERROR(__xludf.DUMMYFUNCTION("""COMPUTED_VALUE"""),212.65)</f>
        <v>212.65</v>
      </c>
      <c r="P237" s="1">
        <f ca="1">IFERROR(__xludf.DUMMYFUNCTION("""COMPUTED_VALUE"""),148.97)</f>
        <v>148.97</v>
      </c>
      <c r="Q237" s="1">
        <f ca="1">IFERROR(__xludf.DUMMYFUNCTION("""COMPUTED_VALUE"""),347.86)</f>
        <v>347.86</v>
      </c>
      <c r="R237" s="1">
        <f ca="1">IFERROR(__xludf.DUMMYFUNCTION("""COMPUTED_VALUE"""),40.9)</f>
        <v>40.9</v>
      </c>
      <c r="S237" s="1">
        <f ca="1">IFERROR(__xludf.DUMMYFUNCTION("""COMPUTED_VALUE"""),73.27)</f>
        <v>73.27</v>
      </c>
      <c r="T237" s="1">
        <f ca="1">IFERROR(__xludf.DUMMYFUNCTION("""COMPUTED_VALUE"""),49.37)</f>
        <v>49.37</v>
      </c>
      <c r="U237" s="1">
        <f ca="1">IFERROR(__xludf.DUMMYFUNCTION("""COMPUTED_VALUE"""),138.75)</f>
        <v>138.75</v>
      </c>
      <c r="V237" s="1">
        <f ca="1">IFERROR(__xludf.DUMMYFUNCTION("""COMPUTED_VALUE"""),178.71)</f>
        <v>178.71</v>
      </c>
      <c r="W237" s="1">
        <f ca="1">IFERROR(__xludf.DUMMYFUNCTION("""COMPUTED_VALUE"""),362.13)</f>
        <v>362.13</v>
      </c>
      <c r="X237" s="1">
        <f ca="1">IFERROR(__xludf.DUMMYFUNCTION("""COMPUTED_VALUE"""),469.73)</f>
        <v>469.73</v>
      </c>
      <c r="Y237" s="1">
        <f ca="1">IFERROR(__xludf.DUMMYFUNCTION("""COMPUTED_VALUE"""),106.39)</f>
        <v>106.39</v>
      </c>
      <c r="Z237" s="1">
        <f ca="1">IFERROR(__xludf.DUMMYFUNCTION("""COMPUTED_VALUE"""),238.45)</f>
        <v>238.45</v>
      </c>
      <c r="AA237" s="1">
        <f ca="1">IFERROR(__xludf.DUMMYFUNCTION("""COMPUTED_VALUE"""),41.25)</f>
        <v>41.25</v>
      </c>
      <c r="AB237" s="1">
        <f ca="1">IFERROR(__xludf.DUMMYFUNCTION("""COMPUTED_VALUE"""),101.41)</f>
        <v>101.41</v>
      </c>
      <c r="AC237" s="1">
        <f ca="1">IFERROR(__xludf.DUMMYFUNCTION("""COMPUTED_VALUE"""),94.07)</f>
        <v>94.07</v>
      </c>
    </row>
    <row r="238" spans="1:29" x14ac:dyDescent="0.25">
      <c r="A238" s="2">
        <f ca="1">IFERROR(__xludf.DUMMYFUNCTION("""COMPUTED_VALUE"""),44173.6666666666)</f>
        <v>44173.666666666599</v>
      </c>
      <c r="B238" s="1">
        <f ca="1">IFERROR(__xludf.DUMMYFUNCTION("""COMPUTED_VALUE"""),124.38)</f>
        <v>124.38</v>
      </c>
      <c r="C238" s="1">
        <f ca="1">IFERROR(__xludf.DUMMYFUNCTION("""COMPUTED_VALUE"""),216.01)</f>
        <v>216.01</v>
      </c>
      <c r="D238" s="1">
        <f ca="1">IFERROR(__xludf.DUMMYFUNCTION("""COMPUTED_VALUE"""),158.86)</f>
        <v>158.86000000000001</v>
      </c>
      <c r="E238" s="1">
        <f ca="1">IFERROR(__xludf.DUMMYFUNCTION("""COMPUTED_VALUE"""),13.35)</f>
        <v>13.35</v>
      </c>
      <c r="F238" s="1">
        <f ca="1">IFERROR(__xludf.DUMMYFUNCTION("""COMPUTED_VALUE"""),283.4)</f>
        <v>283.39999999999998</v>
      </c>
      <c r="G238" s="1">
        <f ca="1">IFERROR(__xludf.DUMMYFUNCTION("""COMPUTED_VALUE"""),90.93)</f>
        <v>90.93</v>
      </c>
      <c r="H238" s="1">
        <f ca="1">IFERROR(__xludf.DUMMYFUNCTION("""COMPUTED_VALUE"""),216.63)</f>
        <v>216.63</v>
      </c>
      <c r="I238" s="1">
        <f ca="1">IFERROR(__xludf.DUMMYFUNCTION("""COMPUTED_VALUE"""),145.52)</f>
        <v>145.52000000000001</v>
      </c>
      <c r="J238" s="1">
        <f ca="1">IFERROR(__xludf.DUMMYFUNCTION("""COMPUTED_VALUE"""),377.6)</f>
        <v>377.6</v>
      </c>
      <c r="K238" s="1">
        <f ca="1">IFERROR(__xludf.DUMMYFUNCTION("""COMPUTED_VALUE"""),42.34)</f>
        <v>42.34</v>
      </c>
      <c r="L238" s="1">
        <f ca="1">IFERROR(__xludf.DUMMYFUNCTION("""COMPUTED_VALUE"""),495.28)</f>
        <v>495.28</v>
      </c>
      <c r="M238" s="1">
        <f ca="1">IFERROR(__xludf.DUMMYFUNCTION("""COMPUTED_VALUE"""),512.66)</f>
        <v>512.66</v>
      </c>
      <c r="N238" s="1">
        <f ca="1">IFERROR(__xludf.DUMMYFUNCTION("""COMPUTED_VALUE"""),122)</f>
        <v>122</v>
      </c>
      <c r="O238" s="1">
        <f ca="1">IFERROR(__xludf.DUMMYFUNCTION("""COMPUTED_VALUE"""),212.77)</f>
        <v>212.77</v>
      </c>
      <c r="P238" s="1">
        <f ca="1">IFERROR(__xludf.DUMMYFUNCTION("""COMPUTED_VALUE"""),151.55)</f>
        <v>151.55000000000001</v>
      </c>
      <c r="Q238" s="1">
        <f ca="1">IFERROR(__xludf.DUMMYFUNCTION("""COMPUTED_VALUE"""),347.86)</f>
        <v>347.86</v>
      </c>
      <c r="R238" s="1">
        <f ca="1">IFERROR(__xludf.DUMMYFUNCTION("""COMPUTED_VALUE"""),42.24)</f>
        <v>42.24</v>
      </c>
      <c r="S238" s="1">
        <f ca="1">IFERROR(__xludf.DUMMYFUNCTION("""COMPUTED_VALUE"""),73.68)</f>
        <v>73.680000000000007</v>
      </c>
      <c r="T238" s="1">
        <f ca="1">IFERROR(__xludf.DUMMYFUNCTION("""COMPUTED_VALUE"""),49.82)</f>
        <v>49.82</v>
      </c>
      <c r="U238" s="1">
        <f ca="1">IFERROR(__xludf.DUMMYFUNCTION("""COMPUTED_VALUE"""),139.12)</f>
        <v>139.12</v>
      </c>
      <c r="V238" s="1">
        <f ca="1">IFERROR(__xludf.DUMMYFUNCTION("""COMPUTED_VALUE"""),178.84)</f>
        <v>178.84</v>
      </c>
      <c r="W238" s="1">
        <f ca="1">IFERROR(__xludf.DUMMYFUNCTION("""COMPUTED_VALUE"""),359.23)</f>
        <v>359.23</v>
      </c>
      <c r="X238" s="1">
        <f ca="1">IFERROR(__xludf.DUMMYFUNCTION("""COMPUTED_VALUE"""),468.57)</f>
        <v>468.57</v>
      </c>
      <c r="Y238" s="1">
        <f ca="1">IFERROR(__xludf.DUMMYFUNCTION("""COMPUTED_VALUE"""),105.64)</f>
        <v>105.64</v>
      </c>
      <c r="Z238" s="1">
        <f ca="1">IFERROR(__xludf.DUMMYFUNCTION("""COMPUTED_VALUE"""),238.84)</f>
        <v>238.84</v>
      </c>
      <c r="AA238" s="1">
        <f ca="1">IFERROR(__xludf.DUMMYFUNCTION("""COMPUTED_VALUE"""),42.56)</f>
        <v>42.56</v>
      </c>
      <c r="AB238" s="1">
        <f ca="1">IFERROR(__xludf.DUMMYFUNCTION("""COMPUTED_VALUE"""),101.21)</f>
        <v>101.21</v>
      </c>
      <c r="AC238" s="1">
        <f ca="1">IFERROR(__xludf.DUMMYFUNCTION("""COMPUTED_VALUE"""),92.92)</f>
        <v>92.92</v>
      </c>
    </row>
    <row r="239" spans="1:29" x14ac:dyDescent="0.25">
      <c r="A239" s="2">
        <f ca="1">IFERROR(__xludf.DUMMYFUNCTION("""COMPUTED_VALUE"""),44174.6666666666)</f>
        <v>44174.666666666599</v>
      </c>
      <c r="B239" s="1">
        <f ca="1">IFERROR(__xludf.DUMMYFUNCTION("""COMPUTED_VALUE"""),121.78)</f>
        <v>121.78</v>
      </c>
      <c r="C239" s="1">
        <f ca="1">IFERROR(__xludf.DUMMYFUNCTION("""COMPUTED_VALUE"""),211.8)</f>
        <v>211.8</v>
      </c>
      <c r="D239" s="1">
        <f ca="1">IFERROR(__xludf.DUMMYFUNCTION("""COMPUTED_VALUE"""),155.21)</f>
        <v>155.21</v>
      </c>
      <c r="E239" s="1">
        <f ca="1">IFERROR(__xludf.DUMMYFUNCTION("""COMPUTED_VALUE"""),12.93)</f>
        <v>12.93</v>
      </c>
      <c r="F239" s="1">
        <f ca="1">IFERROR(__xludf.DUMMYFUNCTION("""COMPUTED_VALUE"""),277.92)</f>
        <v>277.92</v>
      </c>
      <c r="G239" s="1">
        <f ca="1">IFERROR(__xludf.DUMMYFUNCTION("""COMPUTED_VALUE"""),89.21)</f>
        <v>89.21</v>
      </c>
      <c r="H239" s="1">
        <f ca="1">IFERROR(__xludf.DUMMYFUNCTION("""COMPUTED_VALUE"""),201.49)</f>
        <v>201.49</v>
      </c>
      <c r="I239" s="1">
        <f ca="1">IFERROR(__xludf.DUMMYFUNCTION("""COMPUTED_VALUE"""),145.69)</f>
        <v>145.69</v>
      </c>
      <c r="J239" s="1">
        <f ca="1">IFERROR(__xludf.DUMMYFUNCTION("""COMPUTED_VALUE"""),374.29)</f>
        <v>374.29</v>
      </c>
      <c r="K239" s="1">
        <f ca="1">IFERROR(__xludf.DUMMYFUNCTION("""COMPUTED_VALUE"""),41.62)</f>
        <v>41.62</v>
      </c>
      <c r="L239" s="1">
        <f ca="1">IFERROR(__xludf.DUMMYFUNCTION("""COMPUTED_VALUE"""),483.74)</f>
        <v>483.74</v>
      </c>
      <c r="M239" s="1">
        <f ca="1">IFERROR(__xludf.DUMMYFUNCTION("""COMPUTED_VALUE"""),493.6)</f>
        <v>493.6</v>
      </c>
      <c r="N239" s="1">
        <f ca="1">IFERROR(__xludf.DUMMYFUNCTION("""COMPUTED_VALUE"""),121.05)</f>
        <v>121.05</v>
      </c>
      <c r="O239" s="1">
        <f ca="1">IFERROR(__xludf.DUMMYFUNCTION("""COMPUTED_VALUE"""),209.58)</f>
        <v>209.58</v>
      </c>
      <c r="P239" s="1">
        <f ca="1">IFERROR(__xludf.DUMMYFUNCTION("""COMPUTED_VALUE"""),153.1)</f>
        <v>153.1</v>
      </c>
      <c r="Q239" s="1">
        <f ca="1">IFERROR(__xludf.DUMMYFUNCTION("""COMPUTED_VALUE"""),344.41)</f>
        <v>344.41</v>
      </c>
      <c r="R239" s="1">
        <f ca="1">IFERROR(__xludf.DUMMYFUNCTION("""COMPUTED_VALUE"""),42.8)</f>
        <v>42.8</v>
      </c>
      <c r="S239" s="1">
        <f ca="1">IFERROR(__xludf.DUMMYFUNCTION("""COMPUTED_VALUE"""),73.67)</f>
        <v>73.67</v>
      </c>
      <c r="T239" s="1">
        <f ca="1">IFERROR(__xludf.DUMMYFUNCTION("""COMPUTED_VALUE"""),49.42)</f>
        <v>49.42</v>
      </c>
      <c r="U239" s="1">
        <f ca="1">IFERROR(__xludf.DUMMYFUNCTION("""COMPUTED_VALUE"""),138.79)</f>
        <v>138.79</v>
      </c>
      <c r="V239" s="1">
        <f ca="1">IFERROR(__xludf.DUMMYFUNCTION("""COMPUTED_VALUE"""),180.07)</f>
        <v>180.07</v>
      </c>
      <c r="W239" s="1">
        <f ca="1">IFERROR(__xludf.DUMMYFUNCTION("""COMPUTED_VALUE"""),361.35)</f>
        <v>361.35</v>
      </c>
      <c r="X239" s="1">
        <f ca="1">IFERROR(__xludf.DUMMYFUNCTION("""COMPUTED_VALUE"""),452.89)</f>
        <v>452.89</v>
      </c>
      <c r="Y239" s="1">
        <f ca="1">IFERROR(__xludf.DUMMYFUNCTION("""COMPUTED_VALUE"""),104.42)</f>
        <v>104.42</v>
      </c>
      <c r="Z239" s="1">
        <f ca="1">IFERROR(__xludf.DUMMYFUNCTION("""COMPUTED_VALUE"""),242.82)</f>
        <v>242.82</v>
      </c>
      <c r="AA239" s="1">
        <f ca="1">IFERROR(__xludf.DUMMYFUNCTION("""COMPUTED_VALUE"""),41.85)</f>
        <v>41.85</v>
      </c>
      <c r="AB239" s="1">
        <f ca="1">IFERROR(__xludf.DUMMYFUNCTION("""COMPUTED_VALUE"""),100.4)</f>
        <v>100.4</v>
      </c>
      <c r="AC239" s="1">
        <f ca="1">IFERROR(__xludf.DUMMYFUNCTION("""COMPUTED_VALUE"""),89.83)</f>
        <v>89.83</v>
      </c>
    </row>
    <row r="240" spans="1:29" x14ac:dyDescent="0.25">
      <c r="A240" s="2">
        <f ca="1">IFERROR(__xludf.DUMMYFUNCTION("""COMPUTED_VALUE"""),44175.6666666666)</f>
        <v>44175.666666666599</v>
      </c>
      <c r="B240" s="1">
        <f ca="1">IFERROR(__xludf.DUMMYFUNCTION("""COMPUTED_VALUE"""),123.24)</f>
        <v>123.24</v>
      </c>
      <c r="C240" s="1">
        <f ca="1">IFERROR(__xludf.DUMMYFUNCTION("""COMPUTED_VALUE"""),210.52)</f>
        <v>210.52</v>
      </c>
      <c r="D240" s="1">
        <f ca="1">IFERROR(__xludf.DUMMYFUNCTION("""COMPUTED_VALUE"""),155.07)</f>
        <v>155.07</v>
      </c>
      <c r="E240" s="1">
        <f ca="1">IFERROR(__xludf.DUMMYFUNCTION("""COMPUTED_VALUE"""),12.97)</f>
        <v>12.97</v>
      </c>
      <c r="F240" s="1">
        <f ca="1">IFERROR(__xludf.DUMMYFUNCTION("""COMPUTED_VALUE"""),277.12)</f>
        <v>277.12</v>
      </c>
      <c r="G240" s="1">
        <f ca="1">IFERROR(__xludf.DUMMYFUNCTION("""COMPUTED_VALUE"""),88.77)</f>
        <v>88.77</v>
      </c>
      <c r="H240" s="1">
        <f ca="1">IFERROR(__xludf.DUMMYFUNCTION("""COMPUTED_VALUE"""),209.02)</f>
        <v>209.02</v>
      </c>
      <c r="I240" s="1">
        <f ca="1">IFERROR(__xludf.DUMMYFUNCTION("""COMPUTED_VALUE"""),144.67)</f>
        <v>144.66999999999999</v>
      </c>
      <c r="J240" s="1">
        <f ca="1">IFERROR(__xludf.DUMMYFUNCTION("""COMPUTED_VALUE"""),372.79)</f>
        <v>372.79</v>
      </c>
      <c r="K240" s="1">
        <f ca="1">IFERROR(__xludf.DUMMYFUNCTION("""COMPUTED_VALUE"""),41)</f>
        <v>41</v>
      </c>
      <c r="L240" s="1">
        <f ca="1">IFERROR(__xludf.DUMMYFUNCTION("""COMPUTED_VALUE"""),476.87)</f>
        <v>476.87</v>
      </c>
      <c r="M240" s="1">
        <f ca="1">IFERROR(__xludf.DUMMYFUNCTION("""COMPUTED_VALUE"""),501.09)</f>
        <v>501.09</v>
      </c>
      <c r="N240" s="1">
        <f ca="1">IFERROR(__xludf.DUMMYFUNCTION("""COMPUTED_VALUE"""),120.27)</f>
        <v>120.27</v>
      </c>
      <c r="O240" s="1">
        <f ca="1">IFERROR(__xludf.DUMMYFUNCTION("""COMPUTED_VALUE"""),207.61)</f>
        <v>207.61</v>
      </c>
      <c r="P240" s="1">
        <f ca="1">IFERROR(__xludf.DUMMYFUNCTION("""COMPUTED_VALUE"""),152.25)</f>
        <v>152.25</v>
      </c>
      <c r="Q240" s="1">
        <f ca="1">IFERROR(__xludf.DUMMYFUNCTION("""COMPUTED_VALUE"""),339.65)</f>
        <v>339.65</v>
      </c>
      <c r="R240" s="1">
        <f ca="1">IFERROR(__xludf.DUMMYFUNCTION("""COMPUTED_VALUE"""),44.01)</f>
        <v>44.01</v>
      </c>
      <c r="S240" s="1">
        <f ca="1">IFERROR(__xludf.DUMMYFUNCTION("""COMPUTED_VALUE"""),73.28)</f>
        <v>73.28</v>
      </c>
      <c r="T240" s="1">
        <f ca="1">IFERROR(__xludf.DUMMYFUNCTION("""COMPUTED_VALUE"""),49.01)</f>
        <v>49.01</v>
      </c>
      <c r="U240" s="1">
        <f ca="1">IFERROR(__xludf.DUMMYFUNCTION("""COMPUTED_VALUE"""),137.58)</f>
        <v>137.58000000000001</v>
      </c>
      <c r="V240" s="1">
        <f ca="1">IFERROR(__xludf.DUMMYFUNCTION("""COMPUTED_VALUE"""),178.85)</f>
        <v>178.85</v>
      </c>
      <c r="W240" s="1">
        <f ca="1">IFERROR(__xludf.DUMMYFUNCTION("""COMPUTED_VALUE"""),355.39)</f>
        <v>355.39</v>
      </c>
      <c r="X240" s="1">
        <f ca="1">IFERROR(__xludf.DUMMYFUNCTION("""COMPUTED_VALUE"""),457.8)</f>
        <v>457.8</v>
      </c>
      <c r="Y240" s="1">
        <f ca="1">IFERROR(__xludf.DUMMYFUNCTION("""COMPUTED_VALUE"""),104.23)</f>
        <v>104.23</v>
      </c>
      <c r="Z240" s="1">
        <f ca="1">IFERROR(__xludf.DUMMYFUNCTION("""COMPUTED_VALUE"""),244.4)</f>
        <v>244.4</v>
      </c>
      <c r="AA240" s="1">
        <f ca="1">IFERROR(__xludf.DUMMYFUNCTION("""COMPUTED_VALUE"""),41.73)</f>
        <v>41.73</v>
      </c>
      <c r="AB240" s="1">
        <f ca="1">IFERROR(__xludf.DUMMYFUNCTION("""COMPUTED_VALUE"""),105.39)</f>
        <v>105.39</v>
      </c>
      <c r="AC240" s="1">
        <f ca="1">IFERROR(__xludf.DUMMYFUNCTION("""COMPUTED_VALUE"""),91.66)</f>
        <v>91.66</v>
      </c>
    </row>
    <row r="241" spans="1:29" x14ac:dyDescent="0.25">
      <c r="A241" s="2">
        <f ca="1">IFERROR(__xludf.DUMMYFUNCTION("""COMPUTED_VALUE"""),44176.6666666666)</f>
        <v>44176.666666666599</v>
      </c>
      <c r="B241" s="1">
        <f ca="1">IFERROR(__xludf.DUMMYFUNCTION("""COMPUTED_VALUE"""),122.41)</f>
        <v>122.41</v>
      </c>
      <c r="C241" s="1">
        <f ca="1">IFERROR(__xludf.DUMMYFUNCTION("""COMPUTED_VALUE"""),213.26)</f>
        <v>213.26</v>
      </c>
      <c r="D241" s="1">
        <f ca="1">IFERROR(__xludf.DUMMYFUNCTION("""COMPUTED_VALUE"""),155.82)</f>
        <v>155.82</v>
      </c>
      <c r="E241" s="1">
        <f ca="1">IFERROR(__xludf.DUMMYFUNCTION("""COMPUTED_VALUE"""),13.01)</f>
        <v>13.01</v>
      </c>
      <c r="F241" s="1">
        <f ca="1">IFERROR(__xludf.DUMMYFUNCTION("""COMPUTED_VALUE"""),273.55)</f>
        <v>273.55</v>
      </c>
      <c r="G241" s="1">
        <f ca="1">IFERROR(__xludf.DUMMYFUNCTION("""COMPUTED_VALUE"""),89.09)</f>
        <v>89.09</v>
      </c>
      <c r="H241" s="1">
        <f ca="1">IFERROR(__xludf.DUMMYFUNCTION("""COMPUTED_VALUE"""),203.33)</f>
        <v>203.33</v>
      </c>
      <c r="I241" s="1">
        <f ca="1">IFERROR(__xludf.DUMMYFUNCTION("""COMPUTED_VALUE"""),144.97)</f>
        <v>144.97</v>
      </c>
      <c r="J241" s="1">
        <f ca="1">IFERROR(__xludf.DUMMYFUNCTION("""COMPUTED_VALUE"""),375.1)</f>
        <v>375.1</v>
      </c>
      <c r="K241" s="1">
        <f ca="1">IFERROR(__xludf.DUMMYFUNCTION("""COMPUTED_VALUE"""),40.58)</f>
        <v>40.58</v>
      </c>
      <c r="L241" s="1">
        <f ca="1">IFERROR(__xludf.DUMMYFUNCTION("""COMPUTED_VALUE"""),475.91)</f>
        <v>475.91</v>
      </c>
      <c r="M241" s="1">
        <f ca="1">IFERROR(__xludf.DUMMYFUNCTION("""COMPUTED_VALUE"""),503.22)</f>
        <v>503.22</v>
      </c>
      <c r="N241" s="1">
        <f ca="1">IFERROR(__xludf.DUMMYFUNCTION("""COMPUTED_VALUE"""),119.56)</f>
        <v>119.56</v>
      </c>
      <c r="O241" s="1">
        <f ca="1">IFERROR(__xludf.DUMMYFUNCTION("""COMPUTED_VALUE"""),206.24)</f>
        <v>206.24</v>
      </c>
      <c r="P241" s="1">
        <f ca="1">IFERROR(__xludf.DUMMYFUNCTION("""COMPUTED_VALUE"""),152.95)</f>
        <v>152.94999999999999</v>
      </c>
      <c r="Q241" s="1">
        <f ca="1">IFERROR(__xludf.DUMMYFUNCTION("""COMPUTED_VALUE"""),337.07)</f>
        <v>337.07</v>
      </c>
      <c r="R241" s="1">
        <f ca="1">IFERROR(__xludf.DUMMYFUNCTION("""COMPUTED_VALUE"""),43.8)</f>
        <v>43.8</v>
      </c>
      <c r="S241" s="1">
        <f ca="1">IFERROR(__xludf.DUMMYFUNCTION("""COMPUTED_VALUE"""),73.8)</f>
        <v>73.8</v>
      </c>
      <c r="T241" s="1">
        <f ca="1">IFERROR(__xludf.DUMMYFUNCTION("""COMPUTED_VALUE"""),49)</f>
        <v>49</v>
      </c>
      <c r="U241" s="1">
        <f ca="1">IFERROR(__xludf.DUMMYFUNCTION("""COMPUTED_VALUE"""),137.41)</f>
        <v>137.41</v>
      </c>
      <c r="V241" s="1">
        <f ca="1">IFERROR(__xludf.DUMMYFUNCTION("""COMPUTED_VALUE"""),179.29)</f>
        <v>179.29</v>
      </c>
      <c r="W241" s="1">
        <f ca="1">IFERROR(__xludf.DUMMYFUNCTION("""COMPUTED_VALUE"""),361.71)</f>
        <v>361.71</v>
      </c>
      <c r="X241" s="1">
        <f ca="1">IFERROR(__xludf.DUMMYFUNCTION("""COMPUTED_VALUE"""),452.63)</f>
        <v>452.63</v>
      </c>
      <c r="Y241" s="1">
        <f ca="1">IFERROR(__xludf.DUMMYFUNCTION("""COMPUTED_VALUE"""),104.03)</f>
        <v>104.03</v>
      </c>
      <c r="Z241" s="1">
        <f ca="1">IFERROR(__xludf.DUMMYFUNCTION("""COMPUTED_VALUE"""),239.99)</f>
        <v>239.99</v>
      </c>
      <c r="AA241" s="1">
        <f ca="1">IFERROR(__xludf.DUMMYFUNCTION("""COMPUTED_VALUE"""),41.12)</f>
        <v>41.12</v>
      </c>
      <c r="AB241" s="1">
        <f ca="1">IFERROR(__xludf.DUMMYFUNCTION("""COMPUTED_VALUE"""),103)</f>
        <v>103</v>
      </c>
      <c r="AC241" s="1">
        <f ca="1">IFERROR(__xludf.DUMMYFUNCTION("""COMPUTED_VALUE"""),91.65)</f>
        <v>91.65</v>
      </c>
    </row>
    <row r="242" spans="1:29" x14ac:dyDescent="0.25">
      <c r="A242" s="2">
        <f ca="1">IFERROR(__xludf.DUMMYFUNCTION("""COMPUTED_VALUE"""),44179.6666666666)</f>
        <v>44179.666666666599</v>
      </c>
      <c r="B242" s="1">
        <f ca="1">IFERROR(__xludf.DUMMYFUNCTION("""COMPUTED_VALUE"""),121.78)</f>
        <v>121.78</v>
      </c>
      <c r="C242" s="1">
        <f ca="1">IFERROR(__xludf.DUMMYFUNCTION("""COMPUTED_VALUE"""),214.2)</f>
        <v>214.2</v>
      </c>
      <c r="D242" s="1">
        <f ca="1">IFERROR(__xludf.DUMMYFUNCTION("""COMPUTED_VALUE"""),157.85)</f>
        <v>157.85</v>
      </c>
      <c r="E242" s="1">
        <f ca="1">IFERROR(__xludf.DUMMYFUNCTION("""COMPUTED_VALUE"""),13.31)</f>
        <v>13.31</v>
      </c>
      <c r="F242" s="1">
        <f ca="1">IFERROR(__xludf.DUMMYFUNCTION("""COMPUTED_VALUE"""),274.19)</f>
        <v>274.19</v>
      </c>
      <c r="G242" s="1">
        <f ca="1">IFERROR(__xludf.DUMMYFUNCTION("""COMPUTED_VALUE"""),88)</f>
        <v>88</v>
      </c>
      <c r="H242" s="1">
        <f ca="1">IFERROR(__xludf.DUMMYFUNCTION("""COMPUTED_VALUE"""),213.28)</f>
        <v>213.28</v>
      </c>
      <c r="I242" s="1">
        <f ca="1">IFERROR(__xludf.DUMMYFUNCTION("""COMPUTED_VALUE"""),144.23)</f>
        <v>144.22999999999999</v>
      </c>
      <c r="J242" s="1">
        <f ca="1">IFERROR(__xludf.DUMMYFUNCTION("""COMPUTED_VALUE"""),374.38)</f>
        <v>374.38</v>
      </c>
      <c r="K242" s="1">
        <f ca="1">IFERROR(__xludf.DUMMYFUNCTION("""COMPUTED_VALUE"""),41.18)</f>
        <v>41.18</v>
      </c>
      <c r="L242" s="1">
        <f ca="1">IFERROR(__xludf.DUMMYFUNCTION("""COMPUTED_VALUE"""),486.42)</f>
        <v>486.42</v>
      </c>
      <c r="M242" s="1">
        <f ca="1">IFERROR(__xludf.DUMMYFUNCTION("""COMPUTED_VALUE"""),522.42)</f>
        <v>522.41999999999996</v>
      </c>
      <c r="N242" s="1">
        <f ca="1">IFERROR(__xludf.DUMMYFUNCTION("""COMPUTED_VALUE"""),118.3)</f>
        <v>118.3</v>
      </c>
      <c r="O242" s="1">
        <f ca="1">IFERROR(__xludf.DUMMYFUNCTION("""COMPUTED_VALUE"""),207.25)</f>
        <v>207.25</v>
      </c>
      <c r="P242" s="1">
        <f ca="1">IFERROR(__xludf.DUMMYFUNCTION("""COMPUTED_VALUE"""),149.07)</f>
        <v>149.07</v>
      </c>
      <c r="Q242" s="1">
        <f ca="1">IFERROR(__xludf.DUMMYFUNCTION("""COMPUTED_VALUE"""),336.13)</f>
        <v>336.13</v>
      </c>
      <c r="R242" s="1">
        <f ca="1">IFERROR(__xludf.DUMMYFUNCTION("""COMPUTED_VALUE"""),42.22)</f>
        <v>42.22</v>
      </c>
      <c r="S242" s="1">
        <f ca="1">IFERROR(__xludf.DUMMYFUNCTION("""COMPUTED_VALUE"""),73.55)</f>
        <v>73.55</v>
      </c>
      <c r="T242" s="1">
        <f ca="1">IFERROR(__xludf.DUMMYFUNCTION("""COMPUTED_VALUE"""),48.55)</f>
        <v>48.55</v>
      </c>
      <c r="U242" s="1">
        <f ca="1">IFERROR(__xludf.DUMMYFUNCTION("""COMPUTED_VALUE"""),136.28)</f>
        <v>136.28</v>
      </c>
      <c r="V242" s="1">
        <f ca="1">IFERROR(__xludf.DUMMYFUNCTION("""COMPUTED_VALUE"""),178.05)</f>
        <v>178.05</v>
      </c>
      <c r="W242" s="1">
        <f ca="1">IFERROR(__xludf.DUMMYFUNCTION("""COMPUTED_VALUE"""),357.66)</f>
        <v>357.66</v>
      </c>
      <c r="X242" s="1">
        <f ca="1">IFERROR(__xludf.DUMMYFUNCTION("""COMPUTED_VALUE"""),452.99)</f>
        <v>452.99</v>
      </c>
      <c r="Y242" s="1">
        <f ca="1">IFERROR(__xludf.DUMMYFUNCTION("""COMPUTED_VALUE"""),103.56)</f>
        <v>103.56</v>
      </c>
      <c r="Z242" s="1">
        <f ca="1">IFERROR(__xludf.DUMMYFUNCTION("""COMPUTED_VALUE"""),237.79)</f>
        <v>237.79</v>
      </c>
      <c r="AA242" s="1">
        <f ca="1">IFERROR(__xludf.DUMMYFUNCTION("""COMPUTED_VALUE"""),39.21)</f>
        <v>39.21</v>
      </c>
      <c r="AB242" s="1">
        <f ca="1">IFERROR(__xludf.DUMMYFUNCTION("""COMPUTED_VALUE"""),103.32)</f>
        <v>103.32</v>
      </c>
      <c r="AC242" s="1">
        <f ca="1">IFERROR(__xludf.DUMMYFUNCTION("""COMPUTED_VALUE"""),94.78)</f>
        <v>94.78</v>
      </c>
    </row>
    <row r="243" spans="1:29" x14ac:dyDescent="0.25">
      <c r="A243" s="2">
        <f ca="1">IFERROR(__xludf.DUMMYFUNCTION("""COMPUTED_VALUE"""),44180.6666666666)</f>
        <v>44180.666666666599</v>
      </c>
      <c r="B243" s="1">
        <f ca="1">IFERROR(__xludf.DUMMYFUNCTION("""COMPUTED_VALUE"""),127.88)</f>
        <v>127.88</v>
      </c>
      <c r="C243" s="1">
        <f ca="1">IFERROR(__xludf.DUMMYFUNCTION("""COMPUTED_VALUE"""),214.13)</f>
        <v>214.13</v>
      </c>
      <c r="D243" s="1">
        <f ca="1">IFERROR(__xludf.DUMMYFUNCTION("""COMPUTED_VALUE"""),158.26)</f>
        <v>158.26</v>
      </c>
      <c r="E243" s="1">
        <f ca="1">IFERROR(__xludf.DUMMYFUNCTION("""COMPUTED_VALUE"""),13.36)</f>
        <v>13.36</v>
      </c>
      <c r="F243" s="1">
        <f ca="1">IFERROR(__xludf.DUMMYFUNCTION("""COMPUTED_VALUE"""),275.55)</f>
        <v>275.55</v>
      </c>
      <c r="G243" s="1">
        <f ca="1">IFERROR(__xludf.DUMMYFUNCTION("""COMPUTED_VALUE"""),88.39)</f>
        <v>88.39</v>
      </c>
      <c r="H243" s="1">
        <f ca="1">IFERROR(__xludf.DUMMYFUNCTION("""COMPUTED_VALUE"""),211.08)</f>
        <v>211.08</v>
      </c>
      <c r="I243" s="1">
        <f ca="1">IFERROR(__xludf.DUMMYFUNCTION("""COMPUTED_VALUE"""),144.77)</f>
        <v>144.77000000000001</v>
      </c>
      <c r="J243" s="1">
        <f ca="1">IFERROR(__xludf.DUMMYFUNCTION("""COMPUTED_VALUE"""),371.88)</f>
        <v>371.88</v>
      </c>
      <c r="K243" s="1">
        <f ca="1">IFERROR(__xludf.DUMMYFUNCTION("""COMPUTED_VALUE"""),41.81)</f>
        <v>41.81</v>
      </c>
      <c r="L243" s="1">
        <f ca="1">IFERROR(__xludf.DUMMYFUNCTION("""COMPUTED_VALUE"""),482.64)</f>
        <v>482.64</v>
      </c>
      <c r="M243" s="1">
        <f ca="1">IFERROR(__xludf.DUMMYFUNCTION("""COMPUTED_VALUE"""),519.78)</f>
        <v>519.78</v>
      </c>
      <c r="N243" s="1">
        <f ca="1">IFERROR(__xludf.DUMMYFUNCTION("""COMPUTED_VALUE"""),120.32)</f>
        <v>120.32</v>
      </c>
      <c r="O243" s="1">
        <f ca="1">IFERROR(__xludf.DUMMYFUNCTION("""COMPUTED_VALUE"""),208.36)</f>
        <v>208.36</v>
      </c>
      <c r="P243" s="1">
        <f ca="1">IFERROR(__xludf.DUMMYFUNCTION("""COMPUTED_VALUE"""),150.57)</f>
        <v>150.57</v>
      </c>
      <c r="Q243" s="1">
        <f ca="1">IFERROR(__xludf.DUMMYFUNCTION("""COMPUTED_VALUE"""),339.67)</f>
        <v>339.67</v>
      </c>
      <c r="R243" s="1">
        <f ca="1">IFERROR(__xludf.DUMMYFUNCTION("""COMPUTED_VALUE"""),43.04)</f>
        <v>43.04</v>
      </c>
      <c r="S243" s="1">
        <f ca="1">IFERROR(__xludf.DUMMYFUNCTION("""COMPUTED_VALUE"""),74.91)</f>
        <v>74.91</v>
      </c>
      <c r="T243" s="1">
        <f ca="1">IFERROR(__xludf.DUMMYFUNCTION("""COMPUTED_VALUE"""),48.53)</f>
        <v>48.53</v>
      </c>
      <c r="U243" s="1">
        <f ca="1">IFERROR(__xludf.DUMMYFUNCTION("""COMPUTED_VALUE"""),139.39)</f>
        <v>139.38999999999999</v>
      </c>
      <c r="V243" s="1">
        <f ca="1">IFERROR(__xludf.DUMMYFUNCTION("""COMPUTED_VALUE"""),181.74)</f>
        <v>181.74</v>
      </c>
      <c r="W243" s="1">
        <f ca="1">IFERROR(__xludf.DUMMYFUNCTION("""COMPUTED_VALUE"""),357.57)</f>
        <v>357.57</v>
      </c>
      <c r="X243" s="1">
        <f ca="1">IFERROR(__xludf.DUMMYFUNCTION("""COMPUTED_VALUE"""),469.3)</f>
        <v>469.3</v>
      </c>
      <c r="Y243" s="1">
        <f ca="1">IFERROR(__xludf.DUMMYFUNCTION("""COMPUTED_VALUE"""),105.09)</f>
        <v>105.09</v>
      </c>
      <c r="Z243" s="1">
        <f ca="1">IFERROR(__xludf.DUMMYFUNCTION("""COMPUTED_VALUE"""),242.43)</f>
        <v>242.43</v>
      </c>
      <c r="AA243" s="1">
        <f ca="1">IFERROR(__xludf.DUMMYFUNCTION("""COMPUTED_VALUE"""),38.71)</f>
        <v>38.71</v>
      </c>
      <c r="AB243" s="1">
        <f ca="1">IFERROR(__xludf.DUMMYFUNCTION("""COMPUTED_VALUE"""),104.18)</f>
        <v>104.18</v>
      </c>
      <c r="AC243" s="1">
        <f ca="1">IFERROR(__xludf.DUMMYFUNCTION("""COMPUTED_VALUE"""),97.12)</f>
        <v>97.12</v>
      </c>
    </row>
    <row r="244" spans="1:29" x14ac:dyDescent="0.25">
      <c r="A244" s="2">
        <f ca="1">IFERROR(__xludf.DUMMYFUNCTION("""COMPUTED_VALUE"""),44181.6666666666)</f>
        <v>44181.666666666599</v>
      </c>
      <c r="B244" s="1">
        <f ca="1">IFERROR(__xludf.DUMMYFUNCTION("""COMPUTED_VALUE"""),127.81)</f>
        <v>127.81</v>
      </c>
      <c r="C244" s="1">
        <f ca="1">IFERROR(__xludf.DUMMYFUNCTION("""COMPUTED_VALUE"""),219.28)</f>
        <v>219.28</v>
      </c>
      <c r="D244" s="1">
        <f ca="1">IFERROR(__xludf.DUMMYFUNCTION("""COMPUTED_VALUE"""),162.05)</f>
        <v>162.05000000000001</v>
      </c>
      <c r="E244" s="1">
        <f ca="1">IFERROR(__xludf.DUMMYFUNCTION("""COMPUTED_VALUE"""),13.24)</f>
        <v>13.24</v>
      </c>
      <c r="F244" s="1">
        <f ca="1">IFERROR(__xludf.DUMMYFUNCTION("""COMPUTED_VALUE"""),275.67)</f>
        <v>275.67</v>
      </c>
      <c r="G244" s="1">
        <f ca="1">IFERROR(__xludf.DUMMYFUNCTION("""COMPUTED_VALUE"""),88.15)</f>
        <v>88.15</v>
      </c>
      <c r="H244" s="1">
        <f ca="1">IFERROR(__xludf.DUMMYFUNCTION("""COMPUTED_VALUE"""),207.59)</f>
        <v>207.59</v>
      </c>
      <c r="I244" s="1">
        <f ca="1">IFERROR(__xludf.DUMMYFUNCTION("""COMPUTED_VALUE"""),144.89)</f>
        <v>144.88999999999999</v>
      </c>
      <c r="J244" s="1">
        <f ca="1">IFERROR(__xludf.DUMMYFUNCTION("""COMPUTED_VALUE"""),369.44)</f>
        <v>369.44</v>
      </c>
      <c r="K244" s="1">
        <f ca="1">IFERROR(__xludf.DUMMYFUNCTION("""COMPUTED_VALUE"""),42.49)</f>
        <v>42.49</v>
      </c>
      <c r="L244" s="1">
        <f ca="1">IFERROR(__xludf.DUMMYFUNCTION("""COMPUTED_VALUE"""),489.9)</f>
        <v>489.9</v>
      </c>
      <c r="M244" s="1">
        <f ca="1">IFERROR(__xludf.DUMMYFUNCTION("""COMPUTED_VALUE"""),524.83)</f>
        <v>524.83000000000004</v>
      </c>
      <c r="N244" s="1">
        <f ca="1">IFERROR(__xludf.DUMMYFUNCTION("""COMPUTED_VALUE"""),120.67)</f>
        <v>120.67</v>
      </c>
      <c r="O244" s="1">
        <f ca="1">IFERROR(__xludf.DUMMYFUNCTION("""COMPUTED_VALUE"""),208.27)</f>
        <v>208.27</v>
      </c>
      <c r="P244" s="1">
        <f ca="1">IFERROR(__xludf.DUMMYFUNCTION("""COMPUTED_VALUE"""),149.67)</f>
        <v>149.66999999999999</v>
      </c>
      <c r="Q244" s="1">
        <f ca="1">IFERROR(__xludf.DUMMYFUNCTION("""COMPUTED_VALUE"""),339.34)</f>
        <v>339.34</v>
      </c>
      <c r="R244" s="1">
        <f ca="1">IFERROR(__xludf.DUMMYFUNCTION("""COMPUTED_VALUE"""),43.7)</f>
        <v>43.7</v>
      </c>
      <c r="S244" s="1">
        <f ca="1">IFERROR(__xludf.DUMMYFUNCTION("""COMPUTED_VALUE"""),74.44)</f>
        <v>74.44</v>
      </c>
      <c r="T244" s="1">
        <f ca="1">IFERROR(__xludf.DUMMYFUNCTION("""COMPUTED_VALUE"""),48.48)</f>
        <v>48.48</v>
      </c>
      <c r="U244" s="1">
        <f ca="1">IFERROR(__xludf.DUMMYFUNCTION("""COMPUTED_VALUE"""),138.34)</f>
        <v>138.34</v>
      </c>
      <c r="V244" s="1">
        <f ca="1">IFERROR(__xludf.DUMMYFUNCTION("""COMPUTED_VALUE"""),179.5)</f>
        <v>179.5</v>
      </c>
      <c r="W244" s="1">
        <f ca="1">IFERROR(__xludf.DUMMYFUNCTION("""COMPUTED_VALUE"""),354.57)</f>
        <v>354.57</v>
      </c>
      <c r="X244" s="1">
        <f ca="1">IFERROR(__xludf.DUMMYFUNCTION("""COMPUTED_VALUE"""),471.53)</f>
        <v>471.53</v>
      </c>
      <c r="Y244" s="1">
        <f ca="1">IFERROR(__xludf.DUMMYFUNCTION("""COMPUTED_VALUE"""),105.2)</f>
        <v>105.2</v>
      </c>
      <c r="Z244" s="1">
        <f ca="1">IFERROR(__xludf.DUMMYFUNCTION("""COMPUTED_VALUE"""),243.77)</f>
        <v>243.77</v>
      </c>
      <c r="AA244" s="1">
        <f ca="1">IFERROR(__xludf.DUMMYFUNCTION("""COMPUTED_VALUE"""),37.84)</f>
        <v>37.840000000000003</v>
      </c>
      <c r="AB244" s="1">
        <f ca="1">IFERROR(__xludf.DUMMYFUNCTION("""COMPUTED_VALUE"""),103.27)</f>
        <v>103.27</v>
      </c>
      <c r="AC244" s="1">
        <f ca="1">IFERROR(__xludf.DUMMYFUNCTION("""COMPUTED_VALUE"""),96.85)</f>
        <v>96.85</v>
      </c>
    </row>
    <row r="245" spans="1:29" x14ac:dyDescent="0.25">
      <c r="A245" s="2">
        <f ca="1">IFERROR(__xludf.DUMMYFUNCTION("""COMPUTED_VALUE"""),44182.6666666666)</f>
        <v>44182.666666666599</v>
      </c>
      <c r="B245" s="1">
        <f ca="1">IFERROR(__xludf.DUMMYFUNCTION("""COMPUTED_VALUE"""),128.7)</f>
        <v>128.69999999999999</v>
      </c>
      <c r="C245" s="1">
        <f ca="1">IFERROR(__xludf.DUMMYFUNCTION("""COMPUTED_VALUE"""),219.42)</f>
        <v>219.42</v>
      </c>
      <c r="D245" s="1">
        <f ca="1">IFERROR(__xludf.DUMMYFUNCTION("""COMPUTED_VALUE"""),161.8)</f>
        <v>161.80000000000001</v>
      </c>
      <c r="E245" s="1">
        <f ca="1">IFERROR(__xludf.DUMMYFUNCTION("""COMPUTED_VALUE"""),13.34)</f>
        <v>13.34</v>
      </c>
      <c r="F245" s="1">
        <f ca="1">IFERROR(__xludf.DUMMYFUNCTION("""COMPUTED_VALUE"""),274.48)</f>
        <v>274.48</v>
      </c>
      <c r="G245" s="1">
        <f ca="1">IFERROR(__xludf.DUMMYFUNCTION("""COMPUTED_VALUE"""),87.4)</f>
        <v>87.4</v>
      </c>
      <c r="H245" s="1">
        <f ca="1">IFERROR(__xludf.DUMMYFUNCTION("""COMPUTED_VALUE"""),218.63)</f>
        <v>218.63</v>
      </c>
      <c r="I245" s="1">
        <f ca="1">IFERROR(__xludf.DUMMYFUNCTION("""COMPUTED_VALUE"""),145.71)</f>
        <v>145.71</v>
      </c>
      <c r="J245" s="1">
        <f ca="1">IFERROR(__xludf.DUMMYFUNCTION("""COMPUTED_VALUE"""),370.29)</f>
        <v>370.29</v>
      </c>
      <c r="K245" s="1">
        <f ca="1">IFERROR(__xludf.DUMMYFUNCTION("""COMPUTED_VALUE"""),42.61)</f>
        <v>42.61</v>
      </c>
      <c r="L245" s="1">
        <f ca="1">IFERROR(__xludf.DUMMYFUNCTION("""COMPUTED_VALUE"""),495.36)</f>
        <v>495.36</v>
      </c>
      <c r="M245" s="1">
        <f ca="1">IFERROR(__xludf.DUMMYFUNCTION("""COMPUTED_VALUE"""),532.9)</f>
        <v>532.9</v>
      </c>
      <c r="N245" s="1">
        <f ca="1">IFERROR(__xludf.DUMMYFUNCTION("""COMPUTED_VALUE"""),119.67)</f>
        <v>119.67</v>
      </c>
      <c r="O245" s="1">
        <f ca="1">IFERROR(__xludf.DUMMYFUNCTION("""COMPUTED_VALUE"""),211.18)</f>
        <v>211.18</v>
      </c>
      <c r="P245" s="1">
        <f ca="1">IFERROR(__xludf.DUMMYFUNCTION("""COMPUTED_VALUE"""),153.62)</f>
        <v>153.62</v>
      </c>
      <c r="Q245" s="1">
        <f ca="1">IFERROR(__xludf.DUMMYFUNCTION("""COMPUTED_VALUE"""),341.67)</f>
        <v>341.67</v>
      </c>
      <c r="R245" s="1">
        <f ca="1">IFERROR(__xludf.DUMMYFUNCTION("""COMPUTED_VALUE"""),43.48)</f>
        <v>43.48</v>
      </c>
      <c r="S245" s="1">
        <f ca="1">IFERROR(__xludf.DUMMYFUNCTION("""COMPUTED_VALUE"""),75.06)</f>
        <v>75.06</v>
      </c>
      <c r="T245" s="1">
        <f ca="1">IFERROR(__xludf.DUMMYFUNCTION("""COMPUTED_VALUE"""),48.7)</f>
        <v>48.7</v>
      </c>
      <c r="U245" s="1">
        <f ca="1">IFERROR(__xludf.DUMMYFUNCTION("""COMPUTED_VALUE"""),140.5)</f>
        <v>140.5</v>
      </c>
      <c r="V245" s="1">
        <f ca="1">IFERROR(__xludf.DUMMYFUNCTION("""COMPUTED_VALUE"""),179.17)</f>
        <v>179.17</v>
      </c>
      <c r="W245" s="1">
        <f ca="1">IFERROR(__xludf.DUMMYFUNCTION("""COMPUTED_VALUE"""),352.6)</f>
        <v>352.6</v>
      </c>
      <c r="X245" s="1">
        <f ca="1">IFERROR(__xludf.DUMMYFUNCTION("""COMPUTED_VALUE"""),477.3)</f>
        <v>477.3</v>
      </c>
      <c r="Y245" s="1">
        <f ca="1">IFERROR(__xludf.DUMMYFUNCTION("""COMPUTED_VALUE"""),103.9)</f>
        <v>103.9</v>
      </c>
      <c r="Z245" s="1">
        <f ca="1">IFERROR(__xludf.DUMMYFUNCTION("""COMPUTED_VALUE"""),244.43)</f>
        <v>244.43</v>
      </c>
      <c r="AA245" s="1">
        <f ca="1">IFERROR(__xludf.DUMMYFUNCTION("""COMPUTED_VALUE"""),38.03)</f>
        <v>38.03</v>
      </c>
      <c r="AB245" s="1">
        <f ca="1">IFERROR(__xludf.DUMMYFUNCTION("""COMPUTED_VALUE"""),103.21)</f>
        <v>103.21</v>
      </c>
      <c r="AC245" s="1">
        <f ca="1">IFERROR(__xludf.DUMMYFUNCTION("""COMPUTED_VALUE"""),96.84)</f>
        <v>96.84</v>
      </c>
    </row>
    <row r="246" spans="1:29" x14ac:dyDescent="0.25">
      <c r="A246" s="2">
        <f ca="1">IFERROR(__xludf.DUMMYFUNCTION("""COMPUTED_VALUE"""),44183.6666666666)</f>
        <v>44183.666666666599</v>
      </c>
      <c r="B246" s="1">
        <f ca="1">IFERROR(__xludf.DUMMYFUNCTION("""COMPUTED_VALUE"""),126.66)</f>
        <v>126.66</v>
      </c>
      <c r="C246" s="1">
        <f ca="1">IFERROR(__xludf.DUMMYFUNCTION("""COMPUTED_VALUE"""),218.59)</f>
        <v>218.59</v>
      </c>
      <c r="D246" s="1">
        <f ca="1">IFERROR(__xludf.DUMMYFUNCTION("""COMPUTED_VALUE"""),160.08)</f>
        <v>160.08000000000001</v>
      </c>
      <c r="E246" s="1">
        <f ca="1">IFERROR(__xludf.DUMMYFUNCTION("""COMPUTED_VALUE"""),13.27)</f>
        <v>13.27</v>
      </c>
      <c r="F246" s="1">
        <f ca="1">IFERROR(__xludf.DUMMYFUNCTION("""COMPUTED_VALUE"""),276.4)</f>
        <v>276.39999999999998</v>
      </c>
      <c r="G246" s="1">
        <f ca="1">IFERROR(__xludf.DUMMYFUNCTION("""COMPUTED_VALUE"""),86.55)</f>
        <v>86.55</v>
      </c>
      <c r="H246" s="1">
        <f ca="1">IFERROR(__xludf.DUMMYFUNCTION("""COMPUTED_VALUE"""),231.67)</f>
        <v>231.67</v>
      </c>
      <c r="I246" s="1">
        <f ca="1">IFERROR(__xludf.DUMMYFUNCTION("""COMPUTED_VALUE"""),146.93)</f>
        <v>146.93</v>
      </c>
      <c r="J246" s="1">
        <f ca="1">IFERROR(__xludf.DUMMYFUNCTION("""COMPUTED_VALUE"""),367)</f>
        <v>367</v>
      </c>
      <c r="K246" s="1">
        <f ca="1">IFERROR(__xludf.DUMMYFUNCTION("""COMPUTED_VALUE"""),43.46)</f>
        <v>43.46</v>
      </c>
      <c r="L246" s="1">
        <f ca="1">IFERROR(__xludf.DUMMYFUNCTION("""COMPUTED_VALUE"""),502.95)</f>
        <v>502.95</v>
      </c>
      <c r="M246" s="1">
        <f ca="1">IFERROR(__xludf.DUMMYFUNCTION("""COMPUTED_VALUE"""),534.45)</f>
        <v>534.45000000000005</v>
      </c>
      <c r="N246" s="1">
        <f ca="1">IFERROR(__xludf.DUMMYFUNCTION("""COMPUTED_VALUE"""),119.08)</f>
        <v>119.08</v>
      </c>
      <c r="O246" s="1">
        <f ca="1">IFERROR(__xludf.DUMMYFUNCTION("""COMPUTED_VALUE"""),211.31)</f>
        <v>211.31</v>
      </c>
      <c r="P246" s="1">
        <f ca="1">IFERROR(__xludf.DUMMYFUNCTION("""COMPUTED_VALUE"""),154.51)</f>
        <v>154.51</v>
      </c>
      <c r="Q246" s="1">
        <f ca="1">IFERROR(__xludf.DUMMYFUNCTION("""COMPUTED_VALUE"""),338.38)</f>
        <v>338.38</v>
      </c>
      <c r="R246" s="1">
        <f ca="1">IFERROR(__xludf.DUMMYFUNCTION("""COMPUTED_VALUE"""),42.73)</f>
        <v>42.73</v>
      </c>
      <c r="S246" s="1">
        <f ca="1">IFERROR(__xludf.DUMMYFUNCTION("""COMPUTED_VALUE"""),74.51)</f>
        <v>74.510000000000005</v>
      </c>
      <c r="T246" s="1">
        <f ca="1">IFERROR(__xludf.DUMMYFUNCTION("""COMPUTED_VALUE"""),48.65)</f>
        <v>48.65</v>
      </c>
      <c r="U246" s="1">
        <f ca="1">IFERROR(__xludf.DUMMYFUNCTION("""COMPUTED_VALUE"""),137.28)</f>
        <v>137.28</v>
      </c>
      <c r="V246" s="1">
        <f ca="1">IFERROR(__xludf.DUMMYFUNCTION("""COMPUTED_VALUE"""),180.96)</f>
        <v>180.96</v>
      </c>
      <c r="W246" s="1">
        <f ca="1">IFERROR(__xludf.DUMMYFUNCTION("""COMPUTED_VALUE"""),356.03)</f>
        <v>356.03</v>
      </c>
      <c r="X246" s="1">
        <f ca="1">IFERROR(__xludf.DUMMYFUNCTION("""COMPUTED_VALUE"""),477.24)</f>
        <v>477.24</v>
      </c>
      <c r="Y246" s="1">
        <f ca="1">IFERROR(__xludf.DUMMYFUNCTION("""COMPUTED_VALUE"""),104.28)</f>
        <v>104.28</v>
      </c>
      <c r="Z246" s="1">
        <f ca="1">IFERROR(__xludf.DUMMYFUNCTION("""COMPUTED_VALUE"""),242.13)</f>
        <v>242.13</v>
      </c>
      <c r="AA246" s="1">
        <f ca="1">IFERROR(__xludf.DUMMYFUNCTION("""COMPUTED_VALUE"""),37.68)</f>
        <v>37.68</v>
      </c>
      <c r="AB246" s="1">
        <f ca="1">IFERROR(__xludf.DUMMYFUNCTION("""COMPUTED_VALUE"""),103.28)</f>
        <v>103.28</v>
      </c>
      <c r="AC246" s="1">
        <f ca="1">IFERROR(__xludf.DUMMYFUNCTION("""COMPUTED_VALUE"""),95.92)</f>
        <v>95.92</v>
      </c>
    </row>
    <row r="247" spans="1:29" x14ac:dyDescent="0.25">
      <c r="A247" s="2">
        <f ca="1">IFERROR(__xludf.DUMMYFUNCTION("""COMPUTED_VALUE"""),44186.6666666666)</f>
        <v>44186.666666666599</v>
      </c>
      <c r="B247" s="1">
        <f ca="1">IFERROR(__xludf.DUMMYFUNCTION("""COMPUTED_VALUE"""),128.23)</f>
        <v>128.22999999999999</v>
      </c>
      <c r="C247" s="1">
        <f ca="1">IFERROR(__xludf.DUMMYFUNCTION("""COMPUTED_VALUE"""),222.59)</f>
        <v>222.59</v>
      </c>
      <c r="D247" s="1">
        <f ca="1">IFERROR(__xludf.DUMMYFUNCTION("""COMPUTED_VALUE"""),160.31)</f>
        <v>160.31</v>
      </c>
      <c r="E247" s="1">
        <f ca="1">IFERROR(__xludf.DUMMYFUNCTION("""COMPUTED_VALUE"""),13.33)</f>
        <v>13.33</v>
      </c>
      <c r="F247" s="1">
        <f ca="1">IFERROR(__xludf.DUMMYFUNCTION("""COMPUTED_VALUE"""),272.79)</f>
        <v>272.79000000000002</v>
      </c>
      <c r="G247" s="1">
        <f ca="1">IFERROR(__xludf.DUMMYFUNCTION("""COMPUTED_VALUE"""),86.97)</f>
        <v>86.97</v>
      </c>
      <c r="H247" s="1">
        <f ca="1">IFERROR(__xludf.DUMMYFUNCTION("""COMPUTED_VALUE"""),216.62)</f>
        <v>216.62</v>
      </c>
      <c r="I247" s="1">
        <f ca="1">IFERROR(__xludf.DUMMYFUNCTION("""COMPUTED_VALUE"""),145.4)</f>
        <v>145.4</v>
      </c>
      <c r="J247" s="1">
        <f ca="1">IFERROR(__xludf.DUMMYFUNCTION("""COMPUTED_VALUE"""),364.97)</f>
        <v>364.97</v>
      </c>
      <c r="K247" s="1">
        <f ca="1">IFERROR(__xludf.DUMMYFUNCTION("""COMPUTED_VALUE"""),42.89)</f>
        <v>42.89</v>
      </c>
      <c r="L247" s="1">
        <f ca="1">IFERROR(__xludf.DUMMYFUNCTION("""COMPUTED_VALUE"""),498.39)</f>
        <v>498.39</v>
      </c>
      <c r="M247" s="1">
        <f ca="1">IFERROR(__xludf.DUMMYFUNCTION("""COMPUTED_VALUE"""),528.91)</f>
        <v>528.91</v>
      </c>
      <c r="N247" s="1">
        <f ca="1">IFERROR(__xludf.DUMMYFUNCTION("""COMPUTED_VALUE"""),123.55)</f>
        <v>123.55</v>
      </c>
      <c r="O247" s="1">
        <f ca="1">IFERROR(__xludf.DUMMYFUNCTION("""COMPUTED_VALUE"""),209.01)</f>
        <v>209.01</v>
      </c>
      <c r="P247" s="1">
        <f ca="1">IFERROR(__xludf.DUMMYFUNCTION("""COMPUTED_VALUE"""),153.02)</f>
        <v>153.02000000000001</v>
      </c>
      <c r="Q247" s="1">
        <f ca="1">IFERROR(__xludf.DUMMYFUNCTION("""COMPUTED_VALUE"""),336.08)</f>
        <v>336.08</v>
      </c>
      <c r="R247" s="1">
        <f ca="1">IFERROR(__xludf.DUMMYFUNCTION("""COMPUTED_VALUE"""),41.95)</f>
        <v>41.95</v>
      </c>
      <c r="S247" s="1">
        <f ca="1">IFERROR(__xludf.DUMMYFUNCTION("""COMPUTED_VALUE"""),74.4)</f>
        <v>74.400000000000006</v>
      </c>
      <c r="T247" s="1">
        <f ca="1">IFERROR(__xludf.DUMMYFUNCTION("""COMPUTED_VALUE"""),48.66)</f>
        <v>48.66</v>
      </c>
      <c r="U247" s="1">
        <f ca="1">IFERROR(__xludf.DUMMYFUNCTION("""COMPUTED_VALUE"""),144.02)</f>
        <v>144.02000000000001</v>
      </c>
      <c r="V247" s="1">
        <f ca="1">IFERROR(__xludf.DUMMYFUNCTION("""COMPUTED_VALUE"""),180.16)</f>
        <v>180.16</v>
      </c>
      <c r="W247" s="1">
        <f ca="1">IFERROR(__xludf.DUMMYFUNCTION("""COMPUTED_VALUE"""),349.35)</f>
        <v>349.35</v>
      </c>
      <c r="X247" s="1">
        <f ca="1">IFERROR(__xludf.DUMMYFUNCTION("""COMPUTED_VALUE"""),472.26)</f>
        <v>472.26</v>
      </c>
      <c r="Y247" s="1">
        <f ca="1">IFERROR(__xludf.DUMMYFUNCTION("""COMPUTED_VALUE"""),104.83)</f>
        <v>104.83</v>
      </c>
      <c r="Z247" s="1">
        <f ca="1">IFERROR(__xludf.DUMMYFUNCTION("""COMPUTED_VALUE"""),256.98)</f>
        <v>256.98</v>
      </c>
      <c r="AA247" s="1">
        <f ca="1">IFERROR(__xludf.DUMMYFUNCTION("""COMPUTED_VALUE"""),37.38)</f>
        <v>37.380000000000003</v>
      </c>
      <c r="AB247" s="1">
        <f ca="1">IFERROR(__xludf.DUMMYFUNCTION("""COMPUTED_VALUE"""),102.94)</f>
        <v>102.94</v>
      </c>
      <c r="AC247" s="1">
        <f ca="1">IFERROR(__xludf.DUMMYFUNCTION("""COMPUTED_VALUE"""),93.23)</f>
        <v>93.23</v>
      </c>
    </row>
    <row r="248" spans="1:29" x14ac:dyDescent="0.25">
      <c r="A248" s="2">
        <f ca="1">IFERROR(__xludf.DUMMYFUNCTION("""COMPUTED_VALUE"""),44187.6666666666)</f>
        <v>44187.666666666599</v>
      </c>
      <c r="B248" s="1">
        <f ca="1">IFERROR(__xludf.DUMMYFUNCTION("""COMPUTED_VALUE"""),131.88)</f>
        <v>131.88</v>
      </c>
      <c r="C248" s="1">
        <f ca="1">IFERROR(__xludf.DUMMYFUNCTION("""COMPUTED_VALUE"""),223.94)</f>
        <v>223.94</v>
      </c>
      <c r="D248" s="1">
        <f ca="1">IFERROR(__xludf.DUMMYFUNCTION("""COMPUTED_VALUE"""),160.33)</f>
        <v>160.33000000000001</v>
      </c>
      <c r="E248" s="1">
        <f ca="1">IFERROR(__xludf.DUMMYFUNCTION("""COMPUTED_VALUE"""),13.28)</f>
        <v>13.28</v>
      </c>
      <c r="F248" s="1">
        <f ca="1">IFERROR(__xludf.DUMMYFUNCTION("""COMPUTED_VALUE"""),267.09)</f>
        <v>267.08999999999997</v>
      </c>
      <c r="G248" s="1">
        <f ca="1">IFERROR(__xludf.DUMMYFUNCTION("""COMPUTED_VALUE"""),86.18)</f>
        <v>86.18</v>
      </c>
      <c r="H248" s="1">
        <f ca="1">IFERROR(__xludf.DUMMYFUNCTION("""COMPUTED_VALUE"""),213.45)</f>
        <v>213.45</v>
      </c>
      <c r="I248" s="1">
        <f ca="1">IFERROR(__xludf.DUMMYFUNCTION("""COMPUTED_VALUE"""),144.02)</f>
        <v>144.02000000000001</v>
      </c>
      <c r="J248" s="1">
        <f ca="1">IFERROR(__xludf.DUMMYFUNCTION("""COMPUTED_VALUE"""),362.03)</f>
        <v>362.03</v>
      </c>
      <c r="K248" s="1">
        <f ca="1">IFERROR(__xludf.DUMMYFUNCTION("""COMPUTED_VALUE"""),43.31)</f>
        <v>43.31</v>
      </c>
      <c r="L248" s="1">
        <f ca="1">IFERROR(__xludf.DUMMYFUNCTION("""COMPUTED_VALUE"""),504.17)</f>
        <v>504.17</v>
      </c>
      <c r="M248" s="1">
        <f ca="1">IFERROR(__xludf.DUMMYFUNCTION("""COMPUTED_VALUE"""),527.33)</f>
        <v>527.33000000000004</v>
      </c>
      <c r="N248" s="1">
        <f ca="1">IFERROR(__xludf.DUMMYFUNCTION("""COMPUTED_VALUE"""),121.67)</f>
        <v>121.67</v>
      </c>
      <c r="O248" s="1">
        <f ca="1">IFERROR(__xludf.DUMMYFUNCTION("""COMPUTED_VALUE"""),205.84)</f>
        <v>205.84</v>
      </c>
      <c r="P248" s="1">
        <f ca="1">IFERROR(__xludf.DUMMYFUNCTION("""COMPUTED_VALUE"""),152.72)</f>
        <v>152.72</v>
      </c>
      <c r="Q248" s="1">
        <f ca="1">IFERROR(__xludf.DUMMYFUNCTION("""COMPUTED_VALUE"""),335.01)</f>
        <v>335.01</v>
      </c>
      <c r="R248" s="1">
        <f ca="1">IFERROR(__xludf.DUMMYFUNCTION("""COMPUTED_VALUE"""),41.24)</f>
        <v>41.24</v>
      </c>
      <c r="S248" s="1">
        <f ca="1">IFERROR(__xludf.DUMMYFUNCTION("""COMPUTED_VALUE"""),74.71)</f>
        <v>74.709999999999994</v>
      </c>
      <c r="T248" s="1">
        <f ca="1">IFERROR(__xludf.DUMMYFUNCTION("""COMPUTED_VALUE"""),48.07)</f>
        <v>48.07</v>
      </c>
      <c r="U248" s="1">
        <f ca="1">IFERROR(__xludf.DUMMYFUNCTION("""COMPUTED_VALUE"""),142.45)</f>
        <v>142.44999999999999</v>
      </c>
      <c r="V248" s="1">
        <f ca="1">IFERROR(__xludf.DUMMYFUNCTION("""COMPUTED_VALUE"""),176.58)</f>
        <v>176.58</v>
      </c>
      <c r="W248" s="1">
        <f ca="1">IFERROR(__xludf.DUMMYFUNCTION("""COMPUTED_VALUE"""),347.92)</f>
        <v>347.92</v>
      </c>
      <c r="X248" s="1">
        <f ca="1">IFERROR(__xludf.DUMMYFUNCTION("""COMPUTED_VALUE"""),476.18)</f>
        <v>476.18</v>
      </c>
      <c r="Y248" s="1">
        <f ca="1">IFERROR(__xludf.DUMMYFUNCTION("""COMPUTED_VALUE"""),103.94)</f>
        <v>103.94</v>
      </c>
      <c r="Z248" s="1">
        <f ca="1">IFERROR(__xludf.DUMMYFUNCTION("""COMPUTED_VALUE"""),250.09)</f>
        <v>250.09</v>
      </c>
      <c r="AA248" s="1">
        <f ca="1">IFERROR(__xludf.DUMMYFUNCTION("""COMPUTED_VALUE"""),36.74)</f>
        <v>36.74</v>
      </c>
      <c r="AB248" s="1">
        <f ca="1">IFERROR(__xludf.DUMMYFUNCTION("""COMPUTED_VALUE"""),102.41)</f>
        <v>102.41</v>
      </c>
      <c r="AC248" s="1">
        <f ca="1">IFERROR(__xludf.DUMMYFUNCTION("""COMPUTED_VALUE"""),93.16)</f>
        <v>93.16</v>
      </c>
    </row>
    <row r="249" spans="1:29" x14ac:dyDescent="0.25">
      <c r="A249" s="2">
        <f ca="1">IFERROR(__xludf.DUMMYFUNCTION("""COMPUTED_VALUE"""),44188.6666666666)</f>
        <v>44188.666666666599</v>
      </c>
      <c r="B249" s="1">
        <f ca="1">IFERROR(__xludf.DUMMYFUNCTION("""COMPUTED_VALUE"""),130.96)</f>
        <v>130.96</v>
      </c>
      <c r="C249" s="1">
        <f ca="1">IFERROR(__xludf.DUMMYFUNCTION("""COMPUTED_VALUE"""),221.02)</f>
        <v>221.02</v>
      </c>
      <c r="D249" s="1">
        <f ca="1">IFERROR(__xludf.DUMMYFUNCTION("""COMPUTED_VALUE"""),159.26)</f>
        <v>159.26</v>
      </c>
      <c r="E249" s="1">
        <f ca="1">IFERROR(__xludf.DUMMYFUNCTION("""COMPUTED_VALUE"""),13.01)</f>
        <v>13.01</v>
      </c>
      <c r="F249" s="1">
        <f ca="1">IFERROR(__xludf.DUMMYFUNCTION("""COMPUTED_VALUE"""),268.11)</f>
        <v>268.11</v>
      </c>
      <c r="G249" s="1">
        <f ca="1">IFERROR(__xludf.DUMMYFUNCTION("""COMPUTED_VALUE"""),86.62)</f>
        <v>86.62</v>
      </c>
      <c r="H249" s="1">
        <f ca="1">IFERROR(__xludf.DUMMYFUNCTION("""COMPUTED_VALUE"""),215.33)</f>
        <v>215.33</v>
      </c>
      <c r="I249" s="1">
        <f ca="1">IFERROR(__xludf.DUMMYFUNCTION("""COMPUTED_VALUE"""),144.41)</f>
        <v>144.41</v>
      </c>
      <c r="J249" s="1">
        <f ca="1">IFERROR(__xludf.DUMMYFUNCTION("""COMPUTED_VALUE"""),361.89)</f>
        <v>361.89</v>
      </c>
      <c r="K249" s="1">
        <f ca="1">IFERROR(__xludf.DUMMYFUNCTION("""COMPUTED_VALUE"""),42.55)</f>
        <v>42.55</v>
      </c>
      <c r="L249" s="1">
        <f ca="1">IFERROR(__xludf.DUMMYFUNCTION("""COMPUTED_VALUE"""),496.91)</f>
        <v>496.91</v>
      </c>
      <c r="M249" s="1">
        <f ca="1">IFERROR(__xludf.DUMMYFUNCTION("""COMPUTED_VALUE"""),514.48)</f>
        <v>514.48</v>
      </c>
      <c r="N249" s="1">
        <f ca="1">IFERROR(__xludf.DUMMYFUNCTION("""COMPUTED_VALUE"""),125.07)</f>
        <v>125.07</v>
      </c>
      <c r="O249" s="1">
        <f ca="1">IFERROR(__xludf.DUMMYFUNCTION("""COMPUTED_VALUE"""),205.3)</f>
        <v>205.3</v>
      </c>
      <c r="P249" s="1">
        <f ca="1">IFERROR(__xludf.DUMMYFUNCTION("""COMPUTED_VALUE"""),151.94)</f>
        <v>151.94</v>
      </c>
      <c r="Q249" s="1">
        <f ca="1">IFERROR(__xludf.DUMMYFUNCTION("""COMPUTED_VALUE"""),337.59)</f>
        <v>337.59</v>
      </c>
      <c r="R249" s="1">
        <f ca="1">IFERROR(__xludf.DUMMYFUNCTION("""COMPUTED_VALUE"""),41.77)</f>
        <v>41.77</v>
      </c>
      <c r="S249" s="1">
        <f ca="1">IFERROR(__xludf.DUMMYFUNCTION("""COMPUTED_VALUE"""),74.33)</f>
        <v>74.33</v>
      </c>
      <c r="T249" s="1">
        <f ca="1">IFERROR(__xludf.DUMMYFUNCTION("""COMPUTED_VALUE"""),47.74)</f>
        <v>47.74</v>
      </c>
      <c r="U249" s="1">
        <f ca="1">IFERROR(__xludf.DUMMYFUNCTION("""COMPUTED_VALUE"""),141.76)</f>
        <v>141.76</v>
      </c>
      <c r="V249" s="1">
        <f ca="1">IFERROR(__xludf.DUMMYFUNCTION("""COMPUTED_VALUE"""),178.42)</f>
        <v>178.42</v>
      </c>
      <c r="W249" s="1">
        <f ca="1">IFERROR(__xludf.DUMMYFUNCTION("""COMPUTED_VALUE"""),351.6)</f>
        <v>351.6</v>
      </c>
      <c r="X249" s="1">
        <f ca="1">IFERROR(__xludf.DUMMYFUNCTION("""COMPUTED_VALUE"""),474.62)</f>
        <v>474.62</v>
      </c>
      <c r="Y249" s="1">
        <f ca="1">IFERROR(__xludf.DUMMYFUNCTION("""COMPUTED_VALUE"""),103.76)</f>
        <v>103.76</v>
      </c>
      <c r="Z249" s="1">
        <f ca="1">IFERROR(__xludf.DUMMYFUNCTION("""COMPUTED_VALUE"""),256.45)</f>
        <v>256.45</v>
      </c>
      <c r="AA249" s="1">
        <f ca="1">IFERROR(__xludf.DUMMYFUNCTION("""COMPUTED_VALUE"""),37.44)</f>
        <v>37.44</v>
      </c>
      <c r="AB249" s="1">
        <f ca="1">IFERROR(__xludf.DUMMYFUNCTION("""COMPUTED_VALUE"""),102.06)</f>
        <v>102.06</v>
      </c>
      <c r="AC249" s="1">
        <f ca="1">IFERROR(__xludf.DUMMYFUNCTION("""COMPUTED_VALUE"""),91.55)</f>
        <v>91.55</v>
      </c>
    </row>
    <row r="250" spans="1:29" x14ac:dyDescent="0.25">
      <c r="A250" s="2">
        <f ca="1">IFERROR(__xludf.DUMMYFUNCTION("""COMPUTED_VALUE"""),44189.5416666666)</f>
        <v>44189.541666666599</v>
      </c>
      <c r="B250" s="1">
        <f ca="1">IFERROR(__xludf.DUMMYFUNCTION("""COMPUTED_VALUE"""),131.97)</f>
        <v>131.97</v>
      </c>
      <c r="C250" s="1">
        <f ca="1">IFERROR(__xludf.DUMMYFUNCTION("""COMPUTED_VALUE"""),222.75)</f>
        <v>222.75</v>
      </c>
      <c r="D250" s="1">
        <f ca="1">IFERROR(__xludf.DUMMYFUNCTION("""COMPUTED_VALUE"""),158.63)</f>
        <v>158.63</v>
      </c>
      <c r="E250" s="1">
        <f ca="1">IFERROR(__xludf.DUMMYFUNCTION("""COMPUTED_VALUE"""),12.99)</f>
        <v>12.99</v>
      </c>
      <c r="F250" s="1">
        <f ca="1">IFERROR(__xludf.DUMMYFUNCTION("""COMPUTED_VALUE"""),267.4)</f>
        <v>267.39999999999998</v>
      </c>
      <c r="G250" s="1">
        <f ca="1">IFERROR(__xludf.DUMMYFUNCTION("""COMPUTED_VALUE"""),86.94)</f>
        <v>86.94</v>
      </c>
      <c r="H250" s="1">
        <f ca="1">IFERROR(__xludf.DUMMYFUNCTION("""COMPUTED_VALUE"""),220.59)</f>
        <v>220.59</v>
      </c>
      <c r="I250" s="1">
        <f ca="1">IFERROR(__xludf.DUMMYFUNCTION("""COMPUTED_VALUE"""),145.06)</f>
        <v>145.06</v>
      </c>
      <c r="J250" s="1">
        <f ca="1">IFERROR(__xludf.DUMMYFUNCTION("""COMPUTED_VALUE"""),364.58)</f>
        <v>364.58</v>
      </c>
      <c r="K250" s="1">
        <f ca="1">IFERROR(__xludf.DUMMYFUNCTION("""COMPUTED_VALUE"""),43.15)</f>
        <v>43.15</v>
      </c>
      <c r="L250" s="1">
        <f ca="1">IFERROR(__xludf.DUMMYFUNCTION("""COMPUTED_VALUE"""),499.86)</f>
        <v>499.86</v>
      </c>
      <c r="M250" s="1">
        <f ca="1">IFERROR(__xludf.DUMMYFUNCTION("""COMPUTED_VALUE"""),513.97)</f>
        <v>513.97</v>
      </c>
      <c r="N250" s="1">
        <f ca="1">IFERROR(__xludf.DUMMYFUNCTION("""COMPUTED_VALUE"""),124.52)</f>
        <v>124.52</v>
      </c>
      <c r="O250" s="1">
        <f ca="1">IFERROR(__xludf.DUMMYFUNCTION("""COMPUTED_VALUE"""),208.7)</f>
        <v>208.7</v>
      </c>
      <c r="P250" s="1">
        <f ca="1">IFERROR(__xludf.DUMMYFUNCTION("""COMPUTED_VALUE"""),152.47)</f>
        <v>152.47</v>
      </c>
      <c r="Q250" s="1">
        <f ca="1">IFERROR(__xludf.DUMMYFUNCTION("""COMPUTED_VALUE"""),340.79)</f>
        <v>340.79</v>
      </c>
      <c r="R250" s="1">
        <f ca="1">IFERROR(__xludf.DUMMYFUNCTION("""COMPUTED_VALUE"""),41.6)</f>
        <v>41.6</v>
      </c>
      <c r="S250" s="1">
        <f ca="1">IFERROR(__xludf.DUMMYFUNCTION("""COMPUTED_VALUE"""),74.98)</f>
        <v>74.98</v>
      </c>
      <c r="T250" s="1">
        <f ca="1">IFERROR(__xludf.DUMMYFUNCTION("""COMPUTED_VALUE"""),47.83)</f>
        <v>47.83</v>
      </c>
      <c r="U250" s="1">
        <f ca="1">IFERROR(__xludf.DUMMYFUNCTION("""COMPUTED_VALUE"""),141.6)</f>
        <v>141.6</v>
      </c>
      <c r="V250" s="1">
        <f ca="1">IFERROR(__xludf.DUMMYFUNCTION("""COMPUTED_VALUE"""),179.56)</f>
        <v>179.56</v>
      </c>
      <c r="W250" s="1">
        <f ca="1">IFERROR(__xludf.DUMMYFUNCTION("""COMPUTED_VALUE"""),351.97)</f>
        <v>351.97</v>
      </c>
      <c r="X250" s="1">
        <f ca="1">IFERROR(__xludf.DUMMYFUNCTION("""COMPUTED_VALUE"""),483.09)</f>
        <v>483.09</v>
      </c>
      <c r="Y250" s="1">
        <f ca="1">IFERROR(__xludf.DUMMYFUNCTION("""COMPUTED_VALUE"""),105.97)</f>
        <v>105.97</v>
      </c>
      <c r="Z250" s="1">
        <f ca="1">IFERROR(__xludf.DUMMYFUNCTION("""COMPUTED_VALUE"""),256.16)</f>
        <v>256.16000000000003</v>
      </c>
      <c r="AA250" s="1">
        <f ca="1">IFERROR(__xludf.DUMMYFUNCTION("""COMPUTED_VALUE"""),37.27)</f>
        <v>37.270000000000003</v>
      </c>
      <c r="AB250" s="1">
        <f ca="1">IFERROR(__xludf.DUMMYFUNCTION("""COMPUTED_VALUE"""),102.01)</f>
        <v>102.01</v>
      </c>
      <c r="AC250" s="1">
        <f ca="1">IFERROR(__xludf.DUMMYFUNCTION("""COMPUTED_VALUE"""),91.81)</f>
        <v>91.81</v>
      </c>
    </row>
    <row r="251" spans="1:29" x14ac:dyDescent="0.25">
      <c r="A251" s="2">
        <f ca="1">IFERROR(__xludf.DUMMYFUNCTION("""COMPUTED_VALUE"""),44193.6666666666)</f>
        <v>44193.666666666599</v>
      </c>
      <c r="B251" s="1">
        <f ca="1">IFERROR(__xludf.DUMMYFUNCTION("""COMPUTED_VALUE"""),136.69)</f>
        <v>136.69</v>
      </c>
      <c r="C251" s="1">
        <f ca="1">IFERROR(__xludf.DUMMYFUNCTION("""COMPUTED_VALUE"""),224.96)</f>
        <v>224.96</v>
      </c>
      <c r="D251" s="1">
        <f ca="1">IFERROR(__xludf.DUMMYFUNCTION("""COMPUTED_VALUE"""),164.2)</f>
        <v>164.2</v>
      </c>
      <c r="E251" s="1">
        <f ca="1">IFERROR(__xludf.DUMMYFUNCTION("""COMPUTED_VALUE"""),12.9)</f>
        <v>12.9</v>
      </c>
      <c r="F251" s="1">
        <f ca="1">IFERROR(__xludf.DUMMYFUNCTION("""COMPUTED_VALUE"""),277)</f>
        <v>277</v>
      </c>
      <c r="G251" s="1">
        <f ca="1">IFERROR(__xludf.DUMMYFUNCTION("""COMPUTED_VALUE"""),88.8)</f>
        <v>88.8</v>
      </c>
      <c r="H251" s="1">
        <f ca="1">IFERROR(__xludf.DUMMYFUNCTION("""COMPUTED_VALUE"""),221.23)</f>
        <v>221.23</v>
      </c>
      <c r="I251" s="1">
        <f ca="1">IFERROR(__xludf.DUMMYFUNCTION("""COMPUTED_VALUE"""),146.91)</f>
        <v>146.91</v>
      </c>
      <c r="J251" s="1">
        <f ca="1">IFERROR(__xludf.DUMMYFUNCTION("""COMPUTED_VALUE"""),371.06)</f>
        <v>371.06</v>
      </c>
      <c r="K251" s="1">
        <f ca="1">IFERROR(__xludf.DUMMYFUNCTION("""COMPUTED_VALUE"""),43.19)</f>
        <v>43.19</v>
      </c>
      <c r="L251" s="1">
        <f ca="1">IFERROR(__xludf.DUMMYFUNCTION("""COMPUTED_VALUE"""),498.95)</f>
        <v>498.95</v>
      </c>
      <c r="M251" s="1">
        <f ca="1">IFERROR(__xludf.DUMMYFUNCTION("""COMPUTED_VALUE"""),519.12)</f>
        <v>519.12</v>
      </c>
      <c r="N251" s="1">
        <f ca="1">IFERROR(__xludf.DUMMYFUNCTION("""COMPUTED_VALUE"""),125.34)</f>
        <v>125.34</v>
      </c>
      <c r="O251" s="1">
        <f ca="1">IFERROR(__xludf.DUMMYFUNCTION("""COMPUTED_VALUE"""),212.63)</f>
        <v>212.63</v>
      </c>
      <c r="P251" s="1">
        <f ca="1">IFERROR(__xludf.DUMMYFUNCTION("""COMPUTED_VALUE"""),153.19)</f>
        <v>153.19</v>
      </c>
      <c r="Q251" s="1">
        <f ca="1">IFERROR(__xludf.DUMMYFUNCTION("""COMPUTED_VALUE"""),345.95)</f>
        <v>345.95</v>
      </c>
      <c r="R251" s="1">
        <f ca="1">IFERROR(__xludf.DUMMYFUNCTION("""COMPUTED_VALUE"""),41.74)</f>
        <v>41.74</v>
      </c>
      <c r="S251" s="1">
        <f ca="1">IFERROR(__xludf.DUMMYFUNCTION("""COMPUTED_VALUE"""),75.49)</f>
        <v>75.489999999999995</v>
      </c>
      <c r="T251" s="1">
        <f ca="1">IFERROR(__xludf.DUMMYFUNCTION("""COMPUTED_VALUE"""),48.41)</f>
        <v>48.41</v>
      </c>
      <c r="U251" s="1">
        <f ca="1">IFERROR(__xludf.DUMMYFUNCTION("""COMPUTED_VALUE"""),142.43)</f>
        <v>142.43</v>
      </c>
      <c r="V251" s="1">
        <f ca="1">IFERROR(__xludf.DUMMYFUNCTION("""COMPUTED_VALUE"""),178.37)</f>
        <v>178.37</v>
      </c>
      <c r="W251" s="1">
        <f ca="1">IFERROR(__xludf.DUMMYFUNCTION("""COMPUTED_VALUE"""),354.18)</f>
        <v>354.18</v>
      </c>
      <c r="X251" s="1">
        <f ca="1">IFERROR(__xludf.DUMMYFUNCTION("""COMPUTED_VALUE"""),480.24)</f>
        <v>480.24</v>
      </c>
      <c r="Y251" s="1">
        <f ca="1">IFERROR(__xludf.DUMMYFUNCTION("""COMPUTED_VALUE"""),106.15)</f>
        <v>106.15</v>
      </c>
      <c r="Z251" s="1">
        <f ca="1">IFERROR(__xludf.DUMMYFUNCTION("""COMPUTED_VALUE"""),259.59)</f>
        <v>259.58999999999997</v>
      </c>
      <c r="AA251" s="1">
        <f ca="1">IFERROR(__xludf.DUMMYFUNCTION("""COMPUTED_VALUE"""),36.82)</f>
        <v>36.82</v>
      </c>
      <c r="AB251" s="1">
        <f ca="1">IFERROR(__xludf.DUMMYFUNCTION("""COMPUTED_VALUE"""),104.34)</f>
        <v>104.34</v>
      </c>
      <c r="AC251" s="1">
        <f ca="1">IFERROR(__xludf.DUMMYFUNCTION("""COMPUTED_VALUE"""),91.6)</f>
        <v>91.6</v>
      </c>
    </row>
    <row r="252" spans="1:29" x14ac:dyDescent="0.25">
      <c r="A252" s="2">
        <f ca="1">IFERROR(__xludf.DUMMYFUNCTION("""COMPUTED_VALUE"""),44194.6666666666)</f>
        <v>44194.666666666599</v>
      </c>
      <c r="B252" s="1">
        <f ca="1">IFERROR(__xludf.DUMMYFUNCTION("""COMPUTED_VALUE"""),134.87)</f>
        <v>134.87</v>
      </c>
      <c r="C252" s="1">
        <f ca="1">IFERROR(__xludf.DUMMYFUNCTION("""COMPUTED_VALUE"""),224.15)</f>
        <v>224.15</v>
      </c>
      <c r="D252" s="1">
        <f ca="1">IFERROR(__xludf.DUMMYFUNCTION("""COMPUTED_VALUE"""),166.1)</f>
        <v>166.1</v>
      </c>
      <c r="E252" s="1">
        <f ca="1">IFERROR(__xludf.DUMMYFUNCTION("""COMPUTED_VALUE"""),12.94)</f>
        <v>12.94</v>
      </c>
      <c r="F252" s="1">
        <f ca="1">IFERROR(__xludf.DUMMYFUNCTION("""COMPUTED_VALUE"""),276.78)</f>
        <v>276.77999999999997</v>
      </c>
      <c r="G252" s="1">
        <f ca="1">IFERROR(__xludf.DUMMYFUNCTION("""COMPUTED_VALUE"""),87.94)</f>
        <v>87.94</v>
      </c>
      <c r="H252" s="1">
        <f ca="1">IFERROR(__xludf.DUMMYFUNCTION("""COMPUTED_VALUE"""),222)</f>
        <v>222</v>
      </c>
      <c r="I252" s="1">
        <f ca="1">IFERROR(__xludf.DUMMYFUNCTION("""COMPUTED_VALUE"""),147.42)</f>
        <v>147.41999999999999</v>
      </c>
      <c r="J252" s="1">
        <f ca="1">IFERROR(__xludf.DUMMYFUNCTION("""COMPUTED_VALUE"""),372.72)</f>
        <v>372.72</v>
      </c>
      <c r="K252" s="1">
        <f ca="1">IFERROR(__xludf.DUMMYFUNCTION("""COMPUTED_VALUE"""),42.9)</f>
        <v>42.9</v>
      </c>
      <c r="L252" s="1">
        <f ca="1">IFERROR(__xludf.DUMMYFUNCTION("""COMPUTED_VALUE"""),502.11)</f>
        <v>502.11</v>
      </c>
      <c r="M252" s="1">
        <f ca="1">IFERROR(__xludf.DUMMYFUNCTION("""COMPUTED_VALUE"""),530.87)</f>
        <v>530.87</v>
      </c>
      <c r="N252" s="1">
        <f ca="1">IFERROR(__xludf.DUMMYFUNCTION("""COMPUTED_VALUE"""),125.01)</f>
        <v>125.01</v>
      </c>
      <c r="O252" s="1">
        <f ca="1">IFERROR(__xludf.DUMMYFUNCTION("""COMPUTED_VALUE"""),214.37)</f>
        <v>214.37</v>
      </c>
      <c r="P252" s="1">
        <f ca="1">IFERROR(__xludf.DUMMYFUNCTION("""COMPUTED_VALUE"""),154.14)</f>
        <v>154.13999999999999</v>
      </c>
      <c r="Q252" s="1">
        <f ca="1">IFERROR(__xludf.DUMMYFUNCTION("""COMPUTED_VALUE"""),347.35)</f>
        <v>347.35</v>
      </c>
      <c r="R252" s="1">
        <f ca="1">IFERROR(__xludf.DUMMYFUNCTION("""COMPUTED_VALUE"""),41.27)</f>
        <v>41.27</v>
      </c>
      <c r="S252" s="1">
        <f ca="1">IFERROR(__xludf.DUMMYFUNCTION("""COMPUTED_VALUE"""),75.33)</f>
        <v>75.33</v>
      </c>
      <c r="T252" s="1">
        <f ca="1">IFERROR(__xludf.DUMMYFUNCTION("""COMPUTED_VALUE"""),48.1)</f>
        <v>48.1</v>
      </c>
      <c r="U252" s="1">
        <f ca="1">IFERROR(__xludf.DUMMYFUNCTION("""COMPUTED_VALUE"""),141.57)</f>
        <v>141.57</v>
      </c>
      <c r="V252" s="1">
        <f ca="1">IFERROR(__xludf.DUMMYFUNCTION("""COMPUTED_VALUE"""),176.65)</f>
        <v>176.65</v>
      </c>
      <c r="W252" s="1">
        <f ca="1">IFERROR(__xludf.DUMMYFUNCTION("""COMPUTED_VALUE"""),353.9)</f>
        <v>353.9</v>
      </c>
      <c r="X252" s="1">
        <f ca="1">IFERROR(__xludf.DUMMYFUNCTION("""COMPUTED_VALUE"""),484.01)</f>
        <v>484.01</v>
      </c>
      <c r="Y252" s="1">
        <f ca="1">IFERROR(__xludf.DUMMYFUNCTION("""COMPUTED_VALUE"""),105.56)</f>
        <v>105.56</v>
      </c>
      <c r="Z252" s="1">
        <f ca="1">IFERROR(__xludf.DUMMYFUNCTION("""COMPUTED_VALUE"""),258.01)</f>
        <v>258.01</v>
      </c>
      <c r="AA252" s="1">
        <f ca="1">IFERROR(__xludf.DUMMYFUNCTION("""COMPUTED_VALUE"""),37.05)</f>
        <v>37.049999999999997</v>
      </c>
      <c r="AB252" s="1">
        <f ca="1">IFERROR(__xludf.DUMMYFUNCTION("""COMPUTED_VALUE"""),105.63)</f>
        <v>105.63</v>
      </c>
      <c r="AC252" s="1">
        <f ca="1">IFERROR(__xludf.DUMMYFUNCTION("""COMPUTED_VALUE"""),90.62)</f>
        <v>90.62</v>
      </c>
    </row>
    <row r="253" spans="1:29" x14ac:dyDescent="0.25">
      <c r="A253" s="2">
        <f ca="1">IFERROR(__xludf.DUMMYFUNCTION("""COMPUTED_VALUE"""),44195.6666666666)</f>
        <v>44195.666666666599</v>
      </c>
      <c r="B253" s="1">
        <f ca="1">IFERROR(__xludf.DUMMYFUNCTION("""COMPUTED_VALUE"""),133.72)</f>
        <v>133.72</v>
      </c>
      <c r="C253" s="1">
        <f ca="1">IFERROR(__xludf.DUMMYFUNCTION("""COMPUTED_VALUE"""),221.68)</f>
        <v>221.68</v>
      </c>
      <c r="D253" s="1">
        <f ca="1">IFERROR(__xludf.DUMMYFUNCTION("""COMPUTED_VALUE"""),164.29)</f>
        <v>164.29</v>
      </c>
      <c r="E253" s="1">
        <f ca="1">IFERROR(__xludf.DUMMYFUNCTION("""COMPUTED_VALUE"""),13.15)</f>
        <v>13.15</v>
      </c>
      <c r="F253" s="1">
        <f ca="1">IFERROR(__xludf.DUMMYFUNCTION("""COMPUTED_VALUE"""),271.87)</f>
        <v>271.87</v>
      </c>
      <c r="G253" s="1">
        <f ca="1">IFERROR(__xludf.DUMMYFUNCTION("""COMPUTED_VALUE"""),86.98)</f>
        <v>86.98</v>
      </c>
      <c r="H253" s="1">
        <f ca="1">IFERROR(__xludf.DUMMYFUNCTION("""COMPUTED_VALUE"""),231.59)</f>
        <v>231.59</v>
      </c>
      <c r="I253" s="1">
        <f ca="1">IFERROR(__xludf.DUMMYFUNCTION("""COMPUTED_VALUE"""),147.31)</f>
        <v>147.31</v>
      </c>
      <c r="J253" s="1">
        <f ca="1">IFERROR(__xludf.DUMMYFUNCTION("""COMPUTED_VALUE"""),374.45)</f>
        <v>374.45</v>
      </c>
      <c r="K253" s="1">
        <f ca="1">IFERROR(__xludf.DUMMYFUNCTION("""COMPUTED_VALUE"""),43.48)</f>
        <v>43.48</v>
      </c>
      <c r="L253" s="1">
        <f ca="1">IFERROR(__xludf.DUMMYFUNCTION("""COMPUTED_VALUE"""),497.45)</f>
        <v>497.45</v>
      </c>
      <c r="M253" s="1">
        <f ca="1">IFERROR(__xludf.DUMMYFUNCTION("""COMPUTED_VALUE"""),524.59)</f>
        <v>524.59</v>
      </c>
      <c r="N253" s="1">
        <f ca="1">IFERROR(__xludf.DUMMYFUNCTION("""COMPUTED_VALUE"""),125.36)</f>
        <v>125.36</v>
      </c>
      <c r="O253" s="1">
        <f ca="1">IFERROR(__xludf.DUMMYFUNCTION("""COMPUTED_VALUE"""),218.36)</f>
        <v>218.36</v>
      </c>
      <c r="P253" s="1">
        <f ca="1">IFERROR(__xludf.DUMMYFUNCTION("""COMPUTED_VALUE"""),156.05)</f>
        <v>156.05000000000001</v>
      </c>
      <c r="Q253" s="1">
        <f ca="1">IFERROR(__xludf.DUMMYFUNCTION("""COMPUTED_VALUE"""),344.99)</f>
        <v>344.99</v>
      </c>
      <c r="R253" s="1">
        <f ca="1">IFERROR(__xludf.DUMMYFUNCTION("""COMPUTED_VALUE"""),41.6)</f>
        <v>41.6</v>
      </c>
      <c r="S253" s="1">
        <f ca="1">IFERROR(__xludf.DUMMYFUNCTION("""COMPUTED_VALUE"""),75.91)</f>
        <v>75.91</v>
      </c>
      <c r="T253" s="1">
        <f ca="1">IFERROR(__xludf.DUMMYFUNCTION("""COMPUTED_VALUE"""),48.06)</f>
        <v>48.06</v>
      </c>
      <c r="U253" s="1">
        <f ca="1">IFERROR(__xludf.DUMMYFUNCTION("""COMPUTED_VALUE"""),141.58)</f>
        <v>141.58000000000001</v>
      </c>
      <c r="V253" s="1">
        <f ca="1">IFERROR(__xludf.DUMMYFUNCTION("""COMPUTED_VALUE"""),180.04)</f>
        <v>180.04</v>
      </c>
      <c r="W253" s="1">
        <f ca="1">IFERROR(__xludf.DUMMYFUNCTION("""COMPUTED_VALUE"""),354.16)</f>
        <v>354.16</v>
      </c>
      <c r="X253" s="1">
        <f ca="1">IFERROR(__xludf.DUMMYFUNCTION("""COMPUTED_VALUE"""),489.91)</f>
        <v>489.91</v>
      </c>
      <c r="Y253" s="1">
        <f ca="1">IFERROR(__xludf.DUMMYFUNCTION("""COMPUTED_VALUE"""),108.9)</f>
        <v>108.9</v>
      </c>
      <c r="Z253" s="1">
        <f ca="1">IFERROR(__xludf.DUMMYFUNCTION("""COMPUTED_VALUE"""),259.45)</f>
        <v>259.45</v>
      </c>
      <c r="AA253" s="1">
        <f ca="1">IFERROR(__xludf.DUMMYFUNCTION("""COMPUTED_VALUE"""),36.74)</f>
        <v>36.74</v>
      </c>
      <c r="AB253" s="1">
        <f ca="1">IFERROR(__xludf.DUMMYFUNCTION("""COMPUTED_VALUE"""),105.97)</f>
        <v>105.97</v>
      </c>
      <c r="AC253" s="1">
        <f ca="1">IFERROR(__xludf.DUMMYFUNCTION("""COMPUTED_VALUE"""),92.29)</f>
        <v>92.29</v>
      </c>
    </row>
    <row r="254" spans="1:29" x14ac:dyDescent="0.25">
      <c r="A254" s="2">
        <f ca="1">IFERROR(__xludf.DUMMYFUNCTION("""COMPUTED_VALUE"""),44196.6666666666)</f>
        <v>44196.666666666599</v>
      </c>
      <c r="B254" s="1">
        <f ca="1">IFERROR(__xludf.DUMMYFUNCTION("""COMPUTED_VALUE"""),132.69)</f>
        <v>132.69</v>
      </c>
      <c r="C254" s="1">
        <f ca="1">IFERROR(__xludf.DUMMYFUNCTION("""COMPUTED_VALUE"""),222.42)</f>
        <v>222.42</v>
      </c>
      <c r="D254" s="1">
        <f ca="1">IFERROR(__xludf.DUMMYFUNCTION("""COMPUTED_VALUE"""),162.85)</f>
        <v>162.85</v>
      </c>
      <c r="E254" s="1">
        <f ca="1">IFERROR(__xludf.DUMMYFUNCTION("""COMPUTED_VALUE"""),13.06)</f>
        <v>13.06</v>
      </c>
      <c r="F254" s="1">
        <f ca="1">IFERROR(__xludf.DUMMYFUNCTION("""COMPUTED_VALUE"""),273.16)</f>
        <v>273.16000000000003</v>
      </c>
      <c r="G254" s="1">
        <f ca="1">IFERROR(__xludf.DUMMYFUNCTION("""COMPUTED_VALUE"""),87.59)</f>
        <v>87.59</v>
      </c>
      <c r="H254" s="1">
        <f ca="1">IFERROR(__xludf.DUMMYFUNCTION("""COMPUTED_VALUE"""),235.22)</f>
        <v>235.22</v>
      </c>
      <c r="I254" s="1">
        <f ca="1">IFERROR(__xludf.DUMMYFUNCTION("""COMPUTED_VALUE"""),148.3)</f>
        <v>148.30000000000001</v>
      </c>
      <c r="J254" s="1">
        <f ca="1">IFERROR(__xludf.DUMMYFUNCTION("""COMPUTED_VALUE"""),376.78)</f>
        <v>376.78</v>
      </c>
      <c r="K254" s="1">
        <f ca="1">IFERROR(__xludf.DUMMYFUNCTION("""COMPUTED_VALUE"""),43.79)</f>
        <v>43.79</v>
      </c>
      <c r="L254" s="1">
        <f ca="1">IFERROR(__xludf.DUMMYFUNCTION("""COMPUTED_VALUE"""),500.12)</f>
        <v>500.12</v>
      </c>
      <c r="M254" s="1">
        <f ca="1">IFERROR(__xludf.DUMMYFUNCTION("""COMPUTED_VALUE"""),540.73)</f>
        <v>540.73</v>
      </c>
      <c r="N254" s="1">
        <f ca="1">IFERROR(__xludf.DUMMYFUNCTION("""COMPUTED_VALUE"""),127.07)</f>
        <v>127.07</v>
      </c>
      <c r="O254" s="1">
        <f ca="1">IFERROR(__xludf.DUMMYFUNCTION("""COMPUTED_VALUE"""),218.73)</f>
        <v>218.73</v>
      </c>
      <c r="P254" s="1">
        <f ca="1">IFERROR(__xludf.DUMMYFUNCTION("""COMPUTED_VALUE"""),157.38)</f>
        <v>157.38</v>
      </c>
      <c r="Q254" s="1">
        <f ca="1">IFERROR(__xludf.DUMMYFUNCTION("""COMPUTED_VALUE"""),350.68)</f>
        <v>350.68</v>
      </c>
      <c r="R254" s="1">
        <f ca="1">IFERROR(__xludf.DUMMYFUNCTION("""COMPUTED_VALUE"""),41.22)</f>
        <v>41.22</v>
      </c>
      <c r="S254" s="1">
        <f ca="1">IFERROR(__xludf.DUMMYFUNCTION("""COMPUTED_VALUE"""),77.15)</f>
        <v>77.150000000000006</v>
      </c>
      <c r="T254" s="1">
        <f ca="1">IFERROR(__xludf.DUMMYFUNCTION("""COMPUTED_VALUE"""),48.05)</f>
        <v>48.05</v>
      </c>
      <c r="U254" s="1">
        <f ca="1">IFERROR(__xludf.DUMMYFUNCTION("""COMPUTED_VALUE"""),141.47)</f>
        <v>141.47</v>
      </c>
      <c r="V254" s="1">
        <f ca="1">IFERROR(__xludf.DUMMYFUNCTION("""COMPUTED_VALUE"""),182.02)</f>
        <v>182.02</v>
      </c>
      <c r="W254" s="1">
        <f ca="1">IFERROR(__xludf.DUMMYFUNCTION("""COMPUTED_VALUE"""),354.98)</f>
        <v>354.98</v>
      </c>
      <c r="X254" s="1">
        <f ca="1">IFERROR(__xludf.DUMMYFUNCTION("""COMPUTED_VALUE"""),487.72)</f>
        <v>487.72</v>
      </c>
      <c r="Y254" s="1">
        <f ca="1">IFERROR(__xludf.DUMMYFUNCTION("""COMPUTED_VALUE"""),109.04)</f>
        <v>109.04</v>
      </c>
      <c r="Z254" s="1">
        <f ca="1">IFERROR(__xludf.DUMMYFUNCTION("""COMPUTED_VALUE"""),263.71)</f>
        <v>263.70999999999998</v>
      </c>
      <c r="AA254" s="1">
        <f ca="1">IFERROR(__xludf.DUMMYFUNCTION("""COMPUTED_VALUE"""),36.81)</f>
        <v>36.81</v>
      </c>
      <c r="AB254" s="1">
        <f ca="1">IFERROR(__xludf.DUMMYFUNCTION("""COMPUTED_VALUE"""),106.98)</f>
        <v>106.98</v>
      </c>
      <c r="AC254" s="1">
        <f ca="1">IFERROR(__xludf.DUMMYFUNCTION("""COMPUTED_VALUE"""),91.71)</f>
        <v>91.71</v>
      </c>
    </row>
    <row r="255" spans="1:29" x14ac:dyDescent="0.25">
      <c r="A255" s="2">
        <f ca="1">IFERROR(__xludf.DUMMYFUNCTION("""COMPUTED_VALUE"""),44200.6666666666)</f>
        <v>44200.666666666599</v>
      </c>
      <c r="B255" s="1">
        <f ca="1">IFERROR(__xludf.DUMMYFUNCTION("""COMPUTED_VALUE"""),129.41)</f>
        <v>129.41</v>
      </c>
      <c r="C255" s="1">
        <f ca="1">IFERROR(__xludf.DUMMYFUNCTION("""COMPUTED_VALUE"""),217.69)</f>
        <v>217.69</v>
      </c>
      <c r="D255" s="1">
        <f ca="1">IFERROR(__xludf.DUMMYFUNCTION("""COMPUTED_VALUE"""),159.33)</f>
        <v>159.33000000000001</v>
      </c>
      <c r="E255" s="1">
        <f ca="1">IFERROR(__xludf.DUMMYFUNCTION("""COMPUTED_VALUE"""),13.11)</f>
        <v>13.11</v>
      </c>
      <c r="F255" s="1">
        <f ca="1">IFERROR(__xludf.DUMMYFUNCTION("""COMPUTED_VALUE"""),268.94)</f>
        <v>268.94</v>
      </c>
      <c r="G255" s="1">
        <f ca="1">IFERROR(__xludf.DUMMYFUNCTION("""COMPUTED_VALUE"""),86.41)</f>
        <v>86.41</v>
      </c>
      <c r="H255" s="1">
        <f ca="1">IFERROR(__xludf.DUMMYFUNCTION("""COMPUTED_VALUE"""),243.26)</f>
        <v>243.26</v>
      </c>
      <c r="I255" s="1">
        <f ca="1">IFERROR(__xludf.DUMMYFUNCTION("""COMPUTED_VALUE"""),144.27)</f>
        <v>144.27000000000001</v>
      </c>
      <c r="J255" s="1">
        <f ca="1">IFERROR(__xludf.DUMMYFUNCTION("""COMPUTED_VALUE"""),380.15)</f>
        <v>380.15</v>
      </c>
      <c r="K255" s="1">
        <f ca="1">IFERROR(__xludf.DUMMYFUNCTION("""COMPUTED_VALUE"""),42.52)</f>
        <v>42.52</v>
      </c>
      <c r="L255" s="1">
        <f ca="1">IFERROR(__xludf.DUMMYFUNCTION("""COMPUTED_VALUE"""),485.34)</f>
        <v>485.34</v>
      </c>
      <c r="M255" s="1">
        <f ca="1">IFERROR(__xludf.DUMMYFUNCTION("""COMPUTED_VALUE"""),522.86)</f>
        <v>522.86</v>
      </c>
      <c r="N255" s="1">
        <f ca="1">IFERROR(__xludf.DUMMYFUNCTION("""COMPUTED_VALUE"""),125.87)</f>
        <v>125.87</v>
      </c>
      <c r="O255" s="1">
        <f ca="1">IFERROR(__xludf.DUMMYFUNCTION("""COMPUTED_VALUE"""),217.76)</f>
        <v>217.76</v>
      </c>
      <c r="P255" s="1">
        <f ca="1">IFERROR(__xludf.DUMMYFUNCTION("""COMPUTED_VALUE"""),156.5)</f>
        <v>156.5</v>
      </c>
      <c r="Q255" s="1">
        <f ca="1">IFERROR(__xludf.DUMMYFUNCTION("""COMPUTED_VALUE"""),349.5)</f>
        <v>349.5</v>
      </c>
      <c r="R255" s="1">
        <f ca="1">IFERROR(__xludf.DUMMYFUNCTION("""COMPUTED_VALUE"""),41.5)</f>
        <v>41.5</v>
      </c>
      <c r="S255" s="1">
        <f ca="1">IFERROR(__xludf.DUMMYFUNCTION("""COMPUTED_VALUE"""),74.22)</f>
        <v>74.22</v>
      </c>
      <c r="T255" s="1">
        <f ca="1">IFERROR(__xludf.DUMMYFUNCTION("""COMPUTED_VALUE"""),48.84)</f>
        <v>48.84</v>
      </c>
      <c r="U255" s="1">
        <f ca="1">IFERROR(__xludf.DUMMYFUNCTION("""COMPUTED_VALUE"""),140.1)</f>
        <v>140.1</v>
      </c>
      <c r="V255" s="1">
        <f ca="1">IFERROR(__xludf.DUMMYFUNCTION("""COMPUTED_VALUE"""),182.15)</f>
        <v>182.15</v>
      </c>
      <c r="W255" s="1">
        <f ca="1">IFERROR(__xludf.DUMMYFUNCTION("""COMPUTED_VALUE"""),344.64)</f>
        <v>344.64</v>
      </c>
      <c r="X255" s="1">
        <f ca="1">IFERROR(__xludf.DUMMYFUNCTION("""COMPUTED_VALUE"""),500)</f>
        <v>500</v>
      </c>
      <c r="Y255" s="1">
        <f ca="1">IFERROR(__xludf.DUMMYFUNCTION("""COMPUTED_VALUE"""),111.7)</f>
        <v>111.7</v>
      </c>
      <c r="Z255" s="1">
        <f ca="1">IFERROR(__xludf.DUMMYFUNCTION("""COMPUTED_VALUE"""),265)</f>
        <v>265</v>
      </c>
      <c r="AA255" s="1">
        <f ca="1">IFERROR(__xludf.DUMMYFUNCTION("""COMPUTED_VALUE"""),36.81)</f>
        <v>36.81</v>
      </c>
      <c r="AB255" s="1">
        <f ca="1">IFERROR(__xludf.DUMMYFUNCTION("""COMPUTED_VALUE"""),103.1)</f>
        <v>103.1</v>
      </c>
      <c r="AC255" s="1">
        <f ca="1">IFERROR(__xludf.DUMMYFUNCTION("""COMPUTED_VALUE"""),92.3)</f>
        <v>92.3</v>
      </c>
    </row>
    <row r="256" spans="1:29" x14ac:dyDescent="0.25">
      <c r="A256" s="2">
        <f ca="1">IFERROR(__xludf.DUMMYFUNCTION("""COMPUTED_VALUE"""),44201.6666666666)</f>
        <v>44201.666666666599</v>
      </c>
      <c r="B256" s="1">
        <f ca="1">IFERROR(__xludf.DUMMYFUNCTION("""COMPUTED_VALUE"""),131.01)</f>
        <v>131.01</v>
      </c>
      <c r="C256" s="1">
        <f ca="1">IFERROR(__xludf.DUMMYFUNCTION("""COMPUTED_VALUE"""),217.9)</f>
        <v>217.9</v>
      </c>
      <c r="D256" s="1">
        <f ca="1">IFERROR(__xludf.DUMMYFUNCTION("""COMPUTED_VALUE"""),160.93)</f>
        <v>160.93</v>
      </c>
      <c r="E256" s="1">
        <f ca="1">IFERROR(__xludf.DUMMYFUNCTION("""COMPUTED_VALUE"""),13.4)</f>
        <v>13.4</v>
      </c>
      <c r="F256" s="1">
        <f ca="1">IFERROR(__xludf.DUMMYFUNCTION("""COMPUTED_VALUE"""),270.97)</f>
        <v>270.97000000000003</v>
      </c>
      <c r="G256" s="1">
        <f ca="1">IFERROR(__xludf.DUMMYFUNCTION("""COMPUTED_VALUE"""),87.05)</f>
        <v>87.05</v>
      </c>
      <c r="H256" s="1">
        <f ca="1">IFERROR(__xludf.DUMMYFUNCTION("""COMPUTED_VALUE"""),245.04)</f>
        <v>245.04</v>
      </c>
      <c r="I256" s="1">
        <f ca="1">IFERROR(__xludf.DUMMYFUNCTION("""COMPUTED_VALUE"""),144.7)</f>
        <v>144.69999999999999</v>
      </c>
      <c r="J256" s="1">
        <f ca="1">IFERROR(__xludf.DUMMYFUNCTION("""COMPUTED_VALUE"""),375.74)</f>
        <v>375.74</v>
      </c>
      <c r="K256" s="1">
        <f ca="1">IFERROR(__xludf.DUMMYFUNCTION("""COMPUTED_VALUE"""),42.81)</f>
        <v>42.81</v>
      </c>
      <c r="L256" s="1">
        <f ca="1">IFERROR(__xludf.DUMMYFUNCTION("""COMPUTED_VALUE"""),485.69)</f>
        <v>485.69</v>
      </c>
      <c r="M256" s="1">
        <f ca="1">IFERROR(__xludf.DUMMYFUNCTION("""COMPUTED_VALUE"""),520.8)</f>
        <v>520.79999999999995</v>
      </c>
      <c r="N256" s="1">
        <f ca="1">IFERROR(__xludf.DUMMYFUNCTION("""COMPUTED_VALUE"""),125.65)</f>
        <v>125.65</v>
      </c>
      <c r="O256" s="1">
        <f ca="1">IFERROR(__xludf.DUMMYFUNCTION("""COMPUTED_VALUE"""),214.51)</f>
        <v>214.51</v>
      </c>
      <c r="P256" s="1">
        <f ca="1">IFERROR(__xludf.DUMMYFUNCTION("""COMPUTED_VALUE"""),158.34)</f>
        <v>158.34</v>
      </c>
      <c r="Q256" s="1">
        <f ca="1">IFERROR(__xludf.DUMMYFUNCTION("""COMPUTED_VALUE"""),344.8)</f>
        <v>344.8</v>
      </c>
      <c r="R256" s="1">
        <f ca="1">IFERROR(__xludf.DUMMYFUNCTION("""COMPUTED_VALUE"""),43.5)</f>
        <v>43.5</v>
      </c>
      <c r="S256" s="1">
        <f ca="1">IFERROR(__xludf.DUMMYFUNCTION("""COMPUTED_VALUE"""),74.77)</f>
        <v>74.77</v>
      </c>
      <c r="T256" s="1">
        <f ca="1">IFERROR(__xludf.DUMMYFUNCTION("""COMPUTED_VALUE"""),48.58)</f>
        <v>48.58</v>
      </c>
      <c r="U256" s="1">
        <f ca="1">IFERROR(__xludf.DUMMYFUNCTION("""COMPUTED_VALUE"""),141.23)</f>
        <v>141.22999999999999</v>
      </c>
      <c r="V256" s="1">
        <f ca="1">IFERROR(__xludf.DUMMYFUNCTION("""COMPUTED_VALUE"""),183.64)</f>
        <v>183.64</v>
      </c>
      <c r="W256" s="1">
        <f ca="1">IFERROR(__xludf.DUMMYFUNCTION("""COMPUTED_VALUE"""),348.79)</f>
        <v>348.79</v>
      </c>
      <c r="X256" s="1">
        <f ca="1">IFERROR(__xludf.DUMMYFUNCTION("""COMPUTED_VALUE"""),505.36)</f>
        <v>505.36</v>
      </c>
      <c r="Y256" s="1">
        <f ca="1">IFERROR(__xludf.DUMMYFUNCTION("""COMPUTED_VALUE"""),112.77)</f>
        <v>112.77</v>
      </c>
      <c r="Z256" s="1">
        <f ca="1">IFERROR(__xludf.DUMMYFUNCTION("""COMPUTED_VALUE"""),270.93)</f>
        <v>270.93</v>
      </c>
      <c r="AA256" s="1">
        <f ca="1">IFERROR(__xludf.DUMMYFUNCTION("""COMPUTED_VALUE"""),37.19)</f>
        <v>37.19</v>
      </c>
      <c r="AB256" s="1">
        <f ca="1">IFERROR(__xludf.DUMMYFUNCTION("""COMPUTED_VALUE"""),103.44)</f>
        <v>103.44</v>
      </c>
      <c r="AC256" s="1">
        <f ca="1">IFERROR(__xludf.DUMMYFUNCTION("""COMPUTED_VALUE"""),92.77)</f>
        <v>92.77</v>
      </c>
    </row>
    <row r="257" spans="1:29" x14ac:dyDescent="0.25">
      <c r="A257" s="2">
        <f ca="1">IFERROR(__xludf.DUMMYFUNCTION("""COMPUTED_VALUE"""),44202.6666666666)</f>
        <v>44202.666666666599</v>
      </c>
      <c r="B257" s="1">
        <f ca="1">IFERROR(__xludf.DUMMYFUNCTION("""COMPUTED_VALUE"""),126.6)</f>
        <v>126.6</v>
      </c>
      <c r="C257" s="1">
        <f ca="1">IFERROR(__xludf.DUMMYFUNCTION("""COMPUTED_VALUE"""),212.25)</f>
        <v>212.25</v>
      </c>
      <c r="D257" s="1">
        <f ca="1">IFERROR(__xludf.DUMMYFUNCTION("""COMPUTED_VALUE"""),156.92)</f>
        <v>156.91999999999999</v>
      </c>
      <c r="E257" s="1">
        <f ca="1">IFERROR(__xludf.DUMMYFUNCTION("""COMPUTED_VALUE"""),12.61)</f>
        <v>12.61</v>
      </c>
      <c r="F257" s="1">
        <f ca="1">IFERROR(__xludf.DUMMYFUNCTION("""COMPUTED_VALUE"""),263.31)</f>
        <v>263.31</v>
      </c>
      <c r="G257" s="1">
        <f ca="1">IFERROR(__xludf.DUMMYFUNCTION("""COMPUTED_VALUE"""),86.76)</f>
        <v>86.76</v>
      </c>
      <c r="H257" s="1">
        <f ca="1">IFERROR(__xludf.DUMMYFUNCTION("""COMPUTED_VALUE"""),251.99)</f>
        <v>251.99</v>
      </c>
      <c r="I257" s="1">
        <f ca="1">IFERROR(__xludf.DUMMYFUNCTION("""COMPUTED_VALUE"""),142.93)</f>
        <v>142.93</v>
      </c>
      <c r="J257" s="1">
        <f ca="1">IFERROR(__xludf.DUMMYFUNCTION("""COMPUTED_VALUE"""),370.02)</f>
        <v>370.02</v>
      </c>
      <c r="K257" s="1">
        <f ca="1">IFERROR(__xludf.DUMMYFUNCTION("""COMPUTED_VALUE"""),42.55)</f>
        <v>42.55</v>
      </c>
      <c r="L257" s="1">
        <f ca="1">IFERROR(__xludf.DUMMYFUNCTION("""COMPUTED_VALUE"""),466.31)</f>
        <v>466.31</v>
      </c>
      <c r="M257" s="1">
        <f ca="1">IFERROR(__xludf.DUMMYFUNCTION("""COMPUTED_VALUE"""),500.49)</f>
        <v>500.49</v>
      </c>
      <c r="N257" s="1">
        <f ca="1">IFERROR(__xludf.DUMMYFUNCTION("""COMPUTED_VALUE"""),131.55)</f>
        <v>131.55000000000001</v>
      </c>
      <c r="O257" s="1">
        <f ca="1">IFERROR(__xludf.DUMMYFUNCTION("""COMPUTED_VALUE"""),212.62)</f>
        <v>212.62</v>
      </c>
      <c r="P257" s="1">
        <f ca="1">IFERROR(__xludf.DUMMYFUNCTION("""COMPUTED_VALUE"""),159.83)</f>
        <v>159.83000000000001</v>
      </c>
      <c r="Q257" s="1">
        <f ca="1">IFERROR(__xludf.DUMMYFUNCTION("""COMPUTED_VALUE"""),359.27)</f>
        <v>359.27</v>
      </c>
      <c r="R257" s="1">
        <f ca="1">IFERROR(__xludf.DUMMYFUNCTION("""COMPUTED_VALUE"""),44.61)</f>
        <v>44.61</v>
      </c>
      <c r="S257" s="1">
        <f ca="1">IFERROR(__xludf.DUMMYFUNCTION("""COMPUTED_VALUE"""),78.43)</f>
        <v>78.430000000000007</v>
      </c>
      <c r="T257" s="1">
        <f ca="1">IFERROR(__xludf.DUMMYFUNCTION("""COMPUTED_VALUE"""),48.89)</f>
        <v>48.89</v>
      </c>
      <c r="U257" s="1">
        <f ca="1">IFERROR(__xludf.DUMMYFUNCTION("""COMPUTED_VALUE"""),142.35)</f>
        <v>142.35</v>
      </c>
      <c r="V257" s="1">
        <f ca="1">IFERROR(__xludf.DUMMYFUNCTION("""COMPUTED_VALUE"""),193.86)</f>
        <v>193.86</v>
      </c>
      <c r="W257" s="1">
        <f ca="1">IFERROR(__xludf.DUMMYFUNCTION("""COMPUTED_VALUE"""),348.03)</f>
        <v>348.03</v>
      </c>
      <c r="X257" s="1">
        <f ca="1">IFERROR(__xludf.DUMMYFUNCTION("""COMPUTED_VALUE"""),490.22)</f>
        <v>490.22</v>
      </c>
      <c r="Y257" s="1">
        <f ca="1">IFERROR(__xludf.DUMMYFUNCTION("""COMPUTED_VALUE"""),115.61)</f>
        <v>115.61</v>
      </c>
      <c r="Z257" s="1">
        <f ca="1">IFERROR(__xludf.DUMMYFUNCTION("""COMPUTED_VALUE"""),285.55)</f>
        <v>285.55</v>
      </c>
      <c r="AA257" s="1">
        <f ca="1">IFERROR(__xludf.DUMMYFUNCTION("""COMPUTED_VALUE"""),36.87)</f>
        <v>36.869999999999997</v>
      </c>
      <c r="AB257" s="1">
        <f ca="1">IFERROR(__xludf.DUMMYFUNCTION("""COMPUTED_VALUE"""),104.19)</f>
        <v>104.19</v>
      </c>
      <c r="AC257" s="1">
        <f ca="1">IFERROR(__xludf.DUMMYFUNCTION("""COMPUTED_VALUE"""),90.33)</f>
        <v>90.33</v>
      </c>
    </row>
    <row r="258" spans="1:29" x14ac:dyDescent="0.25">
      <c r="A258" s="2">
        <f ca="1">IFERROR(__xludf.DUMMYFUNCTION("""COMPUTED_VALUE"""),44203.6666666666)</f>
        <v>44203.666666666599</v>
      </c>
      <c r="B258" s="1">
        <f ca="1">IFERROR(__xludf.DUMMYFUNCTION("""COMPUTED_VALUE"""),130.92)</f>
        <v>130.91999999999999</v>
      </c>
      <c r="C258" s="1">
        <f ca="1">IFERROR(__xludf.DUMMYFUNCTION("""COMPUTED_VALUE"""),218.29)</f>
        <v>218.29</v>
      </c>
      <c r="D258" s="1">
        <f ca="1">IFERROR(__xludf.DUMMYFUNCTION("""COMPUTED_VALUE"""),158.11)</f>
        <v>158.11000000000001</v>
      </c>
      <c r="E258" s="1">
        <f ca="1">IFERROR(__xludf.DUMMYFUNCTION("""COMPUTED_VALUE"""),13.34)</f>
        <v>13.34</v>
      </c>
      <c r="F258" s="1">
        <f ca="1">IFERROR(__xludf.DUMMYFUNCTION("""COMPUTED_VALUE"""),268.74)</f>
        <v>268.74</v>
      </c>
      <c r="G258" s="1">
        <f ca="1">IFERROR(__xludf.DUMMYFUNCTION("""COMPUTED_VALUE"""),89.36)</f>
        <v>89.36</v>
      </c>
      <c r="H258" s="1">
        <f ca="1">IFERROR(__xludf.DUMMYFUNCTION("""COMPUTED_VALUE"""),272.01)</f>
        <v>272.01</v>
      </c>
      <c r="I258" s="1">
        <f ca="1">IFERROR(__xludf.DUMMYFUNCTION("""COMPUTED_VALUE"""),142.47)</f>
        <v>142.47</v>
      </c>
      <c r="J258" s="1">
        <f ca="1">IFERROR(__xludf.DUMMYFUNCTION("""COMPUTED_VALUE"""),367.92)</f>
        <v>367.92</v>
      </c>
      <c r="K258" s="1">
        <f ca="1">IFERROR(__xludf.DUMMYFUNCTION("""COMPUTED_VALUE"""),44.34)</f>
        <v>44.34</v>
      </c>
      <c r="L258" s="1">
        <f ca="1">IFERROR(__xludf.DUMMYFUNCTION("""COMPUTED_VALUE"""),477.74)</f>
        <v>477.74</v>
      </c>
      <c r="M258" s="1">
        <f ca="1">IFERROR(__xludf.DUMMYFUNCTION("""COMPUTED_VALUE"""),508.89)</f>
        <v>508.89</v>
      </c>
      <c r="N258" s="1">
        <f ca="1">IFERROR(__xludf.DUMMYFUNCTION("""COMPUTED_VALUE"""),135.87)</f>
        <v>135.87</v>
      </c>
      <c r="O258" s="1">
        <f ca="1">IFERROR(__xludf.DUMMYFUNCTION("""COMPUTED_VALUE"""),213.81)</f>
        <v>213.81</v>
      </c>
      <c r="P258" s="1">
        <f ca="1">IFERROR(__xludf.DUMMYFUNCTION("""COMPUTED_VALUE"""),160.37)</f>
        <v>160.37</v>
      </c>
      <c r="Q258" s="1">
        <f ca="1">IFERROR(__xludf.DUMMYFUNCTION("""COMPUTED_VALUE"""),365.03)</f>
        <v>365.03</v>
      </c>
      <c r="R258" s="1">
        <f ca="1">IFERROR(__xludf.DUMMYFUNCTION("""COMPUTED_VALUE"""),44.96)</f>
        <v>44.96</v>
      </c>
      <c r="S258" s="1">
        <f ca="1">IFERROR(__xludf.DUMMYFUNCTION("""COMPUTED_VALUE"""),79.29)</f>
        <v>79.290000000000006</v>
      </c>
      <c r="T258" s="1">
        <f ca="1">IFERROR(__xludf.DUMMYFUNCTION("""COMPUTED_VALUE"""),48.88)</f>
        <v>48.88</v>
      </c>
      <c r="U258" s="1">
        <f ca="1">IFERROR(__xludf.DUMMYFUNCTION("""COMPUTED_VALUE"""),144.95)</f>
        <v>144.94999999999999</v>
      </c>
      <c r="V258" s="1">
        <f ca="1">IFERROR(__xludf.DUMMYFUNCTION("""COMPUTED_VALUE"""),194.23)</f>
        <v>194.23</v>
      </c>
      <c r="W258" s="1">
        <f ca="1">IFERROR(__xludf.DUMMYFUNCTION("""COMPUTED_VALUE"""),342.55)</f>
        <v>342.55</v>
      </c>
      <c r="X258" s="1">
        <f ca="1">IFERROR(__xludf.DUMMYFUNCTION("""COMPUTED_VALUE"""),501.43)</f>
        <v>501.43</v>
      </c>
      <c r="Y258" s="1">
        <f ca="1">IFERROR(__xludf.DUMMYFUNCTION("""COMPUTED_VALUE"""),121.43)</f>
        <v>121.43</v>
      </c>
      <c r="Z258" s="1">
        <f ca="1">IFERROR(__xludf.DUMMYFUNCTION("""COMPUTED_VALUE"""),291.65)</f>
        <v>291.64999999999998</v>
      </c>
      <c r="AA258" s="1">
        <f ca="1">IFERROR(__xludf.DUMMYFUNCTION("""COMPUTED_VALUE"""),37.06)</f>
        <v>37.06</v>
      </c>
      <c r="AB258" s="1">
        <f ca="1">IFERROR(__xludf.DUMMYFUNCTION("""COMPUTED_VALUE"""),103.35)</f>
        <v>103.35</v>
      </c>
      <c r="AC258" s="1">
        <f ca="1">IFERROR(__xludf.DUMMYFUNCTION("""COMPUTED_VALUE"""),95.16)</f>
        <v>95.16</v>
      </c>
    </row>
    <row r="259" spans="1:29" x14ac:dyDescent="0.25">
      <c r="A259" s="2">
        <f ca="1">IFERROR(__xludf.DUMMYFUNCTION("""COMPUTED_VALUE"""),44204.6666666666)</f>
        <v>44204.666666666599</v>
      </c>
      <c r="B259" s="1">
        <f ca="1">IFERROR(__xludf.DUMMYFUNCTION("""COMPUTED_VALUE"""),132.05)</f>
        <v>132.05000000000001</v>
      </c>
      <c r="C259" s="1">
        <f ca="1">IFERROR(__xludf.DUMMYFUNCTION("""COMPUTED_VALUE"""),219.62)</f>
        <v>219.62</v>
      </c>
      <c r="D259" s="1">
        <f ca="1">IFERROR(__xludf.DUMMYFUNCTION("""COMPUTED_VALUE"""),159.14)</f>
        <v>159.13999999999999</v>
      </c>
      <c r="E259" s="1">
        <f ca="1">IFERROR(__xludf.DUMMYFUNCTION("""COMPUTED_VALUE"""),13.28)</f>
        <v>13.28</v>
      </c>
      <c r="F259" s="1">
        <f ca="1">IFERROR(__xludf.DUMMYFUNCTION("""COMPUTED_VALUE"""),267.57)</f>
        <v>267.57</v>
      </c>
      <c r="G259" s="1">
        <f ca="1">IFERROR(__xludf.DUMMYFUNCTION("""COMPUTED_VALUE"""),90.36)</f>
        <v>90.36</v>
      </c>
      <c r="H259" s="1">
        <f ca="1">IFERROR(__xludf.DUMMYFUNCTION("""COMPUTED_VALUE"""),293.34)</f>
        <v>293.33999999999997</v>
      </c>
      <c r="I259" s="1">
        <f ca="1">IFERROR(__xludf.DUMMYFUNCTION("""COMPUTED_VALUE"""),144.18)</f>
        <v>144.18</v>
      </c>
      <c r="J259" s="1">
        <f ca="1">IFERROR(__xludf.DUMMYFUNCTION("""COMPUTED_VALUE"""),369.94)</f>
        <v>369.94</v>
      </c>
      <c r="K259" s="1">
        <f ca="1">IFERROR(__xludf.DUMMYFUNCTION("""COMPUTED_VALUE"""),44.56)</f>
        <v>44.56</v>
      </c>
      <c r="L259" s="1">
        <f ca="1">IFERROR(__xludf.DUMMYFUNCTION("""COMPUTED_VALUE"""),485.1)</f>
        <v>485.1</v>
      </c>
      <c r="M259" s="1">
        <f ca="1">IFERROR(__xludf.DUMMYFUNCTION("""COMPUTED_VALUE"""),510.4)</f>
        <v>510.4</v>
      </c>
      <c r="N259" s="1">
        <f ca="1">IFERROR(__xludf.DUMMYFUNCTION("""COMPUTED_VALUE"""),136.02)</f>
        <v>136.02000000000001</v>
      </c>
      <c r="O259" s="1">
        <f ca="1">IFERROR(__xludf.DUMMYFUNCTION("""COMPUTED_VALUE"""),215.45)</f>
        <v>215.45</v>
      </c>
      <c r="P259" s="1">
        <f ca="1">IFERROR(__xludf.DUMMYFUNCTION("""COMPUTED_VALUE"""),160.04)</f>
        <v>160.04</v>
      </c>
      <c r="Q259" s="1">
        <f ca="1">IFERROR(__xludf.DUMMYFUNCTION("""COMPUTED_VALUE"""),363.39)</f>
        <v>363.39</v>
      </c>
      <c r="R259" s="1">
        <f ca="1">IFERROR(__xludf.DUMMYFUNCTION("""COMPUTED_VALUE"""),45.46)</f>
        <v>45.46</v>
      </c>
      <c r="S259" s="1">
        <f ca="1">IFERROR(__xludf.DUMMYFUNCTION("""COMPUTED_VALUE"""),81.13)</f>
        <v>81.13</v>
      </c>
      <c r="T259" s="1">
        <f ca="1">IFERROR(__xludf.DUMMYFUNCTION("""COMPUTED_VALUE"""),48.88)</f>
        <v>48.88</v>
      </c>
      <c r="U259" s="1">
        <f ca="1">IFERROR(__xludf.DUMMYFUNCTION("""COMPUTED_VALUE"""),146.35)</f>
        <v>146.35</v>
      </c>
      <c r="V259" s="1">
        <f ca="1">IFERROR(__xludf.DUMMYFUNCTION("""COMPUTED_VALUE"""),194.26)</f>
        <v>194.26</v>
      </c>
      <c r="W259" s="1">
        <f ca="1">IFERROR(__xludf.DUMMYFUNCTION("""COMPUTED_VALUE"""),336.1)</f>
        <v>336.1</v>
      </c>
      <c r="X259" s="1">
        <f ca="1">IFERROR(__xludf.DUMMYFUNCTION("""COMPUTED_VALUE"""),508.74)</f>
        <v>508.74</v>
      </c>
      <c r="Y259" s="1">
        <f ca="1">IFERROR(__xludf.DUMMYFUNCTION("""COMPUTED_VALUE"""),118.69)</f>
        <v>118.69</v>
      </c>
      <c r="Z259" s="1">
        <f ca="1">IFERROR(__xludf.DUMMYFUNCTION("""COMPUTED_VALUE"""),290.08)</f>
        <v>290.08</v>
      </c>
      <c r="AA259" s="1">
        <f ca="1">IFERROR(__xludf.DUMMYFUNCTION("""COMPUTED_VALUE"""),37.13)</f>
        <v>37.130000000000003</v>
      </c>
      <c r="AB259" s="1">
        <f ca="1">IFERROR(__xludf.DUMMYFUNCTION("""COMPUTED_VALUE"""),105.67)</f>
        <v>105.67</v>
      </c>
      <c r="AC259" s="1">
        <f ca="1">IFERROR(__xludf.DUMMYFUNCTION("""COMPUTED_VALUE"""),94.58)</f>
        <v>94.58</v>
      </c>
    </row>
    <row r="260" spans="1:29" x14ac:dyDescent="0.25">
      <c r="A260" s="2">
        <f ca="1">IFERROR(__xludf.DUMMYFUNCTION("""COMPUTED_VALUE"""),44207.6666666666)</f>
        <v>44207.666666666599</v>
      </c>
      <c r="B260" s="1">
        <f ca="1">IFERROR(__xludf.DUMMYFUNCTION("""COMPUTED_VALUE"""),128.98)</f>
        <v>128.97999999999999</v>
      </c>
      <c r="C260" s="1">
        <f ca="1">IFERROR(__xludf.DUMMYFUNCTION("""COMPUTED_VALUE"""),217.49)</f>
        <v>217.49</v>
      </c>
      <c r="D260" s="1">
        <f ca="1">IFERROR(__xludf.DUMMYFUNCTION("""COMPUTED_VALUE"""),155.71)</f>
        <v>155.71</v>
      </c>
      <c r="E260" s="1">
        <f ca="1">IFERROR(__xludf.DUMMYFUNCTION("""COMPUTED_VALUE"""),13.62)</f>
        <v>13.62</v>
      </c>
      <c r="F260" s="1">
        <f ca="1">IFERROR(__xludf.DUMMYFUNCTION("""COMPUTED_VALUE"""),256.84)</f>
        <v>256.83999999999997</v>
      </c>
      <c r="G260" s="1">
        <f ca="1">IFERROR(__xludf.DUMMYFUNCTION("""COMPUTED_VALUE"""),88.34)</f>
        <v>88.34</v>
      </c>
      <c r="H260" s="1">
        <f ca="1">IFERROR(__xludf.DUMMYFUNCTION("""COMPUTED_VALUE"""),270.4)</f>
        <v>270.39999999999998</v>
      </c>
      <c r="I260" s="1">
        <f ca="1">IFERROR(__xludf.DUMMYFUNCTION("""COMPUTED_VALUE"""),142.09)</f>
        <v>142.09</v>
      </c>
      <c r="J260" s="1">
        <f ca="1">IFERROR(__xludf.DUMMYFUNCTION("""COMPUTED_VALUE"""),364.01)</f>
        <v>364.01</v>
      </c>
      <c r="K260" s="1">
        <f ca="1">IFERROR(__xludf.DUMMYFUNCTION("""COMPUTED_VALUE"""),44.58)</f>
        <v>44.58</v>
      </c>
      <c r="L260" s="1">
        <f ca="1">IFERROR(__xludf.DUMMYFUNCTION("""COMPUTED_VALUE"""),474.24)</f>
        <v>474.24</v>
      </c>
      <c r="M260" s="1">
        <f ca="1">IFERROR(__xludf.DUMMYFUNCTION("""COMPUTED_VALUE"""),499.1)</f>
        <v>499.1</v>
      </c>
      <c r="N260" s="1">
        <f ca="1">IFERROR(__xludf.DUMMYFUNCTION("""COMPUTED_VALUE"""),138.05)</f>
        <v>138.05000000000001</v>
      </c>
      <c r="O260" s="1">
        <f ca="1">IFERROR(__xludf.DUMMYFUNCTION("""COMPUTED_VALUE"""),212.89)</f>
        <v>212.89</v>
      </c>
      <c r="P260" s="1">
        <f ca="1">IFERROR(__xludf.DUMMYFUNCTION("""COMPUTED_VALUE"""),159.37)</f>
        <v>159.37</v>
      </c>
      <c r="Q260" s="1">
        <f ca="1">IFERROR(__xludf.DUMMYFUNCTION("""COMPUTED_VALUE"""),360.75)</f>
        <v>360.75</v>
      </c>
      <c r="R260" s="1">
        <f ca="1">IFERROR(__xludf.DUMMYFUNCTION("""COMPUTED_VALUE"""),46.84)</f>
        <v>46.84</v>
      </c>
      <c r="S260" s="1">
        <f ca="1">IFERROR(__xludf.DUMMYFUNCTION("""COMPUTED_VALUE"""),79.69)</f>
        <v>79.69</v>
      </c>
      <c r="T260" s="1">
        <f ca="1">IFERROR(__xludf.DUMMYFUNCTION("""COMPUTED_VALUE"""),49.1)</f>
        <v>49.1</v>
      </c>
      <c r="U260" s="1">
        <f ca="1">IFERROR(__xludf.DUMMYFUNCTION("""COMPUTED_VALUE"""),147.05)</f>
        <v>147.05000000000001</v>
      </c>
      <c r="V260" s="1">
        <f ca="1">IFERROR(__xludf.DUMMYFUNCTION("""COMPUTED_VALUE"""),193.86)</f>
        <v>193.86</v>
      </c>
      <c r="W260" s="1">
        <f ca="1">IFERROR(__xludf.DUMMYFUNCTION("""COMPUTED_VALUE"""),337.68)</f>
        <v>337.68</v>
      </c>
      <c r="X260" s="1">
        <f ca="1">IFERROR(__xludf.DUMMYFUNCTION("""COMPUTED_VALUE"""),507.95)</f>
        <v>507.95</v>
      </c>
      <c r="Y260" s="1">
        <f ca="1">IFERROR(__xludf.DUMMYFUNCTION("""COMPUTED_VALUE"""),122.6)</f>
        <v>122.6</v>
      </c>
      <c r="Z260" s="1">
        <f ca="1">IFERROR(__xludf.DUMMYFUNCTION("""COMPUTED_VALUE"""),293.83)</f>
        <v>293.83</v>
      </c>
      <c r="AA260" s="1">
        <f ca="1">IFERROR(__xludf.DUMMYFUNCTION("""COMPUTED_VALUE"""),37.77)</f>
        <v>37.770000000000003</v>
      </c>
      <c r="AB260" s="1">
        <f ca="1">IFERROR(__xludf.DUMMYFUNCTION("""COMPUTED_VALUE"""),104.6)</f>
        <v>104.6</v>
      </c>
      <c r="AC260" s="1">
        <f ca="1">IFERROR(__xludf.DUMMYFUNCTION("""COMPUTED_VALUE"""),97.25)</f>
        <v>97.25</v>
      </c>
    </row>
    <row r="261" spans="1:29" x14ac:dyDescent="0.25">
      <c r="A261" s="2">
        <f ca="1">IFERROR(__xludf.DUMMYFUNCTION("""COMPUTED_VALUE"""),44208.6666666666)</f>
        <v>44208.666666666599</v>
      </c>
      <c r="B261" s="1">
        <f ca="1">IFERROR(__xludf.DUMMYFUNCTION("""COMPUTED_VALUE"""),128.8)</f>
        <v>128.80000000000001</v>
      </c>
      <c r="C261" s="1">
        <f ca="1">IFERROR(__xludf.DUMMYFUNCTION("""COMPUTED_VALUE"""),214.93)</f>
        <v>214.93</v>
      </c>
      <c r="D261" s="1">
        <f ca="1">IFERROR(__xludf.DUMMYFUNCTION("""COMPUTED_VALUE"""),156.04)</f>
        <v>156.04</v>
      </c>
      <c r="E261" s="1">
        <f ca="1">IFERROR(__xludf.DUMMYFUNCTION("""COMPUTED_VALUE"""),13.48)</f>
        <v>13.48</v>
      </c>
      <c r="F261" s="1">
        <f ca="1">IFERROR(__xludf.DUMMYFUNCTION("""COMPUTED_VALUE"""),251.09)</f>
        <v>251.09</v>
      </c>
      <c r="G261" s="1">
        <f ca="1">IFERROR(__xludf.DUMMYFUNCTION("""COMPUTED_VALUE"""),87.33)</f>
        <v>87.33</v>
      </c>
      <c r="H261" s="1">
        <f ca="1">IFERROR(__xludf.DUMMYFUNCTION("""COMPUTED_VALUE"""),283.15)</f>
        <v>283.14999999999998</v>
      </c>
      <c r="I261" s="1">
        <f ca="1">IFERROR(__xludf.DUMMYFUNCTION("""COMPUTED_VALUE"""),141.43)</f>
        <v>141.43</v>
      </c>
      <c r="J261" s="1">
        <f ca="1">IFERROR(__xludf.DUMMYFUNCTION("""COMPUTED_VALUE"""),364.2)</f>
        <v>364.2</v>
      </c>
      <c r="K261" s="1">
        <f ca="1">IFERROR(__xludf.DUMMYFUNCTION("""COMPUTED_VALUE"""),44.94)</f>
        <v>44.94</v>
      </c>
      <c r="L261" s="1">
        <f ca="1">IFERROR(__xludf.DUMMYFUNCTION("""COMPUTED_VALUE"""),471.65)</f>
        <v>471.65</v>
      </c>
      <c r="M261" s="1">
        <f ca="1">IFERROR(__xludf.DUMMYFUNCTION("""COMPUTED_VALUE"""),494.25)</f>
        <v>494.25</v>
      </c>
      <c r="N261" s="1">
        <f ca="1">IFERROR(__xludf.DUMMYFUNCTION("""COMPUTED_VALUE"""),140.22)</f>
        <v>140.22</v>
      </c>
      <c r="O261" s="1">
        <f ca="1">IFERROR(__xludf.DUMMYFUNCTION("""COMPUTED_VALUE"""),208.86)</f>
        <v>208.86</v>
      </c>
      <c r="P261" s="1">
        <f ca="1">IFERROR(__xludf.DUMMYFUNCTION("""COMPUTED_VALUE"""),158.13)</f>
        <v>158.13</v>
      </c>
      <c r="Q261" s="1">
        <f ca="1">IFERROR(__xludf.DUMMYFUNCTION("""COMPUTED_VALUE"""),357.37)</f>
        <v>357.37</v>
      </c>
      <c r="R261" s="1">
        <f ca="1">IFERROR(__xludf.DUMMYFUNCTION("""COMPUTED_VALUE"""),47.88)</f>
        <v>47.88</v>
      </c>
      <c r="S261" s="1">
        <f ca="1">IFERROR(__xludf.DUMMYFUNCTION("""COMPUTED_VALUE"""),79.75)</f>
        <v>79.75</v>
      </c>
      <c r="T261" s="1">
        <f ca="1">IFERROR(__xludf.DUMMYFUNCTION("""COMPUTED_VALUE"""),49.66)</f>
        <v>49.66</v>
      </c>
      <c r="U261" s="1">
        <f ca="1">IFERROR(__xludf.DUMMYFUNCTION("""COMPUTED_VALUE"""),145.05)</f>
        <v>145.05000000000001</v>
      </c>
      <c r="V261" s="1">
        <f ca="1">IFERROR(__xludf.DUMMYFUNCTION("""COMPUTED_VALUE"""),197.54)</f>
        <v>197.54</v>
      </c>
      <c r="W261" s="1">
        <f ca="1">IFERROR(__xludf.DUMMYFUNCTION("""COMPUTED_VALUE"""),341.85)</f>
        <v>341.85</v>
      </c>
      <c r="X261" s="1">
        <f ca="1">IFERROR(__xludf.DUMMYFUNCTION("""COMPUTED_VALUE"""),513.93)</f>
        <v>513.92999999999995</v>
      </c>
      <c r="Y261" s="1">
        <f ca="1">IFERROR(__xludf.DUMMYFUNCTION("""COMPUTED_VALUE"""),123)</f>
        <v>123</v>
      </c>
      <c r="Z261" s="1">
        <f ca="1">IFERROR(__xludf.DUMMYFUNCTION("""COMPUTED_VALUE"""),302.21)</f>
        <v>302.20999999999998</v>
      </c>
      <c r="AA261" s="1">
        <f ca="1">IFERROR(__xludf.DUMMYFUNCTION("""COMPUTED_VALUE"""),37.18)</f>
        <v>37.18</v>
      </c>
      <c r="AB261" s="1">
        <f ca="1">IFERROR(__xludf.DUMMYFUNCTION("""COMPUTED_VALUE"""),102.82)</f>
        <v>102.82</v>
      </c>
      <c r="AC261" s="1">
        <f ca="1">IFERROR(__xludf.DUMMYFUNCTION("""COMPUTED_VALUE"""),95.36)</f>
        <v>95.36</v>
      </c>
    </row>
    <row r="262" spans="1:29" x14ac:dyDescent="0.25">
      <c r="A262" s="2">
        <f ca="1">IFERROR(__xludf.DUMMYFUNCTION("""COMPUTED_VALUE"""),44209.6666666666)</f>
        <v>44209.666666666599</v>
      </c>
      <c r="B262" s="1">
        <f ca="1">IFERROR(__xludf.DUMMYFUNCTION("""COMPUTED_VALUE"""),130.89)</f>
        <v>130.88999999999999</v>
      </c>
      <c r="C262" s="1">
        <f ca="1">IFERROR(__xludf.DUMMYFUNCTION("""COMPUTED_VALUE"""),216.34)</f>
        <v>216.34</v>
      </c>
      <c r="D262" s="1">
        <f ca="1">IFERROR(__xludf.DUMMYFUNCTION("""COMPUTED_VALUE"""),158.29)</f>
        <v>158.29</v>
      </c>
      <c r="E262" s="1">
        <f ca="1">IFERROR(__xludf.DUMMYFUNCTION("""COMPUTED_VALUE"""),13.53)</f>
        <v>13.53</v>
      </c>
      <c r="F262" s="1">
        <f ca="1">IFERROR(__xludf.DUMMYFUNCTION("""COMPUTED_VALUE"""),251.64)</f>
        <v>251.64</v>
      </c>
      <c r="G262" s="1">
        <f ca="1">IFERROR(__xludf.DUMMYFUNCTION("""COMPUTED_VALUE"""),87.72)</f>
        <v>87.72</v>
      </c>
      <c r="H262" s="1">
        <f ca="1">IFERROR(__xludf.DUMMYFUNCTION("""COMPUTED_VALUE"""),284.8)</f>
        <v>284.8</v>
      </c>
      <c r="I262" s="1">
        <f ca="1">IFERROR(__xludf.DUMMYFUNCTION("""COMPUTED_VALUE"""),142.59)</f>
        <v>142.59</v>
      </c>
      <c r="J262" s="1">
        <f ca="1">IFERROR(__xludf.DUMMYFUNCTION("""COMPUTED_VALUE"""),366.95)</f>
        <v>366.95</v>
      </c>
      <c r="K262" s="1">
        <f ca="1">IFERROR(__xludf.DUMMYFUNCTION("""COMPUTED_VALUE"""),45.12)</f>
        <v>45.12</v>
      </c>
      <c r="L262" s="1">
        <f ca="1">IFERROR(__xludf.DUMMYFUNCTION("""COMPUTED_VALUE"""),472.05)</f>
        <v>472.05</v>
      </c>
      <c r="M262" s="1">
        <f ca="1">IFERROR(__xludf.DUMMYFUNCTION("""COMPUTED_VALUE"""),507.79)</f>
        <v>507.79</v>
      </c>
      <c r="N262" s="1">
        <f ca="1">IFERROR(__xludf.DUMMYFUNCTION("""COMPUTED_VALUE"""),140.35)</f>
        <v>140.35</v>
      </c>
      <c r="O262" s="1">
        <f ca="1">IFERROR(__xludf.DUMMYFUNCTION("""COMPUTED_VALUE"""),209.35)</f>
        <v>209.35</v>
      </c>
      <c r="P262" s="1">
        <f ca="1">IFERROR(__xludf.DUMMYFUNCTION("""COMPUTED_VALUE"""),157.89)</f>
        <v>157.88999999999999</v>
      </c>
      <c r="Q262" s="1">
        <f ca="1">IFERROR(__xludf.DUMMYFUNCTION("""COMPUTED_VALUE"""),355.04)</f>
        <v>355.04</v>
      </c>
      <c r="R262" s="1">
        <f ca="1">IFERROR(__xludf.DUMMYFUNCTION("""COMPUTED_VALUE"""),48.42)</f>
        <v>48.42</v>
      </c>
      <c r="S262" s="1">
        <f ca="1">IFERROR(__xludf.DUMMYFUNCTION("""COMPUTED_VALUE"""),81.84)</f>
        <v>81.84</v>
      </c>
      <c r="T262" s="1">
        <f ca="1">IFERROR(__xludf.DUMMYFUNCTION("""COMPUTED_VALUE"""),49.15)</f>
        <v>49.15</v>
      </c>
      <c r="U262" s="1">
        <f ca="1">IFERROR(__xludf.DUMMYFUNCTION("""COMPUTED_VALUE"""),143.04)</f>
        <v>143.04</v>
      </c>
      <c r="V262" s="1">
        <f ca="1">IFERROR(__xludf.DUMMYFUNCTION("""COMPUTED_VALUE"""),195.89)</f>
        <v>195.89</v>
      </c>
      <c r="W262" s="1">
        <f ca="1">IFERROR(__xludf.DUMMYFUNCTION("""COMPUTED_VALUE"""),345.49)</f>
        <v>345.49</v>
      </c>
      <c r="X262" s="1">
        <f ca="1">IFERROR(__xludf.DUMMYFUNCTION("""COMPUTED_VALUE"""),514.06)</f>
        <v>514.05999999999995</v>
      </c>
      <c r="Y262" s="1">
        <f ca="1">IFERROR(__xludf.DUMMYFUNCTION("""COMPUTED_VALUE"""),119.23)</f>
        <v>119.23</v>
      </c>
      <c r="Z262" s="1">
        <f ca="1">IFERROR(__xludf.DUMMYFUNCTION("""COMPUTED_VALUE"""),302.94)</f>
        <v>302.94</v>
      </c>
      <c r="AA262" s="1">
        <f ca="1">IFERROR(__xludf.DUMMYFUNCTION("""COMPUTED_VALUE"""),36.86)</f>
        <v>36.86</v>
      </c>
      <c r="AB262" s="1">
        <f ca="1">IFERROR(__xludf.DUMMYFUNCTION("""COMPUTED_VALUE"""),102.89)</f>
        <v>102.89</v>
      </c>
      <c r="AC262" s="1">
        <f ca="1">IFERROR(__xludf.DUMMYFUNCTION("""COMPUTED_VALUE"""),91.78)</f>
        <v>91.78</v>
      </c>
    </row>
    <row r="263" spans="1:29" x14ac:dyDescent="0.25">
      <c r="A263" s="2">
        <f ca="1">IFERROR(__xludf.DUMMYFUNCTION("""COMPUTED_VALUE"""),44210.6666666666)</f>
        <v>44210.666666666599</v>
      </c>
      <c r="B263" s="1">
        <f ca="1">IFERROR(__xludf.DUMMYFUNCTION("""COMPUTED_VALUE"""),128.91)</f>
        <v>128.91</v>
      </c>
      <c r="C263" s="1">
        <f ca="1">IFERROR(__xludf.DUMMYFUNCTION("""COMPUTED_VALUE"""),213.02)</f>
        <v>213.02</v>
      </c>
      <c r="D263" s="1">
        <f ca="1">IFERROR(__xludf.DUMMYFUNCTION("""COMPUTED_VALUE"""),156.37)</f>
        <v>156.37</v>
      </c>
      <c r="E263" s="1">
        <f ca="1">IFERROR(__xludf.DUMMYFUNCTION("""COMPUTED_VALUE"""),13.2)</f>
        <v>13.2</v>
      </c>
      <c r="F263" s="1">
        <f ca="1">IFERROR(__xludf.DUMMYFUNCTION("""COMPUTED_VALUE"""),245.64)</f>
        <v>245.64</v>
      </c>
      <c r="G263" s="1">
        <f ca="1">IFERROR(__xludf.DUMMYFUNCTION("""COMPUTED_VALUE"""),87.01)</f>
        <v>87.01</v>
      </c>
      <c r="H263" s="1">
        <f ca="1">IFERROR(__xludf.DUMMYFUNCTION("""COMPUTED_VALUE"""),281.67)</f>
        <v>281.67</v>
      </c>
      <c r="I263" s="1">
        <f ca="1">IFERROR(__xludf.DUMMYFUNCTION("""COMPUTED_VALUE"""),141.76)</f>
        <v>141.76</v>
      </c>
      <c r="J263" s="1">
        <f ca="1">IFERROR(__xludf.DUMMYFUNCTION("""COMPUTED_VALUE"""),362.35)</f>
        <v>362.35</v>
      </c>
      <c r="K263" s="1">
        <f ca="1">IFERROR(__xludf.DUMMYFUNCTION("""COMPUTED_VALUE"""),45.21)</f>
        <v>45.21</v>
      </c>
      <c r="L263" s="1">
        <f ca="1">IFERROR(__xludf.DUMMYFUNCTION("""COMPUTED_VALUE"""),463.27)</f>
        <v>463.27</v>
      </c>
      <c r="M263" s="1">
        <f ca="1">IFERROR(__xludf.DUMMYFUNCTION("""COMPUTED_VALUE"""),500.86)</f>
        <v>500.86</v>
      </c>
      <c r="N263" s="1">
        <f ca="1">IFERROR(__xludf.DUMMYFUNCTION("""COMPUTED_VALUE"""),141.17)</f>
        <v>141.16999999999999</v>
      </c>
      <c r="O263" s="1">
        <f ca="1">IFERROR(__xludf.DUMMYFUNCTION("""COMPUTED_VALUE"""),201.86)</f>
        <v>201.86</v>
      </c>
      <c r="P263" s="1">
        <f ca="1">IFERROR(__xludf.DUMMYFUNCTION("""COMPUTED_VALUE"""),160.65)</f>
        <v>160.65</v>
      </c>
      <c r="Q263" s="1">
        <f ca="1">IFERROR(__xludf.DUMMYFUNCTION("""COMPUTED_VALUE"""),350.53)</f>
        <v>350.53</v>
      </c>
      <c r="R263" s="1">
        <f ca="1">IFERROR(__xludf.DUMMYFUNCTION("""COMPUTED_VALUE"""),50.31)</f>
        <v>50.31</v>
      </c>
      <c r="S263" s="1">
        <f ca="1">IFERROR(__xludf.DUMMYFUNCTION("""COMPUTED_VALUE"""),82.53)</f>
        <v>82.53</v>
      </c>
      <c r="T263" s="1">
        <f ca="1">IFERROR(__xludf.DUMMYFUNCTION("""COMPUTED_VALUE"""),48.99)</f>
        <v>48.99</v>
      </c>
      <c r="U263" s="1">
        <f ca="1">IFERROR(__xludf.DUMMYFUNCTION("""COMPUTED_VALUE"""),141.3)</f>
        <v>141.30000000000001</v>
      </c>
      <c r="V263" s="1">
        <f ca="1">IFERROR(__xludf.DUMMYFUNCTION("""COMPUTED_VALUE"""),197.4)</f>
        <v>197.4</v>
      </c>
      <c r="W263" s="1">
        <f ca="1">IFERROR(__xludf.DUMMYFUNCTION("""COMPUTED_VALUE"""),347.44)</f>
        <v>347.44</v>
      </c>
      <c r="X263" s="1">
        <f ca="1">IFERROR(__xludf.DUMMYFUNCTION("""COMPUTED_VALUE"""),544.65)</f>
        <v>544.65</v>
      </c>
      <c r="Y263" s="1">
        <f ca="1">IFERROR(__xludf.DUMMYFUNCTION("""COMPUTED_VALUE"""),126.45)</f>
        <v>126.45</v>
      </c>
      <c r="Z263" s="1">
        <f ca="1">IFERROR(__xludf.DUMMYFUNCTION("""COMPUTED_VALUE"""),307.87)</f>
        <v>307.87</v>
      </c>
      <c r="AA263" s="1">
        <f ca="1">IFERROR(__xludf.DUMMYFUNCTION("""COMPUTED_VALUE"""),36.75)</f>
        <v>36.75</v>
      </c>
      <c r="AB263" s="1">
        <f ca="1">IFERROR(__xludf.DUMMYFUNCTION("""COMPUTED_VALUE"""),101.82)</f>
        <v>101.82</v>
      </c>
      <c r="AC263" s="1">
        <f ca="1">IFERROR(__xludf.DUMMYFUNCTION("""COMPUTED_VALUE"""),90.79)</f>
        <v>90.79</v>
      </c>
    </row>
    <row r="264" spans="1:29" x14ac:dyDescent="0.25">
      <c r="A264" s="2">
        <f ca="1">IFERROR(__xludf.DUMMYFUNCTION("""COMPUTED_VALUE"""),44211.6666666666)</f>
        <v>44211.666666666599</v>
      </c>
      <c r="B264" s="1">
        <f ca="1">IFERROR(__xludf.DUMMYFUNCTION("""COMPUTED_VALUE"""),127.14)</f>
        <v>127.14</v>
      </c>
      <c r="C264" s="1">
        <f ca="1">IFERROR(__xludf.DUMMYFUNCTION("""COMPUTED_VALUE"""),212.65)</f>
        <v>212.65</v>
      </c>
      <c r="D264" s="1">
        <f ca="1">IFERROR(__xludf.DUMMYFUNCTION("""COMPUTED_VALUE"""),155.21)</f>
        <v>155.21</v>
      </c>
      <c r="E264" s="1">
        <f ca="1">IFERROR(__xludf.DUMMYFUNCTION("""COMPUTED_VALUE"""),12.86)</f>
        <v>12.86</v>
      </c>
      <c r="F264" s="1">
        <f ca="1">IFERROR(__xludf.DUMMYFUNCTION("""COMPUTED_VALUE"""),251.36)</f>
        <v>251.36</v>
      </c>
      <c r="G264" s="1">
        <f ca="1">IFERROR(__xludf.DUMMYFUNCTION("""COMPUTED_VALUE"""),86.81)</f>
        <v>86.81</v>
      </c>
      <c r="H264" s="1">
        <f ca="1">IFERROR(__xludf.DUMMYFUNCTION("""COMPUTED_VALUE"""),275.39)</f>
        <v>275.39</v>
      </c>
      <c r="I264" s="1">
        <f ca="1">IFERROR(__xludf.DUMMYFUNCTION("""COMPUTED_VALUE"""),141.39)</f>
        <v>141.38999999999999</v>
      </c>
      <c r="J264" s="1">
        <f ca="1">IFERROR(__xludf.DUMMYFUNCTION("""COMPUTED_VALUE"""),362.16)</f>
        <v>362.16</v>
      </c>
      <c r="K264" s="1">
        <f ca="1">IFERROR(__xludf.DUMMYFUNCTION("""COMPUTED_VALUE"""),44.59)</f>
        <v>44.59</v>
      </c>
      <c r="L264" s="1">
        <f ca="1">IFERROR(__xludf.DUMMYFUNCTION("""COMPUTED_VALUE"""),458.08)</f>
        <v>458.08</v>
      </c>
      <c r="M264" s="1">
        <f ca="1">IFERROR(__xludf.DUMMYFUNCTION("""COMPUTED_VALUE"""),497.98)</f>
        <v>497.98</v>
      </c>
      <c r="N264" s="1">
        <f ca="1">IFERROR(__xludf.DUMMYFUNCTION("""COMPUTED_VALUE"""),138.64)</f>
        <v>138.63999999999999</v>
      </c>
      <c r="O264" s="1">
        <f ca="1">IFERROR(__xludf.DUMMYFUNCTION("""COMPUTED_VALUE"""),201.59)</f>
        <v>201.59</v>
      </c>
      <c r="P264" s="1">
        <f ca="1">IFERROR(__xludf.DUMMYFUNCTION("""COMPUTED_VALUE"""),160.3)</f>
        <v>160.30000000000001</v>
      </c>
      <c r="Q264" s="1">
        <f ca="1">IFERROR(__xludf.DUMMYFUNCTION("""COMPUTED_VALUE"""),351.3)</f>
        <v>351.3</v>
      </c>
      <c r="R264" s="1">
        <f ca="1">IFERROR(__xludf.DUMMYFUNCTION("""COMPUTED_VALUE"""),47.89)</f>
        <v>47.89</v>
      </c>
      <c r="S264" s="1">
        <f ca="1">IFERROR(__xludf.DUMMYFUNCTION("""COMPUTED_VALUE"""),82.04)</f>
        <v>82.04</v>
      </c>
      <c r="T264" s="1">
        <f ca="1">IFERROR(__xludf.DUMMYFUNCTION("""COMPUTED_VALUE"""),48.21)</f>
        <v>48.21</v>
      </c>
      <c r="U264" s="1">
        <f ca="1">IFERROR(__xludf.DUMMYFUNCTION("""COMPUTED_VALUE"""),140.72)</f>
        <v>140.72</v>
      </c>
      <c r="V264" s="1">
        <f ca="1">IFERROR(__xludf.DUMMYFUNCTION("""COMPUTED_VALUE"""),194.62)</f>
        <v>194.62</v>
      </c>
      <c r="W264" s="1">
        <f ca="1">IFERROR(__xludf.DUMMYFUNCTION("""COMPUTED_VALUE"""),347.27)</f>
        <v>347.27</v>
      </c>
      <c r="X264" s="1">
        <f ca="1">IFERROR(__xludf.DUMMYFUNCTION("""COMPUTED_VALUE"""),527.5)</f>
        <v>527.5</v>
      </c>
      <c r="Y264" s="1">
        <f ca="1">IFERROR(__xludf.DUMMYFUNCTION("""COMPUTED_VALUE"""),125.23)</f>
        <v>125.23</v>
      </c>
      <c r="Z264" s="1">
        <f ca="1">IFERROR(__xludf.DUMMYFUNCTION("""COMPUTED_VALUE"""),301.01)</f>
        <v>301.01</v>
      </c>
      <c r="AA264" s="1">
        <f ca="1">IFERROR(__xludf.DUMMYFUNCTION("""COMPUTED_VALUE"""),36.7)</f>
        <v>36.700000000000003</v>
      </c>
      <c r="AB264" s="1">
        <f ca="1">IFERROR(__xludf.DUMMYFUNCTION("""COMPUTED_VALUE"""),102.33)</f>
        <v>102.33</v>
      </c>
      <c r="AC264" s="1">
        <f ca="1">IFERROR(__xludf.DUMMYFUNCTION("""COMPUTED_VALUE"""),88.21)</f>
        <v>88.21</v>
      </c>
    </row>
    <row r="265" spans="1:29" x14ac:dyDescent="0.25">
      <c r="A265" s="2">
        <f ca="1">IFERROR(__xludf.DUMMYFUNCTION("""COMPUTED_VALUE"""),44215.6666666666)</f>
        <v>44215.666666666599</v>
      </c>
      <c r="B265" s="1">
        <f ca="1">IFERROR(__xludf.DUMMYFUNCTION("""COMPUTED_VALUE"""),127.83)</f>
        <v>127.83</v>
      </c>
      <c r="C265" s="1">
        <f ca="1">IFERROR(__xludf.DUMMYFUNCTION("""COMPUTED_VALUE"""),216.44)</f>
        <v>216.44</v>
      </c>
      <c r="D265" s="1">
        <f ca="1">IFERROR(__xludf.DUMMYFUNCTION("""COMPUTED_VALUE"""),156.04)</f>
        <v>156.04</v>
      </c>
      <c r="E265" s="1">
        <f ca="1">IFERROR(__xludf.DUMMYFUNCTION("""COMPUTED_VALUE"""),13.03)</f>
        <v>13.03</v>
      </c>
      <c r="F265" s="1">
        <f ca="1">IFERROR(__xludf.DUMMYFUNCTION("""COMPUTED_VALUE"""),261.1)</f>
        <v>261.10000000000002</v>
      </c>
      <c r="G265" s="1">
        <f ca="1">IFERROR(__xludf.DUMMYFUNCTION("""COMPUTED_VALUE"""),89.54)</f>
        <v>89.54</v>
      </c>
      <c r="H265" s="1">
        <f ca="1">IFERROR(__xludf.DUMMYFUNCTION("""COMPUTED_VALUE"""),281.52)</f>
        <v>281.52</v>
      </c>
      <c r="I265" s="1">
        <f ca="1">IFERROR(__xludf.DUMMYFUNCTION("""COMPUTED_VALUE"""),142.06)</f>
        <v>142.06</v>
      </c>
      <c r="J265" s="1">
        <f ca="1">IFERROR(__xludf.DUMMYFUNCTION("""COMPUTED_VALUE"""),354.47)</f>
        <v>354.47</v>
      </c>
      <c r="K265" s="1">
        <f ca="1">IFERROR(__xludf.DUMMYFUNCTION("""COMPUTED_VALUE"""),45.93)</f>
        <v>45.93</v>
      </c>
      <c r="L265" s="1">
        <f ca="1">IFERROR(__xludf.DUMMYFUNCTION("""COMPUTED_VALUE"""),456.5)</f>
        <v>456.5</v>
      </c>
      <c r="M265" s="1">
        <f ca="1">IFERROR(__xludf.DUMMYFUNCTION("""COMPUTED_VALUE"""),501.77)</f>
        <v>501.77</v>
      </c>
      <c r="N265" s="1">
        <f ca="1">IFERROR(__xludf.DUMMYFUNCTION("""COMPUTED_VALUE"""),138.04)</f>
        <v>138.04</v>
      </c>
      <c r="O265" s="1">
        <f ca="1">IFERROR(__xludf.DUMMYFUNCTION("""COMPUTED_VALUE"""),201.66)</f>
        <v>201.66</v>
      </c>
      <c r="P265" s="1">
        <f ca="1">IFERROR(__xludf.DUMMYFUNCTION("""COMPUTED_VALUE"""),162.78)</f>
        <v>162.78</v>
      </c>
      <c r="Q265" s="1">
        <f ca="1">IFERROR(__xludf.DUMMYFUNCTION("""COMPUTED_VALUE"""),352.19)</f>
        <v>352.19</v>
      </c>
      <c r="R265" s="1">
        <f ca="1">IFERROR(__xludf.DUMMYFUNCTION("""COMPUTED_VALUE"""),48.84)</f>
        <v>48.84</v>
      </c>
      <c r="S265" s="1">
        <f ca="1">IFERROR(__xludf.DUMMYFUNCTION("""COMPUTED_VALUE"""),82.81)</f>
        <v>82.81</v>
      </c>
      <c r="T265" s="1">
        <f ca="1">IFERROR(__xludf.DUMMYFUNCTION("""COMPUTED_VALUE"""),47.8)</f>
        <v>47.8</v>
      </c>
      <c r="U265" s="1">
        <f ca="1">IFERROR(__xludf.DUMMYFUNCTION("""COMPUTED_VALUE"""),139.27)</f>
        <v>139.27000000000001</v>
      </c>
      <c r="V265" s="1">
        <f ca="1">IFERROR(__xludf.DUMMYFUNCTION("""COMPUTED_VALUE"""),194.06)</f>
        <v>194.06</v>
      </c>
      <c r="W265" s="1">
        <f ca="1">IFERROR(__xludf.DUMMYFUNCTION("""COMPUTED_VALUE"""),341.5)</f>
        <v>341.5</v>
      </c>
      <c r="X265" s="1">
        <f ca="1">IFERROR(__xludf.DUMMYFUNCTION("""COMPUTED_VALUE"""),549.5)</f>
        <v>549.5</v>
      </c>
      <c r="Y265" s="1">
        <f ca="1">IFERROR(__xludf.DUMMYFUNCTION("""COMPUTED_VALUE"""),131.3)</f>
        <v>131.30000000000001</v>
      </c>
      <c r="Z265" s="1">
        <f ca="1">IFERROR(__xludf.DUMMYFUNCTION("""COMPUTED_VALUE"""),294.2)</f>
        <v>294.2</v>
      </c>
      <c r="AA265" s="1">
        <f ca="1">IFERROR(__xludf.DUMMYFUNCTION("""COMPUTED_VALUE"""),36.73)</f>
        <v>36.729999999999997</v>
      </c>
      <c r="AB265" s="1">
        <f ca="1">IFERROR(__xludf.DUMMYFUNCTION("""COMPUTED_VALUE"""),102.54)</f>
        <v>102.54</v>
      </c>
      <c r="AC265" s="1">
        <f ca="1">IFERROR(__xludf.DUMMYFUNCTION("""COMPUTED_VALUE"""),89.45)</f>
        <v>89.45</v>
      </c>
    </row>
    <row r="266" spans="1:29" x14ac:dyDescent="0.25">
      <c r="A266" s="2">
        <f ca="1">IFERROR(__xludf.DUMMYFUNCTION("""COMPUTED_VALUE"""),44216.6666666666)</f>
        <v>44216.666666666599</v>
      </c>
      <c r="B266" s="1">
        <f ca="1">IFERROR(__xludf.DUMMYFUNCTION("""COMPUTED_VALUE"""),132.03)</f>
        <v>132.03</v>
      </c>
      <c r="C266" s="1">
        <f ca="1">IFERROR(__xludf.DUMMYFUNCTION("""COMPUTED_VALUE"""),224.34)</f>
        <v>224.34</v>
      </c>
      <c r="D266" s="1">
        <f ca="1">IFERROR(__xludf.DUMMYFUNCTION("""COMPUTED_VALUE"""),163.17)</f>
        <v>163.16999999999999</v>
      </c>
      <c r="E266" s="1">
        <f ca="1">IFERROR(__xludf.DUMMYFUNCTION("""COMPUTED_VALUE"""),13.37)</f>
        <v>13.37</v>
      </c>
      <c r="F266" s="1">
        <f ca="1">IFERROR(__xludf.DUMMYFUNCTION("""COMPUTED_VALUE"""),267.48)</f>
        <v>267.48</v>
      </c>
      <c r="G266" s="1">
        <f ca="1">IFERROR(__xludf.DUMMYFUNCTION("""COMPUTED_VALUE"""),94.35)</f>
        <v>94.35</v>
      </c>
      <c r="H266" s="1">
        <f ca="1">IFERROR(__xludf.DUMMYFUNCTION("""COMPUTED_VALUE"""),283.48)</f>
        <v>283.48</v>
      </c>
      <c r="I266" s="1">
        <f ca="1">IFERROR(__xludf.DUMMYFUNCTION("""COMPUTED_VALUE"""),141.33)</f>
        <v>141.33000000000001</v>
      </c>
      <c r="J266" s="1">
        <f ca="1">IFERROR(__xludf.DUMMYFUNCTION("""COMPUTED_VALUE"""),361.3)</f>
        <v>361.3</v>
      </c>
      <c r="K266" s="1">
        <f ca="1">IFERROR(__xludf.DUMMYFUNCTION("""COMPUTED_VALUE"""),46.19)</f>
        <v>46.19</v>
      </c>
      <c r="L266" s="1">
        <f ca="1">IFERROR(__xludf.DUMMYFUNCTION("""COMPUTED_VALUE"""),469.73)</f>
        <v>469.73</v>
      </c>
      <c r="M266" s="1">
        <f ca="1">IFERROR(__xludf.DUMMYFUNCTION("""COMPUTED_VALUE"""),586.34)</f>
        <v>586.34</v>
      </c>
      <c r="N266" s="1">
        <f ca="1">IFERROR(__xludf.DUMMYFUNCTION("""COMPUTED_VALUE"""),135.97)</f>
        <v>135.97</v>
      </c>
      <c r="O266" s="1">
        <f ca="1">IFERROR(__xludf.DUMMYFUNCTION("""COMPUTED_VALUE"""),206.01)</f>
        <v>206.01</v>
      </c>
      <c r="P266" s="1">
        <f ca="1">IFERROR(__xludf.DUMMYFUNCTION("""COMPUTED_VALUE"""),162.38)</f>
        <v>162.38</v>
      </c>
      <c r="Q266" s="1">
        <f ca="1">IFERROR(__xludf.DUMMYFUNCTION("""COMPUTED_VALUE"""),350.84)</f>
        <v>350.84</v>
      </c>
      <c r="R266" s="1">
        <f ca="1">IFERROR(__xludf.DUMMYFUNCTION("""COMPUTED_VALUE"""),49.53)</f>
        <v>49.53</v>
      </c>
      <c r="S266" s="1">
        <f ca="1">IFERROR(__xludf.DUMMYFUNCTION("""COMPUTED_VALUE"""),84.05)</f>
        <v>84.05</v>
      </c>
      <c r="T266" s="1">
        <f ca="1">IFERROR(__xludf.DUMMYFUNCTION("""COMPUTED_VALUE"""),48.5)</f>
        <v>48.5</v>
      </c>
      <c r="U266" s="1">
        <f ca="1">IFERROR(__xludf.DUMMYFUNCTION("""COMPUTED_VALUE"""),142.8)</f>
        <v>142.80000000000001</v>
      </c>
      <c r="V266" s="1">
        <f ca="1">IFERROR(__xludf.DUMMYFUNCTION("""COMPUTED_VALUE"""),192.34)</f>
        <v>192.34</v>
      </c>
      <c r="W266" s="1">
        <f ca="1">IFERROR(__xludf.DUMMYFUNCTION("""COMPUTED_VALUE"""),341.67)</f>
        <v>341.67</v>
      </c>
      <c r="X266" s="1">
        <f ca="1">IFERROR(__xludf.DUMMYFUNCTION("""COMPUTED_VALUE"""),549.38)</f>
        <v>549.38</v>
      </c>
      <c r="Y266" s="1">
        <f ca="1">IFERROR(__xludf.DUMMYFUNCTION("""COMPUTED_VALUE"""),130.64)</f>
        <v>130.63999999999999</v>
      </c>
      <c r="Z266" s="1">
        <f ca="1">IFERROR(__xludf.DUMMYFUNCTION("""COMPUTED_VALUE"""),290.47)</f>
        <v>290.47000000000003</v>
      </c>
      <c r="AA266" s="1">
        <f ca="1">IFERROR(__xludf.DUMMYFUNCTION("""COMPUTED_VALUE"""),36.5)</f>
        <v>36.5</v>
      </c>
      <c r="AB266" s="1">
        <f ca="1">IFERROR(__xludf.DUMMYFUNCTION("""COMPUTED_VALUE"""),105.46)</f>
        <v>105.46</v>
      </c>
      <c r="AC266" s="1">
        <f ca="1">IFERROR(__xludf.DUMMYFUNCTION("""COMPUTED_VALUE"""),88.75)</f>
        <v>88.75</v>
      </c>
    </row>
    <row r="267" spans="1:29" x14ac:dyDescent="0.25">
      <c r="A267" s="2">
        <f ca="1">IFERROR(__xludf.DUMMYFUNCTION("""COMPUTED_VALUE"""),44217.6666666666)</f>
        <v>44217.666666666599</v>
      </c>
      <c r="B267" s="1">
        <f ca="1">IFERROR(__xludf.DUMMYFUNCTION("""COMPUTED_VALUE"""),136.87)</f>
        <v>136.87</v>
      </c>
      <c r="C267" s="1">
        <f ca="1">IFERROR(__xludf.DUMMYFUNCTION("""COMPUTED_VALUE"""),224.97)</f>
        <v>224.97</v>
      </c>
      <c r="D267" s="1">
        <f ca="1">IFERROR(__xludf.DUMMYFUNCTION("""COMPUTED_VALUE"""),165.35)</f>
        <v>165.35</v>
      </c>
      <c r="E267" s="1">
        <f ca="1">IFERROR(__xludf.DUMMYFUNCTION("""COMPUTED_VALUE"""),13.87)</f>
        <v>13.87</v>
      </c>
      <c r="F267" s="1">
        <f ca="1">IFERROR(__xludf.DUMMYFUNCTION("""COMPUTED_VALUE"""),272.87)</f>
        <v>272.87</v>
      </c>
      <c r="G267" s="1">
        <f ca="1">IFERROR(__xludf.DUMMYFUNCTION("""COMPUTED_VALUE"""),94.56)</f>
        <v>94.56</v>
      </c>
      <c r="H267" s="1">
        <f ca="1">IFERROR(__xludf.DUMMYFUNCTION("""COMPUTED_VALUE"""),281.66)</f>
        <v>281.66000000000003</v>
      </c>
      <c r="I267" s="1">
        <f ca="1">IFERROR(__xludf.DUMMYFUNCTION("""COMPUTED_VALUE"""),139.61)</f>
        <v>139.61000000000001</v>
      </c>
      <c r="J267" s="1">
        <f ca="1">IFERROR(__xludf.DUMMYFUNCTION("""COMPUTED_VALUE"""),362.8)</f>
        <v>362.8</v>
      </c>
      <c r="K267" s="1">
        <f ca="1">IFERROR(__xludf.DUMMYFUNCTION("""COMPUTED_VALUE"""),46.68)</f>
        <v>46.68</v>
      </c>
      <c r="L267" s="1">
        <f ca="1">IFERROR(__xludf.DUMMYFUNCTION("""COMPUTED_VALUE"""),472.02)</f>
        <v>472.02</v>
      </c>
      <c r="M267" s="1">
        <f ca="1">IFERROR(__xludf.DUMMYFUNCTION("""COMPUTED_VALUE"""),579.84)</f>
        <v>579.84</v>
      </c>
      <c r="N267" s="1">
        <f ca="1">IFERROR(__xludf.DUMMYFUNCTION("""COMPUTED_VALUE"""),134.83)</f>
        <v>134.83000000000001</v>
      </c>
      <c r="O267" s="1">
        <f ca="1">IFERROR(__xludf.DUMMYFUNCTION("""COMPUTED_VALUE"""),205.14)</f>
        <v>205.14</v>
      </c>
      <c r="P267" s="1">
        <f ca="1">IFERROR(__xludf.DUMMYFUNCTION("""COMPUTED_VALUE"""),161.73)</f>
        <v>161.72999999999999</v>
      </c>
      <c r="Q267" s="1">
        <f ca="1">IFERROR(__xludf.DUMMYFUNCTION("""COMPUTED_VALUE"""),355)</f>
        <v>355</v>
      </c>
      <c r="R267" s="1">
        <f ca="1">IFERROR(__xludf.DUMMYFUNCTION("""COMPUTED_VALUE"""),48.11)</f>
        <v>48.11</v>
      </c>
      <c r="S267" s="1">
        <f ca="1">IFERROR(__xludf.DUMMYFUNCTION("""COMPUTED_VALUE"""),83.71)</f>
        <v>83.71</v>
      </c>
      <c r="T267" s="1">
        <f ca="1">IFERROR(__xludf.DUMMYFUNCTION("""COMPUTED_VALUE"""),48.28)</f>
        <v>48.28</v>
      </c>
      <c r="U267" s="1">
        <f ca="1">IFERROR(__xludf.DUMMYFUNCTION("""COMPUTED_VALUE"""),141.61)</f>
        <v>141.61000000000001</v>
      </c>
      <c r="V267" s="1">
        <f ca="1">IFERROR(__xludf.DUMMYFUNCTION("""COMPUTED_VALUE"""),192.19)</f>
        <v>192.19</v>
      </c>
      <c r="W267" s="1">
        <f ca="1">IFERROR(__xludf.DUMMYFUNCTION("""COMPUTED_VALUE"""),339.67)</f>
        <v>339.67</v>
      </c>
      <c r="X267" s="1">
        <f ca="1">IFERROR(__xludf.DUMMYFUNCTION("""COMPUTED_VALUE"""),570.74)</f>
        <v>570.74</v>
      </c>
      <c r="Y267" s="1">
        <f ca="1">IFERROR(__xludf.DUMMYFUNCTION("""COMPUTED_VALUE"""),134.16)</f>
        <v>134.16</v>
      </c>
      <c r="Z267" s="1">
        <f ca="1">IFERROR(__xludf.DUMMYFUNCTION("""COMPUTED_VALUE"""),289.37)</f>
        <v>289.37</v>
      </c>
      <c r="AA267" s="1">
        <f ca="1">IFERROR(__xludf.DUMMYFUNCTION("""COMPUTED_VALUE"""),36.48)</f>
        <v>36.479999999999997</v>
      </c>
      <c r="AB267" s="1">
        <f ca="1">IFERROR(__xludf.DUMMYFUNCTION("""COMPUTED_VALUE"""),104.58)</f>
        <v>104.58</v>
      </c>
      <c r="AC267" s="1">
        <f ca="1">IFERROR(__xludf.DUMMYFUNCTION("""COMPUTED_VALUE"""),91.53)</f>
        <v>91.53</v>
      </c>
    </row>
    <row r="268" spans="1:29" x14ac:dyDescent="0.25">
      <c r="A268" s="2">
        <f ca="1">IFERROR(__xludf.DUMMYFUNCTION("""COMPUTED_VALUE"""),44218.6666666666)</f>
        <v>44218.666666666599</v>
      </c>
      <c r="B268" s="1">
        <f ca="1">IFERROR(__xludf.DUMMYFUNCTION("""COMPUTED_VALUE"""),139.07)</f>
        <v>139.07</v>
      </c>
      <c r="C268" s="1">
        <f ca="1">IFERROR(__xludf.DUMMYFUNCTION("""COMPUTED_VALUE"""),225.95)</f>
        <v>225.95</v>
      </c>
      <c r="D268" s="1">
        <f ca="1">IFERROR(__xludf.DUMMYFUNCTION("""COMPUTED_VALUE"""),164.61)</f>
        <v>164.61</v>
      </c>
      <c r="E268" s="1">
        <f ca="1">IFERROR(__xludf.DUMMYFUNCTION("""COMPUTED_VALUE"""),13.71)</f>
        <v>13.71</v>
      </c>
      <c r="F268" s="1">
        <f ca="1">IFERROR(__xludf.DUMMYFUNCTION("""COMPUTED_VALUE"""),274.5)</f>
        <v>274.5</v>
      </c>
      <c r="G268" s="1">
        <f ca="1">IFERROR(__xludf.DUMMYFUNCTION("""COMPUTED_VALUE"""),95.05)</f>
        <v>95.05</v>
      </c>
      <c r="H268" s="1">
        <f ca="1">IFERROR(__xludf.DUMMYFUNCTION("""COMPUTED_VALUE"""),282.21)</f>
        <v>282.20999999999998</v>
      </c>
      <c r="I268" s="1">
        <f ca="1">IFERROR(__xludf.DUMMYFUNCTION("""COMPUTED_VALUE"""),138.59)</f>
        <v>138.59</v>
      </c>
      <c r="J268" s="1">
        <f ca="1">IFERROR(__xludf.DUMMYFUNCTION("""COMPUTED_VALUE"""),362.3)</f>
        <v>362.3</v>
      </c>
      <c r="K268" s="1">
        <f ca="1">IFERROR(__xludf.DUMMYFUNCTION("""COMPUTED_VALUE"""),46.5)</f>
        <v>46.5</v>
      </c>
      <c r="L268" s="1">
        <f ca="1">IFERROR(__xludf.DUMMYFUNCTION("""COMPUTED_VALUE"""),472.44)</f>
        <v>472.44</v>
      </c>
      <c r="M268" s="1">
        <f ca="1">IFERROR(__xludf.DUMMYFUNCTION("""COMPUTED_VALUE"""),565.17)</f>
        <v>565.16999999999996</v>
      </c>
      <c r="N268" s="1">
        <f ca="1">IFERROR(__xludf.DUMMYFUNCTION("""COMPUTED_VALUE"""),133.79)</f>
        <v>133.79</v>
      </c>
      <c r="O268" s="1">
        <f ca="1">IFERROR(__xludf.DUMMYFUNCTION("""COMPUTED_VALUE"""),202.02)</f>
        <v>202.02</v>
      </c>
      <c r="P268" s="1">
        <f ca="1">IFERROR(__xludf.DUMMYFUNCTION("""COMPUTED_VALUE"""),163.55)</f>
        <v>163.55000000000001</v>
      </c>
      <c r="Q268" s="1">
        <f ca="1">IFERROR(__xludf.DUMMYFUNCTION("""COMPUTED_VALUE"""),347.55)</f>
        <v>347.55</v>
      </c>
      <c r="R268" s="1">
        <f ca="1">IFERROR(__xludf.DUMMYFUNCTION("""COMPUTED_VALUE"""),47.43)</f>
        <v>47.43</v>
      </c>
      <c r="S268" s="1">
        <f ca="1">IFERROR(__xludf.DUMMYFUNCTION("""COMPUTED_VALUE"""),84.21)</f>
        <v>84.21</v>
      </c>
      <c r="T268" s="1">
        <f ca="1">IFERROR(__xludf.DUMMYFUNCTION("""COMPUTED_VALUE"""),48.78)</f>
        <v>48.78</v>
      </c>
      <c r="U268" s="1">
        <f ca="1">IFERROR(__xludf.DUMMYFUNCTION("""COMPUTED_VALUE"""),139.35)</f>
        <v>139.35</v>
      </c>
      <c r="V268" s="1">
        <f ca="1">IFERROR(__xludf.DUMMYFUNCTION("""COMPUTED_VALUE"""),191.94)</f>
        <v>191.94</v>
      </c>
      <c r="W268" s="1">
        <f ca="1">IFERROR(__xludf.DUMMYFUNCTION("""COMPUTED_VALUE"""),339.88)</f>
        <v>339.88</v>
      </c>
      <c r="X268" s="1">
        <f ca="1">IFERROR(__xludf.DUMMYFUNCTION("""COMPUTED_VALUE"""),569.45)</f>
        <v>569.45000000000005</v>
      </c>
      <c r="Y268" s="1">
        <f ca="1">IFERROR(__xludf.DUMMYFUNCTION("""COMPUTED_VALUE"""),129.14)</f>
        <v>129.13999999999999</v>
      </c>
      <c r="Z268" s="1">
        <f ca="1">IFERROR(__xludf.DUMMYFUNCTION("""COMPUTED_VALUE"""),289.39)</f>
        <v>289.39</v>
      </c>
      <c r="AA268" s="1">
        <f ca="1">IFERROR(__xludf.DUMMYFUNCTION("""COMPUTED_VALUE"""),36.55)</f>
        <v>36.549999999999997</v>
      </c>
      <c r="AB268" s="1">
        <f ca="1">IFERROR(__xludf.DUMMYFUNCTION("""COMPUTED_VALUE"""),103.91)</f>
        <v>103.91</v>
      </c>
      <c r="AC268" s="1">
        <f ca="1">IFERROR(__xludf.DUMMYFUNCTION("""COMPUTED_VALUE"""),92.79)</f>
        <v>92.79</v>
      </c>
    </row>
    <row r="269" spans="1:29" x14ac:dyDescent="0.25">
      <c r="A269" s="2">
        <f ca="1">IFERROR(__xludf.DUMMYFUNCTION("""COMPUTED_VALUE"""),44221.6666666666)</f>
        <v>44221.666666666599</v>
      </c>
      <c r="B269" s="1">
        <f ca="1">IFERROR(__xludf.DUMMYFUNCTION("""COMPUTED_VALUE"""),142.92)</f>
        <v>142.91999999999999</v>
      </c>
      <c r="C269" s="1">
        <f ca="1">IFERROR(__xludf.DUMMYFUNCTION("""COMPUTED_VALUE"""),229.53)</f>
        <v>229.53</v>
      </c>
      <c r="D269" s="1">
        <f ca="1">IFERROR(__xludf.DUMMYFUNCTION("""COMPUTED_VALUE"""),164.7)</f>
        <v>164.7</v>
      </c>
      <c r="E269" s="1">
        <f ca="1">IFERROR(__xludf.DUMMYFUNCTION("""COMPUTED_VALUE"""),13.65)</f>
        <v>13.65</v>
      </c>
      <c r="F269" s="1">
        <f ca="1">IFERROR(__xludf.DUMMYFUNCTION("""COMPUTED_VALUE"""),278.01)</f>
        <v>278.01</v>
      </c>
      <c r="G269" s="1">
        <f ca="1">IFERROR(__xludf.DUMMYFUNCTION("""COMPUTED_VALUE"""),94.97)</f>
        <v>94.97</v>
      </c>
      <c r="H269" s="1">
        <f ca="1">IFERROR(__xludf.DUMMYFUNCTION("""COMPUTED_VALUE"""),293.6)</f>
        <v>293.60000000000002</v>
      </c>
      <c r="I269" s="1">
        <f ca="1">IFERROR(__xludf.DUMMYFUNCTION("""COMPUTED_VALUE"""),140.18)</f>
        <v>140.18</v>
      </c>
      <c r="J269" s="1">
        <f ca="1">IFERROR(__xludf.DUMMYFUNCTION("""COMPUTED_VALUE"""),361.88)</f>
        <v>361.88</v>
      </c>
      <c r="K269" s="1">
        <f ca="1">IFERROR(__xludf.DUMMYFUNCTION("""COMPUTED_VALUE"""),46.48)</f>
        <v>46.48</v>
      </c>
      <c r="L269" s="1">
        <f ca="1">IFERROR(__xludf.DUMMYFUNCTION("""COMPUTED_VALUE"""),473.44)</f>
        <v>473.44</v>
      </c>
      <c r="M269" s="1">
        <f ca="1">IFERROR(__xludf.DUMMYFUNCTION("""COMPUTED_VALUE"""),556.78)</f>
        <v>556.78</v>
      </c>
      <c r="N269" s="1">
        <f ca="1">IFERROR(__xludf.DUMMYFUNCTION("""COMPUTED_VALUE"""),132.12)</f>
        <v>132.12</v>
      </c>
      <c r="O269" s="1">
        <f ca="1">IFERROR(__xludf.DUMMYFUNCTION("""COMPUTED_VALUE"""),200.98)</f>
        <v>200.98</v>
      </c>
      <c r="P269" s="1">
        <f ca="1">IFERROR(__xludf.DUMMYFUNCTION("""COMPUTED_VALUE"""),165.98)</f>
        <v>165.98</v>
      </c>
      <c r="Q269" s="1">
        <f ca="1">IFERROR(__xludf.DUMMYFUNCTION("""COMPUTED_VALUE"""),347.81)</f>
        <v>347.81</v>
      </c>
      <c r="R269" s="1">
        <f ca="1">IFERROR(__xludf.DUMMYFUNCTION("""COMPUTED_VALUE"""),46.9)</f>
        <v>46.9</v>
      </c>
      <c r="S269" s="1">
        <f ca="1">IFERROR(__xludf.DUMMYFUNCTION("""COMPUTED_VALUE"""),86.87)</f>
        <v>86.87</v>
      </c>
      <c r="T269" s="1">
        <f ca="1">IFERROR(__xludf.DUMMYFUNCTION("""COMPUTED_VALUE"""),48.73)</f>
        <v>48.73</v>
      </c>
      <c r="U269" s="1">
        <f ca="1">IFERROR(__xludf.DUMMYFUNCTION("""COMPUTED_VALUE"""),137.55)</f>
        <v>137.55000000000001</v>
      </c>
      <c r="V269" s="1">
        <f ca="1">IFERROR(__xludf.DUMMYFUNCTION("""COMPUTED_VALUE"""),187.34)</f>
        <v>187.34</v>
      </c>
      <c r="W269" s="1">
        <f ca="1">IFERROR(__xludf.DUMMYFUNCTION("""COMPUTED_VALUE"""),343.51)</f>
        <v>343.51</v>
      </c>
      <c r="X269" s="1">
        <f ca="1">IFERROR(__xludf.DUMMYFUNCTION("""COMPUTED_VALUE"""),567.61)</f>
        <v>567.61</v>
      </c>
      <c r="Y269" s="1">
        <f ca="1">IFERROR(__xludf.DUMMYFUNCTION("""COMPUTED_VALUE"""),130.52)</f>
        <v>130.52000000000001</v>
      </c>
      <c r="Z269" s="1">
        <f ca="1">IFERROR(__xludf.DUMMYFUNCTION("""COMPUTED_VALUE"""),283.04)</f>
        <v>283.04000000000002</v>
      </c>
      <c r="AA269" s="1">
        <f ca="1">IFERROR(__xludf.DUMMYFUNCTION("""COMPUTED_VALUE"""),37.28)</f>
        <v>37.28</v>
      </c>
      <c r="AB269" s="1">
        <f ca="1">IFERROR(__xludf.DUMMYFUNCTION("""COMPUTED_VALUE"""),103.45)</f>
        <v>103.45</v>
      </c>
      <c r="AC269" s="1">
        <f ca="1">IFERROR(__xludf.DUMMYFUNCTION("""COMPUTED_VALUE"""),94.13)</f>
        <v>94.13</v>
      </c>
    </row>
    <row r="270" spans="1:29" x14ac:dyDescent="0.25">
      <c r="A270" s="2">
        <f ca="1">IFERROR(__xludf.DUMMYFUNCTION("""COMPUTED_VALUE"""),44222.6666666666)</f>
        <v>44222.666666666599</v>
      </c>
      <c r="B270" s="1">
        <f ca="1">IFERROR(__xludf.DUMMYFUNCTION("""COMPUTED_VALUE"""),143.16)</f>
        <v>143.16</v>
      </c>
      <c r="C270" s="1">
        <f ca="1">IFERROR(__xludf.DUMMYFUNCTION("""COMPUTED_VALUE"""),232.33)</f>
        <v>232.33</v>
      </c>
      <c r="D270" s="1">
        <f ca="1">IFERROR(__xludf.DUMMYFUNCTION("""COMPUTED_VALUE"""),166.31)</f>
        <v>166.31</v>
      </c>
      <c r="E270" s="1">
        <f ca="1">IFERROR(__xludf.DUMMYFUNCTION("""COMPUTED_VALUE"""),13.44)</f>
        <v>13.44</v>
      </c>
      <c r="F270" s="1">
        <f ca="1">IFERROR(__xludf.DUMMYFUNCTION("""COMPUTED_VALUE"""),282.05)</f>
        <v>282.05</v>
      </c>
      <c r="G270" s="1">
        <f ca="1">IFERROR(__xludf.DUMMYFUNCTION("""COMPUTED_VALUE"""),95.86)</f>
        <v>95.86</v>
      </c>
      <c r="H270" s="1">
        <f ca="1">IFERROR(__xludf.DUMMYFUNCTION("""COMPUTED_VALUE"""),294.36)</f>
        <v>294.36</v>
      </c>
      <c r="I270" s="1">
        <f ca="1">IFERROR(__xludf.DUMMYFUNCTION("""COMPUTED_VALUE"""),141.8)</f>
        <v>141.80000000000001</v>
      </c>
      <c r="J270" s="1">
        <f ca="1">IFERROR(__xludf.DUMMYFUNCTION("""COMPUTED_VALUE"""),364.98)</f>
        <v>364.98</v>
      </c>
      <c r="K270" s="1">
        <f ca="1">IFERROR(__xludf.DUMMYFUNCTION("""COMPUTED_VALUE"""),46.39)</f>
        <v>46.39</v>
      </c>
      <c r="L270" s="1">
        <f ca="1">IFERROR(__xludf.DUMMYFUNCTION("""COMPUTED_VALUE"""),476.28)</f>
        <v>476.28</v>
      </c>
      <c r="M270" s="1">
        <f ca="1">IFERROR(__xludf.DUMMYFUNCTION("""COMPUTED_VALUE"""),561.93)</f>
        <v>561.92999999999995</v>
      </c>
      <c r="N270" s="1">
        <f ca="1">IFERROR(__xludf.DUMMYFUNCTION("""COMPUTED_VALUE"""),131.58)</f>
        <v>131.58000000000001</v>
      </c>
      <c r="O270" s="1">
        <f ca="1">IFERROR(__xludf.DUMMYFUNCTION("""COMPUTED_VALUE"""),202.01)</f>
        <v>202.01</v>
      </c>
      <c r="P270" s="1">
        <f ca="1">IFERROR(__xludf.DUMMYFUNCTION("""COMPUTED_VALUE"""),170.48)</f>
        <v>170.48</v>
      </c>
      <c r="Q270" s="1">
        <f ca="1">IFERROR(__xludf.DUMMYFUNCTION("""COMPUTED_VALUE"""),343.11)</f>
        <v>343.11</v>
      </c>
      <c r="R270" s="1">
        <f ca="1">IFERROR(__xludf.DUMMYFUNCTION("""COMPUTED_VALUE"""),45.87)</f>
        <v>45.87</v>
      </c>
      <c r="S270" s="1">
        <f ca="1">IFERROR(__xludf.DUMMYFUNCTION("""COMPUTED_VALUE"""),85.23)</f>
        <v>85.23</v>
      </c>
      <c r="T270" s="1">
        <f ca="1">IFERROR(__xludf.DUMMYFUNCTION("""COMPUTED_VALUE"""),49.17)</f>
        <v>49.17</v>
      </c>
      <c r="U270" s="1">
        <f ca="1">IFERROR(__xludf.DUMMYFUNCTION("""COMPUTED_VALUE"""),135.1)</f>
        <v>135.1</v>
      </c>
      <c r="V270" s="1">
        <f ca="1">IFERROR(__xludf.DUMMYFUNCTION("""COMPUTED_VALUE"""),187.21)</f>
        <v>187.21</v>
      </c>
      <c r="W270" s="1">
        <f ca="1">IFERROR(__xludf.DUMMYFUNCTION("""COMPUTED_VALUE"""),330.69)</f>
        <v>330.69</v>
      </c>
      <c r="X270" s="1">
        <f ca="1">IFERROR(__xludf.DUMMYFUNCTION("""COMPUTED_VALUE"""),549)</f>
        <v>549</v>
      </c>
      <c r="Y270" s="1">
        <f ca="1">IFERROR(__xludf.DUMMYFUNCTION("""COMPUTED_VALUE"""),126.65)</f>
        <v>126.65</v>
      </c>
      <c r="Z270" s="1">
        <f ca="1">IFERROR(__xludf.DUMMYFUNCTION("""COMPUTED_VALUE"""),281.76)</f>
        <v>281.76</v>
      </c>
      <c r="AA270" s="1">
        <f ca="1">IFERROR(__xludf.DUMMYFUNCTION("""COMPUTED_VALUE"""),37.31)</f>
        <v>37.31</v>
      </c>
      <c r="AB270" s="1">
        <f ca="1">IFERROR(__xludf.DUMMYFUNCTION("""COMPUTED_VALUE"""),104.69)</f>
        <v>104.69</v>
      </c>
      <c r="AC270" s="1">
        <f ca="1">IFERROR(__xludf.DUMMYFUNCTION("""COMPUTED_VALUE"""),94.71)</f>
        <v>94.71</v>
      </c>
    </row>
    <row r="271" spans="1:29" x14ac:dyDescent="0.25">
      <c r="A271" s="2">
        <f ca="1">IFERROR(__xludf.DUMMYFUNCTION("""COMPUTED_VALUE"""),44223.6666666666)</f>
        <v>44223.666666666599</v>
      </c>
      <c r="B271" s="1">
        <f ca="1">IFERROR(__xludf.DUMMYFUNCTION("""COMPUTED_VALUE"""),142.06)</f>
        <v>142.06</v>
      </c>
      <c r="C271" s="1">
        <f ca="1">IFERROR(__xludf.DUMMYFUNCTION("""COMPUTED_VALUE"""),232.9)</f>
        <v>232.9</v>
      </c>
      <c r="D271" s="1">
        <f ca="1">IFERROR(__xludf.DUMMYFUNCTION("""COMPUTED_VALUE"""),161.63)</f>
        <v>161.63</v>
      </c>
      <c r="E271" s="1">
        <f ca="1">IFERROR(__xludf.DUMMYFUNCTION("""COMPUTED_VALUE"""),12.92)</f>
        <v>12.92</v>
      </c>
      <c r="F271" s="1">
        <f ca="1">IFERROR(__xludf.DUMMYFUNCTION("""COMPUTED_VALUE"""),272.14)</f>
        <v>272.14</v>
      </c>
      <c r="G271" s="1">
        <f ca="1">IFERROR(__xludf.DUMMYFUNCTION("""COMPUTED_VALUE"""),91.54)</f>
        <v>91.54</v>
      </c>
      <c r="H271" s="1">
        <f ca="1">IFERROR(__xludf.DUMMYFUNCTION("""COMPUTED_VALUE"""),288.05)</f>
        <v>288.05</v>
      </c>
      <c r="I271" s="1">
        <f ca="1">IFERROR(__xludf.DUMMYFUNCTION("""COMPUTED_VALUE"""),138.04)</f>
        <v>138.04</v>
      </c>
      <c r="J271" s="1">
        <f ca="1">IFERROR(__xludf.DUMMYFUNCTION("""COMPUTED_VALUE"""),356.39)</f>
        <v>356.39</v>
      </c>
      <c r="K271" s="1">
        <f ca="1">IFERROR(__xludf.DUMMYFUNCTION("""COMPUTED_VALUE"""),44.47)</f>
        <v>44.47</v>
      </c>
      <c r="L271" s="1">
        <f ca="1">IFERROR(__xludf.DUMMYFUNCTION("""COMPUTED_VALUE"""),460)</f>
        <v>460</v>
      </c>
      <c r="M271" s="1">
        <f ca="1">IFERROR(__xludf.DUMMYFUNCTION("""COMPUTED_VALUE"""),523.28)</f>
        <v>523.28</v>
      </c>
      <c r="N271" s="1">
        <f ca="1">IFERROR(__xludf.DUMMYFUNCTION("""COMPUTED_VALUE"""),127.86)</f>
        <v>127.86</v>
      </c>
      <c r="O271" s="1">
        <f ca="1">IFERROR(__xludf.DUMMYFUNCTION("""COMPUTED_VALUE"""),194.97)</f>
        <v>194.97</v>
      </c>
      <c r="P271" s="1">
        <f ca="1">IFERROR(__xludf.DUMMYFUNCTION("""COMPUTED_VALUE"""),167.88)</f>
        <v>167.88</v>
      </c>
      <c r="Q271" s="1">
        <f ca="1">IFERROR(__xludf.DUMMYFUNCTION("""COMPUTED_VALUE"""),332.99)</f>
        <v>332.99</v>
      </c>
      <c r="R271" s="1">
        <f ca="1">IFERROR(__xludf.DUMMYFUNCTION("""COMPUTED_VALUE"""),45.35)</f>
        <v>45.35</v>
      </c>
      <c r="S271" s="1">
        <f ca="1">IFERROR(__xludf.DUMMYFUNCTION("""COMPUTED_VALUE"""),80.19)</f>
        <v>80.19</v>
      </c>
      <c r="T271" s="1">
        <f ca="1">IFERROR(__xludf.DUMMYFUNCTION("""COMPUTED_VALUE"""),47.95)</f>
        <v>47.95</v>
      </c>
      <c r="U271" s="1">
        <f ca="1">IFERROR(__xludf.DUMMYFUNCTION("""COMPUTED_VALUE"""),131.02)</f>
        <v>131.02000000000001</v>
      </c>
      <c r="V271" s="1">
        <f ca="1">IFERROR(__xludf.DUMMYFUNCTION("""COMPUTED_VALUE"""),180.63)</f>
        <v>180.63</v>
      </c>
      <c r="W271" s="1">
        <f ca="1">IFERROR(__xludf.DUMMYFUNCTION("""COMPUTED_VALUE"""),332.51)</f>
        <v>332.51</v>
      </c>
      <c r="X271" s="1">
        <f ca="1">IFERROR(__xludf.DUMMYFUNCTION("""COMPUTED_VALUE"""),524.63)</f>
        <v>524.63</v>
      </c>
      <c r="Y271" s="1">
        <f ca="1">IFERROR(__xludf.DUMMYFUNCTION("""COMPUTED_VALUE"""),121.74)</f>
        <v>121.74</v>
      </c>
      <c r="Z271" s="1">
        <f ca="1">IFERROR(__xludf.DUMMYFUNCTION("""COMPUTED_VALUE"""),273.33)</f>
        <v>273.33</v>
      </c>
      <c r="AA271" s="1">
        <f ca="1">IFERROR(__xludf.DUMMYFUNCTION("""COMPUTED_VALUE"""),36.24)</f>
        <v>36.24</v>
      </c>
      <c r="AB271" s="1">
        <f ca="1">IFERROR(__xludf.DUMMYFUNCTION("""COMPUTED_VALUE"""),97.87)</f>
        <v>97.87</v>
      </c>
      <c r="AC271" s="1">
        <f ca="1">IFERROR(__xludf.DUMMYFUNCTION("""COMPUTED_VALUE"""),88.84)</f>
        <v>88.84</v>
      </c>
    </row>
    <row r="272" spans="1:29" x14ac:dyDescent="0.25">
      <c r="A272" s="2">
        <f ca="1">IFERROR(__xludf.DUMMYFUNCTION("""COMPUTED_VALUE"""),44224.6666666666)</f>
        <v>44224.666666666599</v>
      </c>
      <c r="B272" s="1">
        <f ca="1">IFERROR(__xludf.DUMMYFUNCTION("""COMPUTED_VALUE"""),137.09)</f>
        <v>137.09</v>
      </c>
      <c r="C272" s="1">
        <f ca="1">IFERROR(__xludf.DUMMYFUNCTION("""COMPUTED_VALUE"""),238.93)</f>
        <v>238.93</v>
      </c>
      <c r="D272" s="1">
        <f ca="1">IFERROR(__xludf.DUMMYFUNCTION("""COMPUTED_VALUE"""),161.88)</f>
        <v>161.88</v>
      </c>
      <c r="E272" s="1">
        <f ca="1">IFERROR(__xludf.DUMMYFUNCTION("""COMPUTED_VALUE"""),13.05)</f>
        <v>13.05</v>
      </c>
      <c r="F272" s="1">
        <f ca="1">IFERROR(__xludf.DUMMYFUNCTION("""COMPUTED_VALUE"""),265)</f>
        <v>265</v>
      </c>
      <c r="G272" s="1">
        <f ca="1">IFERROR(__xludf.DUMMYFUNCTION("""COMPUTED_VALUE"""),93.16)</f>
        <v>93.16</v>
      </c>
      <c r="H272" s="1">
        <f ca="1">IFERROR(__xludf.DUMMYFUNCTION("""COMPUTED_VALUE"""),278.48)</f>
        <v>278.48</v>
      </c>
      <c r="I272" s="1">
        <f ca="1">IFERROR(__xludf.DUMMYFUNCTION("""COMPUTED_VALUE"""),139.19)</f>
        <v>139.19</v>
      </c>
      <c r="J272" s="1">
        <f ca="1">IFERROR(__xludf.DUMMYFUNCTION("""COMPUTED_VALUE"""),357.06)</f>
        <v>357.06</v>
      </c>
      <c r="K272" s="1">
        <f ca="1">IFERROR(__xludf.DUMMYFUNCTION("""COMPUTED_VALUE"""),45.17)</f>
        <v>45.17</v>
      </c>
      <c r="L272" s="1">
        <f ca="1">IFERROR(__xludf.DUMMYFUNCTION("""COMPUTED_VALUE"""),465.67)</f>
        <v>465.67</v>
      </c>
      <c r="M272" s="1">
        <f ca="1">IFERROR(__xludf.DUMMYFUNCTION("""COMPUTED_VALUE"""),538.6)</f>
        <v>538.6</v>
      </c>
      <c r="N272" s="1">
        <f ca="1">IFERROR(__xludf.DUMMYFUNCTION("""COMPUTED_VALUE"""),130.11)</f>
        <v>130.11000000000001</v>
      </c>
      <c r="O272" s="1">
        <f ca="1">IFERROR(__xludf.DUMMYFUNCTION("""COMPUTED_VALUE"""),198.22)</f>
        <v>198.22</v>
      </c>
      <c r="P272" s="1">
        <f ca="1">IFERROR(__xludf.DUMMYFUNCTION("""COMPUTED_VALUE"""),169.16)</f>
        <v>169.16</v>
      </c>
      <c r="Q272" s="1">
        <f ca="1">IFERROR(__xludf.DUMMYFUNCTION("""COMPUTED_VALUE"""),338.15)</f>
        <v>338.15</v>
      </c>
      <c r="R272" s="1">
        <f ca="1">IFERROR(__xludf.DUMMYFUNCTION("""COMPUTED_VALUE"""),46.06)</f>
        <v>46.06</v>
      </c>
      <c r="S272" s="1">
        <f ca="1">IFERROR(__xludf.DUMMYFUNCTION("""COMPUTED_VALUE"""),82.46)</f>
        <v>82.46</v>
      </c>
      <c r="T272" s="1">
        <f ca="1">IFERROR(__xludf.DUMMYFUNCTION("""COMPUTED_VALUE"""),47.92)</f>
        <v>47.92</v>
      </c>
      <c r="U272" s="1">
        <f ca="1">IFERROR(__xludf.DUMMYFUNCTION("""COMPUTED_VALUE"""),134.72)</f>
        <v>134.72</v>
      </c>
      <c r="V272" s="1">
        <f ca="1">IFERROR(__xludf.DUMMYFUNCTION("""COMPUTED_VALUE"""),184.34)</f>
        <v>184.34</v>
      </c>
      <c r="W272" s="1">
        <f ca="1">IFERROR(__xludf.DUMMYFUNCTION("""COMPUTED_VALUE"""),327.93)</f>
        <v>327.93</v>
      </c>
      <c r="X272" s="1">
        <f ca="1">IFERROR(__xludf.DUMMYFUNCTION("""COMPUTED_VALUE"""),547.22)</f>
        <v>547.22</v>
      </c>
      <c r="Y272" s="1">
        <f ca="1">IFERROR(__xludf.DUMMYFUNCTION("""COMPUTED_VALUE"""),125.83)</f>
        <v>125.83</v>
      </c>
      <c r="Z272" s="1">
        <f ca="1">IFERROR(__xludf.DUMMYFUNCTION("""COMPUTED_VALUE"""),275.02)</f>
        <v>275.02</v>
      </c>
      <c r="AA272" s="1">
        <f ca="1">IFERROR(__xludf.DUMMYFUNCTION("""COMPUTED_VALUE"""),35.86)</f>
        <v>35.86</v>
      </c>
      <c r="AB272" s="1">
        <f ca="1">IFERROR(__xludf.DUMMYFUNCTION("""COMPUTED_VALUE"""),98.15)</f>
        <v>98.15</v>
      </c>
      <c r="AC272" s="1">
        <f ca="1">IFERROR(__xludf.DUMMYFUNCTION("""COMPUTED_VALUE"""),87.52)</f>
        <v>87.52</v>
      </c>
    </row>
    <row r="273" spans="1:29" x14ac:dyDescent="0.25">
      <c r="A273" s="2">
        <f ca="1">IFERROR(__xludf.DUMMYFUNCTION("""COMPUTED_VALUE"""),44225.6666666666)</f>
        <v>44225.666666666599</v>
      </c>
      <c r="B273" s="1">
        <f ca="1">IFERROR(__xludf.DUMMYFUNCTION("""COMPUTED_VALUE"""),131.96)</f>
        <v>131.96</v>
      </c>
      <c r="C273" s="1">
        <f ca="1">IFERROR(__xludf.DUMMYFUNCTION("""COMPUTED_VALUE"""),231.96)</f>
        <v>231.96</v>
      </c>
      <c r="D273" s="1">
        <f ca="1">IFERROR(__xludf.DUMMYFUNCTION("""COMPUTED_VALUE"""),160.31)</f>
        <v>160.31</v>
      </c>
      <c r="E273" s="1">
        <f ca="1">IFERROR(__xludf.DUMMYFUNCTION("""COMPUTED_VALUE"""),12.99)</f>
        <v>12.99</v>
      </c>
      <c r="F273" s="1">
        <f ca="1">IFERROR(__xludf.DUMMYFUNCTION("""COMPUTED_VALUE"""),258.33)</f>
        <v>258.33</v>
      </c>
      <c r="G273" s="1">
        <f ca="1">IFERROR(__xludf.DUMMYFUNCTION("""COMPUTED_VALUE"""),91.79)</f>
        <v>91.79</v>
      </c>
      <c r="H273" s="1">
        <f ca="1">IFERROR(__xludf.DUMMYFUNCTION("""COMPUTED_VALUE"""),264.51)</f>
        <v>264.51</v>
      </c>
      <c r="I273" s="1">
        <f ca="1">IFERROR(__xludf.DUMMYFUNCTION("""COMPUTED_VALUE"""),136.57)</f>
        <v>136.57</v>
      </c>
      <c r="J273" s="1">
        <f ca="1">IFERROR(__xludf.DUMMYFUNCTION("""COMPUTED_VALUE"""),352.43)</f>
        <v>352.43</v>
      </c>
      <c r="K273" s="1">
        <f ca="1">IFERROR(__xludf.DUMMYFUNCTION("""COMPUTED_VALUE"""),45.05)</f>
        <v>45.05</v>
      </c>
      <c r="L273" s="1">
        <f ca="1">IFERROR(__xludf.DUMMYFUNCTION("""COMPUTED_VALUE"""),458.77)</f>
        <v>458.77</v>
      </c>
      <c r="M273" s="1">
        <f ca="1">IFERROR(__xludf.DUMMYFUNCTION("""COMPUTED_VALUE"""),532.39)</f>
        <v>532.39</v>
      </c>
      <c r="N273" s="1">
        <f ca="1">IFERROR(__xludf.DUMMYFUNCTION("""COMPUTED_VALUE"""),128.67)</f>
        <v>128.66999999999999</v>
      </c>
      <c r="O273" s="1">
        <f ca="1">IFERROR(__xludf.DUMMYFUNCTION("""COMPUTED_VALUE"""),193.25)</f>
        <v>193.25</v>
      </c>
      <c r="P273" s="1">
        <f ca="1">IFERROR(__xludf.DUMMYFUNCTION("""COMPUTED_VALUE"""),163.13)</f>
        <v>163.13</v>
      </c>
      <c r="Q273" s="1">
        <f ca="1">IFERROR(__xludf.DUMMYFUNCTION("""COMPUTED_VALUE"""),333.58)</f>
        <v>333.58</v>
      </c>
      <c r="R273" s="1">
        <f ca="1">IFERROR(__xludf.DUMMYFUNCTION("""COMPUTED_VALUE"""),44.84)</f>
        <v>44.84</v>
      </c>
      <c r="S273" s="1">
        <f ca="1">IFERROR(__xludf.DUMMYFUNCTION("""COMPUTED_VALUE"""),80.87)</f>
        <v>80.87</v>
      </c>
      <c r="T273" s="1">
        <f ca="1">IFERROR(__xludf.DUMMYFUNCTION("""COMPUTED_VALUE"""),46.83)</f>
        <v>46.83</v>
      </c>
      <c r="U273" s="1">
        <f ca="1">IFERROR(__xludf.DUMMYFUNCTION("""COMPUTED_VALUE"""),133.59)</f>
        <v>133.59</v>
      </c>
      <c r="V273" s="1">
        <f ca="1">IFERROR(__xludf.DUMMYFUNCTION("""COMPUTED_VALUE"""),182.84)</f>
        <v>182.84</v>
      </c>
      <c r="W273" s="1">
        <f ca="1">IFERROR(__xludf.DUMMYFUNCTION("""COMPUTED_VALUE"""),321.82)</f>
        <v>321.82</v>
      </c>
      <c r="X273" s="1">
        <f ca="1">IFERROR(__xludf.DUMMYFUNCTION("""COMPUTED_VALUE"""),534.16)</f>
        <v>534.16</v>
      </c>
      <c r="Y273" s="1">
        <f ca="1">IFERROR(__xludf.DUMMYFUNCTION("""COMPUTED_VALUE"""),121.52)</f>
        <v>121.52</v>
      </c>
      <c r="Z273" s="1">
        <f ca="1">IFERROR(__xludf.DUMMYFUNCTION("""COMPUTED_VALUE"""),271.17)</f>
        <v>271.17</v>
      </c>
      <c r="AA273" s="1">
        <f ca="1">IFERROR(__xludf.DUMMYFUNCTION("""COMPUTED_VALUE"""),35.9)</f>
        <v>35.9</v>
      </c>
      <c r="AB273" s="1">
        <f ca="1">IFERROR(__xludf.DUMMYFUNCTION("""COMPUTED_VALUE"""),96.81)</f>
        <v>96.81</v>
      </c>
      <c r="AC273" s="1">
        <f ca="1">IFERROR(__xludf.DUMMYFUNCTION("""COMPUTED_VALUE"""),85.64)</f>
        <v>85.64</v>
      </c>
    </row>
    <row r="274" spans="1:29" x14ac:dyDescent="0.25">
      <c r="A274" s="2">
        <f ca="1">IFERROR(__xludf.DUMMYFUNCTION("""COMPUTED_VALUE"""),44228.6666666666)</f>
        <v>44228.666666666599</v>
      </c>
      <c r="B274" s="1">
        <f ca="1">IFERROR(__xludf.DUMMYFUNCTION("""COMPUTED_VALUE"""),134.14)</f>
        <v>134.13999999999999</v>
      </c>
      <c r="C274" s="1">
        <f ca="1">IFERROR(__xludf.DUMMYFUNCTION("""COMPUTED_VALUE"""),239.65)</f>
        <v>239.65</v>
      </c>
      <c r="D274" s="1">
        <f ca="1">IFERROR(__xludf.DUMMYFUNCTION("""COMPUTED_VALUE"""),167.14)</f>
        <v>167.14</v>
      </c>
      <c r="E274" s="1">
        <f ca="1">IFERROR(__xludf.DUMMYFUNCTION("""COMPUTED_VALUE"""),13.24)</f>
        <v>13.24</v>
      </c>
      <c r="F274" s="1">
        <f ca="1">IFERROR(__xludf.DUMMYFUNCTION("""COMPUTED_VALUE"""),262.01)</f>
        <v>262.01</v>
      </c>
      <c r="G274" s="1">
        <f ca="1">IFERROR(__xludf.DUMMYFUNCTION("""COMPUTED_VALUE"""),95.07)</f>
        <v>95.07</v>
      </c>
      <c r="H274" s="1">
        <f ca="1">IFERROR(__xludf.DUMMYFUNCTION("""COMPUTED_VALUE"""),279.94)</f>
        <v>279.94</v>
      </c>
      <c r="I274" s="1">
        <f ca="1">IFERROR(__xludf.DUMMYFUNCTION("""COMPUTED_VALUE"""),136.98)</f>
        <v>136.97999999999999</v>
      </c>
      <c r="J274" s="1">
        <f ca="1">IFERROR(__xludf.DUMMYFUNCTION("""COMPUTED_VALUE"""),350.52)</f>
        <v>350.52</v>
      </c>
      <c r="K274" s="1">
        <f ca="1">IFERROR(__xludf.DUMMYFUNCTION("""COMPUTED_VALUE"""),46.67)</f>
        <v>46.67</v>
      </c>
      <c r="L274" s="1">
        <f ca="1">IFERROR(__xludf.DUMMYFUNCTION("""COMPUTED_VALUE"""),470)</f>
        <v>470</v>
      </c>
      <c r="M274" s="1">
        <f ca="1">IFERROR(__xludf.DUMMYFUNCTION("""COMPUTED_VALUE"""),539.04)</f>
        <v>539.04</v>
      </c>
      <c r="N274" s="1">
        <f ca="1">IFERROR(__xludf.DUMMYFUNCTION("""COMPUTED_VALUE"""),129.62)</f>
        <v>129.62</v>
      </c>
      <c r="O274" s="1">
        <f ca="1">IFERROR(__xludf.DUMMYFUNCTION("""COMPUTED_VALUE"""),198.36)</f>
        <v>198.36</v>
      </c>
      <c r="P274" s="1">
        <f ca="1">IFERROR(__xludf.DUMMYFUNCTION("""COMPUTED_VALUE"""),162.71)</f>
        <v>162.71</v>
      </c>
      <c r="Q274" s="1">
        <f ca="1">IFERROR(__xludf.DUMMYFUNCTION("""COMPUTED_VALUE"""),334)</f>
        <v>334</v>
      </c>
      <c r="R274" s="1">
        <f ca="1">IFERROR(__xludf.DUMMYFUNCTION("""COMPUTED_VALUE"""),44.92)</f>
        <v>44.92</v>
      </c>
      <c r="S274" s="1">
        <f ca="1">IFERROR(__xludf.DUMMYFUNCTION("""COMPUTED_VALUE"""),81.7)</f>
        <v>81.7</v>
      </c>
      <c r="T274" s="1">
        <f ca="1">IFERROR(__xludf.DUMMYFUNCTION("""COMPUTED_VALUE"""),46.42)</f>
        <v>46.42</v>
      </c>
      <c r="U274" s="1">
        <f ca="1">IFERROR(__xludf.DUMMYFUNCTION("""COMPUTED_VALUE"""),135.71)</f>
        <v>135.71</v>
      </c>
      <c r="V274" s="1">
        <f ca="1">IFERROR(__xludf.DUMMYFUNCTION("""COMPUTED_VALUE"""),184.72)</f>
        <v>184.72</v>
      </c>
      <c r="W274" s="1">
        <f ca="1">IFERROR(__xludf.DUMMYFUNCTION("""COMPUTED_VALUE"""),324.03)</f>
        <v>324.02999999999997</v>
      </c>
      <c r="X274" s="1">
        <f ca="1">IFERROR(__xludf.DUMMYFUNCTION("""COMPUTED_VALUE"""),554.39)</f>
        <v>554.39</v>
      </c>
      <c r="Y274" s="1">
        <f ca="1">IFERROR(__xludf.DUMMYFUNCTION("""COMPUTED_VALUE"""),126.66)</f>
        <v>126.66</v>
      </c>
      <c r="Z274" s="1">
        <f ca="1">IFERROR(__xludf.DUMMYFUNCTION("""COMPUTED_VALUE"""),274.73)</f>
        <v>274.73</v>
      </c>
      <c r="AA274" s="1">
        <f ca="1">IFERROR(__xludf.DUMMYFUNCTION("""COMPUTED_VALUE"""),35.8)</f>
        <v>35.799999999999997</v>
      </c>
      <c r="AB274" s="1">
        <f ca="1">IFERROR(__xludf.DUMMYFUNCTION("""COMPUTED_VALUE"""),98.58)</f>
        <v>98.58</v>
      </c>
      <c r="AC274" s="1">
        <f ca="1">IFERROR(__xludf.DUMMYFUNCTION("""COMPUTED_VALUE"""),87.66)</f>
        <v>87.66</v>
      </c>
    </row>
    <row r="275" spans="1:29" x14ac:dyDescent="0.25">
      <c r="A275" s="2">
        <f ca="1">IFERROR(__xludf.DUMMYFUNCTION("""COMPUTED_VALUE"""),44229.6666666666)</f>
        <v>44229.666666666599</v>
      </c>
      <c r="B275" s="1">
        <f ca="1">IFERROR(__xludf.DUMMYFUNCTION("""COMPUTED_VALUE"""),134.99)</f>
        <v>134.99</v>
      </c>
      <c r="C275" s="1">
        <f ca="1">IFERROR(__xludf.DUMMYFUNCTION("""COMPUTED_VALUE"""),239.51)</f>
        <v>239.51</v>
      </c>
      <c r="D275" s="1">
        <f ca="1">IFERROR(__xludf.DUMMYFUNCTION("""COMPUTED_VALUE"""),169)</f>
        <v>169</v>
      </c>
      <c r="E275" s="1">
        <f ca="1">IFERROR(__xludf.DUMMYFUNCTION("""COMPUTED_VALUE"""),13.56)</f>
        <v>13.56</v>
      </c>
      <c r="F275" s="1">
        <f ca="1">IFERROR(__xludf.DUMMYFUNCTION("""COMPUTED_VALUE"""),267.08)</f>
        <v>267.08</v>
      </c>
      <c r="G275" s="1">
        <f ca="1">IFERROR(__xludf.DUMMYFUNCTION("""COMPUTED_VALUE"""),96.38)</f>
        <v>96.38</v>
      </c>
      <c r="H275" s="1">
        <f ca="1">IFERROR(__xludf.DUMMYFUNCTION("""COMPUTED_VALUE"""),290.93)</f>
        <v>290.93</v>
      </c>
      <c r="I275" s="1">
        <f ca="1">IFERROR(__xludf.DUMMYFUNCTION("""COMPUTED_VALUE"""),138.38)</f>
        <v>138.38</v>
      </c>
      <c r="J275" s="1">
        <f ca="1">IFERROR(__xludf.DUMMYFUNCTION("""COMPUTED_VALUE"""),355.58)</f>
        <v>355.58</v>
      </c>
      <c r="K275" s="1">
        <f ca="1">IFERROR(__xludf.DUMMYFUNCTION("""COMPUTED_VALUE"""),47.69)</f>
        <v>47.69</v>
      </c>
      <c r="L275" s="1">
        <f ca="1">IFERROR(__xludf.DUMMYFUNCTION("""COMPUTED_VALUE"""),484.93)</f>
        <v>484.93</v>
      </c>
      <c r="M275" s="1">
        <f ca="1">IFERROR(__xludf.DUMMYFUNCTION("""COMPUTED_VALUE"""),548.16)</f>
        <v>548.16</v>
      </c>
      <c r="N275" s="1">
        <f ca="1">IFERROR(__xludf.DUMMYFUNCTION("""COMPUTED_VALUE"""),133.61)</f>
        <v>133.61000000000001</v>
      </c>
      <c r="O275" s="1">
        <f ca="1">IFERROR(__xludf.DUMMYFUNCTION("""COMPUTED_VALUE"""),202.61)</f>
        <v>202.61</v>
      </c>
      <c r="P275" s="1">
        <f ca="1">IFERROR(__xludf.DUMMYFUNCTION("""COMPUTED_VALUE"""),161.25)</f>
        <v>161.25</v>
      </c>
      <c r="Q275" s="1">
        <f ca="1">IFERROR(__xludf.DUMMYFUNCTION("""COMPUTED_VALUE"""),338.72)</f>
        <v>338.72</v>
      </c>
      <c r="R275" s="1">
        <f ca="1">IFERROR(__xludf.DUMMYFUNCTION("""COMPUTED_VALUE"""),45.63)</f>
        <v>45.63</v>
      </c>
      <c r="S275" s="1">
        <f ca="1">IFERROR(__xludf.DUMMYFUNCTION("""COMPUTED_VALUE"""),82.93)</f>
        <v>82.93</v>
      </c>
      <c r="T275" s="1">
        <f ca="1">IFERROR(__xludf.DUMMYFUNCTION("""COMPUTED_VALUE"""),46.92)</f>
        <v>46.92</v>
      </c>
      <c r="U275" s="1">
        <f ca="1">IFERROR(__xludf.DUMMYFUNCTION("""COMPUTED_VALUE"""),139.59)</f>
        <v>139.59</v>
      </c>
      <c r="V275" s="1">
        <f ca="1">IFERROR(__xludf.DUMMYFUNCTION("""COMPUTED_VALUE"""),192.5)</f>
        <v>192.5</v>
      </c>
      <c r="W275" s="1">
        <f ca="1">IFERROR(__xludf.DUMMYFUNCTION("""COMPUTED_VALUE"""),332.7)</f>
        <v>332.7</v>
      </c>
      <c r="X275" s="1">
        <f ca="1">IFERROR(__xludf.DUMMYFUNCTION("""COMPUTED_VALUE"""),553.5)</f>
        <v>553.5</v>
      </c>
      <c r="Y275" s="1">
        <f ca="1">IFERROR(__xludf.DUMMYFUNCTION("""COMPUTED_VALUE"""),128.44)</f>
        <v>128.44</v>
      </c>
      <c r="Z275" s="1">
        <f ca="1">IFERROR(__xludf.DUMMYFUNCTION("""COMPUTED_VALUE"""),286.97)</f>
        <v>286.97000000000003</v>
      </c>
      <c r="AA275" s="1">
        <f ca="1">IFERROR(__xludf.DUMMYFUNCTION("""COMPUTED_VALUE"""),34.99)</f>
        <v>34.99</v>
      </c>
      <c r="AB275" s="1">
        <f ca="1">IFERROR(__xludf.DUMMYFUNCTION("""COMPUTED_VALUE"""),101.65)</f>
        <v>101.65</v>
      </c>
      <c r="AC275" s="1">
        <f ca="1">IFERROR(__xludf.DUMMYFUNCTION("""COMPUTED_VALUE"""),88.86)</f>
        <v>88.86</v>
      </c>
    </row>
    <row r="276" spans="1:29" x14ac:dyDescent="0.25">
      <c r="A276" s="2">
        <f ca="1">IFERROR(__xludf.DUMMYFUNCTION("""COMPUTED_VALUE"""),44230.6666666666)</f>
        <v>44230.666666666599</v>
      </c>
      <c r="B276" s="1">
        <f ca="1">IFERROR(__xludf.DUMMYFUNCTION("""COMPUTED_VALUE"""),133.94)</f>
        <v>133.94</v>
      </c>
      <c r="C276" s="1">
        <f ca="1">IFERROR(__xludf.DUMMYFUNCTION("""COMPUTED_VALUE"""),243)</f>
        <v>243</v>
      </c>
      <c r="D276" s="1">
        <f ca="1">IFERROR(__xludf.DUMMYFUNCTION("""COMPUTED_VALUE"""),165.63)</f>
        <v>165.63</v>
      </c>
      <c r="E276" s="1">
        <f ca="1">IFERROR(__xludf.DUMMYFUNCTION("""COMPUTED_VALUE"""),13.53)</f>
        <v>13.53</v>
      </c>
      <c r="F276" s="1">
        <f ca="1">IFERROR(__xludf.DUMMYFUNCTION("""COMPUTED_VALUE"""),266.65)</f>
        <v>266.64999999999998</v>
      </c>
      <c r="G276" s="1">
        <f ca="1">IFERROR(__xludf.DUMMYFUNCTION("""COMPUTED_VALUE"""),103.5)</f>
        <v>103.5</v>
      </c>
      <c r="H276" s="1">
        <f ca="1">IFERROR(__xludf.DUMMYFUNCTION("""COMPUTED_VALUE"""),284.9)</f>
        <v>284.89999999999998</v>
      </c>
      <c r="I276" s="1">
        <f ca="1">IFERROR(__xludf.DUMMYFUNCTION("""COMPUTED_VALUE"""),138.02)</f>
        <v>138.02000000000001</v>
      </c>
      <c r="J276" s="1">
        <f ca="1">IFERROR(__xludf.DUMMYFUNCTION("""COMPUTED_VALUE"""),355.21)</f>
        <v>355.21</v>
      </c>
      <c r="K276" s="1">
        <f ca="1">IFERROR(__xludf.DUMMYFUNCTION("""COMPUTED_VALUE"""),46.52)</f>
        <v>46.52</v>
      </c>
      <c r="L276" s="1">
        <f ca="1">IFERROR(__xludf.DUMMYFUNCTION("""COMPUTED_VALUE"""),481.92)</f>
        <v>481.92</v>
      </c>
      <c r="M276" s="1">
        <f ca="1">IFERROR(__xludf.DUMMYFUNCTION("""COMPUTED_VALUE"""),539.45)</f>
        <v>539.45000000000005</v>
      </c>
      <c r="N276" s="1">
        <f ca="1">IFERROR(__xludf.DUMMYFUNCTION("""COMPUTED_VALUE"""),135.14)</f>
        <v>135.13999999999999</v>
      </c>
      <c r="O276" s="1">
        <f ca="1">IFERROR(__xludf.DUMMYFUNCTION("""COMPUTED_VALUE"""),201.36)</f>
        <v>201.36</v>
      </c>
      <c r="P276" s="1">
        <f ca="1">IFERROR(__xludf.DUMMYFUNCTION("""COMPUTED_VALUE"""),160.5)</f>
        <v>160.5</v>
      </c>
      <c r="Q276" s="1">
        <f ca="1">IFERROR(__xludf.DUMMYFUNCTION("""COMPUTED_VALUE"""),337.89)</f>
        <v>337.89</v>
      </c>
      <c r="R276" s="1">
        <f ca="1">IFERROR(__xludf.DUMMYFUNCTION("""COMPUTED_VALUE"""),47.42)</f>
        <v>47.42</v>
      </c>
      <c r="S276" s="1">
        <f ca="1">IFERROR(__xludf.DUMMYFUNCTION("""COMPUTED_VALUE"""),83.05)</f>
        <v>83.05</v>
      </c>
      <c r="T276" s="1">
        <f ca="1">IFERROR(__xludf.DUMMYFUNCTION("""COMPUTED_VALUE"""),47.07)</f>
        <v>47.07</v>
      </c>
      <c r="U276" s="1">
        <f ca="1">IFERROR(__xludf.DUMMYFUNCTION("""COMPUTED_VALUE"""),138.63)</f>
        <v>138.63</v>
      </c>
      <c r="V276" s="1">
        <f ca="1">IFERROR(__xludf.DUMMYFUNCTION("""COMPUTED_VALUE"""),191.45)</f>
        <v>191.45</v>
      </c>
      <c r="W276" s="1">
        <f ca="1">IFERROR(__xludf.DUMMYFUNCTION("""COMPUTED_VALUE"""),332.39)</f>
        <v>332.39</v>
      </c>
      <c r="X276" s="1">
        <f ca="1">IFERROR(__xludf.DUMMYFUNCTION("""COMPUTED_VALUE"""),542.91)</f>
        <v>542.91</v>
      </c>
      <c r="Y276" s="1">
        <f ca="1">IFERROR(__xludf.DUMMYFUNCTION("""COMPUTED_VALUE"""),127.5)</f>
        <v>127.5</v>
      </c>
      <c r="Z276" s="1">
        <f ca="1">IFERROR(__xludf.DUMMYFUNCTION("""COMPUTED_VALUE"""),288.55)</f>
        <v>288.55</v>
      </c>
      <c r="AA276" s="1">
        <f ca="1">IFERROR(__xludf.DUMMYFUNCTION("""COMPUTED_VALUE"""),34.84)</f>
        <v>34.840000000000003</v>
      </c>
      <c r="AB276" s="1">
        <f ca="1">IFERROR(__xludf.DUMMYFUNCTION("""COMPUTED_VALUE"""),101.02)</f>
        <v>101.02</v>
      </c>
      <c r="AC276" s="1">
        <f ca="1">IFERROR(__xludf.DUMMYFUNCTION("""COMPUTED_VALUE"""),87.89)</f>
        <v>87.89</v>
      </c>
    </row>
    <row r="277" spans="1:29" x14ac:dyDescent="0.25">
      <c r="A277" s="2">
        <f ca="1">IFERROR(__xludf.DUMMYFUNCTION("""COMPUTED_VALUE"""),44231.6666666666)</f>
        <v>44231.666666666599</v>
      </c>
      <c r="B277" s="1">
        <f ca="1">IFERROR(__xludf.DUMMYFUNCTION("""COMPUTED_VALUE"""),137.39)</f>
        <v>137.38999999999999</v>
      </c>
      <c r="C277" s="1">
        <f ca="1">IFERROR(__xludf.DUMMYFUNCTION("""COMPUTED_VALUE"""),242.01)</f>
        <v>242.01</v>
      </c>
      <c r="D277" s="1">
        <f ca="1">IFERROR(__xludf.DUMMYFUNCTION("""COMPUTED_VALUE"""),166.55)</f>
        <v>166.55</v>
      </c>
      <c r="E277" s="1">
        <f ca="1">IFERROR(__xludf.DUMMYFUNCTION("""COMPUTED_VALUE"""),13.66)</f>
        <v>13.66</v>
      </c>
      <c r="F277" s="1">
        <f ca="1">IFERROR(__xludf.DUMMYFUNCTION("""COMPUTED_VALUE"""),266.49)</f>
        <v>266.49</v>
      </c>
      <c r="G277" s="1">
        <f ca="1">IFERROR(__xludf.DUMMYFUNCTION("""COMPUTED_VALUE"""),103.12)</f>
        <v>103.12</v>
      </c>
      <c r="H277" s="1">
        <f ca="1">IFERROR(__xludf.DUMMYFUNCTION("""COMPUTED_VALUE"""),283.33)</f>
        <v>283.33</v>
      </c>
      <c r="I277" s="1">
        <f ca="1">IFERROR(__xludf.DUMMYFUNCTION("""COMPUTED_VALUE"""),139.68)</f>
        <v>139.68</v>
      </c>
      <c r="J277" s="1">
        <f ca="1">IFERROR(__xludf.DUMMYFUNCTION("""COMPUTED_VALUE"""),355.85)</f>
        <v>355.85</v>
      </c>
      <c r="K277" s="1">
        <f ca="1">IFERROR(__xludf.DUMMYFUNCTION("""COMPUTED_VALUE"""),47.06)</f>
        <v>47.06</v>
      </c>
      <c r="L277" s="1">
        <f ca="1">IFERROR(__xludf.DUMMYFUNCTION("""COMPUTED_VALUE"""),489.38)</f>
        <v>489.38</v>
      </c>
      <c r="M277" s="1">
        <f ca="1">IFERROR(__xludf.DUMMYFUNCTION("""COMPUTED_VALUE"""),552.16)</f>
        <v>552.16</v>
      </c>
      <c r="N277" s="1">
        <f ca="1">IFERROR(__xludf.DUMMYFUNCTION("""COMPUTED_VALUE"""),138.25)</f>
        <v>138.25</v>
      </c>
      <c r="O277" s="1">
        <f ca="1">IFERROR(__xludf.DUMMYFUNCTION("""COMPUTED_VALUE"""),209.25)</f>
        <v>209.25</v>
      </c>
      <c r="P277" s="1">
        <f ca="1">IFERROR(__xludf.DUMMYFUNCTION("""COMPUTED_VALUE"""),161.99)</f>
        <v>161.99</v>
      </c>
      <c r="Q277" s="1">
        <f ca="1">IFERROR(__xludf.DUMMYFUNCTION("""COMPUTED_VALUE"""),329.32)</f>
        <v>329.32</v>
      </c>
      <c r="R277" s="1">
        <f ca="1">IFERROR(__xludf.DUMMYFUNCTION("""COMPUTED_VALUE"""),48.33)</f>
        <v>48.33</v>
      </c>
      <c r="S277" s="1">
        <f ca="1">IFERROR(__xludf.DUMMYFUNCTION("""COMPUTED_VALUE"""),83)</f>
        <v>83</v>
      </c>
      <c r="T277" s="1">
        <f ca="1">IFERROR(__xludf.DUMMYFUNCTION("""COMPUTED_VALUE"""),47.51)</f>
        <v>47.51</v>
      </c>
      <c r="U277" s="1">
        <f ca="1">IFERROR(__xludf.DUMMYFUNCTION("""COMPUTED_VALUE"""),140.63)</f>
        <v>140.63</v>
      </c>
      <c r="V277" s="1">
        <f ca="1">IFERROR(__xludf.DUMMYFUNCTION("""COMPUTED_VALUE"""),191.65)</f>
        <v>191.65</v>
      </c>
      <c r="W277" s="1">
        <f ca="1">IFERROR(__xludf.DUMMYFUNCTION("""COMPUTED_VALUE"""),337.23)</f>
        <v>337.23</v>
      </c>
      <c r="X277" s="1">
        <f ca="1">IFERROR(__xludf.DUMMYFUNCTION("""COMPUTED_VALUE"""),555.44)</f>
        <v>555.44000000000005</v>
      </c>
      <c r="Y277" s="1">
        <f ca="1">IFERROR(__xludf.DUMMYFUNCTION("""COMPUTED_VALUE"""),128.15)</f>
        <v>128.15</v>
      </c>
      <c r="Z277" s="1">
        <f ca="1">IFERROR(__xludf.DUMMYFUNCTION("""COMPUTED_VALUE"""),293.75)</f>
        <v>293.75</v>
      </c>
      <c r="AA277" s="1">
        <f ca="1">IFERROR(__xludf.DUMMYFUNCTION("""COMPUTED_VALUE"""),34.89)</f>
        <v>34.89</v>
      </c>
      <c r="AB277" s="1">
        <f ca="1">IFERROR(__xludf.DUMMYFUNCTION("""COMPUTED_VALUE"""),103.64)</f>
        <v>103.64</v>
      </c>
      <c r="AC277" s="1">
        <f ca="1">IFERROR(__xludf.DUMMYFUNCTION("""COMPUTED_VALUE"""),87.84)</f>
        <v>87.84</v>
      </c>
    </row>
    <row r="278" spans="1:29" x14ac:dyDescent="0.25">
      <c r="A278" s="2">
        <f ca="1">IFERROR(__xludf.DUMMYFUNCTION("""COMPUTED_VALUE"""),44232.6666666666)</f>
        <v>44232.666666666599</v>
      </c>
      <c r="B278" s="1">
        <f ca="1">IFERROR(__xludf.DUMMYFUNCTION("""COMPUTED_VALUE"""),136.76)</f>
        <v>136.76</v>
      </c>
      <c r="C278" s="1">
        <f ca="1">IFERROR(__xludf.DUMMYFUNCTION("""COMPUTED_VALUE"""),242.2)</f>
        <v>242.2</v>
      </c>
      <c r="D278" s="1">
        <f ca="1">IFERROR(__xludf.DUMMYFUNCTION("""COMPUTED_VALUE"""),167.61)</f>
        <v>167.61</v>
      </c>
      <c r="E278" s="1">
        <f ca="1">IFERROR(__xludf.DUMMYFUNCTION("""COMPUTED_VALUE"""),13.59)</f>
        <v>13.59</v>
      </c>
      <c r="F278" s="1">
        <f ca="1">IFERROR(__xludf.DUMMYFUNCTION("""COMPUTED_VALUE"""),268.1)</f>
        <v>268.10000000000002</v>
      </c>
      <c r="G278" s="1">
        <f ca="1">IFERROR(__xludf.DUMMYFUNCTION("""COMPUTED_VALUE"""),104.9)</f>
        <v>104.9</v>
      </c>
      <c r="H278" s="1">
        <f ca="1">IFERROR(__xludf.DUMMYFUNCTION("""COMPUTED_VALUE"""),284.08)</f>
        <v>284.08</v>
      </c>
      <c r="I278" s="1">
        <f ca="1">IFERROR(__xludf.DUMMYFUNCTION("""COMPUTED_VALUE"""),140.96)</f>
        <v>140.96</v>
      </c>
      <c r="J278" s="1">
        <f ca="1">IFERROR(__xludf.DUMMYFUNCTION("""COMPUTED_VALUE"""),355.17)</f>
        <v>355.17</v>
      </c>
      <c r="K278" s="1">
        <f ca="1">IFERROR(__xludf.DUMMYFUNCTION("""COMPUTED_VALUE"""),46.6)</f>
        <v>46.6</v>
      </c>
      <c r="L278" s="1">
        <f ca="1">IFERROR(__xludf.DUMMYFUNCTION("""COMPUTED_VALUE"""),492.12)</f>
        <v>492.12</v>
      </c>
      <c r="M278" s="1">
        <f ca="1">IFERROR(__xludf.DUMMYFUNCTION("""COMPUTED_VALUE"""),550.79)</f>
        <v>550.79</v>
      </c>
      <c r="N278" s="1">
        <f ca="1">IFERROR(__xludf.DUMMYFUNCTION("""COMPUTED_VALUE"""),137.98)</f>
        <v>137.97999999999999</v>
      </c>
      <c r="O278" s="1">
        <f ca="1">IFERROR(__xludf.DUMMYFUNCTION("""COMPUTED_VALUE"""),208.77)</f>
        <v>208.77</v>
      </c>
      <c r="P278" s="1">
        <f ca="1">IFERROR(__xludf.DUMMYFUNCTION("""COMPUTED_VALUE"""),164.45)</f>
        <v>164.45</v>
      </c>
      <c r="Q278" s="1">
        <f ca="1">IFERROR(__xludf.DUMMYFUNCTION("""COMPUTED_VALUE"""),324.51)</f>
        <v>324.51</v>
      </c>
      <c r="R278" s="1">
        <f ca="1">IFERROR(__xludf.DUMMYFUNCTION("""COMPUTED_VALUE"""),49.95)</f>
        <v>49.95</v>
      </c>
      <c r="S278" s="1">
        <f ca="1">IFERROR(__xludf.DUMMYFUNCTION("""COMPUTED_VALUE"""),83.6)</f>
        <v>83.6</v>
      </c>
      <c r="T278" s="1">
        <f ca="1">IFERROR(__xludf.DUMMYFUNCTION("""COMPUTED_VALUE"""),48.12)</f>
        <v>48.12</v>
      </c>
      <c r="U278" s="1">
        <f ca="1">IFERROR(__xludf.DUMMYFUNCTION("""COMPUTED_VALUE"""),145.11)</f>
        <v>145.11000000000001</v>
      </c>
      <c r="V278" s="1">
        <f ca="1">IFERROR(__xludf.DUMMYFUNCTION("""COMPUTED_VALUE"""),193)</f>
        <v>193</v>
      </c>
      <c r="W278" s="1">
        <f ca="1">IFERROR(__xludf.DUMMYFUNCTION("""COMPUTED_VALUE"""),337.04)</f>
        <v>337.04</v>
      </c>
      <c r="X278" s="1">
        <f ca="1">IFERROR(__xludf.DUMMYFUNCTION("""COMPUTED_VALUE"""),552.81)</f>
        <v>552.80999999999995</v>
      </c>
      <c r="Y278" s="1">
        <f ca="1">IFERROR(__xludf.DUMMYFUNCTION("""COMPUTED_VALUE"""),127.78)</f>
        <v>127.78</v>
      </c>
      <c r="Z278" s="1">
        <f ca="1">IFERROR(__xludf.DUMMYFUNCTION("""COMPUTED_VALUE"""),293.5)</f>
        <v>293.5</v>
      </c>
      <c r="AA278" s="1">
        <f ca="1">IFERROR(__xludf.DUMMYFUNCTION("""COMPUTED_VALUE"""),34.92)</f>
        <v>34.92</v>
      </c>
      <c r="AB278" s="1">
        <f ca="1">IFERROR(__xludf.DUMMYFUNCTION("""COMPUTED_VALUE"""),106.48)</f>
        <v>106.48</v>
      </c>
      <c r="AC278" s="1">
        <f ca="1">IFERROR(__xludf.DUMMYFUNCTION("""COMPUTED_VALUE"""),87.9)</f>
        <v>87.9</v>
      </c>
    </row>
    <row r="279" spans="1:29" x14ac:dyDescent="0.25">
      <c r="A279" s="2">
        <f ca="1">IFERROR(__xludf.DUMMYFUNCTION("""COMPUTED_VALUE"""),44235.6666666666)</f>
        <v>44235.666666666599</v>
      </c>
      <c r="B279" s="1">
        <f ca="1">IFERROR(__xludf.DUMMYFUNCTION("""COMPUTED_VALUE"""),136.91)</f>
        <v>136.91</v>
      </c>
      <c r="C279" s="1">
        <f ca="1">IFERROR(__xludf.DUMMYFUNCTION("""COMPUTED_VALUE"""),242.47)</f>
        <v>242.47</v>
      </c>
      <c r="D279" s="1">
        <f ca="1">IFERROR(__xludf.DUMMYFUNCTION("""COMPUTED_VALUE"""),166.15)</f>
        <v>166.15</v>
      </c>
      <c r="E279" s="1">
        <f ca="1">IFERROR(__xludf.DUMMYFUNCTION("""COMPUTED_VALUE"""),14.44)</f>
        <v>14.44</v>
      </c>
      <c r="F279" s="1">
        <f ca="1">IFERROR(__xludf.DUMMYFUNCTION("""COMPUTED_VALUE"""),266.58)</f>
        <v>266.58</v>
      </c>
      <c r="G279" s="1">
        <f ca="1">IFERROR(__xludf.DUMMYFUNCTION("""COMPUTED_VALUE"""),104.65)</f>
        <v>104.65</v>
      </c>
      <c r="H279" s="1">
        <f ca="1">IFERROR(__xludf.DUMMYFUNCTION("""COMPUTED_VALUE"""),287.81)</f>
        <v>287.81</v>
      </c>
      <c r="I279" s="1">
        <f ca="1">IFERROR(__xludf.DUMMYFUNCTION("""COMPUTED_VALUE"""),140.4)</f>
        <v>140.4</v>
      </c>
      <c r="J279" s="1">
        <f ca="1">IFERROR(__xludf.DUMMYFUNCTION("""COMPUTED_VALUE"""),359.83)</f>
        <v>359.83</v>
      </c>
      <c r="K279" s="1">
        <f ca="1">IFERROR(__xludf.DUMMYFUNCTION("""COMPUTED_VALUE"""),47.27)</f>
        <v>47.27</v>
      </c>
      <c r="L279" s="1">
        <f ca="1">IFERROR(__xludf.DUMMYFUNCTION("""COMPUTED_VALUE"""),493.76)</f>
        <v>493.76</v>
      </c>
      <c r="M279" s="1">
        <f ca="1">IFERROR(__xludf.DUMMYFUNCTION("""COMPUTED_VALUE"""),547.92)</f>
        <v>547.91999999999996</v>
      </c>
      <c r="N279" s="1">
        <f ca="1">IFERROR(__xludf.DUMMYFUNCTION("""COMPUTED_VALUE"""),140.14)</f>
        <v>140.13999999999999</v>
      </c>
      <c r="O279" s="1">
        <f ca="1">IFERROR(__xludf.DUMMYFUNCTION("""COMPUTED_VALUE"""),206.89)</f>
        <v>206.89</v>
      </c>
      <c r="P279" s="1">
        <f ca="1">IFERROR(__xludf.DUMMYFUNCTION("""COMPUTED_VALUE"""),164.92)</f>
        <v>164.92</v>
      </c>
      <c r="Q279" s="1">
        <f ca="1">IFERROR(__xludf.DUMMYFUNCTION("""COMPUTED_VALUE"""),324.34)</f>
        <v>324.33999999999997</v>
      </c>
      <c r="R279" s="1">
        <f ca="1">IFERROR(__xludf.DUMMYFUNCTION("""COMPUTED_VALUE"""),52.1)</f>
        <v>52.1</v>
      </c>
      <c r="S279" s="1">
        <f ca="1">IFERROR(__xludf.DUMMYFUNCTION("""COMPUTED_VALUE"""),83.4)</f>
        <v>83.4</v>
      </c>
      <c r="T279" s="1">
        <f ca="1">IFERROR(__xludf.DUMMYFUNCTION("""COMPUTED_VALUE"""),48.34)</f>
        <v>48.34</v>
      </c>
      <c r="U279" s="1">
        <f ca="1">IFERROR(__xludf.DUMMYFUNCTION("""COMPUTED_VALUE"""),143.41)</f>
        <v>143.41</v>
      </c>
      <c r="V279" s="1">
        <f ca="1">IFERROR(__xludf.DUMMYFUNCTION("""COMPUTED_VALUE"""),197.45)</f>
        <v>197.45</v>
      </c>
      <c r="W279" s="1">
        <f ca="1">IFERROR(__xludf.DUMMYFUNCTION("""COMPUTED_VALUE"""),337.84)</f>
        <v>337.84</v>
      </c>
      <c r="X279" s="1">
        <f ca="1">IFERROR(__xludf.DUMMYFUNCTION("""COMPUTED_VALUE"""),564)</f>
        <v>564</v>
      </c>
      <c r="Y279" s="1">
        <f ca="1">IFERROR(__xludf.DUMMYFUNCTION("""COMPUTED_VALUE"""),132.55)</f>
        <v>132.55000000000001</v>
      </c>
      <c r="Z279" s="1">
        <f ca="1">IFERROR(__xludf.DUMMYFUNCTION("""COMPUTED_VALUE"""),300.15)</f>
        <v>300.14999999999998</v>
      </c>
      <c r="AA279" s="1">
        <f ca="1">IFERROR(__xludf.DUMMYFUNCTION("""COMPUTED_VALUE"""),34.82)</f>
        <v>34.82</v>
      </c>
      <c r="AB279" s="1">
        <f ca="1">IFERROR(__xludf.DUMMYFUNCTION("""COMPUTED_VALUE"""),106.26)</f>
        <v>106.26</v>
      </c>
      <c r="AC279" s="1">
        <f ca="1">IFERROR(__xludf.DUMMYFUNCTION("""COMPUTED_VALUE"""),91.47)</f>
        <v>91.47</v>
      </c>
    </row>
    <row r="280" spans="1:29" x14ac:dyDescent="0.25">
      <c r="A280" s="2">
        <f ca="1">IFERROR(__xludf.DUMMYFUNCTION("""COMPUTED_VALUE"""),44236.6666666666)</f>
        <v>44236.666666666599</v>
      </c>
      <c r="B280" s="1">
        <f ca="1">IFERROR(__xludf.DUMMYFUNCTION("""COMPUTED_VALUE"""),136.01)</f>
        <v>136.01</v>
      </c>
      <c r="C280" s="1">
        <f ca="1">IFERROR(__xludf.DUMMYFUNCTION("""COMPUTED_VALUE"""),243.77)</f>
        <v>243.77</v>
      </c>
      <c r="D280" s="1">
        <f ca="1">IFERROR(__xludf.DUMMYFUNCTION("""COMPUTED_VALUE"""),165.25)</f>
        <v>165.25</v>
      </c>
      <c r="E280" s="1">
        <f ca="1">IFERROR(__xludf.DUMMYFUNCTION("""COMPUTED_VALUE"""),14.26)</f>
        <v>14.26</v>
      </c>
      <c r="F280" s="1">
        <f ca="1">IFERROR(__xludf.DUMMYFUNCTION("""COMPUTED_VALUE"""),269.45)</f>
        <v>269.45</v>
      </c>
      <c r="G280" s="1">
        <f ca="1">IFERROR(__xludf.DUMMYFUNCTION("""COMPUTED_VALUE"""),104.18)</f>
        <v>104.18</v>
      </c>
      <c r="H280" s="1">
        <f ca="1">IFERROR(__xludf.DUMMYFUNCTION("""COMPUTED_VALUE"""),283.15)</f>
        <v>283.14999999999998</v>
      </c>
      <c r="I280" s="1">
        <f ca="1">IFERROR(__xludf.DUMMYFUNCTION("""COMPUTED_VALUE"""),139.6)</f>
        <v>139.6</v>
      </c>
      <c r="J280" s="1">
        <f ca="1">IFERROR(__xludf.DUMMYFUNCTION("""COMPUTED_VALUE"""),359.56)</f>
        <v>359.56</v>
      </c>
      <c r="K280" s="1">
        <f ca="1">IFERROR(__xludf.DUMMYFUNCTION("""COMPUTED_VALUE"""),47.46)</f>
        <v>47.46</v>
      </c>
      <c r="L280" s="1">
        <f ca="1">IFERROR(__xludf.DUMMYFUNCTION("""COMPUTED_VALUE"""),496.05)</f>
        <v>496.05</v>
      </c>
      <c r="M280" s="1">
        <f ca="1">IFERROR(__xludf.DUMMYFUNCTION("""COMPUTED_VALUE"""),559.07)</f>
        <v>559.07000000000005</v>
      </c>
      <c r="N280" s="1">
        <f ca="1">IFERROR(__xludf.DUMMYFUNCTION("""COMPUTED_VALUE"""),139.58)</f>
        <v>139.58000000000001</v>
      </c>
      <c r="O280" s="1">
        <f ca="1">IFERROR(__xludf.DUMMYFUNCTION("""COMPUTED_VALUE"""),206.52)</f>
        <v>206.52</v>
      </c>
      <c r="P280" s="1">
        <f ca="1">IFERROR(__xludf.DUMMYFUNCTION("""COMPUTED_VALUE"""),166.27)</f>
        <v>166.27</v>
      </c>
      <c r="Q280" s="1">
        <f ca="1">IFERROR(__xludf.DUMMYFUNCTION("""COMPUTED_VALUE"""),329.63)</f>
        <v>329.63</v>
      </c>
      <c r="R280" s="1">
        <f ca="1">IFERROR(__xludf.DUMMYFUNCTION("""COMPUTED_VALUE"""),50.63)</f>
        <v>50.63</v>
      </c>
      <c r="S280" s="1">
        <f ca="1">IFERROR(__xludf.DUMMYFUNCTION("""COMPUTED_VALUE"""),83.83)</f>
        <v>83.83</v>
      </c>
      <c r="T280" s="1">
        <f ca="1">IFERROR(__xludf.DUMMYFUNCTION("""COMPUTED_VALUE"""),48.61)</f>
        <v>48.61</v>
      </c>
      <c r="U280" s="1">
        <f ca="1">IFERROR(__xludf.DUMMYFUNCTION("""COMPUTED_VALUE"""),141.79)</f>
        <v>141.79</v>
      </c>
      <c r="V280" s="1">
        <f ca="1">IFERROR(__xludf.DUMMYFUNCTION("""COMPUTED_VALUE"""),197.28)</f>
        <v>197.28</v>
      </c>
      <c r="W280" s="1">
        <f ca="1">IFERROR(__xludf.DUMMYFUNCTION("""COMPUTED_VALUE"""),342.34)</f>
        <v>342.34</v>
      </c>
      <c r="X280" s="1">
        <f ca="1">IFERROR(__xludf.DUMMYFUNCTION("""COMPUTED_VALUE"""),565.5)</f>
        <v>565.5</v>
      </c>
      <c r="Y280" s="1">
        <f ca="1">IFERROR(__xludf.DUMMYFUNCTION("""COMPUTED_VALUE"""),132.68)</f>
        <v>132.68</v>
      </c>
      <c r="Z280" s="1">
        <f ca="1">IFERROR(__xludf.DUMMYFUNCTION("""COMPUTED_VALUE"""),300.46)</f>
        <v>300.45999999999998</v>
      </c>
      <c r="AA280" s="1">
        <f ca="1">IFERROR(__xludf.DUMMYFUNCTION("""COMPUTED_VALUE"""),34.97)</f>
        <v>34.97</v>
      </c>
      <c r="AB280" s="1">
        <f ca="1">IFERROR(__xludf.DUMMYFUNCTION("""COMPUTED_VALUE"""),106.22)</f>
        <v>106.22</v>
      </c>
      <c r="AC280" s="1">
        <f ca="1">IFERROR(__xludf.DUMMYFUNCTION("""COMPUTED_VALUE"""),90.91)</f>
        <v>90.91</v>
      </c>
    </row>
    <row r="281" spans="1:29" x14ac:dyDescent="0.25">
      <c r="A281" s="2">
        <f ca="1">IFERROR(__xludf.DUMMYFUNCTION("""COMPUTED_VALUE"""),44237.6666666666)</f>
        <v>44237.666666666599</v>
      </c>
      <c r="B281" s="1">
        <f ca="1">IFERROR(__xludf.DUMMYFUNCTION("""COMPUTED_VALUE"""),135.39)</f>
        <v>135.38999999999999</v>
      </c>
      <c r="C281" s="1">
        <f ca="1">IFERROR(__xludf.DUMMYFUNCTION("""COMPUTED_VALUE"""),242.82)</f>
        <v>242.82</v>
      </c>
      <c r="D281" s="1">
        <f ca="1">IFERROR(__xludf.DUMMYFUNCTION("""COMPUTED_VALUE"""),164.33)</f>
        <v>164.33</v>
      </c>
      <c r="E281" s="1">
        <f ca="1">IFERROR(__xludf.DUMMYFUNCTION("""COMPUTED_VALUE"""),14.76)</f>
        <v>14.76</v>
      </c>
      <c r="F281" s="1">
        <f ca="1">IFERROR(__xludf.DUMMYFUNCTION("""COMPUTED_VALUE"""),271.87)</f>
        <v>271.87</v>
      </c>
      <c r="G281" s="1">
        <f ca="1">IFERROR(__xludf.DUMMYFUNCTION("""COMPUTED_VALUE"""),104.77)</f>
        <v>104.77</v>
      </c>
      <c r="H281" s="1">
        <f ca="1">IFERROR(__xludf.DUMMYFUNCTION("""COMPUTED_VALUE"""),268.27)</f>
        <v>268.27</v>
      </c>
      <c r="I281" s="1">
        <f ca="1">IFERROR(__xludf.DUMMYFUNCTION("""COMPUTED_VALUE"""),137.7)</f>
        <v>137.69999999999999</v>
      </c>
      <c r="J281" s="1">
        <f ca="1">IFERROR(__xludf.DUMMYFUNCTION("""COMPUTED_VALUE"""),356.12)</f>
        <v>356.12</v>
      </c>
      <c r="K281" s="1">
        <f ca="1">IFERROR(__xludf.DUMMYFUNCTION("""COMPUTED_VALUE"""),47.01)</f>
        <v>47.01</v>
      </c>
      <c r="L281" s="1">
        <f ca="1">IFERROR(__xludf.DUMMYFUNCTION("""COMPUTED_VALUE"""),492.67)</f>
        <v>492.67</v>
      </c>
      <c r="M281" s="1">
        <f ca="1">IFERROR(__xludf.DUMMYFUNCTION("""COMPUTED_VALUE"""),563.59)</f>
        <v>563.59</v>
      </c>
      <c r="N281" s="1">
        <f ca="1">IFERROR(__xludf.DUMMYFUNCTION("""COMPUTED_VALUE"""),139.66)</f>
        <v>139.66</v>
      </c>
      <c r="O281" s="1">
        <f ca="1">IFERROR(__xludf.DUMMYFUNCTION("""COMPUTED_VALUE"""),206.44)</f>
        <v>206.44</v>
      </c>
      <c r="P281" s="1">
        <f ca="1">IFERROR(__xludf.DUMMYFUNCTION("""COMPUTED_VALUE"""),166.81)</f>
        <v>166.81</v>
      </c>
      <c r="Q281" s="1">
        <f ca="1">IFERROR(__xludf.DUMMYFUNCTION("""COMPUTED_VALUE"""),333.4)</f>
        <v>333.4</v>
      </c>
      <c r="R281" s="1">
        <f ca="1">IFERROR(__xludf.DUMMYFUNCTION("""COMPUTED_VALUE"""),51.12)</f>
        <v>51.12</v>
      </c>
      <c r="S281" s="1">
        <f ca="1">IFERROR(__xludf.DUMMYFUNCTION("""COMPUTED_VALUE"""),83.91)</f>
        <v>83.91</v>
      </c>
      <c r="T281" s="1">
        <f ca="1">IFERROR(__xludf.DUMMYFUNCTION("""COMPUTED_VALUE"""),48.04)</f>
        <v>48.04</v>
      </c>
      <c r="U281" s="1">
        <f ca="1">IFERROR(__xludf.DUMMYFUNCTION("""COMPUTED_VALUE"""),142.46)</f>
        <v>142.46</v>
      </c>
      <c r="V281" s="1">
        <f ca="1">IFERROR(__xludf.DUMMYFUNCTION("""COMPUTED_VALUE"""),197.72)</f>
        <v>197.72</v>
      </c>
      <c r="W281" s="1">
        <f ca="1">IFERROR(__xludf.DUMMYFUNCTION("""COMPUTED_VALUE"""),342.19)</f>
        <v>342.19</v>
      </c>
      <c r="X281" s="1">
        <f ca="1">IFERROR(__xludf.DUMMYFUNCTION("""COMPUTED_VALUE"""),566.89)</f>
        <v>566.89</v>
      </c>
      <c r="Y281" s="1">
        <f ca="1">IFERROR(__xludf.DUMMYFUNCTION("""COMPUTED_VALUE"""),133.69)</f>
        <v>133.69</v>
      </c>
      <c r="Z281" s="1">
        <f ca="1">IFERROR(__xludf.DUMMYFUNCTION("""COMPUTED_VALUE"""),304.28)</f>
        <v>304.27999999999997</v>
      </c>
      <c r="AA281" s="1">
        <f ca="1">IFERROR(__xludf.DUMMYFUNCTION("""COMPUTED_VALUE"""),34.74)</f>
        <v>34.74</v>
      </c>
      <c r="AB281" s="1">
        <f ca="1">IFERROR(__xludf.DUMMYFUNCTION("""COMPUTED_VALUE"""),105.87)</f>
        <v>105.87</v>
      </c>
      <c r="AC281" s="1">
        <f ca="1">IFERROR(__xludf.DUMMYFUNCTION("""COMPUTED_VALUE"""),92.35)</f>
        <v>92.35</v>
      </c>
    </row>
    <row r="282" spans="1:29" x14ac:dyDescent="0.25">
      <c r="A282" s="2">
        <f ca="1">IFERROR(__xludf.DUMMYFUNCTION("""COMPUTED_VALUE"""),44238.6666666666)</f>
        <v>44238.666666666599</v>
      </c>
      <c r="B282" s="1">
        <f ca="1">IFERROR(__xludf.DUMMYFUNCTION("""COMPUTED_VALUE"""),135.13)</f>
        <v>135.13</v>
      </c>
      <c r="C282" s="1">
        <f ca="1">IFERROR(__xludf.DUMMYFUNCTION("""COMPUTED_VALUE"""),244.49)</f>
        <v>244.49</v>
      </c>
      <c r="D282" s="1">
        <f ca="1">IFERROR(__xludf.DUMMYFUNCTION("""COMPUTED_VALUE"""),163.11)</f>
        <v>163.11000000000001</v>
      </c>
      <c r="E282" s="1">
        <f ca="1">IFERROR(__xludf.DUMMYFUNCTION("""COMPUTED_VALUE"""),15.25)</f>
        <v>15.25</v>
      </c>
      <c r="F282" s="1">
        <f ca="1">IFERROR(__xludf.DUMMYFUNCTION("""COMPUTED_VALUE"""),270.39)</f>
        <v>270.39</v>
      </c>
      <c r="G282" s="1">
        <f ca="1">IFERROR(__xludf.DUMMYFUNCTION("""COMPUTED_VALUE"""),104.79)</f>
        <v>104.79</v>
      </c>
      <c r="H282" s="1">
        <f ca="1">IFERROR(__xludf.DUMMYFUNCTION("""COMPUTED_VALUE"""),270.55)</f>
        <v>270.55</v>
      </c>
      <c r="I282" s="1">
        <f ca="1">IFERROR(__xludf.DUMMYFUNCTION("""COMPUTED_VALUE"""),134.97)</f>
        <v>134.97</v>
      </c>
      <c r="J282" s="1">
        <f ca="1">IFERROR(__xludf.DUMMYFUNCTION("""COMPUTED_VALUE"""),352.2)</f>
        <v>352.2</v>
      </c>
      <c r="K282" s="1">
        <f ca="1">IFERROR(__xludf.DUMMYFUNCTION("""COMPUTED_VALUE"""),47.84)</f>
        <v>47.84</v>
      </c>
      <c r="L282" s="1">
        <f ca="1">IFERROR(__xludf.DUMMYFUNCTION("""COMPUTED_VALUE"""),496.62)</f>
        <v>496.62</v>
      </c>
      <c r="M282" s="1">
        <f ca="1">IFERROR(__xludf.DUMMYFUNCTION("""COMPUTED_VALUE"""),557.59)</f>
        <v>557.59</v>
      </c>
      <c r="N282" s="1">
        <f ca="1">IFERROR(__xludf.DUMMYFUNCTION("""COMPUTED_VALUE"""),139.27)</f>
        <v>139.27000000000001</v>
      </c>
      <c r="O282" s="1">
        <f ca="1">IFERROR(__xludf.DUMMYFUNCTION("""COMPUTED_VALUE"""),210.66)</f>
        <v>210.66</v>
      </c>
      <c r="P282" s="1">
        <f ca="1">IFERROR(__xludf.DUMMYFUNCTION("""COMPUTED_VALUE"""),166.06)</f>
        <v>166.06</v>
      </c>
      <c r="Q282" s="1">
        <f ca="1">IFERROR(__xludf.DUMMYFUNCTION("""COMPUTED_VALUE"""),333.07)</f>
        <v>333.07</v>
      </c>
      <c r="R282" s="1">
        <f ca="1">IFERROR(__xludf.DUMMYFUNCTION("""COMPUTED_VALUE"""),49.84)</f>
        <v>49.84</v>
      </c>
      <c r="S282" s="1">
        <f ca="1">IFERROR(__xludf.DUMMYFUNCTION("""COMPUTED_VALUE"""),83.95)</f>
        <v>83.95</v>
      </c>
      <c r="T282" s="1">
        <f ca="1">IFERROR(__xludf.DUMMYFUNCTION("""COMPUTED_VALUE"""),48.01)</f>
        <v>48.01</v>
      </c>
      <c r="U282" s="1">
        <f ca="1">IFERROR(__xludf.DUMMYFUNCTION("""COMPUTED_VALUE"""),143.54)</f>
        <v>143.54</v>
      </c>
      <c r="V282" s="1">
        <f ca="1">IFERROR(__xludf.DUMMYFUNCTION("""COMPUTED_VALUE"""),198.35)</f>
        <v>198.35</v>
      </c>
      <c r="W282" s="1">
        <f ca="1">IFERROR(__xludf.DUMMYFUNCTION("""COMPUTED_VALUE"""),339.14)</f>
        <v>339.14</v>
      </c>
      <c r="X282" s="1">
        <f ca="1">IFERROR(__xludf.DUMMYFUNCTION("""COMPUTED_VALUE"""),591.51)</f>
        <v>591.51</v>
      </c>
      <c r="Y282" s="1">
        <f ca="1">IFERROR(__xludf.DUMMYFUNCTION("""COMPUTED_VALUE"""),139.16)</f>
        <v>139.16</v>
      </c>
      <c r="Z282" s="1">
        <f ca="1">IFERROR(__xludf.DUMMYFUNCTION("""COMPUTED_VALUE"""),302.32)</f>
        <v>302.32</v>
      </c>
      <c r="AA282" s="1">
        <f ca="1">IFERROR(__xludf.DUMMYFUNCTION("""COMPUTED_VALUE"""),34.43)</f>
        <v>34.43</v>
      </c>
      <c r="AB282" s="1">
        <f ca="1">IFERROR(__xludf.DUMMYFUNCTION("""COMPUTED_VALUE"""),105.86)</f>
        <v>105.86</v>
      </c>
      <c r="AC282" s="1">
        <f ca="1">IFERROR(__xludf.DUMMYFUNCTION("""COMPUTED_VALUE"""),92.66)</f>
        <v>92.66</v>
      </c>
    </row>
    <row r="283" spans="1:29" x14ac:dyDescent="0.25">
      <c r="A283" s="2">
        <f ca="1">IFERROR(__xludf.DUMMYFUNCTION("""COMPUTED_VALUE"""),44239.6666666666)</f>
        <v>44239.666666666599</v>
      </c>
      <c r="B283" s="1">
        <f ca="1">IFERROR(__xludf.DUMMYFUNCTION("""COMPUTED_VALUE"""),135.37)</f>
        <v>135.37</v>
      </c>
      <c r="C283" s="1">
        <f ca="1">IFERROR(__xludf.DUMMYFUNCTION("""COMPUTED_VALUE"""),244.99)</f>
        <v>244.99</v>
      </c>
      <c r="D283" s="1">
        <f ca="1">IFERROR(__xludf.DUMMYFUNCTION("""COMPUTED_VALUE"""),163.89)</f>
        <v>163.89</v>
      </c>
      <c r="E283" s="1">
        <f ca="1">IFERROR(__xludf.DUMMYFUNCTION("""COMPUTED_VALUE"""),14.96)</f>
        <v>14.96</v>
      </c>
      <c r="F283" s="1">
        <f ca="1">IFERROR(__xludf.DUMMYFUNCTION("""COMPUTED_VALUE"""),270.5)</f>
        <v>270.5</v>
      </c>
      <c r="G283" s="1">
        <f ca="1">IFERROR(__xludf.DUMMYFUNCTION("""COMPUTED_VALUE"""),105.21)</f>
        <v>105.21</v>
      </c>
      <c r="H283" s="1">
        <f ca="1">IFERROR(__xludf.DUMMYFUNCTION("""COMPUTED_VALUE"""),272.04)</f>
        <v>272.04000000000002</v>
      </c>
      <c r="I283" s="1">
        <f ca="1">IFERROR(__xludf.DUMMYFUNCTION("""COMPUTED_VALUE"""),133.87)</f>
        <v>133.87</v>
      </c>
      <c r="J283" s="1">
        <f ca="1">IFERROR(__xludf.DUMMYFUNCTION("""COMPUTED_VALUE"""),352.75)</f>
        <v>352.75</v>
      </c>
      <c r="K283" s="1">
        <f ca="1">IFERROR(__xludf.DUMMYFUNCTION("""COMPUTED_VALUE"""),48.63)</f>
        <v>48.63</v>
      </c>
      <c r="L283" s="1">
        <f ca="1">IFERROR(__xludf.DUMMYFUNCTION("""COMPUTED_VALUE"""),498.84)</f>
        <v>498.84</v>
      </c>
      <c r="M283" s="1">
        <f ca="1">IFERROR(__xludf.DUMMYFUNCTION("""COMPUTED_VALUE"""),556.52)</f>
        <v>556.52</v>
      </c>
      <c r="N283" s="1">
        <f ca="1">IFERROR(__xludf.DUMMYFUNCTION("""COMPUTED_VALUE"""),141.25)</f>
        <v>141.25</v>
      </c>
      <c r="O283" s="1">
        <f ca="1">IFERROR(__xludf.DUMMYFUNCTION("""COMPUTED_VALUE"""),209.96)</f>
        <v>209.96</v>
      </c>
      <c r="P283" s="1">
        <f ca="1">IFERROR(__xludf.DUMMYFUNCTION("""COMPUTED_VALUE"""),166.58)</f>
        <v>166.58</v>
      </c>
      <c r="Q283" s="1">
        <f ca="1">IFERROR(__xludf.DUMMYFUNCTION("""COMPUTED_VALUE"""),328.24)</f>
        <v>328.24</v>
      </c>
      <c r="R283" s="1">
        <f ca="1">IFERROR(__xludf.DUMMYFUNCTION("""COMPUTED_VALUE"""),50.52)</f>
        <v>50.52</v>
      </c>
      <c r="S283" s="1">
        <f ca="1">IFERROR(__xludf.DUMMYFUNCTION("""COMPUTED_VALUE"""),83.13)</f>
        <v>83.13</v>
      </c>
      <c r="T283" s="1">
        <f ca="1">IFERROR(__xludf.DUMMYFUNCTION("""COMPUTED_VALUE"""),48.16)</f>
        <v>48.16</v>
      </c>
      <c r="U283" s="1">
        <f ca="1">IFERROR(__xludf.DUMMYFUNCTION("""COMPUTED_VALUE"""),142.12)</f>
        <v>142.12</v>
      </c>
      <c r="V283" s="1">
        <f ca="1">IFERROR(__xludf.DUMMYFUNCTION("""COMPUTED_VALUE"""),197.99)</f>
        <v>197.99</v>
      </c>
      <c r="W283" s="1">
        <f ca="1">IFERROR(__xludf.DUMMYFUNCTION("""COMPUTED_VALUE"""),337.73)</f>
        <v>337.73</v>
      </c>
      <c r="X283" s="1">
        <f ca="1">IFERROR(__xludf.DUMMYFUNCTION("""COMPUTED_VALUE"""),597.99)</f>
        <v>597.99</v>
      </c>
      <c r="Y283" s="1">
        <f ca="1">IFERROR(__xludf.DUMMYFUNCTION("""COMPUTED_VALUE"""),138.06)</f>
        <v>138.06</v>
      </c>
      <c r="Z283" s="1">
        <f ca="1">IFERROR(__xludf.DUMMYFUNCTION("""COMPUTED_VALUE"""),306.32)</f>
        <v>306.32</v>
      </c>
      <c r="AA283" s="1">
        <f ca="1">IFERROR(__xludf.DUMMYFUNCTION("""COMPUTED_VALUE"""),34.72)</f>
        <v>34.72</v>
      </c>
      <c r="AB283" s="1">
        <f ca="1">IFERROR(__xludf.DUMMYFUNCTION("""COMPUTED_VALUE"""),105.3)</f>
        <v>105.3</v>
      </c>
      <c r="AC283" s="1">
        <f ca="1">IFERROR(__xludf.DUMMYFUNCTION("""COMPUTED_VALUE"""),93.77)</f>
        <v>93.77</v>
      </c>
    </row>
    <row r="284" spans="1:29" x14ac:dyDescent="0.25">
      <c r="A284" s="2">
        <f ca="1">IFERROR(__xludf.DUMMYFUNCTION("""COMPUTED_VALUE"""),44243.6666666666)</f>
        <v>44243.666666666599</v>
      </c>
      <c r="B284" s="1">
        <f ca="1">IFERROR(__xludf.DUMMYFUNCTION("""COMPUTED_VALUE"""),133.19)</f>
        <v>133.19</v>
      </c>
      <c r="C284" s="1">
        <f ca="1">IFERROR(__xludf.DUMMYFUNCTION("""COMPUTED_VALUE"""),243.7)</f>
        <v>243.7</v>
      </c>
      <c r="D284" s="1">
        <f ca="1">IFERROR(__xludf.DUMMYFUNCTION("""COMPUTED_VALUE"""),163.45)</f>
        <v>163.44999999999999</v>
      </c>
      <c r="E284" s="1">
        <f ca="1">IFERROR(__xludf.DUMMYFUNCTION("""COMPUTED_VALUE"""),15.33)</f>
        <v>15.33</v>
      </c>
      <c r="F284" s="1">
        <f ca="1">IFERROR(__xludf.DUMMYFUNCTION("""COMPUTED_VALUE"""),273.97)</f>
        <v>273.97000000000003</v>
      </c>
      <c r="G284" s="1">
        <f ca="1">IFERROR(__xludf.DUMMYFUNCTION("""COMPUTED_VALUE"""),106.1)</f>
        <v>106.1</v>
      </c>
      <c r="H284" s="1">
        <f ca="1">IFERROR(__xludf.DUMMYFUNCTION("""COMPUTED_VALUE"""),265.41)</f>
        <v>265.41000000000003</v>
      </c>
      <c r="I284" s="1">
        <f ca="1">IFERROR(__xludf.DUMMYFUNCTION("""COMPUTED_VALUE"""),134.38)</f>
        <v>134.38</v>
      </c>
      <c r="J284" s="1">
        <f ca="1">IFERROR(__xludf.DUMMYFUNCTION("""COMPUTED_VALUE"""),354)</f>
        <v>354</v>
      </c>
      <c r="K284" s="1">
        <f ca="1">IFERROR(__xludf.DUMMYFUNCTION("""COMPUTED_VALUE"""),48.91)</f>
        <v>48.91</v>
      </c>
      <c r="L284" s="1">
        <f ca="1">IFERROR(__xludf.DUMMYFUNCTION("""COMPUTED_VALUE"""),501.64)</f>
        <v>501.64</v>
      </c>
      <c r="M284" s="1">
        <f ca="1">IFERROR(__xludf.DUMMYFUNCTION("""COMPUTED_VALUE"""),557.28)</f>
        <v>557.28</v>
      </c>
      <c r="N284" s="1">
        <f ca="1">IFERROR(__xludf.DUMMYFUNCTION("""COMPUTED_VALUE"""),144.65)</f>
        <v>144.65</v>
      </c>
      <c r="O284" s="1">
        <f ca="1">IFERROR(__xludf.DUMMYFUNCTION("""COMPUTED_VALUE"""),207.9)</f>
        <v>207.9</v>
      </c>
      <c r="P284" s="1">
        <f ca="1">IFERROR(__xludf.DUMMYFUNCTION("""COMPUTED_VALUE"""),165.07)</f>
        <v>165.07</v>
      </c>
      <c r="Q284" s="1">
        <f ca="1">IFERROR(__xludf.DUMMYFUNCTION("""COMPUTED_VALUE"""),324.62)</f>
        <v>324.62</v>
      </c>
      <c r="R284" s="1">
        <f ca="1">IFERROR(__xludf.DUMMYFUNCTION("""COMPUTED_VALUE"""),52.04)</f>
        <v>52.04</v>
      </c>
      <c r="S284" s="1">
        <f ca="1">IFERROR(__xludf.DUMMYFUNCTION("""COMPUTED_VALUE"""),81.19)</f>
        <v>81.19</v>
      </c>
      <c r="T284" s="1">
        <f ca="1">IFERROR(__xludf.DUMMYFUNCTION("""COMPUTED_VALUE"""),48.55)</f>
        <v>48.55</v>
      </c>
      <c r="U284" s="1">
        <f ca="1">IFERROR(__xludf.DUMMYFUNCTION("""COMPUTED_VALUE"""),141.71)</f>
        <v>141.71</v>
      </c>
      <c r="V284" s="1">
        <f ca="1">IFERROR(__xludf.DUMMYFUNCTION("""COMPUTED_VALUE"""),202.38)</f>
        <v>202.38</v>
      </c>
      <c r="W284" s="1">
        <f ca="1">IFERROR(__xludf.DUMMYFUNCTION("""COMPUTED_VALUE"""),335.03)</f>
        <v>335.03</v>
      </c>
      <c r="X284" s="1">
        <f ca="1">IFERROR(__xludf.DUMMYFUNCTION("""COMPUTED_VALUE"""),603.14)</f>
        <v>603.14</v>
      </c>
      <c r="Y284" s="1">
        <f ca="1">IFERROR(__xludf.DUMMYFUNCTION("""COMPUTED_VALUE"""),140.05)</f>
        <v>140.05000000000001</v>
      </c>
      <c r="Z284" s="1">
        <f ca="1">IFERROR(__xludf.DUMMYFUNCTION("""COMPUTED_VALUE"""),311.96)</f>
        <v>311.95999999999998</v>
      </c>
      <c r="AA284" s="1">
        <f ca="1">IFERROR(__xludf.DUMMYFUNCTION("""COMPUTED_VALUE"""),34.69)</f>
        <v>34.69</v>
      </c>
      <c r="AB284" s="1">
        <f ca="1">IFERROR(__xludf.DUMMYFUNCTION("""COMPUTED_VALUE"""),106.15)</f>
        <v>106.15</v>
      </c>
      <c r="AC284" s="1">
        <f ca="1">IFERROR(__xludf.DUMMYFUNCTION("""COMPUTED_VALUE"""),91.46)</f>
        <v>91.46</v>
      </c>
    </row>
    <row r="285" spans="1:29" x14ac:dyDescent="0.25">
      <c r="A285" s="2">
        <f ca="1">IFERROR(__xludf.DUMMYFUNCTION("""COMPUTED_VALUE"""),44244.6666666666)</f>
        <v>44244.666666666599</v>
      </c>
      <c r="B285" s="1">
        <f ca="1">IFERROR(__xludf.DUMMYFUNCTION("""COMPUTED_VALUE"""),130.84)</f>
        <v>130.84</v>
      </c>
      <c r="C285" s="1">
        <f ca="1">IFERROR(__xludf.DUMMYFUNCTION("""COMPUTED_VALUE"""),244.2)</f>
        <v>244.2</v>
      </c>
      <c r="D285" s="1">
        <f ca="1">IFERROR(__xludf.DUMMYFUNCTION("""COMPUTED_VALUE"""),165.43)</f>
        <v>165.43</v>
      </c>
      <c r="E285" s="1">
        <f ca="1">IFERROR(__xludf.DUMMYFUNCTION("""COMPUTED_VALUE"""),14.91)</f>
        <v>14.91</v>
      </c>
      <c r="F285" s="1">
        <f ca="1">IFERROR(__xludf.DUMMYFUNCTION("""COMPUTED_VALUE"""),273.57)</f>
        <v>273.57</v>
      </c>
      <c r="G285" s="1">
        <f ca="1">IFERROR(__xludf.DUMMYFUNCTION("""COMPUTED_VALUE"""),106.42)</f>
        <v>106.42</v>
      </c>
      <c r="H285" s="1">
        <f ca="1">IFERROR(__xludf.DUMMYFUNCTION("""COMPUTED_VALUE"""),266.05)</f>
        <v>266.05</v>
      </c>
      <c r="I285" s="1">
        <f ca="1">IFERROR(__xludf.DUMMYFUNCTION("""COMPUTED_VALUE"""),134.46)</f>
        <v>134.46</v>
      </c>
      <c r="J285" s="1">
        <f ca="1">IFERROR(__xludf.DUMMYFUNCTION("""COMPUTED_VALUE"""),358.04)</f>
        <v>358.04</v>
      </c>
      <c r="K285" s="1">
        <f ca="1">IFERROR(__xludf.DUMMYFUNCTION("""COMPUTED_VALUE"""),48.25)</f>
        <v>48.25</v>
      </c>
      <c r="L285" s="1">
        <f ca="1">IFERROR(__xludf.DUMMYFUNCTION("""COMPUTED_VALUE"""),491.23)</f>
        <v>491.23</v>
      </c>
      <c r="M285" s="1">
        <f ca="1">IFERROR(__xludf.DUMMYFUNCTION("""COMPUTED_VALUE"""),551.34)</f>
        <v>551.34</v>
      </c>
      <c r="N285" s="1">
        <f ca="1">IFERROR(__xludf.DUMMYFUNCTION("""COMPUTED_VALUE"""),145.1)</f>
        <v>145.1</v>
      </c>
      <c r="O285" s="1">
        <f ca="1">IFERROR(__xludf.DUMMYFUNCTION("""COMPUTED_VALUE"""),207.51)</f>
        <v>207.51</v>
      </c>
      <c r="P285" s="1">
        <f ca="1">IFERROR(__xludf.DUMMYFUNCTION("""COMPUTED_VALUE"""),165.66)</f>
        <v>165.66</v>
      </c>
      <c r="Q285" s="1">
        <f ca="1">IFERROR(__xludf.DUMMYFUNCTION("""COMPUTED_VALUE"""),326.86)</f>
        <v>326.86</v>
      </c>
      <c r="R285" s="1">
        <f ca="1">IFERROR(__xludf.DUMMYFUNCTION("""COMPUTED_VALUE"""),52.85)</f>
        <v>52.85</v>
      </c>
      <c r="S285" s="1">
        <f ca="1">IFERROR(__xludf.DUMMYFUNCTION("""COMPUTED_VALUE"""),80.68)</f>
        <v>80.680000000000007</v>
      </c>
      <c r="T285" s="1">
        <f ca="1">IFERROR(__xludf.DUMMYFUNCTION("""COMPUTED_VALUE"""),49.07)</f>
        <v>49.07</v>
      </c>
      <c r="U285" s="1">
        <f ca="1">IFERROR(__xludf.DUMMYFUNCTION("""COMPUTED_VALUE"""),143.99)</f>
        <v>143.99</v>
      </c>
      <c r="V285" s="1">
        <f ca="1">IFERROR(__xludf.DUMMYFUNCTION("""COMPUTED_VALUE"""),202.3)</f>
        <v>202.3</v>
      </c>
      <c r="W285" s="1">
        <f ca="1">IFERROR(__xludf.DUMMYFUNCTION("""COMPUTED_VALUE"""),337)</f>
        <v>337</v>
      </c>
      <c r="X285" s="1">
        <f ca="1">IFERROR(__xludf.DUMMYFUNCTION("""COMPUTED_VALUE"""),587.58)</f>
        <v>587.58000000000004</v>
      </c>
      <c r="Y285" s="1">
        <f ca="1">IFERROR(__xludf.DUMMYFUNCTION("""COMPUTED_VALUE"""),136.27)</f>
        <v>136.27000000000001</v>
      </c>
      <c r="Z285" s="1">
        <f ca="1">IFERROR(__xludf.DUMMYFUNCTION("""COMPUTED_VALUE"""),312.74)</f>
        <v>312.74</v>
      </c>
      <c r="AA285" s="1">
        <f ca="1">IFERROR(__xludf.DUMMYFUNCTION("""COMPUTED_VALUE"""),34.89)</f>
        <v>34.89</v>
      </c>
      <c r="AB285" s="1">
        <f ca="1">IFERROR(__xludf.DUMMYFUNCTION("""COMPUTED_VALUE"""),104.44)</f>
        <v>104.44</v>
      </c>
      <c r="AC285" s="1">
        <f ca="1">IFERROR(__xludf.DUMMYFUNCTION("""COMPUTED_VALUE"""),89.94)</f>
        <v>89.94</v>
      </c>
    </row>
    <row r="286" spans="1:29" x14ac:dyDescent="0.25">
      <c r="A286" s="2">
        <f ca="1">IFERROR(__xludf.DUMMYFUNCTION("""COMPUTED_VALUE"""),44245.6666666666)</f>
        <v>44245.666666666599</v>
      </c>
      <c r="B286" s="1">
        <f ca="1">IFERROR(__xludf.DUMMYFUNCTION("""COMPUTED_VALUE"""),129.71)</f>
        <v>129.71</v>
      </c>
      <c r="C286" s="1">
        <f ca="1">IFERROR(__xludf.DUMMYFUNCTION("""COMPUTED_VALUE"""),243.79)</f>
        <v>243.79</v>
      </c>
      <c r="D286" s="1">
        <f ca="1">IFERROR(__xludf.DUMMYFUNCTION("""COMPUTED_VALUE"""),166.41)</f>
        <v>166.41</v>
      </c>
      <c r="E286" s="1">
        <f ca="1">IFERROR(__xludf.DUMMYFUNCTION("""COMPUTED_VALUE"""),14.83)</f>
        <v>14.83</v>
      </c>
      <c r="F286" s="1">
        <f ca="1">IFERROR(__xludf.DUMMYFUNCTION("""COMPUTED_VALUE"""),269.39)</f>
        <v>269.39</v>
      </c>
      <c r="G286" s="1">
        <f ca="1">IFERROR(__xludf.DUMMYFUNCTION("""COMPUTED_VALUE"""),105.86)</f>
        <v>105.86</v>
      </c>
      <c r="H286" s="1">
        <f ca="1">IFERROR(__xludf.DUMMYFUNCTION("""COMPUTED_VALUE"""),262.46)</f>
        <v>262.45999999999998</v>
      </c>
      <c r="I286" s="1">
        <f ca="1">IFERROR(__xludf.DUMMYFUNCTION("""COMPUTED_VALUE"""),135.37)</f>
        <v>135.37</v>
      </c>
      <c r="J286" s="1">
        <f ca="1">IFERROR(__xludf.DUMMYFUNCTION("""COMPUTED_VALUE"""),356.92)</f>
        <v>356.92</v>
      </c>
      <c r="K286" s="1">
        <f ca="1">IFERROR(__xludf.DUMMYFUNCTION("""COMPUTED_VALUE"""),48.33)</f>
        <v>48.33</v>
      </c>
      <c r="L286" s="1">
        <f ca="1">IFERROR(__xludf.DUMMYFUNCTION("""COMPUTED_VALUE"""),488.37)</f>
        <v>488.37</v>
      </c>
      <c r="M286" s="1">
        <f ca="1">IFERROR(__xludf.DUMMYFUNCTION("""COMPUTED_VALUE"""),548.22)</f>
        <v>548.22</v>
      </c>
      <c r="N286" s="1">
        <f ca="1">IFERROR(__xludf.DUMMYFUNCTION("""COMPUTED_VALUE"""),145.59)</f>
        <v>145.59</v>
      </c>
      <c r="O286" s="1">
        <f ca="1">IFERROR(__xludf.DUMMYFUNCTION("""COMPUTED_VALUE"""),209.35)</f>
        <v>209.35</v>
      </c>
      <c r="P286" s="1">
        <f ca="1">IFERROR(__xludf.DUMMYFUNCTION("""COMPUTED_VALUE"""),165.74)</f>
        <v>165.74</v>
      </c>
      <c r="Q286" s="1">
        <f ca="1">IFERROR(__xludf.DUMMYFUNCTION("""COMPUTED_VALUE"""),328.41)</f>
        <v>328.41</v>
      </c>
      <c r="R286" s="1">
        <f ca="1">IFERROR(__xludf.DUMMYFUNCTION("""COMPUTED_VALUE"""),52.02)</f>
        <v>52.02</v>
      </c>
      <c r="S286" s="1">
        <f ca="1">IFERROR(__xludf.DUMMYFUNCTION("""COMPUTED_VALUE"""),80.73)</f>
        <v>80.73</v>
      </c>
      <c r="T286" s="1">
        <f ca="1">IFERROR(__xludf.DUMMYFUNCTION("""COMPUTED_VALUE"""),45.89)</f>
        <v>45.89</v>
      </c>
      <c r="U286" s="1">
        <f ca="1">IFERROR(__xludf.DUMMYFUNCTION("""COMPUTED_VALUE"""),145.09)</f>
        <v>145.09</v>
      </c>
      <c r="V286" s="1">
        <f ca="1">IFERROR(__xludf.DUMMYFUNCTION("""COMPUTED_VALUE"""),199.92)</f>
        <v>199.92</v>
      </c>
      <c r="W286" s="1">
        <f ca="1">IFERROR(__xludf.DUMMYFUNCTION("""COMPUTED_VALUE"""),337.92)</f>
        <v>337.92</v>
      </c>
      <c r="X286" s="1">
        <f ca="1">IFERROR(__xludf.DUMMYFUNCTION("""COMPUTED_VALUE"""),582.48)</f>
        <v>582.48</v>
      </c>
      <c r="Y286" s="1">
        <f ca="1">IFERROR(__xludf.DUMMYFUNCTION("""COMPUTED_VALUE"""),134.63)</f>
        <v>134.63</v>
      </c>
      <c r="Z286" s="1">
        <f ca="1">IFERROR(__xludf.DUMMYFUNCTION("""COMPUTED_VALUE"""),309.9)</f>
        <v>309.89999999999998</v>
      </c>
      <c r="AA286" s="1">
        <f ca="1">IFERROR(__xludf.DUMMYFUNCTION("""COMPUTED_VALUE"""),34.56)</f>
        <v>34.56</v>
      </c>
      <c r="AB286" s="1">
        <f ca="1">IFERROR(__xludf.DUMMYFUNCTION("""COMPUTED_VALUE"""),104.97)</f>
        <v>104.97</v>
      </c>
      <c r="AC286" s="1">
        <f ca="1">IFERROR(__xludf.DUMMYFUNCTION("""COMPUTED_VALUE"""),88.64)</f>
        <v>88.64</v>
      </c>
    </row>
    <row r="287" spans="1:29" x14ac:dyDescent="0.25">
      <c r="A287" s="2">
        <f ca="1">IFERROR(__xludf.DUMMYFUNCTION("""COMPUTED_VALUE"""),44246.6666666666)</f>
        <v>44246.666666666599</v>
      </c>
      <c r="B287" s="1">
        <f ca="1">IFERROR(__xludf.DUMMYFUNCTION("""COMPUTED_VALUE"""),129.87)</f>
        <v>129.87</v>
      </c>
      <c r="C287" s="1">
        <f ca="1">IFERROR(__xludf.DUMMYFUNCTION("""COMPUTED_VALUE"""),240.97)</f>
        <v>240.97</v>
      </c>
      <c r="D287" s="1">
        <f ca="1">IFERROR(__xludf.DUMMYFUNCTION("""COMPUTED_VALUE"""),162.5)</f>
        <v>162.5</v>
      </c>
      <c r="E287" s="1">
        <f ca="1">IFERROR(__xludf.DUMMYFUNCTION("""COMPUTED_VALUE"""),14.93)</f>
        <v>14.93</v>
      </c>
      <c r="F287" s="1">
        <f ca="1">IFERROR(__xludf.DUMMYFUNCTION("""COMPUTED_VALUE"""),261.56)</f>
        <v>261.56</v>
      </c>
      <c r="G287" s="1">
        <f ca="1">IFERROR(__xludf.DUMMYFUNCTION("""COMPUTED_VALUE"""),105.06)</f>
        <v>105.06</v>
      </c>
      <c r="H287" s="1">
        <f ca="1">IFERROR(__xludf.DUMMYFUNCTION("""COMPUTED_VALUE"""),260.43)</f>
        <v>260.43</v>
      </c>
      <c r="I287" s="1">
        <f ca="1">IFERROR(__xludf.DUMMYFUNCTION("""COMPUTED_VALUE"""),132.51)</f>
        <v>132.51</v>
      </c>
      <c r="J287" s="1">
        <f ca="1">IFERROR(__xludf.DUMMYFUNCTION("""COMPUTED_VALUE"""),354.77)</f>
        <v>354.77</v>
      </c>
      <c r="K287" s="1">
        <f ca="1">IFERROR(__xludf.DUMMYFUNCTION("""COMPUTED_VALUE"""),49)</f>
        <v>49</v>
      </c>
      <c r="L287" s="1">
        <f ca="1">IFERROR(__xludf.DUMMYFUNCTION("""COMPUTED_VALUE"""),479.12)</f>
        <v>479.12</v>
      </c>
      <c r="M287" s="1">
        <f ca="1">IFERROR(__xludf.DUMMYFUNCTION("""COMPUTED_VALUE"""),540.22)</f>
        <v>540.22</v>
      </c>
      <c r="N287" s="1">
        <f ca="1">IFERROR(__xludf.DUMMYFUNCTION("""COMPUTED_VALUE"""),148.02)</f>
        <v>148.02000000000001</v>
      </c>
      <c r="O287" s="1">
        <f ca="1">IFERROR(__xludf.DUMMYFUNCTION("""COMPUTED_VALUE"""),204.73)</f>
        <v>204.73</v>
      </c>
      <c r="P287" s="1">
        <f ca="1">IFERROR(__xludf.DUMMYFUNCTION("""COMPUTED_VALUE"""),162.98)</f>
        <v>162.97999999999999</v>
      </c>
      <c r="Q287" s="1">
        <f ca="1">IFERROR(__xludf.DUMMYFUNCTION("""COMPUTED_VALUE"""),324.58)</f>
        <v>324.58</v>
      </c>
      <c r="R287" s="1">
        <f ca="1">IFERROR(__xludf.DUMMYFUNCTION("""COMPUTED_VALUE"""),52.37)</f>
        <v>52.37</v>
      </c>
      <c r="S287" s="1">
        <f ca="1">IFERROR(__xludf.DUMMYFUNCTION("""COMPUTED_VALUE"""),78.1)</f>
        <v>78.099999999999994</v>
      </c>
      <c r="T287" s="1">
        <f ca="1">IFERROR(__xludf.DUMMYFUNCTION("""COMPUTED_VALUE"""),46.11)</f>
        <v>46.11</v>
      </c>
      <c r="U287" s="1">
        <f ca="1">IFERROR(__xludf.DUMMYFUNCTION("""COMPUTED_VALUE"""),142.02)</f>
        <v>142.02000000000001</v>
      </c>
      <c r="V287" s="1">
        <f ca="1">IFERROR(__xludf.DUMMYFUNCTION("""COMPUTED_VALUE"""),209.91)</f>
        <v>209.91</v>
      </c>
      <c r="W287" s="1">
        <f ca="1">IFERROR(__xludf.DUMMYFUNCTION("""COMPUTED_VALUE"""),335.42)</f>
        <v>335.42</v>
      </c>
      <c r="X287" s="1">
        <f ca="1">IFERROR(__xludf.DUMMYFUNCTION("""COMPUTED_VALUE"""),594.4)</f>
        <v>594.4</v>
      </c>
      <c r="Y287" s="1">
        <f ca="1">IFERROR(__xludf.DUMMYFUNCTION("""COMPUTED_VALUE"""),136.66)</f>
        <v>136.66</v>
      </c>
      <c r="Z287" s="1">
        <f ca="1">IFERROR(__xludf.DUMMYFUNCTION("""COMPUTED_VALUE"""),315.62)</f>
        <v>315.62</v>
      </c>
      <c r="AA287" s="1">
        <f ca="1">IFERROR(__xludf.DUMMYFUNCTION("""COMPUTED_VALUE"""),34.44)</f>
        <v>34.44</v>
      </c>
      <c r="AB287" s="1">
        <f ca="1">IFERROR(__xludf.DUMMYFUNCTION("""COMPUTED_VALUE"""),103.37)</f>
        <v>103.37</v>
      </c>
      <c r="AC287" s="1">
        <f ca="1">IFERROR(__xludf.DUMMYFUNCTION("""COMPUTED_VALUE"""),89.58)</f>
        <v>89.58</v>
      </c>
    </row>
    <row r="288" spans="1:29" x14ac:dyDescent="0.25">
      <c r="A288" s="2">
        <f ca="1">IFERROR(__xludf.DUMMYFUNCTION("""COMPUTED_VALUE"""),44249.6666666666)</f>
        <v>44249.666666666599</v>
      </c>
      <c r="B288" s="1">
        <f ca="1">IFERROR(__xludf.DUMMYFUNCTION("""COMPUTED_VALUE"""),126)</f>
        <v>126</v>
      </c>
      <c r="C288" s="1">
        <f ca="1">IFERROR(__xludf.DUMMYFUNCTION("""COMPUTED_VALUE"""),234.51)</f>
        <v>234.51</v>
      </c>
      <c r="D288" s="1">
        <f ca="1">IFERROR(__xludf.DUMMYFUNCTION("""COMPUTED_VALUE"""),159.04)</f>
        <v>159.04</v>
      </c>
      <c r="E288" s="1">
        <f ca="1">IFERROR(__xludf.DUMMYFUNCTION("""COMPUTED_VALUE"""),14.36)</f>
        <v>14.36</v>
      </c>
      <c r="F288" s="1">
        <f ca="1">IFERROR(__xludf.DUMMYFUNCTION("""COMPUTED_VALUE"""),260.33)</f>
        <v>260.33</v>
      </c>
      <c r="G288" s="1">
        <f ca="1">IFERROR(__xludf.DUMMYFUNCTION("""COMPUTED_VALUE"""),103.24)</f>
        <v>103.24</v>
      </c>
      <c r="H288" s="1">
        <f ca="1">IFERROR(__xludf.DUMMYFUNCTION("""COMPUTED_VALUE"""),238.17)</f>
        <v>238.17</v>
      </c>
      <c r="I288" s="1">
        <f ca="1">IFERROR(__xludf.DUMMYFUNCTION("""COMPUTED_VALUE"""),131.99)</f>
        <v>131.99</v>
      </c>
      <c r="J288" s="1">
        <f ca="1">IFERROR(__xludf.DUMMYFUNCTION("""COMPUTED_VALUE"""),350.21)</f>
        <v>350.21</v>
      </c>
      <c r="K288" s="1">
        <f ca="1">IFERROR(__xludf.DUMMYFUNCTION("""COMPUTED_VALUE"""),47.64)</f>
        <v>47.64</v>
      </c>
      <c r="L288" s="1">
        <f ca="1">IFERROR(__xludf.DUMMYFUNCTION("""COMPUTED_VALUE"""),467.33)</f>
        <v>467.33</v>
      </c>
      <c r="M288" s="1">
        <f ca="1">IFERROR(__xludf.DUMMYFUNCTION("""COMPUTED_VALUE"""),533.78)</f>
        <v>533.78</v>
      </c>
      <c r="N288" s="1">
        <f ca="1">IFERROR(__xludf.DUMMYFUNCTION("""COMPUTED_VALUE"""),149.41)</f>
        <v>149.41</v>
      </c>
      <c r="O288" s="1">
        <f ca="1">IFERROR(__xludf.DUMMYFUNCTION("""COMPUTED_VALUE"""),208.32)</f>
        <v>208.32</v>
      </c>
      <c r="P288" s="1">
        <f ca="1">IFERROR(__xludf.DUMMYFUNCTION("""COMPUTED_VALUE"""),161.87)</f>
        <v>161.87</v>
      </c>
      <c r="Q288" s="1">
        <f ca="1">IFERROR(__xludf.DUMMYFUNCTION("""COMPUTED_VALUE"""),327.64)</f>
        <v>327.64</v>
      </c>
      <c r="R288" s="1">
        <f ca="1">IFERROR(__xludf.DUMMYFUNCTION("""COMPUTED_VALUE"""),54.3)</f>
        <v>54.3</v>
      </c>
      <c r="S288" s="1">
        <f ca="1">IFERROR(__xludf.DUMMYFUNCTION("""COMPUTED_VALUE"""),75.1)</f>
        <v>75.099999999999994</v>
      </c>
      <c r="T288" s="1">
        <f ca="1">IFERROR(__xludf.DUMMYFUNCTION("""COMPUTED_VALUE"""),45.9)</f>
        <v>45.9</v>
      </c>
      <c r="U288" s="1">
        <f ca="1">IFERROR(__xludf.DUMMYFUNCTION("""COMPUTED_VALUE"""),136.67)</f>
        <v>136.66999999999999</v>
      </c>
      <c r="V288" s="1">
        <f ca="1">IFERROR(__xludf.DUMMYFUNCTION("""COMPUTED_VALUE"""),218.06)</f>
        <v>218.06</v>
      </c>
      <c r="W288" s="1">
        <f ca="1">IFERROR(__xludf.DUMMYFUNCTION("""COMPUTED_VALUE"""),340.47)</f>
        <v>340.47</v>
      </c>
      <c r="X288" s="1">
        <f ca="1">IFERROR(__xludf.DUMMYFUNCTION("""COMPUTED_VALUE"""),578.5)</f>
        <v>578.5</v>
      </c>
      <c r="Y288" s="1">
        <f ca="1">IFERROR(__xludf.DUMMYFUNCTION("""COMPUTED_VALUE"""),133.57)</f>
        <v>133.57</v>
      </c>
      <c r="Z288" s="1">
        <f ca="1">IFERROR(__xludf.DUMMYFUNCTION("""COMPUTED_VALUE"""),316.87)</f>
        <v>316.87</v>
      </c>
      <c r="AA288" s="1">
        <f ca="1">IFERROR(__xludf.DUMMYFUNCTION("""COMPUTED_VALUE"""),34.26)</f>
        <v>34.26</v>
      </c>
      <c r="AB288" s="1">
        <f ca="1">IFERROR(__xludf.DUMMYFUNCTION("""COMPUTED_VALUE"""),101.81)</f>
        <v>101.81</v>
      </c>
      <c r="AC288" s="1">
        <f ca="1">IFERROR(__xludf.DUMMYFUNCTION("""COMPUTED_VALUE"""),85.37)</f>
        <v>85.37</v>
      </c>
    </row>
    <row r="289" spans="1:29" x14ac:dyDescent="0.25">
      <c r="A289" s="2">
        <f ca="1">IFERROR(__xludf.DUMMYFUNCTION("""COMPUTED_VALUE"""),44250.6666666666)</f>
        <v>44250.666666666599</v>
      </c>
      <c r="B289" s="1">
        <f ca="1">IFERROR(__xludf.DUMMYFUNCTION("""COMPUTED_VALUE"""),125.86)</f>
        <v>125.86</v>
      </c>
      <c r="C289" s="1">
        <f ca="1">IFERROR(__xludf.DUMMYFUNCTION("""COMPUTED_VALUE"""),233.27)</f>
        <v>233.27</v>
      </c>
      <c r="D289" s="1">
        <f ca="1">IFERROR(__xludf.DUMMYFUNCTION("""COMPUTED_VALUE"""),159.73)</f>
        <v>159.72999999999999</v>
      </c>
      <c r="E289" s="1">
        <f ca="1">IFERROR(__xludf.DUMMYFUNCTION("""COMPUTED_VALUE"""),14.14)</f>
        <v>14.14</v>
      </c>
      <c r="F289" s="1">
        <f ca="1">IFERROR(__xludf.DUMMYFUNCTION("""COMPUTED_VALUE"""),265.86)</f>
        <v>265.86</v>
      </c>
      <c r="G289" s="1">
        <f ca="1">IFERROR(__xludf.DUMMYFUNCTION("""COMPUTED_VALUE"""),103.54)</f>
        <v>103.54</v>
      </c>
      <c r="H289" s="1">
        <f ca="1">IFERROR(__xludf.DUMMYFUNCTION("""COMPUTED_VALUE"""),232.95)</f>
        <v>232.95</v>
      </c>
      <c r="I289" s="1">
        <f ca="1">IFERROR(__xludf.DUMMYFUNCTION("""COMPUTED_VALUE"""),132.78)</f>
        <v>132.78</v>
      </c>
      <c r="J289" s="1">
        <f ca="1">IFERROR(__xludf.DUMMYFUNCTION("""COMPUTED_VALUE"""),342.15)</f>
        <v>342.15</v>
      </c>
      <c r="K289" s="1">
        <f ca="1">IFERROR(__xludf.DUMMYFUNCTION("""COMPUTED_VALUE"""),47.19)</f>
        <v>47.19</v>
      </c>
      <c r="L289" s="1">
        <f ca="1">IFERROR(__xludf.DUMMYFUNCTION("""COMPUTED_VALUE"""),467.8)</f>
        <v>467.8</v>
      </c>
      <c r="M289" s="1">
        <f ca="1">IFERROR(__xludf.DUMMYFUNCTION("""COMPUTED_VALUE"""),546.15)</f>
        <v>546.15</v>
      </c>
      <c r="N289" s="1">
        <f ca="1">IFERROR(__xludf.DUMMYFUNCTION("""COMPUTED_VALUE"""),150.61)</f>
        <v>150.61000000000001</v>
      </c>
      <c r="O289" s="1">
        <f ca="1">IFERROR(__xludf.DUMMYFUNCTION("""COMPUTED_VALUE"""),212.11)</f>
        <v>212.11</v>
      </c>
      <c r="P289" s="1">
        <f ca="1">IFERROR(__xludf.DUMMYFUNCTION("""COMPUTED_VALUE"""),160.44)</f>
        <v>160.44</v>
      </c>
      <c r="Q289" s="1">
        <f ca="1">IFERROR(__xludf.DUMMYFUNCTION("""COMPUTED_VALUE"""),329.51)</f>
        <v>329.51</v>
      </c>
      <c r="R289" s="1">
        <f ca="1">IFERROR(__xludf.DUMMYFUNCTION("""COMPUTED_VALUE"""),55.05)</f>
        <v>55.05</v>
      </c>
      <c r="S289" s="1">
        <f ca="1">IFERROR(__xludf.DUMMYFUNCTION("""COMPUTED_VALUE"""),74.71)</f>
        <v>74.709999999999994</v>
      </c>
      <c r="T289" s="1">
        <f ca="1">IFERROR(__xludf.DUMMYFUNCTION("""COMPUTED_VALUE"""),45.16)</f>
        <v>45.16</v>
      </c>
      <c r="U289" s="1">
        <f ca="1">IFERROR(__xludf.DUMMYFUNCTION("""COMPUTED_VALUE"""),136.13)</f>
        <v>136.13</v>
      </c>
      <c r="V289" s="1">
        <f ca="1">IFERROR(__xludf.DUMMYFUNCTION("""COMPUTED_VALUE"""),220.18)</f>
        <v>220.18</v>
      </c>
      <c r="W289" s="1">
        <f ca="1">IFERROR(__xludf.DUMMYFUNCTION("""COMPUTED_VALUE"""),346.23)</f>
        <v>346.23</v>
      </c>
      <c r="X289" s="1">
        <f ca="1">IFERROR(__xludf.DUMMYFUNCTION("""COMPUTED_VALUE"""),576.07)</f>
        <v>576.07000000000005</v>
      </c>
      <c r="Y289" s="1">
        <f ca="1">IFERROR(__xludf.DUMMYFUNCTION("""COMPUTED_VALUE"""),129.1)</f>
        <v>129.1</v>
      </c>
      <c r="Z289" s="1">
        <f ca="1">IFERROR(__xludf.DUMMYFUNCTION("""COMPUTED_VALUE"""),319.21)</f>
        <v>319.20999999999998</v>
      </c>
      <c r="AA289" s="1">
        <f ca="1">IFERROR(__xludf.DUMMYFUNCTION("""COMPUTED_VALUE"""),33.91)</f>
        <v>33.909999999999997</v>
      </c>
      <c r="AB289" s="1">
        <f ca="1">IFERROR(__xludf.DUMMYFUNCTION("""COMPUTED_VALUE"""),101.37)</f>
        <v>101.37</v>
      </c>
      <c r="AC289" s="1">
        <f ca="1">IFERROR(__xludf.DUMMYFUNCTION("""COMPUTED_VALUE"""),84.74)</f>
        <v>84.74</v>
      </c>
    </row>
    <row r="290" spans="1:29" x14ac:dyDescent="0.25">
      <c r="A290" s="2">
        <f ca="1">IFERROR(__xludf.DUMMYFUNCTION("""COMPUTED_VALUE"""),44251.6666666666)</f>
        <v>44251.666666666599</v>
      </c>
      <c r="B290" s="1">
        <f ca="1">IFERROR(__xludf.DUMMYFUNCTION("""COMPUTED_VALUE"""),125.35)</f>
        <v>125.35</v>
      </c>
      <c r="C290" s="1">
        <f ca="1">IFERROR(__xludf.DUMMYFUNCTION("""COMPUTED_VALUE"""),234.55)</f>
        <v>234.55</v>
      </c>
      <c r="D290" s="1">
        <f ca="1">IFERROR(__xludf.DUMMYFUNCTION("""COMPUTED_VALUE"""),157.98)</f>
        <v>157.97999999999999</v>
      </c>
      <c r="E290" s="1">
        <f ca="1">IFERROR(__xludf.DUMMYFUNCTION("""COMPUTED_VALUE"""),14.5)</f>
        <v>14.5</v>
      </c>
      <c r="F290" s="1">
        <f ca="1">IFERROR(__xludf.DUMMYFUNCTION("""COMPUTED_VALUE"""),264.31)</f>
        <v>264.31</v>
      </c>
      <c r="G290" s="1">
        <f ca="1">IFERROR(__xludf.DUMMYFUNCTION("""COMPUTED_VALUE"""),104.76)</f>
        <v>104.76</v>
      </c>
      <c r="H290" s="1">
        <f ca="1">IFERROR(__xludf.DUMMYFUNCTION("""COMPUTED_VALUE"""),247.34)</f>
        <v>247.34</v>
      </c>
      <c r="I290" s="1">
        <f ca="1">IFERROR(__xludf.DUMMYFUNCTION("""COMPUTED_VALUE"""),132.09)</f>
        <v>132.09</v>
      </c>
      <c r="J290" s="1">
        <f ca="1">IFERROR(__xludf.DUMMYFUNCTION("""COMPUTED_VALUE"""),340.7)</f>
        <v>340.7</v>
      </c>
      <c r="K290" s="1">
        <f ca="1">IFERROR(__xludf.DUMMYFUNCTION("""COMPUTED_VALUE"""),48.09)</f>
        <v>48.09</v>
      </c>
      <c r="L290" s="1">
        <f ca="1">IFERROR(__xludf.DUMMYFUNCTION("""COMPUTED_VALUE"""),476.62)</f>
        <v>476.62</v>
      </c>
      <c r="M290" s="1">
        <f ca="1">IFERROR(__xludf.DUMMYFUNCTION("""COMPUTED_VALUE"""),553.41)</f>
        <v>553.41</v>
      </c>
      <c r="N290" s="1">
        <f ca="1">IFERROR(__xludf.DUMMYFUNCTION("""COMPUTED_VALUE"""),153.26)</f>
        <v>153.26</v>
      </c>
      <c r="O290" s="1">
        <f ca="1">IFERROR(__xludf.DUMMYFUNCTION("""COMPUTED_VALUE"""),219.43)</f>
        <v>219.43</v>
      </c>
      <c r="P290" s="1">
        <f ca="1">IFERROR(__xludf.DUMMYFUNCTION("""COMPUTED_VALUE"""),162.59)</f>
        <v>162.59</v>
      </c>
      <c r="Q290" s="1">
        <f ca="1">IFERROR(__xludf.DUMMYFUNCTION("""COMPUTED_VALUE"""),332.21)</f>
        <v>332.21</v>
      </c>
      <c r="R290" s="1">
        <f ca="1">IFERROR(__xludf.DUMMYFUNCTION("""COMPUTED_VALUE"""),56.7)</f>
        <v>56.7</v>
      </c>
      <c r="S290" s="1">
        <f ca="1">IFERROR(__xludf.DUMMYFUNCTION("""COMPUTED_VALUE"""),73.76)</f>
        <v>73.760000000000005</v>
      </c>
      <c r="T290" s="1">
        <f ca="1">IFERROR(__xludf.DUMMYFUNCTION("""COMPUTED_VALUE"""),44.4)</f>
        <v>44.4</v>
      </c>
      <c r="U290" s="1">
        <f ca="1">IFERROR(__xludf.DUMMYFUNCTION("""COMPUTED_VALUE"""),135.65)</f>
        <v>135.65</v>
      </c>
      <c r="V290" s="1">
        <f ca="1">IFERROR(__xludf.DUMMYFUNCTION("""COMPUTED_VALUE"""),222.47)</f>
        <v>222.47</v>
      </c>
      <c r="W290" s="1">
        <f ca="1">IFERROR(__xludf.DUMMYFUNCTION("""COMPUTED_VALUE"""),346.53)</f>
        <v>346.53</v>
      </c>
      <c r="X290" s="1">
        <f ca="1">IFERROR(__xludf.DUMMYFUNCTION("""COMPUTED_VALUE"""),595.01)</f>
        <v>595.01</v>
      </c>
      <c r="Y290" s="1">
        <f ca="1">IFERROR(__xludf.DUMMYFUNCTION("""COMPUTED_VALUE"""),132.3)</f>
        <v>132.30000000000001</v>
      </c>
      <c r="Z290" s="1">
        <f ca="1">IFERROR(__xludf.DUMMYFUNCTION("""COMPUTED_VALUE"""),330.64)</f>
        <v>330.64</v>
      </c>
      <c r="AA290" s="1">
        <f ca="1">IFERROR(__xludf.DUMMYFUNCTION("""COMPUTED_VALUE"""),33.75)</f>
        <v>33.75</v>
      </c>
      <c r="AB290" s="1">
        <f ca="1">IFERROR(__xludf.DUMMYFUNCTION("""COMPUTED_VALUE"""),104.38)</f>
        <v>104.38</v>
      </c>
      <c r="AC290" s="1">
        <f ca="1">IFERROR(__xludf.DUMMYFUNCTION("""COMPUTED_VALUE"""),86.94)</f>
        <v>86.94</v>
      </c>
    </row>
    <row r="291" spans="1:29" x14ac:dyDescent="0.25">
      <c r="A291" s="2">
        <f ca="1">IFERROR(__xludf.DUMMYFUNCTION("""COMPUTED_VALUE"""),44252.6666666666)</f>
        <v>44252.666666666599</v>
      </c>
      <c r="B291" s="1">
        <f ca="1">IFERROR(__xludf.DUMMYFUNCTION("""COMPUTED_VALUE"""),120.99)</f>
        <v>120.99</v>
      </c>
      <c r="C291" s="1">
        <f ca="1">IFERROR(__xludf.DUMMYFUNCTION("""COMPUTED_VALUE"""),228.99)</f>
        <v>228.99</v>
      </c>
      <c r="D291" s="1">
        <f ca="1">IFERROR(__xludf.DUMMYFUNCTION("""COMPUTED_VALUE"""),152.86)</f>
        <v>152.86000000000001</v>
      </c>
      <c r="E291" s="1">
        <f ca="1">IFERROR(__xludf.DUMMYFUNCTION("""COMPUTED_VALUE"""),13.31)</f>
        <v>13.31</v>
      </c>
      <c r="F291" s="1">
        <f ca="1">IFERROR(__xludf.DUMMYFUNCTION("""COMPUTED_VALUE"""),254.69)</f>
        <v>254.69</v>
      </c>
      <c r="G291" s="1">
        <f ca="1">IFERROR(__xludf.DUMMYFUNCTION("""COMPUTED_VALUE"""),101.57)</f>
        <v>101.57</v>
      </c>
      <c r="H291" s="1">
        <f ca="1">IFERROR(__xludf.DUMMYFUNCTION("""COMPUTED_VALUE"""),227.41)</f>
        <v>227.41</v>
      </c>
      <c r="I291" s="1">
        <f ca="1">IFERROR(__xludf.DUMMYFUNCTION("""COMPUTED_VALUE"""),130)</f>
        <v>130</v>
      </c>
      <c r="J291" s="1">
        <f ca="1">IFERROR(__xludf.DUMMYFUNCTION("""COMPUTED_VALUE"""),333.9)</f>
        <v>333.9</v>
      </c>
      <c r="K291" s="1">
        <f ca="1">IFERROR(__xludf.DUMMYFUNCTION("""COMPUTED_VALUE"""),45.72)</f>
        <v>45.72</v>
      </c>
      <c r="L291" s="1">
        <f ca="1">IFERROR(__xludf.DUMMYFUNCTION("""COMPUTED_VALUE"""),459.16)</f>
        <v>459.16</v>
      </c>
      <c r="M291" s="1">
        <f ca="1">IFERROR(__xludf.DUMMYFUNCTION("""COMPUTED_VALUE"""),546.7)</f>
        <v>546.70000000000005</v>
      </c>
      <c r="N291" s="1">
        <f ca="1">IFERROR(__xludf.DUMMYFUNCTION("""COMPUTED_VALUE"""),151.18)</f>
        <v>151.18</v>
      </c>
      <c r="O291" s="1">
        <f ca="1">IFERROR(__xludf.DUMMYFUNCTION("""COMPUTED_VALUE"""),213.75)</f>
        <v>213.75</v>
      </c>
      <c r="P291" s="1">
        <f ca="1">IFERROR(__xludf.DUMMYFUNCTION("""COMPUTED_VALUE"""),162.76)</f>
        <v>162.76</v>
      </c>
      <c r="Q291" s="1">
        <f ca="1">IFERROR(__xludf.DUMMYFUNCTION("""COMPUTED_VALUE"""),328.87)</f>
        <v>328.87</v>
      </c>
      <c r="R291" s="1">
        <f ca="1">IFERROR(__xludf.DUMMYFUNCTION("""COMPUTED_VALUE"""),55.76)</f>
        <v>55.76</v>
      </c>
      <c r="S291" s="1">
        <f ca="1">IFERROR(__xludf.DUMMYFUNCTION("""COMPUTED_VALUE"""),74.06)</f>
        <v>74.06</v>
      </c>
      <c r="T291" s="1">
        <f ca="1">IFERROR(__xludf.DUMMYFUNCTION("""COMPUTED_VALUE"""),43.98)</f>
        <v>43.98</v>
      </c>
      <c r="U291" s="1">
        <f ca="1">IFERROR(__xludf.DUMMYFUNCTION("""COMPUTED_VALUE"""),135.54)</f>
        <v>135.54</v>
      </c>
      <c r="V291" s="1">
        <f ca="1">IFERROR(__xludf.DUMMYFUNCTION("""COMPUTED_VALUE"""),221.82)</f>
        <v>221.82</v>
      </c>
      <c r="W291" s="1">
        <f ca="1">IFERROR(__xludf.DUMMYFUNCTION("""COMPUTED_VALUE"""),341.69)</f>
        <v>341.69</v>
      </c>
      <c r="X291" s="1">
        <f ca="1">IFERROR(__xludf.DUMMYFUNCTION("""COMPUTED_VALUE"""),559.77)</f>
        <v>559.77</v>
      </c>
      <c r="Y291" s="1">
        <f ca="1">IFERROR(__xludf.DUMMYFUNCTION("""COMPUTED_VALUE"""),126)</f>
        <v>126</v>
      </c>
      <c r="Z291" s="1">
        <f ca="1">IFERROR(__xludf.DUMMYFUNCTION("""COMPUTED_VALUE"""),327.76)</f>
        <v>327.76</v>
      </c>
      <c r="AA291" s="1">
        <f ca="1">IFERROR(__xludf.DUMMYFUNCTION("""COMPUTED_VALUE"""),33.82)</f>
        <v>33.82</v>
      </c>
      <c r="AB291" s="1">
        <f ca="1">IFERROR(__xludf.DUMMYFUNCTION("""COMPUTED_VALUE"""),103.47)</f>
        <v>103.47</v>
      </c>
      <c r="AC291" s="1">
        <f ca="1">IFERROR(__xludf.DUMMYFUNCTION("""COMPUTED_VALUE"""),82.42)</f>
        <v>82.42</v>
      </c>
    </row>
    <row r="292" spans="1:29" x14ac:dyDescent="0.25">
      <c r="A292" s="2">
        <f ca="1">IFERROR(__xludf.DUMMYFUNCTION("""COMPUTED_VALUE"""),44253.6666666666)</f>
        <v>44253.666666666599</v>
      </c>
      <c r="B292" s="1">
        <f ca="1">IFERROR(__xludf.DUMMYFUNCTION("""COMPUTED_VALUE"""),121.26)</f>
        <v>121.26</v>
      </c>
      <c r="C292" s="1">
        <f ca="1">IFERROR(__xludf.DUMMYFUNCTION("""COMPUTED_VALUE"""),232.38)</f>
        <v>232.38</v>
      </c>
      <c r="D292" s="1">
        <f ca="1">IFERROR(__xludf.DUMMYFUNCTION("""COMPUTED_VALUE"""),154.65)</f>
        <v>154.65</v>
      </c>
      <c r="E292" s="1">
        <f ca="1">IFERROR(__xludf.DUMMYFUNCTION("""COMPUTED_VALUE"""),13.71)</f>
        <v>13.71</v>
      </c>
      <c r="F292" s="1">
        <f ca="1">IFERROR(__xludf.DUMMYFUNCTION("""COMPUTED_VALUE"""),257.62)</f>
        <v>257.62</v>
      </c>
      <c r="G292" s="1">
        <f ca="1">IFERROR(__xludf.DUMMYFUNCTION("""COMPUTED_VALUE"""),101.84)</f>
        <v>101.84</v>
      </c>
      <c r="H292" s="1">
        <f ca="1">IFERROR(__xludf.DUMMYFUNCTION("""COMPUTED_VALUE"""),225.17)</f>
        <v>225.17</v>
      </c>
      <c r="I292" s="1">
        <f ca="1">IFERROR(__xludf.DUMMYFUNCTION("""COMPUTED_VALUE"""),129.19)</f>
        <v>129.19</v>
      </c>
      <c r="J292" s="1">
        <f ca="1">IFERROR(__xludf.DUMMYFUNCTION("""COMPUTED_VALUE"""),331)</f>
        <v>331</v>
      </c>
      <c r="K292" s="1">
        <f ca="1">IFERROR(__xludf.DUMMYFUNCTION("""COMPUTED_VALUE"""),46.99)</f>
        <v>46.99</v>
      </c>
      <c r="L292" s="1">
        <f ca="1">IFERROR(__xludf.DUMMYFUNCTION("""COMPUTED_VALUE"""),459.67)</f>
        <v>459.67</v>
      </c>
      <c r="M292" s="1">
        <f ca="1">IFERROR(__xludf.DUMMYFUNCTION("""COMPUTED_VALUE"""),538.85)</f>
        <v>538.85</v>
      </c>
      <c r="N292" s="1">
        <f ca="1">IFERROR(__xludf.DUMMYFUNCTION("""COMPUTED_VALUE"""),147.17)</f>
        <v>147.16999999999999</v>
      </c>
      <c r="O292" s="1">
        <f ca="1">IFERROR(__xludf.DUMMYFUNCTION("""COMPUTED_VALUE"""),212.39)</f>
        <v>212.39</v>
      </c>
      <c r="P292" s="1">
        <f ca="1">IFERROR(__xludf.DUMMYFUNCTION("""COMPUTED_VALUE"""),158.46)</f>
        <v>158.46</v>
      </c>
      <c r="Q292" s="1">
        <f ca="1">IFERROR(__xludf.DUMMYFUNCTION("""COMPUTED_VALUE"""),332.22)</f>
        <v>332.22</v>
      </c>
      <c r="R292" s="1">
        <f ca="1">IFERROR(__xludf.DUMMYFUNCTION("""COMPUTED_VALUE"""),54.37)</f>
        <v>54.37</v>
      </c>
      <c r="S292" s="1">
        <f ca="1">IFERROR(__xludf.DUMMYFUNCTION("""COMPUTED_VALUE"""),73.48)</f>
        <v>73.48</v>
      </c>
      <c r="T292" s="1">
        <f ca="1">IFERROR(__xludf.DUMMYFUNCTION("""COMPUTED_VALUE"""),43.31)</f>
        <v>43.31</v>
      </c>
      <c r="U292" s="1">
        <f ca="1">IFERROR(__xludf.DUMMYFUNCTION("""COMPUTED_VALUE"""),134.78)</f>
        <v>134.78</v>
      </c>
      <c r="V292" s="1">
        <f ca="1">IFERROR(__xludf.DUMMYFUNCTION("""COMPUTED_VALUE"""),215.88)</f>
        <v>215.88</v>
      </c>
      <c r="W292" s="1">
        <f ca="1">IFERROR(__xludf.DUMMYFUNCTION("""COMPUTED_VALUE"""),330.25)</f>
        <v>330.25</v>
      </c>
      <c r="X292" s="1">
        <f ca="1">IFERROR(__xludf.DUMMYFUNCTION("""COMPUTED_VALUE"""),567.09)</f>
        <v>567.09</v>
      </c>
      <c r="Y292" s="1">
        <f ca="1">IFERROR(__xludf.DUMMYFUNCTION("""COMPUTED_VALUE"""),125.94)</f>
        <v>125.94</v>
      </c>
      <c r="Z292" s="1">
        <f ca="1">IFERROR(__xludf.DUMMYFUNCTION("""COMPUTED_VALUE"""),319.48)</f>
        <v>319.48</v>
      </c>
      <c r="AA292" s="1">
        <f ca="1">IFERROR(__xludf.DUMMYFUNCTION("""COMPUTED_VALUE"""),33.49)</f>
        <v>33.49</v>
      </c>
      <c r="AB292" s="1">
        <f ca="1">IFERROR(__xludf.DUMMYFUNCTION("""COMPUTED_VALUE"""),108.03)</f>
        <v>108.03</v>
      </c>
      <c r="AC292" s="1">
        <f ca="1">IFERROR(__xludf.DUMMYFUNCTION("""COMPUTED_VALUE"""),84.51)</f>
        <v>84.51</v>
      </c>
    </row>
    <row r="293" spans="1:29" x14ac:dyDescent="0.25">
      <c r="A293" s="2">
        <f ca="1">IFERROR(__xludf.DUMMYFUNCTION("""COMPUTED_VALUE"""),44256.6666666666)</f>
        <v>44256.666666666599</v>
      </c>
      <c r="B293" s="1">
        <f ca="1">IFERROR(__xludf.DUMMYFUNCTION("""COMPUTED_VALUE"""),127.79)</f>
        <v>127.79</v>
      </c>
      <c r="C293" s="1">
        <f ca="1">IFERROR(__xludf.DUMMYFUNCTION("""COMPUTED_VALUE"""),236.94)</f>
        <v>236.94</v>
      </c>
      <c r="D293" s="1">
        <f ca="1">IFERROR(__xludf.DUMMYFUNCTION("""COMPUTED_VALUE"""),157.31)</f>
        <v>157.31</v>
      </c>
      <c r="E293" s="1">
        <f ca="1">IFERROR(__xludf.DUMMYFUNCTION("""COMPUTED_VALUE"""),13.84)</f>
        <v>13.84</v>
      </c>
      <c r="F293" s="1">
        <f ca="1">IFERROR(__xludf.DUMMYFUNCTION("""COMPUTED_VALUE"""),264.91)</f>
        <v>264.91000000000003</v>
      </c>
      <c r="G293" s="1">
        <f ca="1">IFERROR(__xludf.DUMMYFUNCTION("""COMPUTED_VALUE"""),104.08)</f>
        <v>104.08</v>
      </c>
      <c r="H293" s="1">
        <f ca="1">IFERROR(__xludf.DUMMYFUNCTION("""COMPUTED_VALUE"""),239.48)</f>
        <v>239.48</v>
      </c>
      <c r="I293" s="1">
        <f ca="1">IFERROR(__xludf.DUMMYFUNCTION("""COMPUTED_VALUE"""),130.62)</f>
        <v>130.62</v>
      </c>
      <c r="J293" s="1">
        <f ca="1">IFERROR(__xludf.DUMMYFUNCTION("""COMPUTED_VALUE"""),331.77)</f>
        <v>331.77</v>
      </c>
      <c r="K293" s="1">
        <f ca="1">IFERROR(__xludf.DUMMYFUNCTION("""COMPUTED_VALUE"""),48.96)</f>
        <v>48.96</v>
      </c>
      <c r="L293" s="1">
        <f ca="1">IFERROR(__xludf.DUMMYFUNCTION("""COMPUTED_VALUE"""),469.57)</f>
        <v>469.57</v>
      </c>
      <c r="M293" s="1">
        <f ca="1">IFERROR(__xludf.DUMMYFUNCTION("""COMPUTED_VALUE"""),550.64)</f>
        <v>550.64</v>
      </c>
      <c r="N293" s="1">
        <f ca="1">IFERROR(__xludf.DUMMYFUNCTION("""COMPUTED_VALUE"""),150.5)</f>
        <v>150.5</v>
      </c>
      <c r="O293" s="1">
        <f ca="1">IFERROR(__xludf.DUMMYFUNCTION("""COMPUTED_VALUE"""),216.63)</f>
        <v>216.63</v>
      </c>
      <c r="P293" s="1">
        <f ca="1">IFERROR(__xludf.DUMMYFUNCTION("""COMPUTED_VALUE"""),159.32)</f>
        <v>159.32</v>
      </c>
      <c r="Q293" s="1">
        <f ca="1">IFERROR(__xludf.DUMMYFUNCTION("""COMPUTED_VALUE"""),334.65)</f>
        <v>334.65</v>
      </c>
      <c r="R293" s="1">
        <f ca="1">IFERROR(__xludf.DUMMYFUNCTION("""COMPUTED_VALUE"""),56.4)</f>
        <v>56.4</v>
      </c>
      <c r="S293" s="1">
        <f ca="1">IFERROR(__xludf.DUMMYFUNCTION("""COMPUTED_VALUE"""),75.91)</f>
        <v>75.91</v>
      </c>
      <c r="T293" s="1">
        <f ca="1">IFERROR(__xludf.DUMMYFUNCTION("""COMPUTED_VALUE"""),43.79)</f>
        <v>43.79</v>
      </c>
      <c r="U293" s="1">
        <f ca="1">IFERROR(__xludf.DUMMYFUNCTION("""COMPUTED_VALUE"""),137.65)</f>
        <v>137.65</v>
      </c>
      <c r="V293" s="1">
        <f ca="1">IFERROR(__xludf.DUMMYFUNCTION("""COMPUTED_VALUE"""),219.76)</f>
        <v>219.76</v>
      </c>
      <c r="W293" s="1">
        <f ca="1">IFERROR(__xludf.DUMMYFUNCTION("""COMPUTED_VALUE"""),333.47)</f>
        <v>333.47</v>
      </c>
      <c r="X293" s="1">
        <f ca="1">IFERROR(__xludf.DUMMYFUNCTION("""COMPUTED_VALUE"""),583.55)</f>
        <v>583.54999999999995</v>
      </c>
      <c r="Y293" s="1">
        <f ca="1">IFERROR(__xludf.DUMMYFUNCTION("""COMPUTED_VALUE"""),129.13)</f>
        <v>129.13</v>
      </c>
      <c r="Z293" s="1">
        <f ca="1">IFERROR(__xludf.DUMMYFUNCTION("""COMPUTED_VALUE"""),329.92)</f>
        <v>329.92</v>
      </c>
      <c r="AA293" s="1">
        <f ca="1">IFERROR(__xludf.DUMMYFUNCTION("""COMPUTED_VALUE"""),33.69)</f>
        <v>33.69</v>
      </c>
      <c r="AB293" s="1">
        <f ca="1">IFERROR(__xludf.DUMMYFUNCTION("""COMPUTED_VALUE"""),106.87)</f>
        <v>106.87</v>
      </c>
      <c r="AC293" s="1">
        <f ca="1">IFERROR(__xludf.DUMMYFUNCTION("""COMPUTED_VALUE"""),86.39)</f>
        <v>86.39</v>
      </c>
    </row>
    <row r="294" spans="1:29" x14ac:dyDescent="0.25">
      <c r="A294" s="2">
        <f ca="1">IFERROR(__xludf.DUMMYFUNCTION("""COMPUTED_VALUE"""),44257.6666666666)</f>
        <v>44257.666666666599</v>
      </c>
      <c r="B294" s="1">
        <f ca="1">IFERROR(__xludf.DUMMYFUNCTION("""COMPUTED_VALUE"""),125.12)</f>
        <v>125.12</v>
      </c>
      <c r="C294" s="1">
        <f ca="1">IFERROR(__xludf.DUMMYFUNCTION("""COMPUTED_VALUE"""),233.87)</f>
        <v>233.87</v>
      </c>
      <c r="D294" s="1">
        <f ca="1">IFERROR(__xludf.DUMMYFUNCTION("""COMPUTED_VALUE"""),154.73)</f>
        <v>154.72999999999999</v>
      </c>
      <c r="E294" s="1">
        <f ca="1">IFERROR(__xludf.DUMMYFUNCTION("""COMPUTED_VALUE"""),13.41)</f>
        <v>13.41</v>
      </c>
      <c r="F294" s="1">
        <f ca="1">IFERROR(__xludf.DUMMYFUNCTION("""COMPUTED_VALUE"""),259)</f>
        <v>259</v>
      </c>
      <c r="G294" s="1">
        <f ca="1">IFERROR(__xludf.DUMMYFUNCTION("""COMPUTED_VALUE"""),103.79)</f>
        <v>103.79</v>
      </c>
      <c r="H294" s="1">
        <f ca="1">IFERROR(__xludf.DUMMYFUNCTION("""COMPUTED_VALUE"""),228.81)</f>
        <v>228.81</v>
      </c>
      <c r="I294" s="1">
        <f ca="1">IFERROR(__xludf.DUMMYFUNCTION("""COMPUTED_VALUE"""),131.07)</f>
        <v>131.07</v>
      </c>
      <c r="J294" s="1">
        <f ca="1">IFERROR(__xludf.DUMMYFUNCTION("""COMPUTED_VALUE"""),328.46)</f>
        <v>328.46</v>
      </c>
      <c r="K294" s="1">
        <f ca="1">IFERROR(__xludf.DUMMYFUNCTION("""COMPUTED_VALUE"""),48.05)</f>
        <v>48.05</v>
      </c>
      <c r="L294" s="1">
        <f ca="1">IFERROR(__xludf.DUMMYFUNCTION("""COMPUTED_VALUE"""),466.59)</f>
        <v>466.59</v>
      </c>
      <c r="M294" s="1">
        <f ca="1">IFERROR(__xludf.DUMMYFUNCTION("""COMPUTED_VALUE"""),547.82)</f>
        <v>547.82000000000005</v>
      </c>
      <c r="N294" s="1">
        <f ca="1">IFERROR(__xludf.DUMMYFUNCTION("""COMPUTED_VALUE"""),150.01)</f>
        <v>150.01</v>
      </c>
      <c r="O294" s="1">
        <f ca="1">IFERROR(__xludf.DUMMYFUNCTION("""COMPUTED_VALUE"""),215.77)</f>
        <v>215.77</v>
      </c>
      <c r="P294" s="1">
        <f ca="1">IFERROR(__xludf.DUMMYFUNCTION("""COMPUTED_VALUE"""),159.02)</f>
        <v>159.02000000000001</v>
      </c>
      <c r="Q294" s="1">
        <f ca="1">IFERROR(__xludf.DUMMYFUNCTION("""COMPUTED_VALUE"""),334.64)</f>
        <v>334.64</v>
      </c>
      <c r="R294" s="1">
        <f ca="1">IFERROR(__xludf.DUMMYFUNCTION("""COMPUTED_VALUE"""),56.07)</f>
        <v>56.07</v>
      </c>
      <c r="S294" s="1">
        <f ca="1">IFERROR(__xludf.DUMMYFUNCTION("""COMPUTED_VALUE"""),75.54)</f>
        <v>75.540000000000006</v>
      </c>
      <c r="T294" s="1">
        <f ca="1">IFERROR(__xludf.DUMMYFUNCTION("""COMPUTED_VALUE"""),43.37)</f>
        <v>43.37</v>
      </c>
      <c r="U294" s="1">
        <f ca="1">IFERROR(__xludf.DUMMYFUNCTION("""COMPUTED_VALUE"""),137.02)</f>
        <v>137.02000000000001</v>
      </c>
      <c r="V294" s="1">
        <f ca="1">IFERROR(__xludf.DUMMYFUNCTION("""COMPUTED_VALUE"""),215.82)</f>
        <v>215.82</v>
      </c>
      <c r="W294" s="1">
        <f ca="1">IFERROR(__xludf.DUMMYFUNCTION("""COMPUTED_VALUE"""),338.59)</f>
        <v>338.59</v>
      </c>
      <c r="X294" s="1">
        <f ca="1">IFERROR(__xludf.DUMMYFUNCTION("""COMPUTED_VALUE"""),563.14)</f>
        <v>563.14</v>
      </c>
      <c r="Y294" s="1">
        <f ca="1">IFERROR(__xludf.DUMMYFUNCTION("""COMPUTED_VALUE"""),126)</f>
        <v>126</v>
      </c>
      <c r="Z294" s="1">
        <f ca="1">IFERROR(__xludf.DUMMYFUNCTION("""COMPUTED_VALUE"""),330.94)</f>
        <v>330.94</v>
      </c>
      <c r="AA294" s="1">
        <f ca="1">IFERROR(__xludf.DUMMYFUNCTION("""COMPUTED_VALUE"""),33.51)</f>
        <v>33.51</v>
      </c>
      <c r="AB294" s="1">
        <f ca="1">IFERROR(__xludf.DUMMYFUNCTION("""COMPUTED_VALUE"""),107.2)</f>
        <v>107.2</v>
      </c>
      <c r="AC294" s="1">
        <f ca="1">IFERROR(__xludf.DUMMYFUNCTION("""COMPUTED_VALUE"""),84.13)</f>
        <v>84.13</v>
      </c>
    </row>
    <row r="295" spans="1:29" x14ac:dyDescent="0.25">
      <c r="A295" s="2">
        <f ca="1">IFERROR(__xludf.DUMMYFUNCTION("""COMPUTED_VALUE"""),44258.6666666666)</f>
        <v>44258.666666666599</v>
      </c>
      <c r="B295" s="1">
        <f ca="1">IFERROR(__xludf.DUMMYFUNCTION("""COMPUTED_VALUE"""),122.06)</f>
        <v>122.06</v>
      </c>
      <c r="C295" s="1">
        <f ca="1">IFERROR(__xludf.DUMMYFUNCTION("""COMPUTED_VALUE"""),227.56)</f>
        <v>227.56</v>
      </c>
      <c r="D295" s="1">
        <f ca="1">IFERROR(__xludf.DUMMYFUNCTION("""COMPUTED_VALUE"""),150.25)</f>
        <v>150.25</v>
      </c>
      <c r="E295" s="1">
        <f ca="1">IFERROR(__xludf.DUMMYFUNCTION("""COMPUTED_VALUE"""),12.8)</f>
        <v>12.8</v>
      </c>
      <c r="F295" s="1">
        <f ca="1">IFERROR(__xludf.DUMMYFUNCTION("""COMPUTED_VALUE"""),255.41)</f>
        <v>255.41</v>
      </c>
      <c r="G295" s="1">
        <f ca="1">IFERROR(__xludf.DUMMYFUNCTION("""COMPUTED_VALUE"""),101.34)</f>
        <v>101.34</v>
      </c>
      <c r="H295" s="1">
        <f ca="1">IFERROR(__xludf.DUMMYFUNCTION("""COMPUTED_VALUE"""),217.73)</f>
        <v>217.73</v>
      </c>
      <c r="I295" s="1">
        <f ca="1">IFERROR(__xludf.DUMMYFUNCTION("""COMPUTED_VALUE"""),129.14)</f>
        <v>129.13999999999999</v>
      </c>
      <c r="J295" s="1">
        <f ca="1">IFERROR(__xludf.DUMMYFUNCTION("""COMPUTED_VALUE"""),323.92)</f>
        <v>323.92</v>
      </c>
      <c r="K295" s="1">
        <f ca="1">IFERROR(__xludf.DUMMYFUNCTION("""COMPUTED_VALUE"""),46.31)</f>
        <v>46.31</v>
      </c>
      <c r="L295" s="1">
        <f ca="1">IFERROR(__xludf.DUMMYFUNCTION("""COMPUTED_VALUE"""),448.45)</f>
        <v>448.45</v>
      </c>
      <c r="M295" s="1">
        <f ca="1">IFERROR(__xludf.DUMMYFUNCTION("""COMPUTED_VALUE"""),520.7)</f>
        <v>520.70000000000005</v>
      </c>
      <c r="N295" s="1">
        <f ca="1">IFERROR(__xludf.DUMMYFUNCTION("""COMPUTED_VALUE"""),152.91)</f>
        <v>152.91</v>
      </c>
      <c r="O295" s="1">
        <f ca="1">IFERROR(__xludf.DUMMYFUNCTION("""COMPUTED_VALUE"""),214.85)</f>
        <v>214.85</v>
      </c>
      <c r="P295" s="1">
        <f ca="1">IFERROR(__xludf.DUMMYFUNCTION("""COMPUTED_VALUE"""),156.22)</f>
        <v>156.22</v>
      </c>
      <c r="Q295" s="1">
        <f ca="1">IFERROR(__xludf.DUMMYFUNCTION("""COMPUTED_VALUE"""),332.87)</f>
        <v>332.87</v>
      </c>
      <c r="R295" s="1">
        <f ca="1">IFERROR(__xludf.DUMMYFUNCTION("""COMPUTED_VALUE"""),56.52)</f>
        <v>56.52</v>
      </c>
      <c r="S295" s="1">
        <f ca="1">IFERROR(__xludf.DUMMYFUNCTION("""COMPUTED_VALUE"""),72.52)</f>
        <v>72.52</v>
      </c>
      <c r="T295" s="1">
        <f ca="1">IFERROR(__xludf.DUMMYFUNCTION("""COMPUTED_VALUE"""),42.53)</f>
        <v>42.53</v>
      </c>
      <c r="U295" s="1">
        <f ca="1">IFERROR(__xludf.DUMMYFUNCTION("""COMPUTED_VALUE"""),134.26)</f>
        <v>134.26</v>
      </c>
      <c r="V295" s="1">
        <f ca="1">IFERROR(__xludf.DUMMYFUNCTION("""COMPUTED_VALUE"""),214.91)</f>
        <v>214.91</v>
      </c>
      <c r="W295" s="1">
        <f ca="1">IFERROR(__xludf.DUMMYFUNCTION("""COMPUTED_VALUE"""),340.91)</f>
        <v>340.91</v>
      </c>
      <c r="X295" s="1">
        <f ca="1">IFERROR(__xludf.DUMMYFUNCTION("""COMPUTED_VALUE"""),543.6)</f>
        <v>543.6</v>
      </c>
      <c r="Y295" s="1">
        <f ca="1">IFERROR(__xludf.DUMMYFUNCTION("""COMPUTED_VALUE"""),122.89)</f>
        <v>122.89</v>
      </c>
      <c r="Z295" s="1">
        <f ca="1">IFERROR(__xludf.DUMMYFUNCTION("""COMPUTED_VALUE"""),334.43)</f>
        <v>334.43</v>
      </c>
      <c r="AA295" s="1">
        <f ca="1">IFERROR(__xludf.DUMMYFUNCTION("""COMPUTED_VALUE"""),34.39)</f>
        <v>34.39</v>
      </c>
      <c r="AB295" s="1">
        <f ca="1">IFERROR(__xludf.DUMMYFUNCTION("""COMPUTED_VALUE"""),106.22)</f>
        <v>106.22</v>
      </c>
      <c r="AC295" s="1">
        <f ca="1">IFERROR(__xludf.DUMMYFUNCTION("""COMPUTED_VALUE"""),80.86)</f>
        <v>80.86</v>
      </c>
    </row>
    <row r="296" spans="1:29" x14ac:dyDescent="0.25">
      <c r="A296" s="2">
        <f ca="1">IFERROR(__xludf.DUMMYFUNCTION("""COMPUTED_VALUE"""),44259.6666666666)</f>
        <v>44259.666666666599</v>
      </c>
      <c r="B296" s="1">
        <f ca="1">IFERROR(__xludf.DUMMYFUNCTION("""COMPUTED_VALUE"""),120.13)</f>
        <v>120.13</v>
      </c>
      <c r="C296" s="1">
        <f ca="1">IFERROR(__xludf.DUMMYFUNCTION("""COMPUTED_VALUE"""),226.73)</f>
        <v>226.73</v>
      </c>
      <c r="D296" s="1">
        <f ca="1">IFERROR(__xludf.DUMMYFUNCTION("""COMPUTED_VALUE"""),148.88)</f>
        <v>148.88</v>
      </c>
      <c r="E296" s="1">
        <f ca="1">IFERROR(__xludf.DUMMYFUNCTION("""COMPUTED_VALUE"""),12.37)</f>
        <v>12.37</v>
      </c>
      <c r="F296" s="1">
        <f ca="1">IFERROR(__xludf.DUMMYFUNCTION("""COMPUTED_VALUE"""),257.64)</f>
        <v>257.64</v>
      </c>
      <c r="G296" s="1">
        <f ca="1">IFERROR(__xludf.DUMMYFUNCTION("""COMPUTED_VALUE"""),102.45)</f>
        <v>102.45</v>
      </c>
      <c r="H296" s="1">
        <f ca="1">IFERROR(__xludf.DUMMYFUNCTION("""COMPUTED_VALUE"""),207.15)</f>
        <v>207.15</v>
      </c>
      <c r="I296" s="1">
        <f ca="1">IFERROR(__xludf.DUMMYFUNCTION("""COMPUTED_VALUE"""),128.83)</f>
        <v>128.83000000000001</v>
      </c>
      <c r="J296" s="1">
        <f ca="1">IFERROR(__xludf.DUMMYFUNCTION("""COMPUTED_VALUE"""),319.04)</f>
        <v>319.04000000000002</v>
      </c>
      <c r="K296" s="1">
        <f ca="1">IFERROR(__xludf.DUMMYFUNCTION("""COMPUTED_VALUE"""),44.36)</f>
        <v>44.36</v>
      </c>
      <c r="L296" s="1">
        <f ca="1">IFERROR(__xludf.DUMMYFUNCTION("""COMPUTED_VALUE"""),439.06)</f>
        <v>439.06</v>
      </c>
      <c r="M296" s="1">
        <f ca="1">IFERROR(__xludf.DUMMYFUNCTION("""COMPUTED_VALUE"""),511.29)</f>
        <v>511.29</v>
      </c>
      <c r="N296" s="1">
        <f ca="1">IFERROR(__xludf.DUMMYFUNCTION("""COMPUTED_VALUE"""),150.56)</f>
        <v>150.56</v>
      </c>
      <c r="O296" s="1">
        <f ca="1">IFERROR(__xludf.DUMMYFUNCTION("""COMPUTED_VALUE"""),211.5)</f>
        <v>211.5</v>
      </c>
      <c r="P296" s="1">
        <f ca="1">IFERROR(__xludf.DUMMYFUNCTION("""COMPUTED_VALUE"""),153.07)</f>
        <v>153.07</v>
      </c>
      <c r="Q296" s="1">
        <f ca="1">IFERROR(__xludf.DUMMYFUNCTION("""COMPUTED_VALUE"""),333.81)</f>
        <v>333.81</v>
      </c>
      <c r="R296" s="1">
        <f ca="1">IFERROR(__xludf.DUMMYFUNCTION("""COMPUTED_VALUE"""),58.71)</f>
        <v>58.71</v>
      </c>
      <c r="S296" s="1">
        <f ca="1">IFERROR(__xludf.DUMMYFUNCTION("""COMPUTED_VALUE"""),71.29)</f>
        <v>71.290000000000006</v>
      </c>
      <c r="T296" s="1">
        <f ca="1">IFERROR(__xludf.DUMMYFUNCTION("""COMPUTED_VALUE"""),42.51)</f>
        <v>42.51</v>
      </c>
      <c r="U296" s="1">
        <f ca="1">IFERROR(__xludf.DUMMYFUNCTION("""COMPUTED_VALUE"""),132.04)</f>
        <v>132.04</v>
      </c>
      <c r="V296" s="1">
        <f ca="1">IFERROR(__xludf.DUMMYFUNCTION("""COMPUTED_VALUE"""),212.77)</f>
        <v>212.77</v>
      </c>
      <c r="W296" s="1">
        <f ca="1">IFERROR(__xludf.DUMMYFUNCTION("""COMPUTED_VALUE"""),338.25)</f>
        <v>338.25</v>
      </c>
      <c r="X296" s="1">
        <f ca="1">IFERROR(__xludf.DUMMYFUNCTION("""COMPUTED_VALUE"""),510.5)</f>
        <v>510.5</v>
      </c>
      <c r="Y296" s="1">
        <f ca="1">IFERROR(__xludf.DUMMYFUNCTION("""COMPUTED_VALUE"""),115.59)</f>
        <v>115.59</v>
      </c>
      <c r="Z296" s="1">
        <f ca="1">IFERROR(__xludf.DUMMYFUNCTION("""COMPUTED_VALUE"""),329.29)</f>
        <v>329.29</v>
      </c>
      <c r="AA296" s="1">
        <f ca="1">IFERROR(__xludf.DUMMYFUNCTION("""COMPUTED_VALUE"""),34.2)</f>
        <v>34.200000000000003</v>
      </c>
      <c r="AB296" s="1">
        <f ca="1">IFERROR(__xludf.DUMMYFUNCTION("""COMPUTED_VALUE"""),104.89)</f>
        <v>104.89</v>
      </c>
      <c r="AC296" s="1">
        <f ca="1">IFERROR(__xludf.DUMMYFUNCTION("""COMPUTED_VALUE"""),77.75)</f>
        <v>77.75</v>
      </c>
    </row>
    <row r="297" spans="1:29" x14ac:dyDescent="0.25">
      <c r="A297" s="2">
        <f ca="1">IFERROR(__xludf.DUMMYFUNCTION("""COMPUTED_VALUE"""),44260.6666666666)</f>
        <v>44260.666666666599</v>
      </c>
      <c r="B297" s="1">
        <f ca="1">IFERROR(__xludf.DUMMYFUNCTION("""COMPUTED_VALUE"""),121.42)</f>
        <v>121.42</v>
      </c>
      <c r="C297" s="1">
        <f ca="1">IFERROR(__xludf.DUMMYFUNCTION("""COMPUTED_VALUE"""),231.6)</f>
        <v>231.6</v>
      </c>
      <c r="D297" s="1">
        <f ca="1">IFERROR(__xludf.DUMMYFUNCTION("""COMPUTED_VALUE"""),150.02)</f>
        <v>150.02000000000001</v>
      </c>
      <c r="E297" s="1">
        <f ca="1">IFERROR(__xludf.DUMMYFUNCTION("""COMPUTED_VALUE"""),12.46)</f>
        <v>12.46</v>
      </c>
      <c r="F297" s="1">
        <f ca="1">IFERROR(__xludf.DUMMYFUNCTION("""COMPUTED_VALUE"""),264.28)</f>
        <v>264.27999999999997</v>
      </c>
      <c r="G297" s="1">
        <f ca="1">IFERROR(__xludf.DUMMYFUNCTION("""COMPUTED_VALUE"""),105.43)</f>
        <v>105.43</v>
      </c>
      <c r="H297" s="1">
        <f ca="1">IFERROR(__xludf.DUMMYFUNCTION("""COMPUTED_VALUE"""),199.32)</f>
        <v>199.32</v>
      </c>
      <c r="I297" s="1">
        <f ca="1">IFERROR(__xludf.DUMMYFUNCTION("""COMPUTED_VALUE"""),133.03)</f>
        <v>133.03</v>
      </c>
      <c r="J297" s="1">
        <f ca="1">IFERROR(__xludf.DUMMYFUNCTION("""COMPUTED_VALUE"""),317.32)</f>
        <v>317.32</v>
      </c>
      <c r="K297" s="1">
        <f ca="1">IFERROR(__xludf.DUMMYFUNCTION("""COMPUTED_VALUE"""),45.01)</f>
        <v>45.01</v>
      </c>
      <c r="L297" s="1">
        <f ca="1">IFERROR(__xludf.DUMMYFUNCTION("""COMPUTED_VALUE"""),440.83)</f>
        <v>440.83</v>
      </c>
      <c r="M297" s="1">
        <f ca="1">IFERROR(__xludf.DUMMYFUNCTION("""COMPUTED_VALUE"""),516.39)</f>
        <v>516.39</v>
      </c>
      <c r="N297" s="1">
        <f ca="1">IFERROR(__xludf.DUMMYFUNCTION("""COMPUTED_VALUE"""),150.91)</f>
        <v>150.91</v>
      </c>
      <c r="O297" s="1">
        <f ca="1">IFERROR(__xludf.DUMMYFUNCTION("""COMPUTED_VALUE"""),215.41)</f>
        <v>215.41</v>
      </c>
      <c r="P297" s="1">
        <f ca="1">IFERROR(__xludf.DUMMYFUNCTION("""COMPUTED_VALUE"""),156.1)</f>
        <v>156.1</v>
      </c>
      <c r="Q297" s="1">
        <f ca="1">IFERROR(__xludf.DUMMYFUNCTION("""COMPUTED_VALUE"""),347.1)</f>
        <v>347.1</v>
      </c>
      <c r="R297" s="1">
        <f ca="1">IFERROR(__xludf.DUMMYFUNCTION("""COMPUTED_VALUE"""),60.93)</f>
        <v>60.93</v>
      </c>
      <c r="S297" s="1">
        <f ca="1">IFERROR(__xludf.DUMMYFUNCTION("""COMPUTED_VALUE"""),70.7)</f>
        <v>70.7</v>
      </c>
      <c r="T297" s="1">
        <f ca="1">IFERROR(__xludf.DUMMYFUNCTION("""COMPUTED_VALUE"""),43.04)</f>
        <v>43.04</v>
      </c>
      <c r="U297" s="1">
        <f ca="1">IFERROR(__xludf.DUMMYFUNCTION("""COMPUTED_VALUE"""),133.35)</f>
        <v>133.35</v>
      </c>
      <c r="V297" s="1">
        <f ca="1">IFERROR(__xludf.DUMMYFUNCTION("""COMPUTED_VALUE"""),220.16)</f>
        <v>220.16</v>
      </c>
      <c r="W297" s="1">
        <f ca="1">IFERROR(__xludf.DUMMYFUNCTION("""COMPUTED_VALUE"""),340.43)</f>
        <v>340.43</v>
      </c>
      <c r="X297" s="1">
        <f ca="1">IFERROR(__xludf.DUMMYFUNCTION("""COMPUTED_VALUE"""),527.04)</f>
        <v>527.04</v>
      </c>
      <c r="Y297" s="1">
        <f ca="1">IFERROR(__xludf.DUMMYFUNCTION("""COMPUTED_VALUE"""),120.8)</f>
        <v>120.8</v>
      </c>
      <c r="Z297" s="1">
        <f ca="1">IFERROR(__xludf.DUMMYFUNCTION("""COMPUTED_VALUE"""),327.37)</f>
        <v>327.37</v>
      </c>
      <c r="AA297" s="1">
        <f ca="1">IFERROR(__xludf.DUMMYFUNCTION("""COMPUTED_VALUE"""),34.39)</f>
        <v>34.39</v>
      </c>
      <c r="AB297" s="1">
        <f ca="1">IFERROR(__xludf.DUMMYFUNCTION("""COMPUTED_VALUE"""),105.2)</f>
        <v>105.2</v>
      </c>
      <c r="AC297" s="1">
        <f ca="1">IFERROR(__xludf.DUMMYFUNCTION("""COMPUTED_VALUE"""),78.52)</f>
        <v>78.52</v>
      </c>
    </row>
    <row r="298" spans="1:29" x14ac:dyDescent="0.25">
      <c r="A298" s="2">
        <f ca="1">IFERROR(__xludf.DUMMYFUNCTION("""COMPUTED_VALUE"""),44263.6666666666)</f>
        <v>44263.666666666599</v>
      </c>
      <c r="B298" s="1">
        <f ca="1">IFERROR(__xludf.DUMMYFUNCTION("""COMPUTED_VALUE"""),116.36)</f>
        <v>116.36</v>
      </c>
      <c r="C298" s="1">
        <f ca="1">IFERROR(__xludf.DUMMYFUNCTION("""COMPUTED_VALUE"""),227.39)</f>
        <v>227.39</v>
      </c>
      <c r="D298" s="1">
        <f ca="1">IFERROR(__xludf.DUMMYFUNCTION("""COMPUTED_VALUE"""),147.6)</f>
        <v>147.6</v>
      </c>
      <c r="E298" s="1">
        <f ca="1">IFERROR(__xludf.DUMMYFUNCTION("""COMPUTED_VALUE"""),11.59)</f>
        <v>11.59</v>
      </c>
      <c r="F298" s="1">
        <f ca="1">IFERROR(__xludf.DUMMYFUNCTION("""COMPUTED_VALUE"""),255.31)</f>
        <v>255.31</v>
      </c>
      <c r="G298" s="1">
        <f ca="1">IFERROR(__xludf.DUMMYFUNCTION("""COMPUTED_VALUE"""),101.21)</f>
        <v>101.21</v>
      </c>
      <c r="H298" s="1">
        <f ca="1">IFERROR(__xludf.DUMMYFUNCTION("""COMPUTED_VALUE"""),187.67)</f>
        <v>187.67</v>
      </c>
      <c r="I298" s="1">
        <f ca="1">IFERROR(__xludf.DUMMYFUNCTION("""COMPUTED_VALUE"""),132.13)</f>
        <v>132.13</v>
      </c>
      <c r="J298" s="1">
        <f ca="1">IFERROR(__xludf.DUMMYFUNCTION("""COMPUTED_VALUE"""),311.42)</f>
        <v>311.42</v>
      </c>
      <c r="K298" s="1">
        <f ca="1">IFERROR(__xludf.DUMMYFUNCTION("""COMPUTED_VALUE"""),42.13)</f>
        <v>42.13</v>
      </c>
      <c r="L298" s="1">
        <f ca="1">IFERROR(__xludf.DUMMYFUNCTION("""COMPUTED_VALUE"""),421.2)</f>
        <v>421.2</v>
      </c>
      <c r="M298" s="1">
        <f ca="1">IFERROR(__xludf.DUMMYFUNCTION("""COMPUTED_VALUE"""),493.33)</f>
        <v>493.33</v>
      </c>
      <c r="N298" s="1">
        <f ca="1">IFERROR(__xludf.DUMMYFUNCTION("""COMPUTED_VALUE"""),152.91)</f>
        <v>152.91</v>
      </c>
      <c r="O298" s="1">
        <f ca="1">IFERROR(__xludf.DUMMYFUNCTION("""COMPUTED_VALUE"""),220.27)</f>
        <v>220.27</v>
      </c>
      <c r="P298" s="1">
        <f ca="1">IFERROR(__xludf.DUMMYFUNCTION("""COMPUTED_VALUE"""),157.4)</f>
        <v>157.4</v>
      </c>
      <c r="Q298" s="1">
        <f ca="1">IFERROR(__xludf.DUMMYFUNCTION("""COMPUTED_VALUE"""),350.17)</f>
        <v>350.17</v>
      </c>
      <c r="R298" s="1">
        <f ca="1">IFERROR(__xludf.DUMMYFUNCTION("""COMPUTED_VALUE"""),60.87)</f>
        <v>60.87</v>
      </c>
      <c r="S298" s="1">
        <f ca="1">IFERROR(__xludf.DUMMYFUNCTION("""COMPUTED_VALUE"""),70.86)</f>
        <v>70.86</v>
      </c>
      <c r="T298" s="1">
        <f ca="1">IFERROR(__xludf.DUMMYFUNCTION("""COMPUTED_VALUE"""),42.63)</f>
        <v>42.63</v>
      </c>
      <c r="U298" s="1">
        <f ca="1">IFERROR(__xludf.DUMMYFUNCTION("""COMPUTED_VALUE"""),134.56)</f>
        <v>134.56</v>
      </c>
      <c r="V298" s="1">
        <f ca="1">IFERROR(__xludf.DUMMYFUNCTION("""COMPUTED_VALUE"""),221.58)</f>
        <v>221.58</v>
      </c>
      <c r="W298" s="1">
        <f ca="1">IFERROR(__xludf.DUMMYFUNCTION("""COMPUTED_VALUE"""),341.45)</f>
        <v>341.45</v>
      </c>
      <c r="X298" s="1">
        <f ca="1">IFERROR(__xludf.DUMMYFUNCTION("""COMPUTED_VALUE"""),502.19)</f>
        <v>502.19</v>
      </c>
      <c r="Y298" s="1">
        <f ca="1">IFERROR(__xludf.DUMMYFUNCTION("""COMPUTED_VALUE"""),113.93)</f>
        <v>113.93</v>
      </c>
      <c r="Z298" s="1">
        <f ca="1">IFERROR(__xludf.DUMMYFUNCTION("""COMPUTED_VALUE"""),334.19)</f>
        <v>334.19</v>
      </c>
      <c r="AA298" s="1">
        <f ca="1">IFERROR(__xludf.DUMMYFUNCTION("""COMPUTED_VALUE"""),34.35)</f>
        <v>34.35</v>
      </c>
      <c r="AB298" s="1">
        <f ca="1">IFERROR(__xludf.DUMMYFUNCTION("""COMPUTED_VALUE"""),105.03)</f>
        <v>105.03</v>
      </c>
      <c r="AC298" s="1">
        <f ca="1">IFERROR(__xludf.DUMMYFUNCTION("""COMPUTED_VALUE"""),73.96)</f>
        <v>73.959999999999994</v>
      </c>
    </row>
    <row r="299" spans="1:29" x14ac:dyDescent="0.25">
      <c r="A299" s="2">
        <f ca="1">IFERROR(__xludf.DUMMYFUNCTION("""COMPUTED_VALUE"""),44264.6666666666)</f>
        <v>44264.666666666599</v>
      </c>
      <c r="B299" s="1">
        <f ca="1">IFERROR(__xludf.DUMMYFUNCTION("""COMPUTED_VALUE"""),121.09)</f>
        <v>121.09</v>
      </c>
      <c r="C299" s="1">
        <f ca="1">IFERROR(__xludf.DUMMYFUNCTION("""COMPUTED_VALUE"""),233.78)</f>
        <v>233.78</v>
      </c>
      <c r="D299" s="1">
        <f ca="1">IFERROR(__xludf.DUMMYFUNCTION("""COMPUTED_VALUE"""),153.14)</f>
        <v>153.13999999999999</v>
      </c>
      <c r="E299" s="1">
        <f ca="1">IFERROR(__xludf.DUMMYFUNCTION("""COMPUTED_VALUE"""),12.52)</f>
        <v>12.52</v>
      </c>
      <c r="F299" s="1">
        <f ca="1">IFERROR(__xludf.DUMMYFUNCTION("""COMPUTED_VALUE"""),265.74)</f>
        <v>265.74</v>
      </c>
      <c r="G299" s="1">
        <f ca="1">IFERROR(__xludf.DUMMYFUNCTION("""COMPUTED_VALUE"""),102.64)</f>
        <v>102.64</v>
      </c>
      <c r="H299" s="1">
        <f ca="1">IFERROR(__xludf.DUMMYFUNCTION("""COMPUTED_VALUE"""),224.53)</f>
        <v>224.53</v>
      </c>
      <c r="I299" s="1">
        <f ca="1">IFERROR(__xludf.DUMMYFUNCTION("""COMPUTED_VALUE"""),132.25)</f>
        <v>132.25</v>
      </c>
      <c r="J299" s="1">
        <f ca="1">IFERROR(__xludf.DUMMYFUNCTION("""COMPUTED_VALUE"""),318.78)</f>
        <v>318.77999999999997</v>
      </c>
      <c r="K299" s="1">
        <f ca="1">IFERROR(__xludf.DUMMYFUNCTION("""COMPUTED_VALUE"""),44.36)</f>
        <v>44.36</v>
      </c>
      <c r="L299" s="1">
        <f ca="1">IFERROR(__xludf.DUMMYFUNCTION("""COMPUTED_VALUE"""),439.18)</f>
        <v>439.18</v>
      </c>
      <c r="M299" s="1">
        <f ca="1">IFERROR(__xludf.DUMMYFUNCTION("""COMPUTED_VALUE"""),506.44)</f>
        <v>506.44</v>
      </c>
      <c r="N299" s="1">
        <f ca="1">IFERROR(__xludf.DUMMYFUNCTION("""COMPUTED_VALUE"""),151.83)</f>
        <v>151.83000000000001</v>
      </c>
      <c r="O299" s="1">
        <f ca="1">IFERROR(__xludf.DUMMYFUNCTION("""COMPUTED_VALUE"""),220.36)</f>
        <v>220.36</v>
      </c>
      <c r="P299" s="1">
        <f ca="1">IFERROR(__xludf.DUMMYFUNCTION("""COMPUTED_VALUE"""),157.7)</f>
        <v>157.69999999999999</v>
      </c>
      <c r="Q299" s="1">
        <f ca="1">IFERROR(__xludf.DUMMYFUNCTION("""COMPUTED_VALUE"""),351.98)</f>
        <v>351.98</v>
      </c>
      <c r="R299" s="1">
        <f ca="1">IFERROR(__xludf.DUMMYFUNCTION("""COMPUTED_VALUE"""),59.93)</f>
        <v>59.93</v>
      </c>
      <c r="S299" s="1">
        <f ca="1">IFERROR(__xludf.DUMMYFUNCTION("""COMPUTED_VALUE"""),74.02)</f>
        <v>74.02</v>
      </c>
      <c r="T299" s="1">
        <f ca="1">IFERROR(__xludf.DUMMYFUNCTION("""COMPUTED_VALUE"""),42.96)</f>
        <v>42.96</v>
      </c>
      <c r="U299" s="1">
        <f ca="1">IFERROR(__xludf.DUMMYFUNCTION("""COMPUTED_VALUE"""),135.95)</f>
        <v>135.94999999999999</v>
      </c>
      <c r="V299" s="1">
        <f ca="1">IFERROR(__xludf.DUMMYFUNCTION("""COMPUTED_VALUE"""),216.8)</f>
        <v>216.8</v>
      </c>
      <c r="W299" s="1">
        <f ca="1">IFERROR(__xludf.DUMMYFUNCTION("""COMPUTED_VALUE"""),337.5)</f>
        <v>337.5</v>
      </c>
      <c r="X299" s="1">
        <f ca="1">IFERROR(__xludf.DUMMYFUNCTION("""COMPUTED_VALUE"""),539.52)</f>
        <v>539.52</v>
      </c>
      <c r="Y299" s="1">
        <f ca="1">IFERROR(__xludf.DUMMYFUNCTION("""COMPUTED_VALUE"""),116.38)</f>
        <v>116.38</v>
      </c>
      <c r="Z299" s="1">
        <f ca="1">IFERROR(__xludf.DUMMYFUNCTION("""COMPUTED_VALUE"""),330.59)</f>
        <v>330.59</v>
      </c>
      <c r="AA299" s="1">
        <f ca="1">IFERROR(__xludf.DUMMYFUNCTION("""COMPUTED_VALUE"""),34.45)</f>
        <v>34.450000000000003</v>
      </c>
      <c r="AB299" s="1">
        <f ca="1">IFERROR(__xludf.DUMMYFUNCTION("""COMPUTED_VALUE"""),106.55)</f>
        <v>106.55</v>
      </c>
      <c r="AC299" s="1">
        <f ca="1">IFERROR(__xludf.DUMMYFUNCTION("""COMPUTED_VALUE"""),78.53)</f>
        <v>78.53</v>
      </c>
    </row>
    <row r="300" spans="1:29" x14ac:dyDescent="0.25">
      <c r="A300" s="2">
        <f ca="1">IFERROR(__xludf.DUMMYFUNCTION("""COMPUTED_VALUE"""),44265.6666666666)</f>
        <v>44265.666666666599</v>
      </c>
      <c r="B300" s="1">
        <f ca="1">IFERROR(__xludf.DUMMYFUNCTION("""COMPUTED_VALUE"""),119.98)</f>
        <v>119.98</v>
      </c>
      <c r="C300" s="1">
        <f ca="1">IFERROR(__xludf.DUMMYFUNCTION("""COMPUTED_VALUE"""),232.42)</f>
        <v>232.42</v>
      </c>
      <c r="D300" s="1">
        <f ca="1">IFERROR(__xludf.DUMMYFUNCTION("""COMPUTED_VALUE"""),152.88)</f>
        <v>152.88</v>
      </c>
      <c r="E300" s="1">
        <f ca="1">IFERROR(__xludf.DUMMYFUNCTION("""COMPUTED_VALUE"""),12.47)</f>
        <v>12.47</v>
      </c>
      <c r="F300" s="1">
        <f ca="1">IFERROR(__xludf.DUMMYFUNCTION("""COMPUTED_VALUE"""),264.9)</f>
        <v>264.89999999999998</v>
      </c>
      <c r="G300" s="1">
        <f ca="1">IFERROR(__xludf.DUMMYFUNCTION("""COMPUTED_VALUE"""),102.75)</f>
        <v>102.75</v>
      </c>
      <c r="H300" s="1">
        <f ca="1">IFERROR(__xludf.DUMMYFUNCTION("""COMPUTED_VALUE"""),222.69)</f>
        <v>222.69</v>
      </c>
      <c r="I300" s="1">
        <f ca="1">IFERROR(__xludf.DUMMYFUNCTION("""COMPUTED_VALUE"""),133.58)</f>
        <v>133.58000000000001</v>
      </c>
      <c r="J300" s="1">
        <f ca="1">IFERROR(__xludf.DUMMYFUNCTION("""COMPUTED_VALUE"""),323.83)</f>
        <v>323.83</v>
      </c>
      <c r="K300" s="1">
        <f ca="1">IFERROR(__xludf.DUMMYFUNCTION("""COMPUTED_VALUE"""),43.76)</f>
        <v>43.76</v>
      </c>
      <c r="L300" s="1">
        <f ca="1">IFERROR(__xludf.DUMMYFUNCTION("""COMPUTED_VALUE"""),437.01)</f>
        <v>437.01</v>
      </c>
      <c r="M300" s="1">
        <f ca="1">IFERROR(__xludf.DUMMYFUNCTION("""COMPUTED_VALUE"""),504.54)</f>
        <v>504.54</v>
      </c>
      <c r="N300" s="1">
        <f ca="1">IFERROR(__xludf.DUMMYFUNCTION("""COMPUTED_VALUE"""),155.13)</f>
        <v>155.13</v>
      </c>
      <c r="O300" s="1">
        <f ca="1">IFERROR(__xludf.DUMMYFUNCTION("""COMPUTED_VALUE"""),223.17)</f>
        <v>223.17</v>
      </c>
      <c r="P300" s="1">
        <f ca="1">IFERROR(__xludf.DUMMYFUNCTION("""COMPUTED_VALUE"""),159.15)</f>
        <v>159.15</v>
      </c>
      <c r="Q300" s="1">
        <f ca="1">IFERROR(__xludf.DUMMYFUNCTION("""COMPUTED_VALUE"""),349.6)</f>
        <v>349.6</v>
      </c>
      <c r="R300" s="1">
        <f ca="1">IFERROR(__xludf.DUMMYFUNCTION("""COMPUTED_VALUE"""),61.77)</f>
        <v>61.77</v>
      </c>
      <c r="S300" s="1">
        <f ca="1">IFERROR(__xludf.DUMMYFUNCTION("""COMPUTED_VALUE"""),74.46)</f>
        <v>74.459999999999994</v>
      </c>
      <c r="T300" s="1">
        <f ca="1">IFERROR(__xludf.DUMMYFUNCTION("""COMPUTED_VALUE"""),44.06)</f>
        <v>44.06</v>
      </c>
      <c r="U300" s="1">
        <f ca="1">IFERROR(__xludf.DUMMYFUNCTION("""COMPUTED_VALUE"""),137.59)</f>
        <v>137.59</v>
      </c>
      <c r="V300" s="1">
        <f ca="1">IFERROR(__xludf.DUMMYFUNCTION("""COMPUTED_VALUE"""),221.06)</f>
        <v>221.06</v>
      </c>
      <c r="W300" s="1">
        <f ca="1">IFERROR(__xludf.DUMMYFUNCTION("""COMPUTED_VALUE"""),340.84)</f>
        <v>340.84</v>
      </c>
      <c r="X300" s="1">
        <f ca="1">IFERROR(__xludf.DUMMYFUNCTION("""COMPUTED_VALUE"""),523.33)</f>
        <v>523.33000000000004</v>
      </c>
      <c r="Y300" s="1">
        <f ca="1">IFERROR(__xludf.DUMMYFUNCTION("""COMPUTED_VALUE"""),113.83)</f>
        <v>113.83</v>
      </c>
      <c r="Z300" s="1">
        <f ca="1">IFERROR(__xludf.DUMMYFUNCTION("""COMPUTED_VALUE"""),342.02)</f>
        <v>342.02</v>
      </c>
      <c r="AA300" s="1">
        <f ca="1">IFERROR(__xludf.DUMMYFUNCTION("""COMPUTED_VALUE"""),34.93)</f>
        <v>34.93</v>
      </c>
      <c r="AB300" s="1">
        <f ca="1">IFERROR(__xludf.DUMMYFUNCTION("""COMPUTED_VALUE"""),107.78)</f>
        <v>107.78</v>
      </c>
      <c r="AC300" s="1">
        <f ca="1">IFERROR(__xludf.DUMMYFUNCTION("""COMPUTED_VALUE"""),77.52)</f>
        <v>77.52</v>
      </c>
    </row>
    <row r="301" spans="1:29" x14ac:dyDescent="0.25">
      <c r="A301" s="2">
        <f ca="1">IFERROR(__xludf.DUMMYFUNCTION("""COMPUTED_VALUE"""),44266.6666666666)</f>
        <v>44266.666666666599</v>
      </c>
      <c r="B301" s="1">
        <f ca="1">IFERROR(__xludf.DUMMYFUNCTION("""COMPUTED_VALUE"""),121.96)</f>
        <v>121.96</v>
      </c>
      <c r="C301" s="1">
        <f ca="1">IFERROR(__xludf.DUMMYFUNCTION("""COMPUTED_VALUE"""),237.13)</f>
        <v>237.13</v>
      </c>
      <c r="D301" s="1">
        <f ca="1">IFERROR(__xludf.DUMMYFUNCTION("""COMPUTED_VALUE"""),155.68)</f>
        <v>155.68</v>
      </c>
      <c r="E301" s="1">
        <f ca="1">IFERROR(__xludf.DUMMYFUNCTION("""COMPUTED_VALUE"""),12.99)</f>
        <v>12.99</v>
      </c>
      <c r="F301" s="1">
        <f ca="1">IFERROR(__xludf.DUMMYFUNCTION("""COMPUTED_VALUE"""),273.88)</f>
        <v>273.88</v>
      </c>
      <c r="G301" s="1">
        <f ca="1">IFERROR(__xludf.DUMMYFUNCTION("""COMPUTED_VALUE"""),105.74)</f>
        <v>105.74</v>
      </c>
      <c r="H301" s="1">
        <f ca="1">IFERROR(__xludf.DUMMYFUNCTION("""COMPUTED_VALUE"""),233.2)</f>
        <v>233.2</v>
      </c>
      <c r="I301" s="1">
        <f ca="1">IFERROR(__xludf.DUMMYFUNCTION("""COMPUTED_VALUE"""),133.22)</f>
        <v>133.22</v>
      </c>
      <c r="J301" s="1">
        <f ca="1">IFERROR(__xludf.DUMMYFUNCTION("""COMPUTED_VALUE"""),328.65)</f>
        <v>328.65</v>
      </c>
      <c r="K301" s="1">
        <f ca="1">IFERROR(__xludf.DUMMYFUNCTION("""COMPUTED_VALUE"""),45.37)</f>
        <v>45.37</v>
      </c>
      <c r="L301" s="1">
        <f ca="1">IFERROR(__xludf.DUMMYFUNCTION("""COMPUTED_VALUE"""),451.06)</f>
        <v>451.06</v>
      </c>
      <c r="M301" s="1">
        <f ca="1">IFERROR(__xludf.DUMMYFUNCTION("""COMPUTED_VALUE"""),523.06)</f>
        <v>523.05999999999995</v>
      </c>
      <c r="N301" s="1">
        <f ca="1">IFERROR(__xludf.DUMMYFUNCTION("""COMPUTED_VALUE"""),154.32)</f>
        <v>154.32</v>
      </c>
      <c r="O301" s="1">
        <f ca="1">IFERROR(__xludf.DUMMYFUNCTION("""COMPUTED_VALUE"""),226.15)</f>
        <v>226.15</v>
      </c>
      <c r="P301" s="1">
        <f ca="1">IFERROR(__xludf.DUMMYFUNCTION("""COMPUTED_VALUE"""),159.14)</f>
        <v>159.13999999999999</v>
      </c>
      <c r="Q301" s="1">
        <f ca="1">IFERROR(__xludf.DUMMYFUNCTION("""COMPUTED_VALUE"""),353.1)</f>
        <v>353.1</v>
      </c>
      <c r="R301" s="1">
        <f ca="1">IFERROR(__xludf.DUMMYFUNCTION("""COMPUTED_VALUE"""),61.31)</f>
        <v>61.31</v>
      </c>
      <c r="S301" s="1">
        <f ca="1">IFERROR(__xludf.DUMMYFUNCTION("""COMPUTED_VALUE"""),74.86)</f>
        <v>74.86</v>
      </c>
      <c r="T301" s="1">
        <f ca="1">IFERROR(__xludf.DUMMYFUNCTION("""COMPUTED_VALUE"""),44.04)</f>
        <v>44.04</v>
      </c>
      <c r="U301" s="1">
        <f ca="1">IFERROR(__xludf.DUMMYFUNCTION("""COMPUTED_VALUE"""),141.19)</f>
        <v>141.19</v>
      </c>
      <c r="V301" s="1">
        <f ca="1">IFERROR(__xludf.DUMMYFUNCTION("""COMPUTED_VALUE"""),219.76)</f>
        <v>219.76</v>
      </c>
      <c r="W301" s="1">
        <f ca="1">IFERROR(__xludf.DUMMYFUNCTION("""COMPUTED_VALUE"""),339.73)</f>
        <v>339.73</v>
      </c>
      <c r="X301" s="1">
        <f ca="1">IFERROR(__xludf.DUMMYFUNCTION("""COMPUTED_VALUE"""),544.4)</f>
        <v>544.4</v>
      </c>
      <c r="Y301" s="1">
        <f ca="1">IFERROR(__xludf.DUMMYFUNCTION("""COMPUTED_VALUE"""),120.58)</f>
        <v>120.58</v>
      </c>
      <c r="Z301" s="1">
        <f ca="1">IFERROR(__xludf.DUMMYFUNCTION("""COMPUTED_VALUE"""),342.1)</f>
        <v>342.1</v>
      </c>
      <c r="AA301" s="1">
        <f ca="1">IFERROR(__xludf.DUMMYFUNCTION("""COMPUTED_VALUE"""),34.71)</f>
        <v>34.71</v>
      </c>
      <c r="AB301" s="1">
        <f ca="1">IFERROR(__xludf.DUMMYFUNCTION("""COMPUTED_VALUE"""),107.32)</f>
        <v>107.32</v>
      </c>
      <c r="AC301" s="1">
        <f ca="1">IFERROR(__xludf.DUMMYFUNCTION("""COMPUTED_VALUE"""),81.23)</f>
        <v>81.23</v>
      </c>
    </row>
    <row r="302" spans="1:29" x14ac:dyDescent="0.25">
      <c r="A302" s="2">
        <f ca="1">IFERROR(__xludf.DUMMYFUNCTION("""COMPUTED_VALUE"""),44267.6666666666)</f>
        <v>44267.666666666599</v>
      </c>
      <c r="B302" s="1">
        <f ca="1">IFERROR(__xludf.DUMMYFUNCTION("""COMPUTED_VALUE"""),121.03)</f>
        <v>121.03</v>
      </c>
      <c r="C302" s="1">
        <f ca="1">IFERROR(__xludf.DUMMYFUNCTION("""COMPUTED_VALUE"""),235.75)</f>
        <v>235.75</v>
      </c>
      <c r="D302" s="1">
        <f ca="1">IFERROR(__xludf.DUMMYFUNCTION("""COMPUTED_VALUE"""),154.47)</f>
        <v>154.47</v>
      </c>
      <c r="E302" s="1">
        <f ca="1">IFERROR(__xludf.DUMMYFUNCTION("""COMPUTED_VALUE"""),12.86)</f>
        <v>12.86</v>
      </c>
      <c r="F302" s="1">
        <f ca="1">IFERROR(__xludf.DUMMYFUNCTION("""COMPUTED_VALUE"""),268.4)</f>
        <v>268.39999999999998</v>
      </c>
      <c r="G302" s="1">
        <f ca="1">IFERROR(__xludf.DUMMYFUNCTION("""COMPUTED_VALUE"""),103.1)</f>
        <v>103.1</v>
      </c>
      <c r="H302" s="1">
        <f ca="1">IFERROR(__xludf.DUMMYFUNCTION("""COMPUTED_VALUE"""),231.24)</f>
        <v>231.24</v>
      </c>
      <c r="I302" s="1">
        <f ca="1">IFERROR(__xludf.DUMMYFUNCTION("""COMPUTED_VALUE"""),133.04)</f>
        <v>133.04</v>
      </c>
      <c r="J302" s="1">
        <f ca="1">IFERROR(__xludf.DUMMYFUNCTION("""COMPUTED_VALUE"""),331.14)</f>
        <v>331.14</v>
      </c>
      <c r="K302" s="1">
        <f ca="1">IFERROR(__xludf.DUMMYFUNCTION("""COMPUTED_VALUE"""),45.12)</f>
        <v>45.12</v>
      </c>
      <c r="L302" s="1">
        <f ca="1">IFERROR(__xludf.DUMMYFUNCTION("""COMPUTED_VALUE"""),444.3)</f>
        <v>444.3</v>
      </c>
      <c r="M302" s="1">
        <f ca="1">IFERROR(__xludf.DUMMYFUNCTION("""COMPUTED_VALUE"""),518.02)</f>
        <v>518.02</v>
      </c>
      <c r="N302" s="1">
        <f ca="1">IFERROR(__xludf.DUMMYFUNCTION("""COMPUTED_VALUE"""),156.15)</f>
        <v>156.15</v>
      </c>
      <c r="O302" s="1">
        <f ca="1">IFERROR(__xludf.DUMMYFUNCTION("""COMPUTED_VALUE"""),224.36)</f>
        <v>224.36</v>
      </c>
      <c r="P302" s="1">
        <f ca="1">IFERROR(__xludf.DUMMYFUNCTION("""COMPUTED_VALUE"""),159.6)</f>
        <v>159.6</v>
      </c>
      <c r="Q302" s="1">
        <f ca="1">IFERROR(__xludf.DUMMYFUNCTION("""COMPUTED_VALUE"""),356.02)</f>
        <v>356.02</v>
      </c>
      <c r="R302" s="1">
        <f ca="1">IFERROR(__xludf.DUMMYFUNCTION("""COMPUTED_VALUE"""),61.97)</f>
        <v>61.97</v>
      </c>
      <c r="S302" s="1">
        <f ca="1">IFERROR(__xludf.DUMMYFUNCTION("""COMPUTED_VALUE"""),75.67)</f>
        <v>75.67</v>
      </c>
      <c r="T302" s="1">
        <f ca="1">IFERROR(__xludf.DUMMYFUNCTION("""COMPUTED_VALUE"""),44.71)</f>
        <v>44.71</v>
      </c>
      <c r="U302" s="1">
        <f ca="1">IFERROR(__xludf.DUMMYFUNCTION("""COMPUTED_VALUE"""),140.45)</f>
        <v>140.44999999999999</v>
      </c>
      <c r="V302" s="1">
        <f ca="1">IFERROR(__xludf.DUMMYFUNCTION("""COMPUTED_VALUE"""),229)</f>
        <v>229</v>
      </c>
      <c r="W302" s="1">
        <f ca="1">IFERROR(__xludf.DUMMYFUNCTION("""COMPUTED_VALUE"""),340.19)</f>
        <v>340.19</v>
      </c>
      <c r="X302" s="1">
        <f ca="1">IFERROR(__xludf.DUMMYFUNCTION("""COMPUTED_VALUE"""),537.63)</f>
        <v>537.63</v>
      </c>
      <c r="Y302" s="1">
        <f ca="1">IFERROR(__xludf.DUMMYFUNCTION("""COMPUTED_VALUE"""),118.3)</f>
        <v>118.3</v>
      </c>
      <c r="Z302" s="1">
        <f ca="1">IFERROR(__xludf.DUMMYFUNCTION("""COMPUTED_VALUE"""),348.81)</f>
        <v>348.81</v>
      </c>
      <c r="AA302" s="1">
        <f ca="1">IFERROR(__xludf.DUMMYFUNCTION("""COMPUTED_VALUE"""),34.94)</f>
        <v>34.94</v>
      </c>
      <c r="AB302" s="1">
        <f ca="1">IFERROR(__xludf.DUMMYFUNCTION("""COMPUTED_VALUE"""),107.81)</f>
        <v>107.81</v>
      </c>
      <c r="AC302" s="1">
        <f ca="1">IFERROR(__xludf.DUMMYFUNCTION("""COMPUTED_VALUE"""),81.05)</f>
        <v>81.05</v>
      </c>
    </row>
    <row r="303" spans="1:29" x14ac:dyDescent="0.25">
      <c r="A303" s="2">
        <f ca="1">IFERROR(__xludf.DUMMYFUNCTION("""COMPUTED_VALUE"""),44270.6666666666)</f>
        <v>44270.666666666599</v>
      </c>
      <c r="B303" s="1">
        <f ca="1">IFERROR(__xludf.DUMMYFUNCTION("""COMPUTED_VALUE"""),123.99)</f>
        <v>123.99</v>
      </c>
      <c r="C303" s="1">
        <f ca="1">IFERROR(__xludf.DUMMYFUNCTION("""COMPUTED_VALUE"""),234.81)</f>
        <v>234.81</v>
      </c>
      <c r="D303" s="1">
        <f ca="1">IFERROR(__xludf.DUMMYFUNCTION("""COMPUTED_VALUE"""),154.08)</f>
        <v>154.08000000000001</v>
      </c>
      <c r="E303" s="1">
        <f ca="1">IFERROR(__xludf.DUMMYFUNCTION("""COMPUTED_VALUE"""),13.19)</f>
        <v>13.19</v>
      </c>
      <c r="F303" s="1">
        <f ca="1">IFERROR(__xludf.DUMMYFUNCTION("""COMPUTED_VALUE"""),273.75)</f>
        <v>273.75</v>
      </c>
      <c r="G303" s="1">
        <f ca="1">IFERROR(__xludf.DUMMYFUNCTION("""COMPUTED_VALUE"""),103.32)</f>
        <v>103.32</v>
      </c>
      <c r="H303" s="1">
        <f ca="1">IFERROR(__xludf.DUMMYFUNCTION("""COMPUTED_VALUE"""),235.98)</f>
        <v>235.98</v>
      </c>
      <c r="I303" s="1">
        <f ca="1">IFERROR(__xludf.DUMMYFUNCTION("""COMPUTED_VALUE"""),133.03)</f>
        <v>133.03</v>
      </c>
      <c r="J303" s="1">
        <f ca="1">IFERROR(__xludf.DUMMYFUNCTION("""COMPUTED_VALUE"""),330.51)</f>
        <v>330.51</v>
      </c>
      <c r="K303" s="1">
        <f ca="1">IFERROR(__xludf.DUMMYFUNCTION("""COMPUTED_VALUE"""),47.08)</f>
        <v>47.08</v>
      </c>
      <c r="L303" s="1">
        <f ca="1">IFERROR(__xludf.DUMMYFUNCTION("""COMPUTED_VALUE"""),447.59)</f>
        <v>447.59</v>
      </c>
      <c r="M303" s="1">
        <f ca="1">IFERROR(__xludf.DUMMYFUNCTION("""COMPUTED_VALUE"""),520.25)</f>
        <v>520.25</v>
      </c>
      <c r="N303" s="1">
        <f ca="1">IFERROR(__xludf.DUMMYFUNCTION("""COMPUTED_VALUE"""),155.37)</f>
        <v>155.37</v>
      </c>
      <c r="O303" s="1">
        <f ca="1">IFERROR(__xludf.DUMMYFUNCTION("""COMPUTED_VALUE"""),223.27)</f>
        <v>223.27</v>
      </c>
      <c r="P303" s="1">
        <f ca="1">IFERROR(__xludf.DUMMYFUNCTION("""COMPUTED_VALUE"""),160.42)</f>
        <v>160.41999999999999</v>
      </c>
      <c r="Q303" s="1">
        <f ca="1">IFERROR(__xludf.DUMMYFUNCTION("""COMPUTED_VALUE"""),353.88)</f>
        <v>353.88</v>
      </c>
      <c r="R303" s="1">
        <f ca="1">IFERROR(__xludf.DUMMYFUNCTION("""COMPUTED_VALUE"""),60.39)</f>
        <v>60.39</v>
      </c>
      <c r="S303" s="1">
        <f ca="1">IFERROR(__xludf.DUMMYFUNCTION("""COMPUTED_VALUE"""),75.52)</f>
        <v>75.52</v>
      </c>
      <c r="T303" s="1">
        <f ca="1">IFERROR(__xludf.DUMMYFUNCTION("""COMPUTED_VALUE"""),44.48)</f>
        <v>44.48</v>
      </c>
      <c r="U303" s="1">
        <f ca="1">IFERROR(__xludf.DUMMYFUNCTION("""COMPUTED_VALUE"""),144.94)</f>
        <v>144.94</v>
      </c>
      <c r="V303" s="1">
        <f ca="1">IFERROR(__xludf.DUMMYFUNCTION("""COMPUTED_VALUE"""),230.74)</f>
        <v>230.74</v>
      </c>
      <c r="W303" s="1">
        <f ca="1">IFERROR(__xludf.DUMMYFUNCTION("""COMPUTED_VALUE"""),346.41)</f>
        <v>346.41</v>
      </c>
      <c r="X303" s="1">
        <f ca="1">IFERROR(__xludf.DUMMYFUNCTION("""COMPUTED_VALUE"""),547.19)</f>
        <v>547.19000000000005</v>
      </c>
      <c r="Y303" s="1">
        <f ca="1">IFERROR(__xludf.DUMMYFUNCTION("""COMPUTED_VALUE"""),119.08)</f>
        <v>119.08</v>
      </c>
      <c r="Z303" s="1">
        <f ca="1">IFERROR(__xludf.DUMMYFUNCTION("""COMPUTED_VALUE"""),346.05)</f>
        <v>346.05</v>
      </c>
      <c r="AA303" s="1">
        <f ca="1">IFERROR(__xludf.DUMMYFUNCTION("""COMPUTED_VALUE"""),35.41)</f>
        <v>35.409999999999997</v>
      </c>
      <c r="AB303" s="1">
        <f ca="1">IFERROR(__xludf.DUMMYFUNCTION("""COMPUTED_VALUE"""),108.9)</f>
        <v>108.9</v>
      </c>
      <c r="AC303" s="1">
        <f ca="1">IFERROR(__xludf.DUMMYFUNCTION("""COMPUTED_VALUE"""),82.5)</f>
        <v>82.5</v>
      </c>
    </row>
    <row r="304" spans="1:29" x14ac:dyDescent="0.25">
      <c r="A304" s="2">
        <f ca="1">IFERROR(__xludf.DUMMYFUNCTION("""COMPUTED_VALUE"""),44271.6666666666)</f>
        <v>44271.666666666599</v>
      </c>
      <c r="B304" s="1">
        <f ca="1">IFERROR(__xludf.DUMMYFUNCTION("""COMPUTED_VALUE"""),125.57)</f>
        <v>125.57</v>
      </c>
      <c r="C304" s="1">
        <f ca="1">IFERROR(__xludf.DUMMYFUNCTION("""COMPUTED_VALUE"""),237.71)</f>
        <v>237.71</v>
      </c>
      <c r="D304" s="1">
        <f ca="1">IFERROR(__xludf.DUMMYFUNCTION("""COMPUTED_VALUE"""),154.59)</f>
        <v>154.59</v>
      </c>
      <c r="E304" s="1">
        <f ca="1">IFERROR(__xludf.DUMMYFUNCTION("""COMPUTED_VALUE"""),13.29)</f>
        <v>13.29</v>
      </c>
      <c r="F304" s="1">
        <f ca="1">IFERROR(__xludf.DUMMYFUNCTION("""COMPUTED_VALUE"""),279.28)</f>
        <v>279.27999999999997</v>
      </c>
      <c r="G304" s="1">
        <f ca="1">IFERROR(__xludf.DUMMYFUNCTION("""COMPUTED_VALUE"""),104.63)</f>
        <v>104.63</v>
      </c>
      <c r="H304" s="1">
        <f ca="1">IFERROR(__xludf.DUMMYFUNCTION("""COMPUTED_VALUE"""),225.63)</f>
        <v>225.63</v>
      </c>
      <c r="I304" s="1">
        <f ca="1">IFERROR(__xludf.DUMMYFUNCTION("""COMPUTED_VALUE"""),134.01)</f>
        <v>134.01</v>
      </c>
      <c r="J304" s="1">
        <f ca="1">IFERROR(__xludf.DUMMYFUNCTION("""COMPUTED_VALUE"""),327.25)</f>
        <v>327.25</v>
      </c>
      <c r="K304" s="1">
        <f ca="1">IFERROR(__xludf.DUMMYFUNCTION("""COMPUTED_VALUE"""),47.82)</f>
        <v>47.82</v>
      </c>
      <c r="L304" s="1">
        <f ca="1">IFERROR(__xludf.DUMMYFUNCTION("""COMPUTED_VALUE"""),450.54)</f>
        <v>450.54</v>
      </c>
      <c r="M304" s="1">
        <f ca="1">IFERROR(__xludf.DUMMYFUNCTION("""COMPUTED_VALUE"""),524.03)</f>
        <v>524.03</v>
      </c>
      <c r="N304" s="1">
        <f ca="1">IFERROR(__xludf.DUMMYFUNCTION("""COMPUTED_VALUE"""),153.51)</f>
        <v>153.51</v>
      </c>
      <c r="O304" s="1">
        <f ca="1">IFERROR(__xludf.DUMMYFUNCTION("""COMPUTED_VALUE"""),224.7)</f>
        <v>224.7</v>
      </c>
      <c r="P304" s="1">
        <f ca="1">IFERROR(__xludf.DUMMYFUNCTION("""COMPUTED_VALUE"""),161.37)</f>
        <v>161.37</v>
      </c>
      <c r="Q304" s="1">
        <f ca="1">IFERROR(__xludf.DUMMYFUNCTION("""COMPUTED_VALUE"""),354.6)</f>
        <v>354.6</v>
      </c>
      <c r="R304" s="1">
        <f ca="1">IFERROR(__xludf.DUMMYFUNCTION("""COMPUTED_VALUE"""),59.11)</f>
        <v>59.11</v>
      </c>
      <c r="S304" s="1">
        <f ca="1">IFERROR(__xludf.DUMMYFUNCTION("""COMPUTED_VALUE"""),75.38)</f>
        <v>75.38</v>
      </c>
      <c r="T304" s="1">
        <f ca="1">IFERROR(__xludf.DUMMYFUNCTION("""COMPUTED_VALUE"""),44.46)</f>
        <v>44.46</v>
      </c>
      <c r="U304" s="1">
        <f ca="1">IFERROR(__xludf.DUMMYFUNCTION("""COMPUTED_VALUE"""),144.65)</f>
        <v>144.65</v>
      </c>
      <c r="V304" s="1">
        <f ca="1">IFERROR(__xludf.DUMMYFUNCTION("""COMPUTED_VALUE"""),226.46)</f>
        <v>226.46</v>
      </c>
      <c r="W304" s="1">
        <f ca="1">IFERROR(__xludf.DUMMYFUNCTION("""COMPUTED_VALUE"""),347.13)</f>
        <v>347.13</v>
      </c>
      <c r="X304" s="1">
        <f ca="1">IFERROR(__xludf.DUMMYFUNCTION("""COMPUTED_VALUE"""),549.38)</f>
        <v>549.38</v>
      </c>
      <c r="Y304" s="1">
        <f ca="1">IFERROR(__xludf.DUMMYFUNCTION("""COMPUTED_VALUE"""),119.35)</f>
        <v>119.35</v>
      </c>
      <c r="Z304" s="1">
        <f ca="1">IFERROR(__xludf.DUMMYFUNCTION("""COMPUTED_VALUE"""),341.71)</f>
        <v>341.71</v>
      </c>
      <c r="AA304" s="1">
        <f ca="1">IFERROR(__xludf.DUMMYFUNCTION("""COMPUTED_VALUE"""),35.83)</f>
        <v>35.83</v>
      </c>
      <c r="AB304" s="1">
        <f ca="1">IFERROR(__xludf.DUMMYFUNCTION("""COMPUTED_VALUE"""),111.34)</f>
        <v>111.34</v>
      </c>
      <c r="AC304" s="1">
        <f ca="1">IFERROR(__xludf.DUMMYFUNCTION("""COMPUTED_VALUE"""),82.75)</f>
        <v>82.75</v>
      </c>
    </row>
    <row r="305" spans="1:29" x14ac:dyDescent="0.25">
      <c r="A305" s="2">
        <f ca="1">IFERROR(__xludf.DUMMYFUNCTION("""COMPUTED_VALUE"""),44272.6666666666)</f>
        <v>44272.666666666599</v>
      </c>
      <c r="B305" s="1">
        <f ca="1">IFERROR(__xludf.DUMMYFUNCTION("""COMPUTED_VALUE"""),124.76)</f>
        <v>124.76</v>
      </c>
      <c r="C305" s="1">
        <f ca="1">IFERROR(__xludf.DUMMYFUNCTION("""COMPUTED_VALUE"""),237.04)</f>
        <v>237.04</v>
      </c>
      <c r="D305" s="1">
        <f ca="1">IFERROR(__xludf.DUMMYFUNCTION("""COMPUTED_VALUE"""),156.79)</f>
        <v>156.79</v>
      </c>
      <c r="E305" s="1">
        <f ca="1">IFERROR(__xludf.DUMMYFUNCTION("""COMPUTED_VALUE"""),13.34)</f>
        <v>13.34</v>
      </c>
      <c r="F305" s="1">
        <f ca="1">IFERROR(__xludf.DUMMYFUNCTION("""COMPUTED_VALUE"""),284.01)</f>
        <v>284.01</v>
      </c>
      <c r="G305" s="1">
        <f ca="1">IFERROR(__xludf.DUMMYFUNCTION("""COMPUTED_VALUE"""),104.55)</f>
        <v>104.55</v>
      </c>
      <c r="H305" s="1">
        <f ca="1">IFERROR(__xludf.DUMMYFUNCTION("""COMPUTED_VALUE"""),233.94)</f>
        <v>233.94</v>
      </c>
      <c r="I305" s="1">
        <f ca="1">IFERROR(__xludf.DUMMYFUNCTION("""COMPUTED_VALUE"""),133.62)</f>
        <v>133.62</v>
      </c>
      <c r="J305" s="1">
        <f ca="1">IFERROR(__xludf.DUMMYFUNCTION("""COMPUTED_VALUE"""),329.19)</f>
        <v>329.19</v>
      </c>
      <c r="K305" s="1">
        <f ca="1">IFERROR(__xludf.DUMMYFUNCTION("""COMPUTED_VALUE"""),48.36)</f>
        <v>48.36</v>
      </c>
      <c r="L305" s="1">
        <f ca="1">IFERROR(__xludf.DUMMYFUNCTION("""COMPUTED_VALUE"""),451.01)</f>
        <v>451.01</v>
      </c>
      <c r="M305" s="1">
        <f ca="1">IFERROR(__xludf.DUMMYFUNCTION("""COMPUTED_VALUE"""),524.44)</f>
        <v>524.44000000000005</v>
      </c>
      <c r="N305" s="1">
        <f ca="1">IFERROR(__xludf.DUMMYFUNCTION("""COMPUTED_VALUE"""),155.09)</f>
        <v>155.09</v>
      </c>
      <c r="O305" s="1">
        <f ca="1">IFERROR(__xludf.DUMMYFUNCTION("""COMPUTED_VALUE"""),223.02)</f>
        <v>223.02</v>
      </c>
      <c r="P305" s="1">
        <f ca="1">IFERROR(__xludf.DUMMYFUNCTION("""COMPUTED_VALUE"""),160.77)</f>
        <v>160.77000000000001</v>
      </c>
      <c r="Q305" s="1">
        <f ca="1">IFERROR(__xludf.DUMMYFUNCTION("""COMPUTED_VALUE"""),352.18)</f>
        <v>352.18</v>
      </c>
      <c r="R305" s="1">
        <f ca="1">IFERROR(__xludf.DUMMYFUNCTION("""COMPUTED_VALUE"""),59.37)</f>
        <v>59.37</v>
      </c>
      <c r="S305" s="1">
        <f ca="1">IFERROR(__xludf.DUMMYFUNCTION("""COMPUTED_VALUE"""),72.96)</f>
        <v>72.959999999999994</v>
      </c>
      <c r="T305" s="1">
        <f ca="1">IFERROR(__xludf.DUMMYFUNCTION("""COMPUTED_VALUE"""),44.09)</f>
        <v>44.09</v>
      </c>
      <c r="U305" s="1">
        <f ca="1">IFERROR(__xludf.DUMMYFUNCTION("""COMPUTED_VALUE"""),144.82)</f>
        <v>144.82</v>
      </c>
      <c r="V305" s="1">
        <f ca="1">IFERROR(__xludf.DUMMYFUNCTION("""COMPUTED_VALUE"""),233.63)</f>
        <v>233.63</v>
      </c>
      <c r="W305" s="1">
        <f ca="1">IFERROR(__xludf.DUMMYFUNCTION("""COMPUTED_VALUE"""),351.02)</f>
        <v>351.02</v>
      </c>
      <c r="X305" s="1">
        <f ca="1">IFERROR(__xludf.DUMMYFUNCTION("""COMPUTED_VALUE"""),559.57)</f>
        <v>559.57000000000005</v>
      </c>
      <c r="Y305" s="1">
        <f ca="1">IFERROR(__xludf.DUMMYFUNCTION("""COMPUTED_VALUE"""),118.76)</f>
        <v>118.76</v>
      </c>
      <c r="Z305" s="1">
        <f ca="1">IFERROR(__xludf.DUMMYFUNCTION("""COMPUTED_VALUE"""),344.95)</f>
        <v>344.95</v>
      </c>
      <c r="AA305" s="1">
        <f ca="1">IFERROR(__xludf.DUMMYFUNCTION("""COMPUTED_VALUE"""),35.79)</f>
        <v>35.79</v>
      </c>
      <c r="AB305" s="1">
        <f ca="1">IFERROR(__xludf.DUMMYFUNCTION("""COMPUTED_VALUE"""),110.46)</f>
        <v>110.46</v>
      </c>
      <c r="AC305" s="1">
        <f ca="1">IFERROR(__xludf.DUMMYFUNCTION("""COMPUTED_VALUE"""),82.63)</f>
        <v>82.63</v>
      </c>
    </row>
    <row r="306" spans="1:29" x14ac:dyDescent="0.25">
      <c r="A306" s="2">
        <f ca="1">IFERROR(__xludf.DUMMYFUNCTION("""COMPUTED_VALUE"""),44273.6666666666)</f>
        <v>44273.666666666599</v>
      </c>
      <c r="B306" s="1">
        <f ca="1">IFERROR(__xludf.DUMMYFUNCTION("""COMPUTED_VALUE"""),120.53)</f>
        <v>120.53</v>
      </c>
      <c r="C306" s="1">
        <f ca="1">IFERROR(__xludf.DUMMYFUNCTION("""COMPUTED_VALUE"""),230.72)</f>
        <v>230.72</v>
      </c>
      <c r="D306" s="1">
        <f ca="1">IFERROR(__xludf.DUMMYFUNCTION("""COMPUTED_VALUE"""),151.4)</f>
        <v>151.4</v>
      </c>
      <c r="E306" s="1">
        <f ca="1">IFERROR(__xludf.DUMMYFUNCTION("""COMPUTED_VALUE"""),12.72)</f>
        <v>12.72</v>
      </c>
      <c r="F306" s="1">
        <f ca="1">IFERROR(__xludf.DUMMYFUNCTION("""COMPUTED_VALUE"""),278.62)</f>
        <v>278.62</v>
      </c>
      <c r="G306" s="1">
        <f ca="1">IFERROR(__xludf.DUMMYFUNCTION("""COMPUTED_VALUE"""),101.81)</f>
        <v>101.81</v>
      </c>
      <c r="H306" s="1">
        <f ca="1">IFERROR(__xludf.DUMMYFUNCTION("""COMPUTED_VALUE"""),217.72)</f>
        <v>217.72</v>
      </c>
      <c r="I306" s="1">
        <f ca="1">IFERROR(__xludf.DUMMYFUNCTION("""COMPUTED_VALUE"""),132.53)</f>
        <v>132.53</v>
      </c>
      <c r="J306" s="1">
        <f ca="1">IFERROR(__xludf.DUMMYFUNCTION("""COMPUTED_VALUE"""),322.98)</f>
        <v>322.98</v>
      </c>
      <c r="K306" s="1">
        <f ca="1">IFERROR(__xludf.DUMMYFUNCTION("""COMPUTED_VALUE"""),46.42)</f>
        <v>46.42</v>
      </c>
      <c r="L306" s="1">
        <f ca="1">IFERROR(__xludf.DUMMYFUNCTION("""COMPUTED_VALUE"""),439.18)</f>
        <v>439.18</v>
      </c>
      <c r="M306" s="1">
        <f ca="1">IFERROR(__xludf.DUMMYFUNCTION("""COMPUTED_VALUE"""),504.79)</f>
        <v>504.79</v>
      </c>
      <c r="N306" s="1">
        <f ca="1">IFERROR(__xludf.DUMMYFUNCTION("""COMPUTED_VALUE"""),157.65)</f>
        <v>157.65</v>
      </c>
      <c r="O306" s="1">
        <f ca="1">IFERROR(__xludf.DUMMYFUNCTION("""COMPUTED_VALUE"""),220.66)</f>
        <v>220.66</v>
      </c>
      <c r="P306" s="1">
        <f ca="1">IFERROR(__xludf.DUMMYFUNCTION("""COMPUTED_VALUE"""),160.47)</f>
        <v>160.47</v>
      </c>
      <c r="Q306" s="1">
        <f ca="1">IFERROR(__xludf.DUMMYFUNCTION("""COMPUTED_VALUE"""),362.05)</f>
        <v>362.05</v>
      </c>
      <c r="R306" s="1">
        <f ca="1">IFERROR(__xludf.DUMMYFUNCTION("""COMPUTED_VALUE"""),56.81)</f>
        <v>56.81</v>
      </c>
      <c r="S306" s="1">
        <f ca="1">IFERROR(__xludf.DUMMYFUNCTION("""COMPUTED_VALUE"""),71.13)</f>
        <v>71.13</v>
      </c>
      <c r="T306" s="1">
        <f ca="1">IFERROR(__xludf.DUMMYFUNCTION("""COMPUTED_VALUE"""),43.34)</f>
        <v>43.34</v>
      </c>
      <c r="U306" s="1">
        <f ca="1">IFERROR(__xludf.DUMMYFUNCTION("""COMPUTED_VALUE"""),143.17)</f>
        <v>143.16999999999999</v>
      </c>
      <c r="V306" s="1">
        <f ca="1">IFERROR(__xludf.DUMMYFUNCTION("""COMPUTED_VALUE"""),230.68)</f>
        <v>230.68</v>
      </c>
      <c r="W306" s="1">
        <f ca="1">IFERROR(__xludf.DUMMYFUNCTION("""COMPUTED_VALUE"""),358.45)</f>
        <v>358.45</v>
      </c>
      <c r="X306" s="1">
        <f ca="1">IFERROR(__xludf.DUMMYFUNCTION("""COMPUTED_VALUE"""),539.19)</f>
        <v>539.19000000000005</v>
      </c>
      <c r="Y306" s="1">
        <f ca="1">IFERROR(__xludf.DUMMYFUNCTION("""COMPUTED_VALUE"""),114.5)</f>
        <v>114.5</v>
      </c>
      <c r="Z306" s="1">
        <f ca="1">IFERROR(__xludf.DUMMYFUNCTION("""COMPUTED_VALUE"""),348)</f>
        <v>348</v>
      </c>
      <c r="AA306" s="1">
        <f ca="1">IFERROR(__xludf.DUMMYFUNCTION("""COMPUTED_VALUE"""),35.77)</f>
        <v>35.770000000000003</v>
      </c>
      <c r="AB306" s="1">
        <f ca="1">IFERROR(__xludf.DUMMYFUNCTION("""COMPUTED_VALUE"""),107.62)</f>
        <v>107.62</v>
      </c>
      <c r="AC306" s="1">
        <f ca="1">IFERROR(__xludf.DUMMYFUNCTION("""COMPUTED_VALUE"""),78.12)</f>
        <v>78.12</v>
      </c>
    </row>
    <row r="307" spans="1:29" x14ac:dyDescent="0.25">
      <c r="A307" s="2">
        <f ca="1">IFERROR(__xludf.DUMMYFUNCTION("""COMPUTED_VALUE"""),44274.6666666666)</f>
        <v>44274.666666666599</v>
      </c>
      <c r="B307" s="1">
        <f ca="1">IFERROR(__xludf.DUMMYFUNCTION("""COMPUTED_VALUE"""),119.99)</f>
        <v>119.99</v>
      </c>
      <c r="C307" s="1">
        <f ca="1">IFERROR(__xludf.DUMMYFUNCTION("""COMPUTED_VALUE"""),230.35)</f>
        <v>230.35</v>
      </c>
      <c r="D307" s="1">
        <f ca="1">IFERROR(__xludf.DUMMYFUNCTION("""COMPUTED_VALUE"""),153.75)</f>
        <v>153.75</v>
      </c>
      <c r="E307" s="1">
        <f ca="1">IFERROR(__xludf.DUMMYFUNCTION("""COMPUTED_VALUE"""),12.85)</f>
        <v>12.85</v>
      </c>
      <c r="F307" s="1">
        <f ca="1">IFERROR(__xludf.DUMMYFUNCTION("""COMPUTED_VALUE"""),290.11)</f>
        <v>290.11</v>
      </c>
      <c r="G307" s="1">
        <f ca="1">IFERROR(__xludf.DUMMYFUNCTION("""COMPUTED_VALUE"""),102.16)</f>
        <v>102.16</v>
      </c>
      <c r="H307" s="1">
        <f ca="1">IFERROR(__xludf.DUMMYFUNCTION("""COMPUTED_VALUE"""),218.29)</f>
        <v>218.29</v>
      </c>
      <c r="I307" s="1">
        <f ca="1">IFERROR(__xludf.DUMMYFUNCTION("""COMPUTED_VALUE"""),134.5)</f>
        <v>134.5</v>
      </c>
      <c r="J307" s="1">
        <f ca="1">IFERROR(__xludf.DUMMYFUNCTION("""COMPUTED_VALUE"""),328.91)</f>
        <v>328.91</v>
      </c>
      <c r="K307" s="1">
        <f ca="1">IFERROR(__xludf.DUMMYFUNCTION("""COMPUTED_VALUE"""),47.45)</f>
        <v>47.45</v>
      </c>
      <c r="L307" s="1">
        <f ca="1">IFERROR(__xludf.DUMMYFUNCTION("""COMPUTED_VALUE"""),441.5)</f>
        <v>441.5</v>
      </c>
      <c r="M307" s="1">
        <f ca="1">IFERROR(__xludf.DUMMYFUNCTION("""COMPUTED_VALUE"""),512.18)</f>
        <v>512.17999999999995</v>
      </c>
      <c r="N307" s="1">
        <f ca="1">IFERROR(__xludf.DUMMYFUNCTION("""COMPUTED_VALUE"""),155.14)</f>
        <v>155.13999999999999</v>
      </c>
      <c r="O307" s="1">
        <f ca="1">IFERROR(__xludf.DUMMYFUNCTION("""COMPUTED_VALUE"""),206.9)</f>
        <v>206.9</v>
      </c>
      <c r="P307" s="1">
        <f ca="1">IFERROR(__xludf.DUMMYFUNCTION("""COMPUTED_VALUE"""),160.04)</f>
        <v>160.04</v>
      </c>
      <c r="Q307" s="1">
        <f ca="1">IFERROR(__xludf.DUMMYFUNCTION("""COMPUTED_VALUE"""),365.58)</f>
        <v>365.58</v>
      </c>
      <c r="R307" s="1">
        <f ca="1">IFERROR(__xludf.DUMMYFUNCTION("""COMPUTED_VALUE"""),56.49)</f>
        <v>56.49</v>
      </c>
      <c r="S307" s="1">
        <f ca="1">IFERROR(__xludf.DUMMYFUNCTION("""COMPUTED_VALUE"""),70.84)</f>
        <v>70.84</v>
      </c>
      <c r="T307" s="1">
        <f ca="1">IFERROR(__xludf.DUMMYFUNCTION("""COMPUTED_VALUE"""),43.91)</f>
        <v>43.91</v>
      </c>
      <c r="U307" s="1">
        <f ca="1">IFERROR(__xludf.DUMMYFUNCTION("""COMPUTED_VALUE"""),137.49)</f>
        <v>137.49</v>
      </c>
      <c r="V307" s="1">
        <f ca="1">IFERROR(__xludf.DUMMYFUNCTION("""COMPUTED_VALUE"""),225.29)</f>
        <v>225.29</v>
      </c>
      <c r="W307" s="1">
        <f ca="1">IFERROR(__xludf.DUMMYFUNCTION("""COMPUTED_VALUE"""),355.07)</f>
        <v>355.07</v>
      </c>
      <c r="X307" s="1">
        <f ca="1">IFERROR(__xludf.DUMMYFUNCTION("""COMPUTED_VALUE"""),547.42)</f>
        <v>547.41999999999996</v>
      </c>
      <c r="Y307" s="1">
        <f ca="1">IFERROR(__xludf.DUMMYFUNCTION("""COMPUTED_VALUE"""),113.63)</f>
        <v>113.63</v>
      </c>
      <c r="Z307" s="1">
        <f ca="1">IFERROR(__xludf.DUMMYFUNCTION("""COMPUTED_VALUE"""),344.2)</f>
        <v>344.2</v>
      </c>
      <c r="AA307" s="1">
        <f ca="1">IFERROR(__xludf.DUMMYFUNCTION("""COMPUTED_VALUE"""),35.53)</f>
        <v>35.53</v>
      </c>
      <c r="AB307" s="1">
        <f ca="1">IFERROR(__xludf.DUMMYFUNCTION("""COMPUTED_VALUE"""),106.34)</f>
        <v>106.34</v>
      </c>
      <c r="AC307" s="1">
        <f ca="1">IFERROR(__xludf.DUMMYFUNCTION("""COMPUTED_VALUE"""),79.06)</f>
        <v>79.06</v>
      </c>
    </row>
    <row r="308" spans="1:29" x14ac:dyDescent="0.25">
      <c r="A308" s="2">
        <f ca="1">IFERROR(__xludf.DUMMYFUNCTION("""COMPUTED_VALUE"""),44277.6666666666)</f>
        <v>44277.666666666599</v>
      </c>
      <c r="B308" s="1">
        <f ca="1">IFERROR(__xludf.DUMMYFUNCTION("""COMPUTED_VALUE"""),123.39)</f>
        <v>123.39</v>
      </c>
      <c r="C308" s="1">
        <f ca="1">IFERROR(__xludf.DUMMYFUNCTION("""COMPUTED_VALUE"""),235.99)</f>
        <v>235.99</v>
      </c>
      <c r="D308" s="1">
        <f ca="1">IFERROR(__xludf.DUMMYFUNCTION("""COMPUTED_VALUE"""),155.54)</f>
        <v>155.54</v>
      </c>
      <c r="E308" s="1">
        <f ca="1">IFERROR(__xludf.DUMMYFUNCTION("""COMPUTED_VALUE"""),13.19)</f>
        <v>13.19</v>
      </c>
      <c r="F308" s="1">
        <f ca="1">IFERROR(__xludf.DUMMYFUNCTION("""COMPUTED_VALUE"""),293.54)</f>
        <v>293.54000000000002</v>
      </c>
      <c r="G308" s="1">
        <f ca="1">IFERROR(__xludf.DUMMYFUNCTION("""COMPUTED_VALUE"""),101.93)</f>
        <v>101.93</v>
      </c>
      <c r="H308" s="1">
        <f ca="1">IFERROR(__xludf.DUMMYFUNCTION("""COMPUTED_VALUE"""),223.33)</f>
        <v>223.33</v>
      </c>
      <c r="I308" s="1">
        <f ca="1">IFERROR(__xludf.DUMMYFUNCTION("""COMPUTED_VALUE"""),137.8)</f>
        <v>137.80000000000001</v>
      </c>
      <c r="J308" s="1">
        <f ca="1">IFERROR(__xludf.DUMMYFUNCTION("""COMPUTED_VALUE"""),334.49)</f>
        <v>334.49</v>
      </c>
      <c r="K308" s="1">
        <f ca="1">IFERROR(__xludf.DUMMYFUNCTION("""COMPUTED_VALUE"""),47.53)</f>
        <v>47.53</v>
      </c>
      <c r="L308" s="1">
        <f ca="1">IFERROR(__xludf.DUMMYFUNCTION("""COMPUTED_VALUE"""),452.41)</f>
        <v>452.41</v>
      </c>
      <c r="M308" s="1">
        <f ca="1">IFERROR(__xludf.DUMMYFUNCTION("""COMPUTED_VALUE"""),523.11)</f>
        <v>523.11</v>
      </c>
      <c r="N308" s="1">
        <f ca="1">IFERROR(__xludf.DUMMYFUNCTION("""COMPUTED_VALUE"""),150.97)</f>
        <v>150.97</v>
      </c>
      <c r="O308" s="1">
        <f ca="1">IFERROR(__xludf.DUMMYFUNCTION("""COMPUTED_VALUE"""),208)</f>
        <v>208</v>
      </c>
      <c r="P308" s="1">
        <f ca="1">IFERROR(__xludf.DUMMYFUNCTION("""COMPUTED_VALUE"""),160.5)</f>
        <v>160.5</v>
      </c>
      <c r="Q308" s="1">
        <f ca="1">IFERROR(__xludf.DUMMYFUNCTION("""COMPUTED_VALUE"""),366.86)</f>
        <v>366.86</v>
      </c>
      <c r="R308" s="1">
        <f ca="1">IFERROR(__xludf.DUMMYFUNCTION("""COMPUTED_VALUE"""),55.91)</f>
        <v>55.91</v>
      </c>
      <c r="S308" s="1">
        <f ca="1">IFERROR(__xludf.DUMMYFUNCTION("""COMPUTED_VALUE"""),71.69)</f>
        <v>71.69</v>
      </c>
      <c r="T308" s="1">
        <f ca="1">IFERROR(__xludf.DUMMYFUNCTION("""COMPUTED_VALUE"""),44.12)</f>
        <v>44.12</v>
      </c>
      <c r="U308" s="1">
        <f ca="1">IFERROR(__xludf.DUMMYFUNCTION("""COMPUTED_VALUE"""),138.27)</f>
        <v>138.27000000000001</v>
      </c>
      <c r="V308" s="1">
        <f ca="1">IFERROR(__xludf.DUMMYFUNCTION("""COMPUTED_VALUE"""),226.02)</f>
        <v>226.02</v>
      </c>
      <c r="W308" s="1">
        <f ca="1">IFERROR(__xludf.DUMMYFUNCTION("""COMPUTED_VALUE"""),357.66)</f>
        <v>357.66</v>
      </c>
      <c r="X308" s="1">
        <f ca="1">IFERROR(__xludf.DUMMYFUNCTION("""COMPUTED_VALUE"""),575.99)</f>
        <v>575.99</v>
      </c>
      <c r="Y308" s="1">
        <f ca="1">IFERROR(__xludf.DUMMYFUNCTION("""COMPUTED_VALUE"""),117.18)</f>
        <v>117.18</v>
      </c>
      <c r="Z308" s="1">
        <f ca="1">IFERROR(__xludf.DUMMYFUNCTION("""COMPUTED_VALUE"""),339.33)</f>
        <v>339.33</v>
      </c>
      <c r="AA308" s="1">
        <f ca="1">IFERROR(__xludf.DUMMYFUNCTION("""COMPUTED_VALUE"""),36)</f>
        <v>36</v>
      </c>
      <c r="AB308" s="1">
        <f ca="1">IFERROR(__xludf.DUMMYFUNCTION("""COMPUTED_VALUE"""),107.57)</f>
        <v>107.57</v>
      </c>
      <c r="AC308" s="1">
        <f ca="1">IFERROR(__xludf.DUMMYFUNCTION("""COMPUTED_VALUE"""),80.3)</f>
        <v>80.3</v>
      </c>
    </row>
    <row r="309" spans="1:29" x14ac:dyDescent="0.25">
      <c r="A309" s="2">
        <f ca="1">IFERROR(__xludf.DUMMYFUNCTION("""COMPUTED_VALUE"""),44278.6666666666)</f>
        <v>44278.666666666599</v>
      </c>
      <c r="B309" s="1">
        <f ca="1">IFERROR(__xludf.DUMMYFUNCTION("""COMPUTED_VALUE"""),122.54)</f>
        <v>122.54</v>
      </c>
      <c r="C309" s="1">
        <f ca="1">IFERROR(__xludf.DUMMYFUNCTION("""COMPUTED_VALUE"""),237.58)</f>
        <v>237.58</v>
      </c>
      <c r="D309" s="1">
        <f ca="1">IFERROR(__xludf.DUMMYFUNCTION("""COMPUTED_VALUE"""),156.88)</f>
        <v>156.88</v>
      </c>
      <c r="E309" s="1">
        <f ca="1">IFERROR(__xludf.DUMMYFUNCTION("""COMPUTED_VALUE"""),13.07)</f>
        <v>13.07</v>
      </c>
      <c r="F309" s="1">
        <f ca="1">IFERROR(__xludf.DUMMYFUNCTION("""COMPUTED_VALUE"""),290.63)</f>
        <v>290.63</v>
      </c>
      <c r="G309" s="1">
        <f ca="1">IFERROR(__xludf.DUMMYFUNCTION("""COMPUTED_VALUE"""),102.65)</f>
        <v>102.65</v>
      </c>
      <c r="H309" s="1">
        <f ca="1">IFERROR(__xludf.DUMMYFUNCTION("""COMPUTED_VALUE"""),220.72)</f>
        <v>220.72</v>
      </c>
      <c r="I309" s="1">
        <f ca="1">IFERROR(__xludf.DUMMYFUNCTION("""COMPUTED_VALUE"""),139.46)</f>
        <v>139.46</v>
      </c>
      <c r="J309" s="1">
        <f ca="1">IFERROR(__xludf.DUMMYFUNCTION("""COMPUTED_VALUE"""),340.34)</f>
        <v>340.34</v>
      </c>
      <c r="K309" s="1">
        <f ca="1">IFERROR(__xludf.DUMMYFUNCTION("""COMPUTED_VALUE"""),46.41)</f>
        <v>46.41</v>
      </c>
      <c r="L309" s="1">
        <f ca="1">IFERROR(__xludf.DUMMYFUNCTION("""COMPUTED_VALUE"""),460.2)</f>
        <v>460.2</v>
      </c>
      <c r="M309" s="1">
        <f ca="1">IFERROR(__xludf.DUMMYFUNCTION("""COMPUTED_VALUE"""),535.09)</f>
        <v>535.09</v>
      </c>
      <c r="N309" s="1">
        <f ca="1">IFERROR(__xludf.DUMMYFUNCTION("""COMPUTED_VALUE"""),149.46)</f>
        <v>149.46</v>
      </c>
      <c r="O309" s="1">
        <f ca="1">IFERROR(__xludf.DUMMYFUNCTION("""COMPUTED_VALUE"""),208.15)</f>
        <v>208.15</v>
      </c>
      <c r="P309" s="1">
        <f ca="1">IFERROR(__xludf.DUMMYFUNCTION("""COMPUTED_VALUE"""),160.35)</f>
        <v>160.35</v>
      </c>
      <c r="Q309" s="1">
        <f ca="1">IFERROR(__xludf.DUMMYFUNCTION("""COMPUTED_VALUE"""),368.5)</f>
        <v>368.5</v>
      </c>
      <c r="R309" s="1">
        <f ca="1">IFERROR(__xludf.DUMMYFUNCTION("""COMPUTED_VALUE"""),55.22)</f>
        <v>55.22</v>
      </c>
      <c r="S309" s="1">
        <f ca="1">IFERROR(__xludf.DUMMYFUNCTION("""COMPUTED_VALUE"""),74.02)</f>
        <v>74.02</v>
      </c>
      <c r="T309" s="1">
        <f ca="1">IFERROR(__xludf.DUMMYFUNCTION("""COMPUTED_VALUE"""),44.65)</f>
        <v>44.65</v>
      </c>
      <c r="U309" s="1">
        <f ca="1">IFERROR(__xludf.DUMMYFUNCTION("""COMPUTED_VALUE"""),137.12)</f>
        <v>137.12</v>
      </c>
      <c r="V309" s="1">
        <f ca="1">IFERROR(__xludf.DUMMYFUNCTION("""COMPUTED_VALUE"""),218.25)</f>
        <v>218.25</v>
      </c>
      <c r="W309" s="1">
        <f ca="1">IFERROR(__xludf.DUMMYFUNCTION("""COMPUTED_VALUE"""),353.61)</f>
        <v>353.61</v>
      </c>
      <c r="X309" s="1">
        <f ca="1">IFERROR(__xludf.DUMMYFUNCTION("""COMPUTED_VALUE"""),558.87)</f>
        <v>558.87</v>
      </c>
      <c r="Y309" s="1">
        <f ca="1">IFERROR(__xludf.DUMMYFUNCTION("""COMPUTED_VALUE"""),114.89)</f>
        <v>114.89</v>
      </c>
      <c r="Z309" s="1">
        <f ca="1">IFERROR(__xludf.DUMMYFUNCTION("""COMPUTED_VALUE"""),331.77)</f>
        <v>331.77</v>
      </c>
      <c r="AA309" s="1">
        <f ca="1">IFERROR(__xludf.DUMMYFUNCTION("""COMPUTED_VALUE"""),35.36)</f>
        <v>35.36</v>
      </c>
      <c r="AB309" s="1">
        <f ca="1">IFERROR(__xludf.DUMMYFUNCTION("""COMPUTED_VALUE"""),106.25)</f>
        <v>106.25</v>
      </c>
      <c r="AC309" s="1">
        <f ca="1">IFERROR(__xludf.DUMMYFUNCTION("""COMPUTED_VALUE"""),78.38)</f>
        <v>78.38</v>
      </c>
    </row>
    <row r="310" spans="1:29" x14ac:dyDescent="0.25">
      <c r="A310" s="2">
        <f ca="1">IFERROR(__xludf.DUMMYFUNCTION("""COMPUTED_VALUE"""),44279.6666666666)</f>
        <v>44279.666666666599</v>
      </c>
      <c r="B310" s="1">
        <f ca="1">IFERROR(__xludf.DUMMYFUNCTION("""COMPUTED_VALUE"""),120.09)</f>
        <v>120.09</v>
      </c>
      <c r="C310" s="1">
        <f ca="1">IFERROR(__xludf.DUMMYFUNCTION("""COMPUTED_VALUE"""),235.46)</f>
        <v>235.46</v>
      </c>
      <c r="D310" s="1">
        <f ca="1">IFERROR(__xludf.DUMMYFUNCTION("""COMPUTED_VALUE"""),154.35)</f>
        <v>154.35</v>
      </c>
      <c r="E310" s="1">
        <f ca="1">IFERROR(__xludf.DUMMYFUNCTION("""COMPUTED_VALUE"""),12.64)</f>
        <v>12.64</v>
      </c>
      <c r="F310" s="1">
        <f ca="1">IFERROR(__xludf.DUMMYFUNCTION("""COMPUTED_VALUE"""),282.14)</f>
        <v>282.14</v>
      </c>
      <c r="G310" s="1">
        <f ca="1">IFERROR(__xludf.DUMMYFUNCTION("""COMPUTED_VALUE"""),102.25)</f>
        <v>102.25</v>
      </c>
      <c r="H310" s="1">
        <f ca="1">IFERROR(__xludf.DUMMYFUNCTION("""COMPUTED_VALUE"""),210.09)</f>
        <v>210.09</v>
      </c>
      <c r="I310" s="1">
        <f ca="1">IFERROR(__xludf.DUMMYFUNCTION("""COMPUTED_VALUE"""),138.81)</f>
        <v>138.81</v>
      </c>
      <c r="J310" s="1">
        <f ca="1">IFERROR(__xludf.DUMMYFUNCTION("""COMPUTED_VALUE"""),338.04)</f>
        <v>338.04</v>
      </c>
      <c r="K310" s="1">
        <f ca="1">IFERROR(__xludf.DUMMYFUNCTION("""COMPUTED_VALUE"""),45.73)</f>
        <v>45.73</v>
      </c>
      <c r="L310" s="1">
        <f ca="1">IFERROR(__xludf.DUMMYFUNCTION("""COMPUTED_VALUE"""),451.51)</f>
        <v>451.51</v>
      </c>
      <c r="M310" s="1">
        <f ca="1">IFERROR(__xludf.DUMMYFUNCTION("""COMPUTED_VALUE"""),520.81)</f>
        <v>520.80999999999995</v>
      </c>
      <c r="N310" s="1">
        <f ca="1">IFERROR(__xludf.DUMMYFUNCTION("""COMPUTED_VALUE"""),150.62)</f>
        <v>150.62</v>
      </c>
      <c r="O310" s="1">
        <f ca="1">IFERROR(__xludf.DUMMYFUNCTION("""COMPUTED_VALUE"""),208.07)</f>
        <v>208.07</v>
      </c>
      <c r="P310" s="1">
        <f ca="1">IFERROR(__xludf.DUMMYFUNCTION("""COMPUTED_VALUE"""),161.91)</f>
        <v>161.91</v>
      </c>
      <c r="Q310" s="1">
        <f ca="1">IFERROR(__xludf.DUMMYFUNCTION("""COMPUTED_VALUE"""),370.6)</f>
        <v>370.6</v>
      </c>
      <c r="R310" s="1">
        <f ca="1">IFERROR(__xludf.DUMMYFUNCTION("""COMPUTED_VALUE"""),56.34)</f>
        <v>56.34</v>
      </c>
      <c r="S310" s="1">
        <f ca="1">IFERROR(__xludf.DUMMYFUNCTION("""COMPUTED_VALUE"""),72.83)</f>
        <v>72.83</v>
      </c>
      <c r="T310" s="1">
        <f ca="1">IFERROR(__xludf.DUMMYFUNCTION("""COMPUTED_VALUE"""),44.37)</f>
        <v>44.37</v>
      </c>
      <c r="U310" s="1">
        <f ca="1">IFERROR(__xludf.DUMMYFUNCTION("""COMPUTED_VALUE"""),133.16)</f>
        <v>133.16</v>
      </c>
      <c r="V310" s="1">
        <f ca="1">IFERROR(__xludf.DUMMYFUNCTION("""COMPUTED_VALUE"""),221.23)</f>
        <v>221.23</v>
      </c>
      <c r="W310" s="1">
        <f ca="1">IFERROR(__xludf.DUMMYFUNCTION("""COMPUTED_VALUE"""),356.12)</f>
        <v>356.12</v>
      </c>
      <c r="X310" s="1">
        <f ca="1">IFERROR(__xludf.DUMMYFUNCTION("""COMPUTED_VALUE"""),578.58)</f>
        <v>578.58000000000004</v>
      </c>
      <c r="Y310" s="1">
        <f ca="1">IFERROR(__xludf.DUMMYFUNCTION("""COMPUTED_VALUE"""),108.96)</f>
        <v>108.96</v>
      </c>
      <c r="Z310" s="1">
        <f ca="1">IFERROR(__xludf.DUMMYFUNCTION("""COMPUTED_VALUE"""),328.65)</f>
        <v>328.65</v>
      </c>
      <c r="AA310" s="1">
        <f ca="1">IFERROR(__xludf.DUMMYFUNCTION("""COMPUTED_VALUE"""),35.61)</f>
        <v>35.61</v>
      </c>
      <c r="AB310" s="1">
        <f ca="1">IFERROR(__xludf.DUMMYFUNCTION("""COMPUTED_VALUE"""),104.97)</f>
        <v>104.97</v>
      </c>
      <c r="AC310" s="1">
        <f ca="1">IFERROR(__xludf.DUMMYFUNCTION("""COMPUTED_VALUE"""),76.48)</f>
        <v>76.48</v>
      </c>
    </row>
    <row r="311" spans="1:29" x14ac:dyDescent="0.25">
      <c r="A311" s="2">
        <f ca="1">IFERROR(__xludf.DUMMYFUNCTION("""COMPUTED_VALUE"""),44280.6666666666)</f>
        <v>44280.666666666599</v>
      </c>
      <c r="B311" s="1">
        <f ca="1">IFERROR(__xludf.DUMMYFUNCTION("""COMPUTED_VALUE"""),120.59)</f>
        <v>120.59</v>
      </c>
      <c r="C311" s="1">
        <f ca="1">IFERROR(__xludf.DUMMYFUNCTION("""COMPUTED_VALUE"""),232.34)</f>
        <v>232.34</v>
      </c>
      <c r="D311" s="1">
        <f ca="1">IFERROR(__xludf.DUMMYFUNCTION("""COMPUTED_VALUE"""),152.31)</f>
        <v>152.31</v>
      </c>
      <c r="E311" s="1">
        <f ca="1">IFERROR(__xludf.DUMMYFUNCTION("""COMPUTED_VALUE"""),12.54)</f>
        <v>12.54</v>
      </c>
      <c r="F311" s="1">
        <f ca="1">IFERROR(__xludf.DUMMYFUNCTION("""COMPUTED_VALUE"""),278.74)</f>
        <v>278.74</v>
      </c>
      <c r="G311" s="1">
        <f ca="1">IFERROR(__xludf.DUMMYFUNCTION("""COMPUTED_VALUE"""),102.22)</f>
        <v>102.22</v>
      </c>
      <c r="H311" s="1">
        <f ca="1">IFERROR(__xludf.DUMMYFUNCTION("""COMPUTED_VALUE"""),213.46)</f>
        <v>213.46</v>
      </c>
      <c r="I311" s="1">
        <f ca="1">IFERROR(__xludf.DUMMYFUNCTION("""COMPUTED_VALUE"""),139.63)</f>
        <v>139.63</v>
      </c>
      <c r="J311" s="1">
        <f ca="1">IFERROR(__xludf.DUMMYFUNCTION("""COMPUTED_VALUE"""),346.34)</f>
        <v>346.34</v>
      </c>
      <c r="K311" s="1">
        <f ca="1">IFERROR(__xludf.DUMMYFUNCTION("""COMPUTED_VALUE"""),46.17)</f>
        <v>46.17</v>
      </c>
      <c r="L311" s="1">
        <f ca="1">IFERROR(__xludf.DUMMYFUNCTION("""COMPUTED_VALUE"""),450.99)</f>
        <v>450.99</v>
      </c>
      <c r="M311" s="1">
        <f ca="1">IFERROR(__xludf.DUMMYFUNCTION("""COMPUTED_VALUE"""),502.86)</f>
        <v>502.86</v>
      </c>
      <c r="N311" s="1">
        <f ca="1">IFERROR(__xludf.DUMMYFUNCTION("""COMPUTED_VALUE"""),152.55)</f>
        <v>152.55000000000001</v>
      </c>
      <c r="O311" s="1">
        <f ca="1">IFERROR(__xludf.DUMMYFUNCTION("""COMPUTED_VALUE"""),207.97)</f>
        <v>207.97</v>
      </c>
      <c r="P311" s="1">
        <f ca="1">IFERROR(__xludf.DUMMYFUNCTION("""COMPUTED_VALUE"""),161.97)</f>
        <v>161.97</v>
      </c>
      <c r="Q311" s="1">
        <f ca="1">IFERROR(__xludf.DUMMYFUNCTION("""COMPUTED_VALUE"""),371.09)</f>
        <v>371.09</v>
      </c>
      <c r="R311" s="1">
        <f ca="1">IFERROR(__xludf.DUMMYFUNCTION("""COMPUTED_VALUE"""),56.18)</f>
        <v>56.18</v>
      </c>
      <c r="S311" s="1">
        <f ca="1">IFERROR(__xludf.DUMMYFUNCTION("""COMPUTED_VALUE"""),73.45)</f>
        <v>73.45</v>
      </c>
      <c r="T311" s="1">
        <f ca="1">IFERROR(__xludf.DUMMYFUNCTION("""COMPUTED_VALUE"""),44.67)</f>
        <v>44.67</v>
      </c>
      <c r="U311" s="1">
        <f ca="1">IFERROR(__xludf.DUMMYFUNCTION("""COMPUTED_VALUE"""),128.64)</f>
        <v>128.63999999999999</v>
      </c>
      <c r="V311" s="1">
        <f ca="1">IFERROR(__xludf.DUMMYFUNCTION("""COMPUTED_VALUE"""),224.25)</f>
        <v>224.25</v>
      </c>
      <c r="W311" s="1">
        <f ca="1">IFERROR(__xludf.DUMMYFUNCTION("""COMPUTED_VALUE"""),361.22)</f>
        <v>361.22</v>
      </c>
      <c r="X311" s="1">
        <f ca="1">IFERROR(__xludf.DUMMYFUNCTION("""COMPUTED_VALUE"""),584)</f>
        <v>584</v>
      </c>
      <c r="Y311" s="1">
        <f ca="1">IFERROR(__xludf.DUMMYFUNCTION("""COMPUTED_VALUE"""),110.45)</f>
        <v>110.45</v>
      </c>
      <c r="Z311" s="1">
        <f ca="1">IFERROR(__xludf.DUMMYFUNCTION("""COMPUTED_VALUE"""),330.55)</f>
        <v>330.55</v>
      </c>
      <c r="AA311" s="1">
        <f ca="1">IFERROR(__xludf.DUMMYFUNCTION("""COMPUTED_VALUE"""),35.67)</f>
        <v>35.67</v>
      </c>
      <c r="AB311" s="1">
        <f ca="1">IFERROR(__xludf.DUMMYFUNCTION("""COMPUTED_VALUE"""),107.35)</f>
        <v>107.35</v>
      </c>
      <c r="AC311" s="1">
        <f ca="1">IFERROR(__xludf.DUMMYFUNCTION("""COMPUTED_VALUE"""),76.22)</f>
        <v>76.22</v>
      </c>
    </row>
    <row r="312" spans="1:29" x14ac:dyDescent="0.25">
      <c r="A312" s="2">
        <f ca="1">IFERROR(__xludf.DUMMYFUNCTION("""COMPUTED_VALUE"""),44281.6666666666)</f>
        <v>44281.666666666599</v>
      </c>
      <c r="B312" s="1">
        <f ca="1">IFERROR(__xludf.DUMMYFUNCTION("""COMPUTED_VALUE"""),121.21)</f>
        <v>121.21</v>
      </c>
      <c r="C312" s="1">
        <f ca="1">IFERROR(__xludf.DUMMYFUNCTION("""COMPUTED_VALUE"""),236.48)</f>
        <v>236.48</v>
      </c>
      <c r="D312" s="1">
        <f ca="1">IFERROR(__xludf.DUMMYFUNCTION("""COMPUTED_VALUE"""),152.6)</f>
        <v>152.6</v>
      </c>
      <c r="E312" s="1">
        <f ca="1">IFERROR(__xludf.DUMMYFUNCTION("""COMPUTED_VALUE"""),12.84)</f>
        <v>12.84</v>
      </c>
      <c r="F312" s="1">
        <f ca="1">IFERROR(__xludf.DUMMYFUNCTION("""COMPUTED_VALUE"""),283.02)</f>
        <v>283.02</v>
      </c>
      <c r="G312" s="1">
        <f ca="1">IFERROR(__xludf.DUMMYFUNCTION("""COMPUTED_VALUE"""),101.78)</f>
        <v>101.78</v>
      </c>
      <c r="H312" s="1">
        <f ca="1">IFERROR(__xludf.DUMMYFUNCTION("""COMPUTED_VALUE"""),206.24)</f>
        <v>206.24</v>
      </c>
      <c r="I312" s="1">
        <f ca="1">IFERROR(__xludf.DUMMYFUNCTION("""COMPUTED_VALUE"""),142.7)</f>
        <v>142.69999999999999</v>
      </c>
      <c r="J312" s="1">
        <f ca="1">IFERROR(__xludf.DUMMYFUNCTION("""COMPUTED_VALUE"""),352.02)</f>
        <v>352.02</v>
      </c>
      <c r="K312" s="1">
        <f ca="1">IFERROR(__xludf.DUMMYFUNCTION("""COMPUTED_VALUE"""),48.2)</f>
        <v>48.2</v>
      </c>
      <c r="L312" s="1">
        <f ca="1">IFERROR(__xludf.DUMMYFUNCTION("""COMPUTED_VALUE"""),469.09)</f>
        <v>469.09</v>
      </c>
      <c r="M312" s="1">
        <f ca="1">IFERROR(__xludf.DUMMYFUNCTION("""COMPUTED_VALUE"""),508.05)</f>
        <v>508.05</v>
      </c>
      <c r="N312" s="1">
        <f ca="1">IFERROR(__xludf.DUMMYFUNCTION("""COMPUTED_VALUE"""),155.09)</f>
        <v>155.09</v>
      </c>
      <c r="O312" s="1">
        <f ca="1">IFERROR(__xludf.DUMMYFUNCTION("""COMPUTED_VALUE"""),213.53)</f>
        <v>213.53</v>
      </c>
      <c r="P312" s="1">
        <f ca="1">IFERROR(__xludf.DUMMYFUNCTION("""COMPUTED_VALUE"""),164.93)</f>
        <v>164.93</v>
      </c>
      <c r="Q312" s="1">
        <f ca="1">IFERROR(__xludf.DUMMYFUNCTION("""COMPUTED_VALUE"""),376.48)</f>
        <v>376.48</v>
      </c>
      <c r="R312" s="1">
        <f ca="1">IFERROR(__xludf.DUMMYFUNCTION("""COMPUTED_VALUE"""),57.71)</f>
        <v>57.71</v>
      </c>
      <c r="S312" s="1">
        <f ca="1">IFERROR(__xludf.DUMMYFUNCTION("""COMPUTED_VALUE"""),74.06)</f>
        <v>74.06</v>
      </c>
      <c r="T312" s="1">
        <f ca="1">IFERROR(__xludf.DUMMYFUNCTION("""COMPUTED_VALUE"""),45.04)</f>
        <v>45.04</v>
      </c>
      <c r="U312" s="1">
        <f ca="1">IFERROR(__xludf.DUMMYFUNCTION("""COMPUTED_VALUE"""),132.99)</f>
        <v>132.99</v>
      </c>
      <c r="V312" s="1">
        <f ca="1">IFERROR(__xludf.DUMMYFUNCTION("""COMPUTED_VALUE"""),229.5)</f>
        <v>229.5</v>
      </c>
      <c r="W312" s="1">
        <f ca="1">IFERROR(__xludf.DUMMYFUNCTION("""COMPUTED_VALUE"""),364.71)</f>
        <v>364.71</v>
      </c>
      <c r="X312" s="1">
        <f ca="1">IFERROR(__xludf.DUMMYFUNCTION("""COMPUTED_VALUE"""),625.67)</f>
        <v>625.66999999999996</v>
      </c>
      <c r="Y312" s="1">
        <f ca="1">IFERROR(__xludf.DUMMYFUNCTION("""COMPUTED_VALUE"""),116.56)</f>
        <v>116.56</v>
      </c>
      <c r="Z312" s="1">
        <f ca="1">IFERROR(__xludf.DUMMYFUNCTION("""COMPUTED_VALUE"""),327.39)</f>
        <v>327.39</v>
      </c>
      <c r="AA312" s="1">
        <f ca="1">IFERROR(__xludf.DUMMYFUNCTION("""COMPUTED_VALUE"""),36.25)</f>
        <v>36.25</v>
      </c>
      <c r="AB312" s="1">
        <f ca="1">IFERROR(__xludf.DUMMYFUNCTION("""COMPUTED_VALUE"""),109.9)</f>
        <v>109.9</v>
      </c>
      <c r="AC312" s="1">
        <f ca="1">IFERROR(__xludf.DUMMYFUNCTION("""COMPUTED_VALUE"""),77.41)</f>
        <v>77.41</v>
      </c>
    </row>
    <row r="313" spans="1:29" x14ac:dyDescent="0.25">
      <c r="A313" s="2">
        <f ca="1">IFERROR(__xludf.DUMMYFUNCTION("""COMPUTED_VALUE"""),44284.6666666666)</f>
        <v>44284.666666666599</v>
      </c>
      <c r="B313" s="1">
        <f ca="1">IFERROR(__xludf.DUMMYFUNCTION("""COMPUTED_VALUE"""),121.39)</f>
        <v>121.39</v>
      </c>
      <c r="C313" s="1">
        <f ca="1">IFERROR(__xludf.DUMMYFUNCTION("""COMPUTED_VALUE"""),235.24)</f>
        <v>235.24</v>
      </c>
      <c r="D313" s="1">
        <f ca="1">IFERROR(__xludf.DUMMYFUNCTION("""COMPUTED_VALUE"""),153.79)</f>
        <v>153.79</v>
      </c>
      <c r="E313" s="1">
        <f ca="1">IFERROR(__xludf.DUMMYFUNCTION("""COMPUTED_VALUE"""),12.95)</f>
        <v>12.95</v>
      </c>
      <c r="F313" s="1">
        <f ca="1">IFERROR(__xludf.DUMMYFUNCTION("""COMPUTED_VALUE"""),290.82)</f>
        <v>290.82</v>
      </c>
      <c r="G313" s="1">
        <f ca="1">IFERROR(__xludf.DUMMYFUNCTION("""COMPUTED_VALUE"""),102.8)</f>
        <v>102.8</v>
      </c>
      <c r="H313" s="1">
        <f ca="1">IFERROR(__xludf.DUMMYFUNCTION("""COMPUTED_VALUE"""),203.76)</f>
        <v>203.76</v>
      </c>
      <c r="I313" s="1">
        <f ca="1">IFERROR(__xludf.DUMMYFUNCTION("""COMPUTED_VALUE"""),144.81)</f>
        <v>144.81</v>
      </c>
      <c r="J313" s="1">
        <f ca="1">IFERROR(__xludf.DUMMYFUNCTION("""COMPUTED_VALUE"""),356.15)</f>
        <v>356.15</v>
      </c>
      <c r="K313" s="1">
        <f ca="1">IFERROR(__xludf.DUMMYFUNCTION("""COMPUTED_VALUE"""),47.26)</f>
        <v>47.26</v>
      </c>
      <c r="L313" s="1">
        <f ca="1">IFERROR(__xludf.DUMMYFUNCTION("""COMPUTED_VALUE"""),469.32)</f>
        <v>469.32</v>
      </c>
      <c r="M313" s="1">
        <f ca="1">IFERROR(__xludf.DUMMYFUNCTION("""COMPUTED_VALUE"""),513.95)</f>
        <v>513.95000000000005</v>
      </c>
      <c r="N313" s="1">
        <f ca="1">IFERROR(__xludf.DUMMYFUNCTION("""COMPUTED_VALUE"""),152.68)</f>
        <v>152.68</v>
      </c>
      <c r="O313" s="1">
        <f ca="1">IFERROR(__xludf.DUMMYFUNCTION("""COMPUTED_VALUE"""),214.51)</f>
        <v>214.51</v>
      </c>
      <c r="P313" s="1">
        <f ca="1">IFERROR(__xludf.DUMMYFUNCTION("""COMPUTED_VALUE"""),166.04)</f>
        <v>166.04</v>
      </c>
      <c r="Q313" s="1">
        <f ca="1">IFERROR(__xludf.DUMMYFUNCTION("""COMPUTED_VALUE"""),379.06)</f>
        <v>379.06</v>
      </c>
      <c r="R313" s="1">
        <f ca="1">IFERROR(__xludf.DUMMYFUNCTION("""COMPUTED_VALUE"""),57.4)</f>
        <v>57.4</v>
      </c>
      <c r="S313" s="1">
        <f ca="1">IFERROR(__xludf.DUMMYFUNCTION("""COMPUTED_VALUE"""),74.8)</f>
        <v>74.8</v>
      </c>
      <c r="T313" s="1">
        <f ca="1">IFERROR(__xludf.DUMMYFUNCTION("""COMPUTED_VALUE"""),45.56)</f>
        <v>45.56</v>
      </c>
      <c r="U313" s="1">
        <f ca="1">IFERROR(__xludf.DUMMYFUNCTION("""COMPUTED_VALUE"""),133.49)</f>
        <v>133.49</v>
      </c>
      <c r="V313" s="1">
        <f ca="1">IFERROR(__xludf.DUMMYFUNCTION("""COMPUTED_VALUE"""),230.22)</f>
        <v>230.22</v>
      </c>
      <c r="W313" s="1">
        <f ca="1">IFERROR(__xludf.DUMMYFUNCTION("""COMPUTED_VALUE"""),372.79)</f>
        <v>372.79</v>
      </c>
      <c r="X313" s="1">
        <f ca="1">IFERROR(__xludf.DUMMYFUNCTION("""COMPUTED_VALUE"""),608)</f>
        <v>608</v>
      </c>
      <c r="Y313" s="1">
        <f ca="1">IFERROR(__xludf.DUMMYFUNCTION("""COMPUTED_VALUE"""),114.39)</f>
        <v>114.39</v>
      </c>
      <c r="Z313" s="1">
        <f ca="1">IFERROR(__xludf.DUMMYFUNCTION("""COMPUTED_VALUE"""),325.73)</f>
        <v>325.73</v>
      </c>
      <c r="AA313" s="1">
        <f ca="1">IFERROR(__xludf.DUMMYFUNCTION("""COMPUTED_VALUE"""),36.62)</f>
        <v>36.619999999999997</v>
      </c>
      <c r="AB313" s="1">
        <f ca="1">IFERROR(__xludf.DUMMYFUNCTION("""COMPUTED_VALUE"""),109.13)</f>
        <v>109.13</v>
      </c>
      <c r="AC313" s="1">
        <f ca="1">IFERROR(__xludf.DUMMYFUNCTION("""COMPUTED_VALUE"""),77.14)</f>
        <v>77.14</v>
      </c>
    </row>
    <row r="314" spans="1:29" x14ac:dyDescent="0.25">
      <c r="A314" s="2">
        <f ca="1">IFERROR(__xludf.DUMMYFUNCTION("""COMPUTED_VALUE"""),44285.6666666666)</f>
        <v>44285.666666666599</v>
      </c>
      <c r="B314" s="1">
        <f ca="1">IFERROR(__xludf.DUMMYFUNCTION("""COMPUTED_VALUE"""),119.9)</f>
        <v>119.9</v>
      </c>
      <c r="C314" s="1">
        <f ca="1">IFERROR(__xludf.DUMMYFUNCTION("""COMPUTED_VALUE"""),231.85)</f>
        <v>231.85</v>
      </c>
      <c r="D314" s="1">
        <f ca="1">IFERROR(__xludf.DUMMYFUNCTION("""COMPUTED_VALUE"""),152.76)</f>
        <v>152.76</v>
      </c>
      <c r="E314" s="1">
        <f ca="1">IFERROR(__xludf.DUMMYFUNCTION("""COMPUTED_VALUE"""),12.87)</f>
        <v>12.87</v>
      </c>
      <c r="F314" s="1">
        <f ca="1">IFERROR(__xludf.DUMMYFUNCTION("""COMPUTED_VALUE"""),288)</f>
        <v>288</v>
      </c>
      <c r="G314" s="1">
        <f ca="1">IFERROR(__xludf.DUMMYFUNCTION("""COMPUTED_VALUE"""),102.78)</f>
        <v>102.78</v>
      </c>
      <c r="H314" s="1">
        <f ca="1">IFERROR(__xludf.DUMMYFUNCTION("""COMPUTED_VALUE"""),211.87)</f>
        <v>211.87</v>
      </c>
      <c r="I314" s="1">
        <f ca="1">IFERROR(__xludf.DUMMYFUNCTION("""COMPUTED_VALUE"""),142.54)</f>
        <v>142.54</v>
      </c>
      <c r="J314" s="1">
        <f ca="1">IFERROR(__xludf.DUMMYFUNCTION("""COMPUTED_VALUE"""),349.75)</f>
        <v>349.75</v>
      </c>
      <c r="K314" s="1">
        <f ca="1">IFERROR(__xludf.DUMMYFUNCTION("""COMPUTED_VALUE"""),45.62)</f>
        <v>45.62</v>
      </c>
      <c r="L314" s="1">
        <f ca="1">IFERROR(__xludf.DUMMYFUNCTION("""COMPUTED_VALUE"""),465.46)</f>
        <v>465.46</v>
      </c>
      <c r="M314" s="1">
        <f ca="1">IFERROR(__xludf.DUMMYFUNCTION("""COMPUTED_VALUE"""),513.39)</f>
        <v>513.39</v>
      </c>
      <c r="N314" s="1">
        <f ca="1">IFERROR(__xludf.DUMMYFUNCTION("""COMPUTED_VALUE"""),154.48)</f>
        <v>154.47999999999999</v>
      </c>
      <c r="O314" s="1">
        <f ca="1">IFERROR(__xludf.DUMMYFUNCTION("""COMPUTED_VALUE"""),211.9)</f>
        <v>211.9</v>
      </c>
      <c r="P314" s="1">
        <f ca="1">IFERROR(__xludf.DUMMYFUNCTION("""COMPUTED_VALUE"""),165.01)</f>
        <v>165.01</v>
      </c>
      <c r="Q314" s="1">
        <f ca="1">IFERROR(__xludf.DUMMYFUNCTION("""COMPUTED_VALUE"""),373.56)</f>
        <v>373.56</v>
      </c>
      <c r="R314" s="1">
        <f ca="1">IFERROR(__xludf.DUMMYFUNCTION("""COMPUTED_VALUE"""),56.69)</f>
        <v>56.69</v>
      </c>
      <c r="S314" s="1">
        <f ca="1">IFERROR(__xludf.DUMMYFUNCTION("""COMPUTED_VALUE"""),74.22)</f>
        <v>74.22</v>
      </c>
      <c r="T314" s="1">
        <f ca="1">IFERROR(__xludf.DUMMYFUNCTION("""COMPUTED_VALUE"""),45.25)</f>
        <v>45.25</v>
      </c>
      <c r="U314" s="1">
        <f ca="1">IFERROR(__xludf.DUMMYFUNCTION("""COMPUTED_VALUE"""),132.95)</f>
        <v>132.94999999999999</v>
      </c>
      <c r="V314" s="1">
        <f ca="1">IFERROR(__xludf.DUMMYFUNCTION("""COMPUTED_VALUE"""),233.08)</f>
        <v>233.08</v>
      </c>
      <c r="W314" s="1">
        <f ca="1">IFERROR(__xludf.DUMMYFUNCTION("""COMPUTED_VALUE"""),370.54)</f>
        <v>370.54</v>
      </c>
      <c r="X314" s="1">
        <f ca="1">IFERROR(__xludf.DUMMYFUNCTION("""COMPUTED_VALUE"""),601.29)</f>
        <v>601.29</v>
      </c>
      <c r="Y314" s="1">
        <f ca="1">IFERROR(__xludf.DUMMYFUNCTION("""COMPUTED_VALUE"""),115.07)</f>
        <v>115.07</v>
      </c>
      <c r="Z314" s="1">
        <f ca="1">IFERROR(__xludf.DUMMYFUNCTION("""COMPUTED_VALUE"""),332.01)</f>
        <v>332.01</v>
      </c>
      <c r="AA314" s="1">
        <f ca="1">IFERROR(__xludf.DUMMYFUNCTION("""COMPUTED_VALUE"""),36.11)</f>
        <v>36.11</v>
      </c>
      <c r="AB314" s="1">
        <f ca="1">IFERROR(__xludf.DUMMYFUNCTION("""COMPUTED_VALUE"""),110.27)</f>
        <v>110.27</v>
      </c>
      <c r="AC314" s="1">
        <f ca="1">IFERROR(__xludf.DUMMYFUNCTION("""COMPUTED_VALUE"""),76)</f>
        <v>76</v>
      </c>
    </row>
    <row r="315" spans="1:29" x14ac:dyDescent="0.25">
      <c r="A315" s="2">
        <f ca="1">IFERROR(__xludf.DUMMYFUNCTION("""COMPUTED_VALUE"""),44286.6666666666)</f>
        <v>44286.666666666599</v>
      </c>
      <c r="B315" s="1">
        <f ca="1">IFERROR(__xludf.DUMMYFUNCTION("""COMPUTED_VALUE"""),122.15)</f>
        <v>122.15</v>
      </c>
      <c r="C315" s="1">
        <f ca="1">IFERROR(__xludf.DUMMYFUNCTION("""COMPUTED_VALUE"""),235.77)</f>
        <v>235.77</v>
      </c>
      <c r="D315" s="1">
        <f ca="1">IFERROR(__xludf.DUMMYFUNCTION("""COMPUTED_VALUE"""),154.7)</f>
        <v>154.69999999999999</v>
      </c>
      <c r="E315" s="1">
        <f ca="1">IFERROR(__xludf.DUMMYFUNCTION("""COMPUTED_VALUE"""),13.35)</f>
        <v>13.35</v>
      </c>
      <c r="F315" s="1">
        <f ca="1">IFERROR(__xludf.DUMMYFUNCTION("""COMPUTED_VALUE"""),294.53)</f>
        <v>294.52999999999997</v>
      </c>
      <c r="G315" s="1">
        <f ca="1">IFERROR(__xludf.DUMMYFUNCTION("""COMPUTED_VALUE"""),103.43)</f>
        <v>103.43</v>
      </c>
      <c r="H315" s="1">
        <f ca="1">IFERROR(__xludf.DUMMYFUNCTION("""COMPUTED_VALUE"""),222.64)</f>
        <v>222.64</v>
      </c>
      <c r="I315" s="1">
        <f ca="1">IFERROR(__xludf.DUMMYFUNCTION("""COMPUTED_VALUE"""),141.45)</f>
        <v>141.44999999999999</v>
      </c>
      <c r="J315" s="1">
        <f ca="1">IFERROR(__xludf.DUMMYFUNCTION("""COMPUTED_VALUE"""),352.48)</f>
        <v>352.48</v>
      </c>
      <c r="K315" s="1">
        <f ca="1">IFERROR(__xludf.DUMMYFUNCTION("""COMPUTED_VALUE"""),46.37)</f>
        <v>46.37</v>
      </c>
      <c r="L315" s="1">
        <f ca="1">IFERROR(__xludf.DUMMYFUNCTION("""COMPUTED_VALUE"""),475.37)</f>
        <v>475.37</v>
      </c>
      <c r="M315" s="1">
        <f ca="1">IFERROR(__xludf.DUMMYFUNCTION("""COMPUTED_VALUE"""),521.66)</f>
        <v>521.66</v>
      </c>
      <c r="N315" s="1">
        <f ca="1">IFERROR(__xludf.DUMMYFUNCTION("""COMPUTED_VALUE"""),152.23)</f>
        <v>152.22999999999999</v>
      </c>
      <c r="O315" s="1">
        <f ca="1">IFERROR(__xludf.DUMMYFUNCTION("""COMPUTED_VALUE"""),211.73)</f>
        <v>211.73</v>
      </c>
      <c r="P315" s="1">
        <f ca="1">IFERROR(__xludf.DUMMYFUNCTION("""COMPUTED_VALUE"""),164.35)</f>
        <v>164.35</v>
      </c>
      <c r="Q315" s="1">
        <f ca="1">IFERROR(__xludf.DUMMYFUNCTION("""COMPUTED_VALUE"""),372.07)</f>
        <v>372.07</v>
      </c>
      <c r="R315" s="1">
        <f ca="1">IFERROR(__xludf.DUMMYFUNCTION("""COMPUTED_VALUE"""),55.83)</f>
        <v>55.83</v>
      </c>
      <c r="S315" s="1">
        <f ca="1">IFERROR(__xludf.DUMMYFUNCTION("""COMPUTED_VALUE"""),75.61)</f>
        <v>75.61</v>
      </c>
      <c r="T315" s="1">
        <f ca="1">IFERROR(__xludf.DUMMYFUNCTION("""COMPUTED_VALUE"""),45.28)</f>
        <v>45.28</v>
      </c>
      <c r="U315" s="1">
        <f ca="1">IFERROR(__xludf.DUMMYFUNCTION("""COMPUTED_VALUE"""),132.89)</f>
        <v>132.88999999999999</v>
      </c>
      <c r="V315" s="1">
        <f ca="1">IFERROR(__xludf.DUMMYFUNCTION("""COMPUTED_VALUE"""),231.87)</f>
        <v>231.87</v>
      </c>
      <c r="W315" s="1">
        <f ca="1">IFERROR(__xludf.DUMMYFUNCTION("""COMPUTED_VALUE"""),369.5)</f>
        <v>369.5</v>
      </c>
      <c r="X315" s="1">
        <f ca="1">IFERROR(__xludf.DUMMYFUNCTION("""COMPUTED_VALUE"""),617.36)</f>
        <v>617.36</v>
      </c>
      <c r="Y315" s="1">
        <f ca="1">IFERROR(__xludf.DUMMYFUNCTION("""COMPUTED_VALUE"""),118.28)</f>
        <v>118.28</v>
      </c>
      <c r="Z315" s="1">
        <f ca="1">IFERROR(__xludf.DUMMYFUNCTION("""COMPUTED_VALUE"""),327)</f>
        <v>327</v>
      </c>
      <c r="AA315" s="1">
        <f ca="1">IFERROR(__xludf.DUMMYFUNCTION("""COMPUTED_VALUE"""),36.23)</f>
        <v>36.229999999999997</v>
      </c>
      <c r="AB315" s="1">
        <f ca="1">IFERROR(__xludf.DUMMYFUNCTION("""COMPUTED_VALUE"""),109.27)</f>
        <v>109.27</v>
      </c>
      <c r="AC315" s="1">
        <f ca="1">IFERROR(__xludf.DUMMYFUNCTION("""COMPUTED_VALUE"""),78.5)</f>
        <v>78.5</v>
      </c>
    </row>
    <row r="316" spans="1:29" x14ac:dyDescent="0.25">
      <c r="A316" s="2">
        <f ca="1">IFERROR(__xludf.DUMMYFUNCTION("""COMPUTED_VALUE"""),44287.6666666666)</f>
        <v>44287.666666666599</v>
      </c>
      <c r="B316" s="1">
        <f ca="1">IFERROR(__xludf.DUMMYFUNCTION("""COMPUTED_VALUE"""),123)</f>
        <v>123</v>
      </c>
      <c r="C316" s="1">
        <f ca="1">IFERROR(__xludf.DUMMYFUNCTION("""COMPUTED_VALUE"""),242.35)</f>
        <v>242.35</v>
      </c>
      <c r="D316" s="1">
        <f ca="1">IFERROR(__xludf.DUMMYFUNCTION("""COMPUTED_VALUE"""),158.05)</f>
        <v>158.05000000000001</v>
      </c>
      <c r="E316" s="1">
        <f ca="1">IFERROR(__xludf.DUMMYFUNCTION("""COMPUTED_VALUE"""),13.81)</f>
        <v>13.81</v>
      </c>
      <c r="F316" s="1">
        <f ca="1">IFERROR(__xludf.DUMMYFUNCTION("""COMPUTED_VALUE"""),298.66)</f>
        <v>298.66000000000003</v>
      </c>
      <c r="G316" s="1">
        <f ca="1">IFERROR(__xludf.DUMMYFUNCTION("""COMPUTED_VALUE"""),106.89)</f>
        <v>106.89</v>
      </c>
      <c r="H316" s="1">
        <f ca="1">IFERROR(__xludf.DUMMYFUNCTION("""COMPUTED_VALUE"""),220.58)</f>
        <v>220.58</v>
      </c>
      <c r="I316" s="1">
        <f ca="1">IFERROR(__xludf.DUMMYFUNCTION("""COMPUTED_VALUE"""),141.28)</f>
        <v>141.28</v>
      </c>
      <c r="J316" s="1">
        <f ca="1">IFERROR(__xludf.DUMMYFUNCTION("""COMPUTED_VALUE"""),354.94)</f>
        <v>354.94</v>
      </c>
      <c r="K316" s="1">
        <f ca="1">IFERROR(__xludf.DUMMYFUNCTION("""COMPUTED_VALUE"""),47.6)</f>
        <v>47.6</v>
      </c>
      <c r="L316" s="1">
        <f ca="1">IFERROR(__xludf.DUMMYFUNCTION("""COMPUTED_VALUE"""),483.34)</f>
        <v>483.34</v>
      </c>
      <c r="M316" s="1">
        <f ca="1">IFERROR(__xludf.DUMMYFUNCTION("""COMPUTED_VALUE"""),539.42)</f>
        <v>539.41999999999996</v>
      </c>
      <c r="N316" s="1">
        <f ca="1">IFERROR(__xludf.DUMMYFUNCTION("""COMPUTED_VALUE"""),153.71)</f>
        <v>153.71</v>
      </c>
      <c r="O316" s="1">
        <f ca="1">IFERROR(__xludf.DUMMYFUNCTION("""COMPUTED_VALUE"""),216.86)</f>
        <v>216.86</v>
      </c>
      <c r="P316" s="1">
        <f ca="1">IFERROR(__xludf.DUMMYFUNCTION("""COMPUTED_VALUE"""),162.83)</f>
        <v>162.83000000000001</v>
      </c>
      <c r="Q316" s="1">
        <f ca="1">IFERROR(__xludf.DUMMYFUNCTION("""COMPUTED_VALUE"""),367.07)</f>
        <v>367.07</v>
      </c>
      <c r="R316" s="1">
        <f ca="1">IFERROR(__xludf.DUMMYFUNCTION("""COMPUTED_VALUE"""),57.39)</f>
        <v>57.39</v>
      </c>
      <c r="S316" s="1">
        <f ca="1">IFERROR(__xludf.DUMMYFUNCTION("""COMPUTED_VALUE"""),75.77)</f>
        <v>75.77</v>
      </c>
      <c r="T316" s="1">
        <f ca="1">IFERROR(__xludf.DUMMYFUNCTION("""COMPUTED_VALUE"""),45.21)</f>
        <v>45.21</v>
      </c>
      <c r="U316" s="1">
        <f ca="1">IFERROR(__xludf.DUMMYFUNCTION("""COMPUTED_VALUE"""),132.53)</f>
        <v>132.53</v>
      </c>
      <c r="V316" s="1">
        <f ca="1">IFERROR(__xludf.DUMMYFUNCTION("""COMPUTED_VALUE"""),232.74)</f>
        <v>232.74</v>
      </c>
      <c r="W316" s="1">
        <f ca="1">IFERROR(__xludf.DUMMYFUNCTION("""COMPUTED_VALUE"""),371.02)</f>
        <v>371.02</v>
      </c>
      <c r="X316" s="1">
        <f ca="1">IFERROR(__xludf.DUMMYFUNCTION("""COMPUTED_VALUE"""),637.1)</f>
        <v>637.1</v>
      </c>
      <c r="Y316" s="1">
        <f ca="1">IFERROR(__xludf.DUMMYFUNCTION("""COMPUTED_VALUE"""),124.8)</f>
        <v>124.8</v>
      </c>
      <c r="Z316" s="1">
        <f ca="1">IFERROR(__xludf.DUMMYFUNCTION("""COMPUTED_VALUE"""),327.64)</f>
        <v>327.64</v>
      </c>
      <c r="AA316" s="1">
        <f ca="1">IFERROR(__xludf.DUMMYFUNCTION("""COMPUTED_VALUE"""),36.3)</f>
        <v>36.299999999999997</v>
      </c>
      <c r="AB316" s="1">
        <f ca="1">IFERROR(__xludf.DUMMYFUNCTION("""COMPUTED_VALUE"""),109.38)</f>
        <v>109.38</v>
      </c>
      <c r="AC316" s="1">
        <f ca="1">IFERROR(__xludf.DUMMYFUNCTION("""COMPUTED_VALUE"""),81.09)</f>
        <v>81.09</v>
      </c>
    </row>
    <row r="317" spans="1:29" x14ac:dyDescent="0.25">
      <c r="A317" s="2">
        <f ca="1">IFERROR(__xludf.DUMMYFUNCTION("""COMPUTED_VALUE"""),44291.6666666666)</f>
        <v>44291.666666666599</v>
      </c>
      <c r="B317" s="1">
        <f ca="1">IFERROR(__xludf.DUMMYFUNCTION("""COMPUTED_VALUE"""),125.9)</f>
        <v>125.9</v>
      </c>
      <c r="C317" s="1">
        <f ca="1">IFERROR(__xludf.DUMMYFUNCTION("""COMPUTED_VALUE"""),249.07)</f>
        <v>249.07</v>
      </c>
      <c r="D317" s="1">
        <f ca="1">IFERROR(__xludf.DUMMYFUNCTION("""COMPUTED_VALUE"""),161.34)</f>
        <v>161.34</v>
      </c>
      <c r="E317" s="1">
        <f ca="1">IFERROR(__xludf.DUMMYFUNCTION("""COMPUTED_VALUE"""),13.99)</f>
        <v>13.99</v>
      </c>
      <c r="F317" s="1">
        <f ca="1">IFERROR(__xludf.DUMMYFUNCTION("""COMPUTED_VALUE"""),308.91)</f>
        <v>308.91000000000003</v>
      </c>
      <c r="G317" s="1">
        <f ca="1">IFERROR(__xludf.DUMMYFUNCTION("""COMPUTED_VALUE"""),111.28)</f>
        <v>111.28</v>
      </c>
      <c r="H317" s="1">
        <f ca="1">IFERROR(__xludf.DUMMYFUNCTION("""COMPUTED_VALUE"""),230.35)</f>
        <v>230.35</v>
      </c>
      <c r="I317" s="1">
        <f ca="1">IFERROR(__xludf.DUMMYFUNCTION("""COMPUTED_VALUE"""),143.16)</f>
        <v>143.16</v>
      </c>
      <c r="J317" s="1">
        <f ca="1">IFERROR(__xludf.DUMMYFUNCTION("""COMPUTED_VALUE"""),360.82)</f>
        <v>360.82</v>
      </c>
      <c r="K317" s="1">
        <f ca="1">IFERROR(__xludf.DUMMYFUNCTION("""COMPUTED_VALUE"""),48.85)</f>
        <v>48.85</v>
      </c>
      <c r="L317" s="1">
        <f ca="1">IFERROR(__xludf.DUMMYFUNCTION("""COMPUTED_VALUE"""),491.62)</f>
        <v>491.62</v>
      </c>
      <c r="M317" s="1">
        <f ca="1">IFERROR(__xludf.DUMMYFUNCTION("""COMPUTED_VALUE"""),540.67)</f>
        <v>540.66999999999996</v>
      </c>
      <c r="N317" s="1">
        <f ca="1">IFERROR(__xludf.DUMMYFUNCTION("""COMPUTED_VALUE"""),153.62)</f>
        <v>153.62</v>
      </c>
      <c r="O317" s="1">
        <f ca="1">IFERROR(__xludf.DUMMYFUNCTION("""COMPUTED_VALUE"""),219.04)</f>
        <v>219.04</v>
      </c>
      <c r="P317" s="1">
        <f ca="1">IFERROR(__xludf.DUMMYFUNCTION("""COMPUTED_VALUE"""),163.43)</f>
        <v>163.43</v>
      </c>
      <c r="Q317" s="1">
        <f ca="1">IFERROR(__xludf.DUMMYFUNCTION("""COMPUTED_VALUE"""),370.18)</f>
        <v>370.18</v>
      </c>
      <c r="R317" s="1">
        <f ca="1">IFERROR(__xludf.DUMMYFUNCTION("""COMPUTED_VALUE"""),56.5)</f>
        <v>56.5</v>
      </c>
      <c r="S317" s="1">
        <f ca="1">IFERROR(__xludf.DUMMYFUNCTION("""COMPUTED_VALUE"""),76.78)</f>
        <v>76.78</v>
      </c>
      <c r="T317" s="1">
        <f ca="1">IFERROR(__xludf.DUMMYFUNCTION("""COMPUTED_VALUE"""),46.48)</f>
        <v>46.48</v>
      </c>
      <c r="U317" s="1">
        <f ca="1">IFERROR(__xludf.DUMMYFUNCTION("""COMPUTED_VALUE"""),135.12)</f>
        <v>135.12</v>
      </c>
      <c r="V317" s="1">
        <f ca="1">IFERROR(__xludf.DUMMYFUNCTION("""COMPUTED_VALUE"""),233.71)</f>
        <v>233.71</v>
      </c>
      <c r="W317" s="1">
        <f ca="1">IFERROR(__xludf.DUMMYFUNCTION("""COMPUTED_VALUE"""),378.75)</f>
        <v>378.75</v>
      </c>
      <c r="X317" s="1">
        <f ca="1">IFERROR(__xludf.DUMMYFUNCTION("""COMPUTED_VALUE"""),640.49)</f>
        <v>640.49</v>
      </c>
      <c r="Y317" s="1">
        <f ca="1">IFERROR(__xludf.DUMMYFUNCTION("""COMPUTED_VALUE"""),124.5)</f>
        <v>124.5</v>
      </c>
      <c r="Z317" s="1">
        <f ca="1">IFERROR(__xludf.DUMMYFUNCTION("""COMPUTED_VALUE"""),323.54)</f>
        <v>323.54000000000002</v>
      </c>
      <c r="AA317" s="1">
        <f ca="1">IFERROR(__xludf.DUMMYFUNCTION("""COMPUTED_VALUE"""),36.28)</f>
        <v>36.28</v>
      </c>
      <c r="AB317" s="1">
        <f ca="1">IFERROR(__xludf.DUMMYFUNCTION("""COMPUTED_VALUE"""),111.02)</f>
        <v>111.02</v>
      </c>
      <c r="AC317" s="1">
        <f ca="1">IFERROR(__xludf.DUMMYFUNCTION("""COMPUTED_VALUE"""),81.43)</f>
        <v>81.430000000000007</v>
      </c>
    </row>
    <row r="318" spans="1:29" x14ac:dyDescent="0.25">
      <c r="A318" s="2">
        <f ca="1">IFERROR(__xludf.DUMMYFUNCTION("""COMPUTED_VALUE"""),44292.6666666666)</f>
        <v>44292.666666666599</v>
      </c>
      <c r="B318" s="1">
        <f ca="1">IFERROR(__xludf.DUMMYFUNCTION("""COMPUTED_VALUE"""),126.21)</f>
        <v>126.21</v>
      </c>
      <c r="C318" s="1">
        <f ca="1">IFERROR(__xludf.DUMMYFUNCTION("""COMPUTED_VALUE"""),247.86)</f>
        <v>247.86</v>
      </c>
      <c r="D318" s="1">
        <f ca="1">IFERROR(__xludf.DUMMYFUNCTION("""COMPUTED_VALUE"""),161.19)</f>
        <v>161.19</v>
      </c>
      <c r="E318" s="1">
        <f ca="1">IFERROR(__xludf.DUMMYFUNCTION("""COMPUTED_VALUE"""),13.86)</f>
        <v>13.86</v>
      </c>
      <c r="F318" s="1">
        <f ca="1">IFERROR(__xludf.DUMMYFUNCTION("""COMPUTED_VALUE"""),306.26)</f>
        <v>306.26</v>
      </c>
      <c r="G318" s="1">
        <f ca="1">IFERROR(__xludf.DUMMYFUNCTION("""COMPUTED_VALUE"""),111.24)</f>
        <v>111.24</v>
      </c>
      <c r="H318" s="1">
        <f ca="1">IFERROR(__xludf.DUMMYFUNCTION("""COMPUTED_VALUE"""),230.54)</f>
        <v>230.54</v>
      </c>
      <c r="I318" s="1">
        <f ca="1">IFERROR(__xludf.DUMMYFUNCTION("""COMPUTED_VALUE"""),143.67)</f>
        <v>143.66999999999999</v>
      </c>
      <c r="J318" s="1">
        <f ca="1">IFERROR(__xludf.DUMMYFUNCTION("""COMPUTED_VALUE"""),360.12)</f>
        <v>360.12</v>
      </c>
      <c r="K318" s="1">
        <f ca="1">IFERROR(__xludf.DUMMYFUNCTION("""COMPUTED_VALUE"""),48.39)</f>
        <v>48.39</v>
      </c>
      <c r="L318" s="1">
        <f ca="1">IFERROR(__xludf.DUMMYFUNCTION("""COMPUTED_VALUE"""),491.34)</f>
        <v>491.34</v>
      </c>
      <c r="M318" s="1">
        <f ca="1">IFERROR(__xludf.DUMMYFUNCTION("""COMPUTED_VALUE"""),544.53)</f>
        <v>544.53</v>
      </c>
      <c r="N318" s="1">
        <f ca="1">IFERROR(__xludf.DUMMYFUNCTION("""COMPUTED_VALUE"""),152.54)</f>
        <v>152.54</v>
      </c>
      <c r="O318" s="1">
        <f ca="1">IFERROR(__xludf.DUMMYFUNCTION("""COMPUTED_VALUE"""),218.65)</f>
        <v>218.65</v>
      </c>
      <c r="P318" s="1">
        <f ca="1">IFERROR(__xludf.DUMMYFUNCTION("""COMPUTED_VALUE"""),163.39)</f>
        <v>163.38999999999999</v>
      </c>
      <c r="Q318" s="1">
        <f ca="1">IFERROR(__xludf.DUMMYFUNCTION("""COMPUTED_VALUE"""),364.37)</f>
        <v>364.37</v>
      </c>
      <c r="R318" s="1">
        <f ca="1">IFERROR(__xludf.DUMMYFUNCTION("""COMPUTED_VALUE"""),56.34)</f>
        <v>56.34</v>
      </c>
      <c r="S318" s="1">
        <f ca="1">IFERROR(__xludf.DUMMYFUNCTION("""COMPUTED_VALUE"""),77.56)</f>
        <v>77.56</v>
      </c>
      <c r="T318" s="1">
        <f ca="1">IFERROR(__xludf.DUMMYFUNCTION("""COMPUTED_VALUE"""),46.7)</f>
        <v>46.7</v>
      </c>
      <c r="U318" s="1">
        <f ca="1">IFERROR(__xludf.DUMMYFUNCTION("""COMPUTED_VALUE"""),137.16)</f>
        <v>137.16</v>
      </c>
      <c r="V318" s="1">
        <f ca="1">IFERROR(__xludf.DUMMYFUNCTION("""COMPUTED_VALUE"""),230.64)</f>
        <v>230.64</v>
      </c>
      <c r="W318" s="1">
        <f ca="1">IFERROR(__xludf.DUMMYFUNCTION("""COMPUTED_VALUE"""),378.97)</f>
        <v>378.97</v>
      </c>
      <c r="X318" s="1">
        <f ca="1">IFERROR(__xludf.DUMMYFUNCTION("""COMPUTED_VALUE"""),628)</f>
        <v>628</v>
      </c>
      <c r="Y318" s="1">
        <f ca="1">IFERROR(__xludf.DUMMYFUNCTION("""COMPUTED_VALUE"""),122.44)</f>
        <v>122.44</v>
      </c>
      <c r="Z318" s="1">
        <f ca="1">IFERROR(__xludf.DUMMYFUNCTION("""COMPUTED_VALUE"""),327.06)</f>
        <v>327.06</v>
      </c>
      <c r="AA318" s="1">
        <f ca="1">IFERROR(__xludf.DUMMYFUNCTION("""COMPUTED_VALUE"""),36.05)</f>
        <v>36.049999999999997</v>
      </c>
      <c r="AB318" s="1">
        <f ca="1">IFERROR(__xludf.DUMMYFUNCTION("""COMPUTED_VALUE"""),113.15)</f>
        <v>113.15</v>
      </c>
      <c r="AC318" s="1">
        <f ca="1">IFERROR(__xludf.DUMMYFUNCTION("""COMPUTED_VALUE"""),81.44)</f>
        <v>81.44</v>
      </c>
    </row>
    <row r="319" spans="1:29" x14ac:dyDescent="0.25">
      <c r="A319" s="2">
        <f ca="1">IFERROR(__xludf.DUMMYFUNCTION("""COMPUTED_VALUE"""),44293.6666666666)</f>
        <v>44293.666666666599</v>
      </c>
      <c r="B319" s="1">
        <f ca="1">IFERROR(__xludf.DUMMYFUNCTION("""COMPUTED_VALUE"""),127.9)</f>
        <v>127.9</v>
      </c>
      <c r="C319" s="1">
        <f ca="1">IFERROR(__xludf.DUMMYFUNCTION("""COMPUTED_VALUE"""),249.9)</f>
        <v>249.9</v>
      </c>
      <c r="D319" s="1">
        <f ca="1">IFERROR(__xludf.DUMMYFUNCTION("""COMPUTED_VALUE"""),163.97)</f>
        <v>163.97</v>
      </c>
      <c r="E319" s="1">
        <f ca="1">IFERROR(__xludf.DUMMYFUNCTION("""COMPUTED_VALUE"""),14.14)</f>
        <v>14.14</v>
      </c>
      <c r="F319" s="1">
        <f ca="1">IFERROR(__xludf.DUMMYFUNCTION("""COMPUTED_VALUE"""),313.09)</f>
        <v>313.08999999999997</v>
      </c>
      <c r="G319" s="1">
        <f ca="1">IFERROR(__xludf.DUMMYFUNCTION("""COMPUTED_VALUE"""),112.48)</f>
        <v>112.48</v>
      </c>
      <c r="H319" s="1">
        <f ca="1">IFERROR(__xludf.DUMMYFUNCTION("""COMPUTED_VALUE"""),223.66)</f>
        <v>223.66</v>
      </c>
      <c r="I319" s="1">
        <f ca="1">IFERROR(__xludf.DUMMYFUNCTION("""COMPUTED_VALUE"""),143.41)</f>
        <v>143.41</v>
      </c>
      <c r="J319" s="1">
        <f ca="1">IFERROR(__xludf.DUMMYFUNCTION("""COMPUTED_VALUE"""),358.81)</f>
        <v>358.81</v>
      </c>
      <c r="K319" s="1">
        <f ca="1">IFERROR(__xludf.DUMMYFUNCTION("""COMPUTED_VALUE"""),48.25)</f>
        <v>48.25</v>
      </c>
      <c r="L319" s="1">
        <f ca="1">IFERROR(__xludf.DUMMYFUNCTION("""COMPUTED_VALUE"""),493.41)</f>
        <v>493.41</v>
      </c>
      <c r="M319" s="1">
        <f ca="1">IFERROR(__xludf.DUMMYFUNCTION("""COMPUTED_VALUE"""),546.99)</f>
        <v>546.99</v>
      </c>
      <c r="N319" s="1">
        <f ca="1">IFERROR(__xludf.DUMMYFUNCTION("""COMPUTED_VALUE"""),154.93)</f>
        <v>154.93</v>
      </c>
      <c r="O319" s="1">
        <f ca="1">IFERROR(__xludf.DUMMYFUNCTION("""COMPUTED_VALUE"""),219.27)</f>
        <v>219.27</v>
      </c>
      <c r="P319" s="1">
        <f ca="1">IFERROR(__xludf.DUMMYFUNCTION("""COMPUTED_VALUE"""),163.61)</f>
        <v>163.61000000000001</v>
      </c>
      <c r="Q319" s="1">
        <f ca="1">IFERROR(__xludf.DUMMYFUNCTION("""COMPUTED_VALUE"""),365.64)</f>
        <v>365.64</v>
      </c>
      <c r="R319" s="1">
        <f ca="1">IFERROR(__xludf.DUMMYFUNCTION("""COMPUTED_VALUE"""),56.59)</f>
        <v>56.59</v>
      </c>
      <c r="S319" s="1">
        <f ca="1">IFERROR(__xludf.DUMMYFUNCTION("""COMPUTED_VALUE"""),77.41)</f>
        <v>77.41</v>
      </c>
      <c r="T319" s="1">
        <f ca="1">IFERROR(__xludf.DUMMYFUNCTION("""COMPUTED_VALUE"""),46.6)</f>
        <v>46.6</v>
      </c>
      <c r="U319" s="1">
        <f ca="1">IFERROR(__xludf.DUMMYFUNCTION("""COMPUTED_VALUE"""),136.54)</f>
        <v>136.54</v>
      </c>
      <c r="V319" s="1">
        <f ca="1">IFERROR(__xludf.DUMMYFUNCTION("""COMPUTED_VALUE"""),230.41)</f>
        <v>230.41</v>
      </c>
      <c r="W319" s="1">
        <f ca="1">IFERROR(__xludf.DUMMYFUNCTION("""COMPUTED_VALUE"""),380.19)</f>
        <v>380.19</v>
      </c>
      <c r="X319" s="1">
        <f ca="1">IFERROR(__xludf.DUMMYFUNCTION("""COMPUTED_VALUE"""),626.56)</f>
        <v>626.55999999999995</v>
      </c>
      <c r="Y319" s="1">
        <f ca="1">IFERROR(__xludf.DUMMYFUNCTION("""COMPUTED_VALUE"""),119.89)</f>
        <v>119.89</v>
      </c>
      <c r="Z319" s="1">
        <f ca="1">IFERROR(__xludf.DUMMYFUNCTION("""COMPUTED_VALUE"""),326.55)</f>
        <v>326.55</v>
      </c>
      <c r="AA319" s="1">
        <f ca="1">IFERROR(__xludf.DUMMYFUNCTION("""COMPUTED_VALUE"""),35.91)</f>
        <v>35.909999999999997</v>
      </c>
      <c r="AB319" s="1">
        <f ca="1">IFERROR(__xludf.DUMMYFUNCTION("""COMPUTED_VALUE"""),113.19)</f>
        <v>113.19</v>
      </c>
      <c r="AC319" s="1">
        <f ca="1">IFERROR(__xludf.DUMMYFUNCTION("""COMPUTED_VALUE"""),82.2)</f>
        <v>82.2</v>
      </c>
    </row>
    <row r="320" spans="1:29" x14ac:dyDescent="0.25">
      <c r="A320" s="2">
        <f ca="1">IFERROR(__xludf.DUMMYFUNCTION("""COMPUTED_VALUE"""),44294.6666666666)</f>
        <v>44294.666666666599</v>
      </c>
      <c r="B320" s="1">
        <f ca="1">IFERROR(__xludf.DUMMYFUNCTION("""COMPUTED_VALUE"""),130.36)</f>
        <v>130.36000000000001</v>
      </c>
      <c r="C320" s="1">
        <f ca="1">IFERROR(__xludf.DUMMYFUNCTION("""COMPUTED_VALUE"""),253.25)</f>
        <v>253.25</v>
      </c>
      <c r="D320" s="1">
        <f ca="1">IFERROR(__xludf.DUMMYFUNCTION("""COMPUTED_VALUE"""),164.97)</f>
        <v>164.97</v>
      </c>
      <c r="E320" s="1">
        <f ca="1">IFERROR(__xludf.DUMMYFUNCTION("""COMPUTED_VALUE"""),14.32)</f>
        <v>14.32</v>
      </c>
      <c r="F320" s="1">
        <f ca="1">IFERROR(__xludf.DUMMYFUNCTION("""COMPUTED_VALUE"""),313.02)</f>
        <v>313.02</v>
      </c>
      <c r="G320" s="1">
        <f ca="1">IFERROR(__xludf.DUMMYFUNCTION("""COMPUTED_VALUE"""),113.27)</f>
        <v>113.27</v>
      </c>
      <c r="H320" s="1">
        <f ca="1">IFERROR(__xludf.DUMMYFUNCTION("""COMPUTED_VALUE"""),227.93)</f>
        <v>227.93</v>
      </c>
      <c r="I320" s="1">
        <f ca="1">IFERROR(__xludf.DUMMYFUNCTION("""COMPUTED_VALUE"""),142.54)</f>
        <v>142.54</v>
      </c>
      <c r="J320" s="1">
        <f ca="1">IFERROR(__xludf.DUMMYFUNCTION("""COMPUTED_VALUE"""),361.22)</f>
        <v>361.22</v>
      </c>
      <c r="K320" s="1">
        <f ca="1">IFERROR(__xludf.DUMMYFUNCTION("""COMPUTED_VALUE"""),48.55)</f>
        <v>48.55</v>
      </c>
      <c r="L320" s="1">
        <f ca="1">IFERROR(__xludf.DUMMYFUNCTION("""COMPUTED_VALUE"""),499.84)</f>
        <v>499.84</v>
      </c>
      <c r="M320" s="1">
        <f ca="1">IFERROR(__xludf.DUMMYFUNCTION("""COMPUTED_VALUE"""),554.58)</f>
        <v>554.58000000000004</v>
      </c>
      <c r="N320" s="1">
        <f ca="1">IFERROR(__xludf.DUMMYFUNCTION("""COMPUTED_VALUE"""),155.12)</f>
        <v>155.12</v>
      </c>
      <c r="O320" s="1">
        <f ca="1">IFERROR(__xludf.DUMMYFUNCTION("""COMPUTED_VALUE"""),220.7)</f>
        <v>220.7</v>
      </c>
      <c r="P320" s="1">
        <f ca="1">IFERROR(__xludf.DUMMYFUNCTION("""COMPUTED_VALUE"""),162.97)</f>
        <v>162.97</v>
      </c>
      <c r="Q320" s="1">
        <f ca="1">IFERROR(__xludf.DUMMYFUNCTION("""COMPUTED_VALUE"""),364.89)</f>
        <v>364.89</v>
      </c>
      <c r="R320" s="1">
        <f ca="1">IFERROR(__xludf.DUMMYFUNCTION("""COMPUTED_VALUE"""),56)</f>
        <v>56</v>
      </c>
      <c r="S320" s="1">
        <f ca="1">IFERROR(__xludf.DUMMYFUNCTION("""COMPUTED_VALUE"""),77.76)</f>
        <v>77.760000000000005</v>
      </c>
      <c r="T320" s="1">
        <f ca="1">IFERROR(__xludf.DUMMYFUNCTION("""COMPUTED_VALUE"""),46.57)</f>
        <v>46.57</v>
      </c>
      <c r="U320" s="1">
        <f ca="1">IFERROR(__xludf.DUMMYFUNCTION("""COMPUTED_VALUE"""),133.68)</f>
        <v>133.68</v>
      </c>
      <c r="V320" s="1">
        <f ca="1">IFERROR(__xludf.DUMMYFUNCTION("""COMPUTED_VALUE"""),230.48)</f>
        <v>230.48</v>
      </c>
      <c r="W320" s="1">
        <f ca="1">IFERROR(__xludf.DUMMYFUNCTION("""COMPUTED_VALUE"""),386.02)</f>
        <v>386.02</v>
      </c>
      <c r="X320" s="1">
        <f ca="1">IFERROR(__xludf.DUMMYFUNCTION("""COMPUTED_VALUE"""),639.88)</f>
        <v>639.88</v>
      </c>
      <c r="Y320" s="1">
        <f ca="1">IFERROR(__xludf.DUMMYFUNCTION("""COMPUTED_VALUE"""),123.43)</f>
        <v>123.43</v>
      </c>
      <c r="Z320" s="1">
        <f ca="1">IFERROR(__xludf.DUMMYFUNCTION("""COMPUTED_VALUE"""),331.14)</f>
        <v>331.14</v>
      </c>
      <c r="AA320" s="1">
        <f ca="1">IFERROR(__xludf.DUMMYFUNCTION("""COMPUTED_VALUE"""),35.96)</f>
        <v>35.96</v>
      </c>
      <c r="AB320" s="1">
        <f ca="1">IFERROR(__xludf.DUMMYFUNCTION("""COMPUTED_VALUE"""),113.04)</f>
        <v>113.04</v>
      </c>
      <c r="AC320" s="1">
        <f ca="1">IFERROR(__xludf.DUMMYFUNCTION("""COMPUTED_VALUE"""),83.35)</f>
        <v>83.35</v>
      </c>
    </row>
    <row r="321" spans="1:29" x14ac:dyDescent="0.25">
      <c r="A321" s="2">
        <f ca="1">IFERROR(__xludf.DUMMYFUNCTION("""COMPUTED_VALUE"""),44295.6666666666)</f>
        <v>44295.666666666599</v>
      </c>
      <c r="B321" s="1">
        <f ca="1">IFERROR(__xludf.DUMMYFUNCTION("""COMPUTED_VALUE"""),133)</f>
        <v>133</v>
      </c>
      <c r="C321" s="1">
        <f ca="1">IFERROR(__xludf.DUMMYFUNCTION("""COMPUTED_VALUE"""),255.85)</f>
        <v>255.85</v>
      </c>
      <c r="D321" s="1">
        <f ca="1">IFERROR(__xludf.DUMMYFUNCTION("""COMPUTED_VALUE"""),168.61)</f>
        <v>168.61</v>
      </c>
      <c r="E321" s="1">
        <f ca="1">IFERROR(__xludf.DUMMYFUNCTION("""COMPUTED_VALUE"""),14.4)</f>
        <v>14.4</v>
      </c>
      <c r="F321" s="1">
        <f ca="1">IFERROR(__xludf.DUMMYFUNCTION("""COMPUTED_VALUE"""),312.46)</f>
        <v>312.45999999999998</v>
      </c>
      <c r="G321" s="1">
        <f ca="1">IFERROR(__xludf.DUMMYFUNCTION("""COMPUTED_VALUE"""),114.29)</f>
        <v>114.29</v>
      </c>
      <c r="H321" s="1">
        <f ca="1">IFERROR(__xludf.DUMMYFUNCTION("""COMPUTED_VALUE"""),225.67)</f>
        <v>225.67</v>
      </c>
      <c r="I321" s="1">
        <f ca="1">IFERROR(__xludf.DUMMYFUNCTION("""COMPUTED_VALUE"""),142.57)</f>
        <v>142.57</v>
      </c>
      <c r="J321" s="1">
        <f ca="1">IFERROR(__xludf.DUMMYFUNCTION("""COMPUTED_VALUE"""),363.21)</f>
        <v>363.21</v>
      </c>
      <c r="K321" s="1">
        <f ca="1">IFERROR(__xludf.DUMMYFUNCTION("""COMPUTED_VALUE"""),48.51)</f>
        <v>48.51</v>
      </c>
      <c r="L321" s="1">
        <f ca="1">IFERROR(__xludf.DUMMYFUNCTION("""COMPUTED_VALUE"""),504.04)</f>
        <v>504.04</v>
      </c>
      <c r="M321" s="1">
        <f ca="1">IFERROR(__xludf.DUMMYFUNCTION("""COMPUTED_VALUE"""),555.31)</f>
        <v>555.30999999999995</v>
      </c>
      <c r="N321" s="1">
        <f ca="1">IFERROR(__xludf.DUMMYFUNCTION("""COMPUTED_VALUE"""),156.28)</f>
        <v>156.28</v>
      </c>
      <c r="O321" s="1">
        <f ca="1">IFERROR(__xludf.DUMMYFUNCTION("""COMPUTED_VALUE"""),222.52)</f>
        <v>222.52</v>
      </c>
      <c r="P321" s="1">
        <f ca="1">IFERROR(__xludf.DUMMYFUNCTION("""COMPUTED_VALUE"""),161.25)</f>
        <v>161.25</v>
      </c>
      <c r="Q321" s="1">
        <f ca="1">IFERROR(__xludf.DUMMYFUNCTION("""COMPUTED_VALUE"""),376.3)</f>
        <v>376.3</v>
      </c>
      <c r="R321" s="1">
        <f ca="1">IFERROR(__xludf.DUMMYFUNCTION("""COMPUTED_VALUE"""),55.87)</f>
        <v>55.87</v>
      </c>
      <c r="S321" s="1">
        <f ca="1">IFERROR(__xludf.DUMMYFUNCTION("""COMPUTED_VALUE"""),77.94)</f>
        <v>77.94</v>
      </c>
      <c r="T321" s="1">
        <f ca="1">IFERROR(__xludf.DUMMYFUNCTION("""COMPUTED_VALUE"""),46.59)</f>
        <v>46.59</v>
      </c>
      <c r="U321" s="1">
        <f ca="1">IFERROR(__xludf.DUMMYFUNCTION("""COMPUTED_VALUE"""),135.45)</f>
        <v>135.44999999999999</v>
      </c>
      <c r="V321" s="1">
        <f ca="1">IFERROR(__xludf.DUMMYFUNCTION("""COMPUTED_VALUE"""),230.75)</f>
        <v>230.75</v>
      </c>
      <c r="W321" s="1">
        <f ca="1">IFERROR(__xludf.DUMMYFUNCTION("""COMPUTED_VALUE"""),386.23)</f>
        <v>386.23</v>
      </c>
      <c r="X321" s="1">
        <f ca="1">IFERROR(__xludf.DUMMYFUNCTION("""COMPUTED_VALUE"""),634.32)</f>
        <v>634.32000000000005</v>
      </c>
      <c r="Y321" s="1">
        <f ca="1">IFERROR(__xludf.DUMMYFUNCTION("""COMPUTED_VALUE"""),122.8)</f>
        <v>122.8</v>
      </c>
      <c r="Z321" s="1">
        <f ca="1">IFERROR(__xludf.DUMMYFUNCTION("""COMPUTED_VALUE"""),330.81)</f>
        <v>330.81</v>
      </c>
      <c r="AA321" s="1">
        <f ca="1">IFERROR(__xludf.DUMMYFUNCTION("""COMPUTED_VALUE"""),36.6)</f>
        <v>36.6</v>
      </c>
      <c r="AB321" s="1">
        <f ca="1">IFERROR(__xludf.DUMMYFUNCTION("""COMPUTED_VALUE"""),113.18)</f>
        <v>113.18</v>
      </c>
      <c r="AC321" s="1">
        <f ca="1">IFERROR(__xludf.DUMMYFUNCTION("""COMPUTED_VALUE"""),82.76)</f>
        <v>82.76</v>
      </c>
    </row>
    <row r="322" spans="1:29" x14ac:dyDescent="0.25">
      <c r="A322" s="2">
        <f ca="1">IFERROR(__xludf.DUMMYFUNCTION("""COMPUTED_VALUE"""),44298.6666666666)</f>
        <v>44298.666666666599</v>
      </c>
      <c r="B322" s="1">
        <f ca="1">IFERROR(__xludf.DUMMYFUNCTION("""COMPUTED_VALUE"""),131.24)</f>
        <v>131.24</v>
      </c>
      <c r="C322" s="1">
        <f ca="1">IFERROR(__xludf.DUMMYFUNCTION("""COMPUTED_VALUE"""),255.91)</f>
        <v>255.91</v>
      </c>
      <c r="D322" s="1">
        <f ca="1">IFERROR(__xludf.DUMMYFUNCTION("""COMPUTED_VALUE"""),168.97)</f>
        <v>168.97</v>
      </c>
      <c r="E322" s="1">
        <f ca="1">IFERROR(__xludf.DUMMYFUNCTION("""COMPUTED_VALUE"""),15.21)</f>
        <v>15.21</v>
      </c>
      <c r="F322" s="1">
        <f ca="1">IFERROR(__xludf.DUMMYFUNCTION("""COMPUTED_VALUE"""),311.54)</f>
        <v>311.54000000000002</v>
      </c>
      <c r="G322" s="1">
        <f ca="1">IFERROR(__xludf.DUMMYFUNCTION("""COMPUTED_VALUE"""),112.74)</f>
        <v>112.74</v>
      </c>
      <c r="H322" s="1">
        <f ca="1">IFERROR(__xludf.DUMMYFUNCTION("""COMPUTED_VALUE"""),233.99)</f>
        <v>233.99</v>
      </c>
      <c r="I322" s="1">
        <f ca="1">IFERROR(__xludf.DUMMYFUNCTION("""COMPUTED_VALUE"""),143.02)</f>
        <v>143.02000000000001</v>
      </c>
      <c r="J322" s="1">
        <f ca="1">IFERROR(__xludf.DUMMYFUNCTION("""COMPUTED_VALUE"""),364.81)</f>
        <v>364.81</v>
      </c>
      <c r="K322" s="1">
        <f ca="1">IFERROR(__xludf.DUMMYFUNCTION("""COMPUTED_VALUE"""),48.37)</f>
        <v>48.37</v>
      </c>
      <c r="L322" s="1">
        <f ca="1">IFERROR(__xludf.DUMMYFUNCTION("""COMPUTED_VALUE"""),506.03)</f>
        <v>506.03</v>
      </c>
      <c r="M322" s="1">
        <f ca="1">IFERROR(__xludf.DUMMYFUNCTION("""COMPUTED_VALUE"""),552.78)</f>
        <v>552.78</v>
      </c>
      <c r="N322" s="1">
        <f ca="1">IFERROR(__xludf.DUMMYFUNCTION("""COMPUTED_VALUE"""),155.95)</f>
        <v>155.94999999999999</v>
      </c>
      <c r="O322" s="1">
        <f ca="1">IFERROR(__xludf.DUMMYFUNCTION("""COMPUTED_VALUE"""),221.47)</f>
        <v>221.47</v>
      </c>
      <c r="P322" s="1">
        <f ca="1">IFERROR(__xludf.DUMMYFUNCTION("""COMPUTED_VALUE"""),161.64)</f>
        <v>161.63999999999999</v>
      </c>
      <c r="Q322" s="1">
        <f ca="1">IFERROR(__xludf.DUMMYFUNCTION("""COMPUTED_VALUE"""),376.28)</f>
        <v>376.28</v>
      </c>
      <c r="R322" s="1">
        <f ca="1">IFERROR(__xludf.DUMMYFUNCTION("""COMPUTED_VALUE"""),55.5)</f>
        <v>55.5</v>
      </c>
      <c r="S322" s="1">
        <f ca="1">IFERROR(__xludf.DUMMYFUNCTION("""COMPUTED_VALUE"""),77.64)</f>
        <v>77.64</v>
      </c>
      <c r="T322" s="1">
        <f ca="1">IFERROR(__xludf.DUMMYFUNCTION("""COMPUTED_VALUE"""),46.6)</f>
        <v>46.6</v>
      </c>
      <c r="U322" s="1">
        <f ca="1">IFERROR(__xludf.DUMMYFUNCTION("""COMPUTED_VALUE"""),136.64)</f>
        <v>136.63999999999999</v>
      </c>
      <c r="V322" s="1">
        <f ca="1">IFERROR(__xludf.DUMMYFUNCTION("""COMPUTED_VALUE"""),230.93)</f>
        <v>230.93</v>
      </c>
      <c r="W322" s="1">
        <f ca="1">IFERROR(__xludf.DUMMYFUNCTION("""COMPUTED_VALUE"""),387.85)</f>
        <v>387.85</v>
      </c>
      <c r="X322" s="1">
        <f ca="1">IFERROR(__xludf.DUMMYFUNCTION("""COMPUTED_VALUE"""),630.43)</f>
        <v>630.42999999999995</v>
      </c>
      <c r="Y322" s="1">
        <f ca="1">IFERROR(__xludf.DUMMYFUNCTION("""COMPUTED_VALUE"""),120.9)</f>
        <v>120.9</v>
      </c>
      <c r="Z322" s="1">
        <f ca="1">IFERROR(__xludf.DUMMYFUNCTION("""COMPUTED_VALUE"""),331.84)</f>
        <v>331.84</v>
      </c>
      <c r="AA322" s="1">
        <f ca="1">IFERROR(__xludf.DUMMYFUNCTION("""COMPUTED_VALUE"""),36.97)</f>
        <v>36.97</v>
      </c>
      <c r="AB322" s="1">
        <f ca="1">IFERROR(__xludf.DUMMYFUNCTION("""COMPUTED_VALUE"""),113.81)</f>
        <v>113.81</v>
      </c>
      <c r="AC322" s="1">
        <f ca="1">IFERROR(__xludf.DUMMYFUNCTION("""COMPUTED_VALUE"""),78.58)</f>
        <v>78.58</v>
      </c>
    </row>
    <row r="323" spans="1:29" x14ac:dyDescent="0.25">
      <c r="A323" s="2">
        <f ca="1">IFERROR(__xludf.DUMMYFUNCTION("""COMPUTED_VALUE"""),44299.6666666666)</f>
        <v>44299.666666666599</v>
      </c>
      <c r="B323" s="1">
        <f ca="1">IFERROR(__xludf.DUMMYFUNCTION("""COMPUTED_VALUE"""),134.43)</f>
        <v>134.43</v>
      </c>
      <c r="C323" s="1">
        <f ca="1">IFERROR(__xludf.DUMMYFUNCTION("""COMPUTED_VALUE"""),258.49)</f>
        <v>258.49</v>
      </c>
      <c r="D323" s="1">
        <f ca="1">IFERROR(__xludf.DUMMYFUNCTION("""COMPUTED_VALUE"""),170)</f>
        <v>170</v>
      </c>
      <c r="E323" s="1">
        <f ca="1">IFERROR(__xludf.DUMMYFUNCTION("""COMPUTED_VALUE"""),15.68)</f>
        <v>15.68</v>
      </c>
      <c r="F323" s="1">
        <f ca="1">IFERROR(__xludf.DUMMYFUNCTION("""COMPUTED_VALUE"""),309.76)</f>
        <v>309.76</v>
      </c>
      <c r="G323" s="1">
        <f ca="1">IFERROR(__xludf.DUMMYFUNCTION("""COMPUTED_VALUE"""),113.36)</f>
        <v>113.36</v>
      </c>
      <c r="H323" s="1">
        <f ca="1">IFERROR(__xludf.DUMMYFUNCTION("""COMPUTED_VALUE"""),254.11)</f>
        <v>254.11</v>
      </c>
      <c r="I323" s="1">
        <f ca="1">IFERROR(__xludf.DUMMYFUNCTION("""COMPUTED_VALUE"""),143.05)</f>
        <v>143.05000000000001</v>
      </c>
      <c r="J323" s="1">
        <f ca="1">IFERROR(__xludf.DUMMYFUNCTION("""COMPUTED_VALUE"""),365.21)</f>
        <v>365.21</v>
      </c>
      <c r="K323" s="1">
        <f ca="1">IFERROR(__xludf.DUMMYFUNCTION("""COMPUTED_VALUE"""),48.5)</f>
        <v>48.5</v>
      </c>
      <c r="L323" s="1">
        <f ca="1">IFERROR(__xludf.DUMMYFUNCTION("""COMPUTED_VALUE"""),514.86)</f>
        <v>514.86</v>
      </c>
      <c r="M323" s="1">
        <f ca="1">IFERROR(__xludf.DUMMYFUNCTION("""COMPUTED_VALUE"""),553.73)</f>
        <v>553.73</v>
      </c>
      <c r="N323" s="1">
        <f ca="1">IFERROR(__xludf.DUMMYFUNCTION("""COMPUTED_VALUE"""),154.09)</f>
        <v>154.09</v>
      </c>
      <c r="O323" s="1">
        <f ca="1">IFERROR(__xludf.DUMMYFUNCTION("""COMPUTED_VALUE"""),221.02)</f>
        <v>221.02</v>
      </c>
      <c r="P323" s="1">
        <f ca="1">IFERROR(__xludf.DUMMYFUNCTION("""COMPUTED_VALUE"""),159.48)</f>
        <v>159.47999999999999</v>
      </c>
      <c r="Q323" s="1">
        <f ca="1">IFERROR(__xludf.DUMMYFUNCTION("""COMPUTED_VALUE"""),374.5)</f>
        <v>374.5</v>
      </c>
      <c r="R323" s="1">
        <f ca="1">IFERROR(__xludf.DUMMYFUNCTION("""COMPUTED_VALUE"""),55.71)</f>
        <v>55.71</v>
      </c>
      <c r="S323" s="1">
        <f ca="1">IFERROR(__xludf.DUMMYFUNCTION("""COMPUTED_VALUE"""),79.04)</f>
        <v>79.040000000000006</v>
      </c>
      <c r="T323" s="1">
        <f ca="1">IFERROR(__xludf.DUMMYFUNCTION("""COMPUTED_VALUE"""),46.46)</f>
        <v>46.46</v>
      </c>
      <c r="U323" s="1">
        <f ca="1">IFERROR(__xludf.DUMMYFUNCTION("""COMPUTED_VALUE"""),133.54)</f>
        <v>133.54</v>
      </c>
      <c r="V323" s="1">
        <f ca="1">IFERROR(__xludf.DUMMYFUNCTION("""COMPUTED_VALUE"""),229.35)</f>
        <v>229.35</v>
      </c>
      <c r="W323" s="1">
        <f ca="1">IFERROR(__xludf.DUMMYFUNCTION("""COMPUTED_VALUE"""),387.11)</f>
        <v>387.11</v>
      </c>
      <c r="X323" s="1">
        <f ca="1">IFERROR(__xludf.DUMMYFUNCTION("""COMPUTED_VALUE"""),629.12)</f>
        <v>629.12</v>
      </c>
      <c r="Y323" s="1">
        <f ca="1">IFERROR(__xludf.DUMMYFUNCTION("""COMPUTED_VALUE"""),121.27)</f>
        <v>121.27</v>
      </c>
      <c r="Z323" s="1">
        <f ca="1">IFERROR(__xludf.DUMMYFUNCTION("""COMPUTED_VALUE"""),327.68)</f>
        <v>327.68</v>
      </c>
      <c r="AA323" s="1">
        <f ca="1">IFERROR(__xludf.DUMMYFUNCTION("""COMPUTED_VALUE"""),37.16)</f>
        <v>37.159999999999997</v>
      </c>
      <c r="AB323" s="1">
        <f ca="1">IFERROR(__xludf.DUMMYFUNCTION("""COMPUTED_VALUE"""),115.36)</f>
        <v>115.36</v>
      </c>
      <c r="AC323" s="1">
        <f ca="1">IFERROR(__xludf.DUMMYFUNCTION("""COMPUTED_VALUE"""),80.19)</f>
        <v>80.19</v>
      </c>
    </row>
    <row r="324" spans="1:29" x14ac:dyDescent="0.25">
      <c r="A324" s="2">
        <f ca="1">IFERROR(__xludf.DUMMYFUNCTION("""COMPUTED_VALUE"""),44300.6666666666)</f>
        <v>44300.666666666599</v>
      </c>
      <c r="B324" s="1">
        <f ca="1">IFERROR(__xludf.DUMMYFUNCTION("""COMPUTED_VALUE"""),132.03)</f>
        <v>132.03</v>
      </c>
      <c r="C324" s="1">
        <f ca="1">IFERROR(__xludf.DUMMYFUNCTION("""COMPUTED_VALUE"""),255.59)</f>
        <v>255.59</v>
      </c>
      <c r="D324" s="1">
        <f ca="1">IFERROR(__xludf.DUMMYFUNCTION("""COMPUTED_VALUE"""),166.65)</f>
        <v>166.65</v>
      </c>
      <c r="E324" s="1">
        <f ca="1">IFERROR(__xludf.DUMMYFUNCTION("""COMPUTED_VALUE"""),15.28)</f>
        <v>15.28</v>
      </c>
      <c r="F324" s="1">
        <f ca="1">IFERROR(__xludf.DUMMYFUNCTION("""COMPUTED_VALUE"""),302.82)</f>
        <v>302.82</v>
      </c>
      <c r="G324" s="1">
        <f ca="1">IFERROR(__xludf.DUMMYFUNCTION("""COMPUTED_VALUE"""),112.74)</f>
        <v>112.74</v>
      </c>
      <c r="H324" s="1">
        <f ca="1">IFERROR(__xludf.DUMMYFUNCTION("""COMPUTED_VALUE"""),244.08)</f>
        <v>244.08</v>
      </c>
      <c r="I324" s="1">
        <f ca="1">IFERROR(__xludf.DUMMYFUNCTION("""COMPUTED_VALUE"""),142.11)</f>
        <v>142.11000000000001</v>
      </c>
      <c r="J324" s="1">
        <f ca="1">IFERROR(__xludf.DUMMYFUNCTION("""COMPUTED_VALUE"""),363.17)</f>
        <v>363.17</v>
      </c>
      <c r="K324" s="1">
        <f ca="1">IFERROR(__xludf.DUMMYFUNCTION("""COMPUTED_VALUE"""),47.73)</f>
        <v>47.73</v>
      </c>
      <c r="L324" s="1">
        <f ca="1">IFERROR(__xludf.DUMMYFUNCTION("""COMPUTED_VALUE"""),510.63)</f>
        <v>510.63</v>
      </c>
      <c r="M324" s="1">
        <f ca="1">IFERROR(__xludf.DUMMYFUNCTION("""COMPUTED_VALUE"""),540.02)</f>
        <v>540.02</v>
      </c>
      <c r="N324" s="1">
        <f ca="1">IFERROR(__xludf.DUMMYFUNCTION("""COMPUTED_VALUE"""),151.21)</f>
        <v>151.21</v>
      </c>
      <c r="O324" s="1">
        <f ca="1">IFERROR(__xludf.DUMMYFUNCTION("""COMPUTED_VALUE"""),221.98)</f>
        <v>221.98</v>
      </c>
      <c r="P324" s="1">
        <f ca="1">IFERROR(__xludf.DUMMYFUNCTION("""COMPUTED_VALUE"""),159.92)</f>
        <v>159.91999999999999</v>
      </c>
      <c r="Q324" s="1">
        <f ca="1">IFERROR(__xludf.DUMMYFUNCTION("""COMPUTED_VALUE"""),375.63)</f>
        <v>375.63</v>
      </c>
      <c r="R324" s="1">
        <f ca="1">IFERROR(__xludf.DUMMYFUNCTION("""COMPUTED_VALUE"""),57.32)</f>
        <v>57.32</v>
      </c>
      <c r="S324" s="1">
        <f ca="1">IFERROR(__xludf.DUMMYFUNCTION("""COMPUTED_VALUE"""),79.13)</f>
        <v>79.13</v>
      </c>
      <c r="T324" s="1">
        <f ca="1">IFERROR(__xludf.DUMMYFUNCTION("""COMPUTED_VALUE"""),46.44)</f>
        <v>46.44</v>
      </c>
      <c r="U324" s="1">
        <f ca="1">IFERROR(__xludf.DUMMYFUNCTION("""COMPUTED_VALUE"""),132.26)</f>
        <v>132.26</v>
      </c>
      <c r="V324" s="1">
        <f ca="1">IFERROR(__xludf.DUMMYFUNCTION("""COMPUTED_VALUE"""),232.58)</f>
        <v>232.58</v>
      </c>
      <c r="W324" s="1">
        <f ca="1">IFERROR(__xludf.DUMMYFUNCTION("""COMPUTED_VALUE"""),388.67)</f>
        <v>388.67</v>
      </c>
      <c r="X324" s="1">
        <f ca="1">IFERROR(__xludf.DUMMYFUNCTION("""COMPUTED_VALUE"""),630.99)</f>
        <v>630.99</v>
      </c>
      <c r="Y324" s="1">
        <f ca="1">IFERROR(__xludf.DUMMYFUNCTION("""COMPUTED_VALUE"""),120.84)</f>
        <v>120.84</v>
      </c>
      <c r="Z324" s="1">
        <f ca="1">IFERROR(__xludf.DUMMYFUNCTION("""COMPUTED_VALUE"""),335.35)</f>
        <v>335.35</v>
      </c>
      <c r="AA324" s="1">
        <f ca="1">IFERROR(__xludf.DUMMYFUNCTION("""COMPUTED_VALUE"""),37.17)</f>
        <v>37.17</v>
      </c>
      <c r="AB324" s="1">
        <f ca="1">IFERROR(__xludf.DUMMYFUNCTION("""COMPUTED_VALUE"""),115.16)</f>
        <v>115.16</v>
      </c>
      <c r="AC324" s="1">
        <f ca="1">IFERROR(__xludf.DUMMYFUNCTION("""COMPUTED_VALUE"""),78.55)</f>
        <v>78.55</v>
      </c>
    </row>
    <row r="325" spans="1:29" x14ac:dyDescent="0.25">
      <c r="A325" s="2">
        <f ca="1">IFERROR(__xludf.DUMMYFUNCTION("""COMPUTED_VALUE"""),44301.6666666666)</f>
        <v>44301.666666666599</v>
      </c>
      <c r="B325" s="1">
        <f ca="1">IFERROR(__xludf.DUMMYFUNCTION("""COMPUTED_VALUE"""),134.5)</f>
        <v>134.5</v>
      </c>
      <c r="C325" s="1">
        <f ca="1">IFERROR(__xludf.DUMMYFUNCTION("""COMPUTED_VALUE"""),259.5)</f>
        <v>259.5</v>
      </c>
      <c r="D325" s="1">
        <f ca="1">IFERROR(__xludf.DUMMYFUNCTION("""COMPUTED_VALUE"""),168.95)</f>
        <v>168.95</v>
      </c>
      <c r="E325" s="1">
        <f ca="1">IFERROR(__xludf.DUMMYFUNCTION("""COMPUTED_VALUE"""),16.14)</f>
        <v>16.14</v>
      </c>
      <c r="F325" s="1">
        <f ca="1">IFERROR(__xludf.DUMMYFUNCTION("""COMPUTED_VALUE"""),307.82)</f>
        <v>307.82</v>
      </c>
      <c r="G325" s="1">
        <f ca="1">IFERROR(__xludf.DUMMYFUNCTION("""COMPUTED_VALUE"""),114.83)</f>
        <v>114.83</v>
      </c>
      <c r="H325" s="1">
        <f ca="1">IFERROR(__xludf.DUMMYFUNCTION("""COMPUTED_VALUE"""),246.28)</f>
        <v>246.28</v>
      </c>
      <c r="I325" s="1">
        <f ca="1">IFERROR(__xludf.DUMMYFUNCTION("""COMPUTED_VALUE"""),142.31)</f>
        <v>142.31</v>
      </c>
      <c r="J325" s="1">
        <f ca="1">IFERROR(__xludf.DUMMYFUNCTION("""COMPUTED_VALUE"""),368.8)</f>
        <v>368.8</v>
      </c>
      <c r="K325" s="1">
        <f ca="1">IFERROR(__xludf.DUMMYFUNCTION("""COMPUTED_VALUE"""),48)</f>
        <v>48</v>
      </c>
      <c r="L325" s="1">
        <f ca="1">IFERROR(__xludf.DUMMYFUNCTION("""COMPUTED_VALUE"""),523.25)</f>
        <v>523.25</v>
      </c>
      <c r="M325" s="1">
        <f ca="1">IFERROR(__xludf.DUMMYFUNCTION("""COMPUTED_VALUE"""),549.22)</f>
        <v>549.22</v>
      </c>
      <c r="N325" s="1">
        <f ca="1">IFERROR(__xludf.DUMMYFUNCTION("""COMPUTED_VALUE"""),152.17)</f>
        <v>152.16999999999999</v>
      </c>
      <c r="O325" s="1">
        <f ca="1">IFERROR(__xludf.DUMMYFUNCTION("""COMPUTED_VALUE"""),226.28)</f>
        <v>226.28</v>
      </c>
      <c r="P325" s="1">
        <f ca="1">IFERROR(__xludf.DUMMYFUNCTION("""COMPUTED_VALUE"""),160.39)</f>
        <v>160.38999999999999</v>
      </c>
      <c r="Q325" s="1">
        <f ca="1">IFERROR(__xludf.DUMMYFUNCTION("""COMPUTED_VALUE"""),390.01)</f>
        <v>390.01</v>
      </c>
      <c r="R325" s="1">
        <f ca="1">IFERROR(__xludf.DUMMYFUNCTION("""COMPUTED_VALUE"""),56.98)</f>
        <v>56.98</v>
      </c>
      <c r="S325" s="1">
        <f ca="1">IFERROR(__xludf.DUMMYFUNCTION("""COMPUTED_VALUE"""),80.18)</f>
        <v>80.180000000000007</v>
      </c>
      <c r="T325" s="1">
        <f ca="1">IFERROR(__xludf.DUMMYFUNCTION("""COMPUTED_VALUE"""),46.72)</f>
        <v>46.72</v>
      </c>
      <c r="U325" s="1">
        <f ca="1">IFERROR(__xludf.DUMMYFUNCTION("""COMPUTED_VALUE"""),133.67)</f>
        <v>133.66999999999999</v>
      </c>
      <c r="V325" s="1">
        <f ca="1">IFERROR(__xludf.DUMMYFUNCTION("""COMPUTED_VALUE"""),232.52)</f>
        <v>232.52</v>
      </c>
      <c r="W325" s="1">
        <f ca="1">IFERROR(__xludf.DUMMYFUNCTION("""COMPUTED_VALUE"""),390.63)</f>
        <v>390.63</v>
      </c>
      <c r="X325" s="1">
        <f ca="1">IFERROR(__xludf.DUMMYFUNCTION("""COMPUTED_VALUE"""),642.09)</f>
        <v>642.09</v>
      </c>
      <c r="Y325" s="1">
        <f ca="1">IFERROR(__xludf.DUMMYFUNCTION("""COMPUTED_VALUE"""),118.35)</f>
        <v>118.35</v>
      </c>
      <c r="Z325" s="1">
        <f ca="1">IFERROR(__xludf.DUMMYFUNCTION("""COMPUTED_VALUE"""),338.55)</f>
        <v>338.55</v>
      </c>
      <c r="AA325" s="1">
        <f ca="1">IFERROR(__xludf.DUMMYFUNCTION("""COMPUTED_VALUE"""),37.6)</f>
        <v>37.6</v>
      </c>
      <c r="AB325" s="1">
        <f ca="1">IFERROR(__xludf.DUMMYFUNCTION("""COMPUTED_VALUE"""),116.66)</f>
        <v>116.66</v>
      </c>
      <c r="AC325" s="1">
        <f ca="1">IFERROR(__xludf.DUMMYFUNCTION("""COMPUTED_VALUE"""),83.01)</f>
        <v>83.01</v>
      </c>
    </row>
    <row r="326" spans="1:29" x14ac:dyDescent="0.25">
      <c r="A326" s="2">
        <f ca="1">IFERROR(__xludf.DUMMYFUNCTION("""COMPUTED_VALUE"""),44302.6666666666)</f>
        <v>44302.666666666599</v>
      </c>
      <c r="B326" s="1">
        <f ca="1">IFERROR(__xludf.DUMMYFUNCTION("""COMPUTED_VALUE"""),134.16)</f>
        <v>134.16</v>
      </c>
      <c r="C326" s="1">
        <f ca="1">IFERROR(__xludf.DUMMYFUNCTION("""COMPUTED_VALUE"""),260.74)</f>
        <v>260.74</v>
      </c>
      <c r="D326" s="1">
        <f ca="1">IFERROR(__xludf.DUMMYFUNCTION("""COMPUTED_VALUE"""),169.97)</f>
        <v>169.97</v>
      </c>
      <c r="E326" s="1">
        <f ca="1">IFERROR(__xludf.DUMMYFUNCTION("""COMPUTED_VALUE"""),15.91)</f>
        <v>15.91</v>
      </c>
      <c r="F326" s="1">
        <f ca="1">IFERROR(__xludf.DUMMYFUNCTION("""COMPUTED_VALUE"""),306.18)</f>
        <v>306.18</v>
      </c>
      <c r="G326" s="1">
        <f ca="1">IFERROR(__xludf.DUMMYFUNCTION("""COMPUTED_VALUE"""),114.89)</f>
        <v>114.89</v>
      </c>
      <c r="H326" s="1">
        <f ca="1">IFERROR(__xludf.DUMMYFUNCTION("""COMPUTED_VALUE"""),246.59)</f>
        <v>246.59</v>
      </c>
      <c r="I326" s="1">
        <f ca="1">IFERROR(__xludf.DUMMYFUNCTION("""COMPUTED_VALUE"""),144.16)</f>
        <v>144.16</v>
      </c>
      <c r="J326" s="1">
        <f ca="1">IFERROR(__xludf.DUMMYFUNCTION("""COMPUTED_VALUE"""),370.72)</f>
        <v>370.72</v>
      </c>
      <c r="K326" s="1">
        <f ca="1">IFERROR(__xludf.DUMMYFUNCTION("""COMPUTED_VALUE"""),47.88)</f>
        <v>47.88</v>
      </c>
      <c r="L326" s="1">
        <f ca="1">IFERROR(__xludf.DUMMYFUNCTION("""COMPUTED_VALUE"""),525.08)</f>
        <v>525.08000000000004</v>
      </c>
      <c r="M326" s="1">
        <f ca="1">IFERROR(__xludf.DUMMYFUNCTION("""COMPUTED_VALUE"""),546.54)</f>
        <v>546.54</v>
      </c>
      <c r="N326" s="1">
        <f ca="1">IFERROR(__xludf.DUMMYFUNCTION("""COMPUTED_VALUE"""),153.3)</f>
        <v>153.30000000000001</v>
      </c>
      <c r="O326" s="1">
        <f ca="1">IFERROR(__xludf.DUMMYFUNCTION("""COMPUTED_VALUE"""),226.41)</f>
        <v>226.41</v>
      </c>
      <c r="P326" s="1">
        <f ca="1">IFERROR(__xludf.DUMMYFUNCTION("""COMPUTED_VALUE"""),162.24)</f>
        <v>162.24</v>
      </c>
      <c r="Q326" s="1">
        <f ca="1">IFERROR(__xludf.DUMMYFUNCTION("""COMPUTED_VALUE"""),391.01)</f>
        <v>391.01</v>
      </c>
      <c r="R326" s="1">
        <f ca="1">IFERROR(__xludf.DUMMYFUNCTION("""COMPUTED_VALUE"""),56.66)</f>
        <v>56.66</v>
      </c>
      <c r="S326" s="1">
        <f ca="1">IFERROR(__xludf.DUMMYFUNCTION("""COMPUTED_VALUE"""),80.94)</f>
        <v>80.94</v>
      </c>
      <c r="T326" s="1">
        <f ca="1">IFERROR(__xludf.DUMMYFUNCTION("""COMPUTED_VALUE"""),46.87)</f>
        <v>46.87</v>
      </c>
      <c r="U326" s="1">
        <f ca="1">IFERROR(__xludf.DUMMYFUNCTION("""COMPUTED_VALUE"""),134.31)</f>
        <v>134.31</v>
      </c>
      <c r="V326" s="1">
        <f ca="1">IFERROR(__xludf.DUMMYFUNCTION("""COMPUTED_VALUE"""),233.36)</f>
        <v>233.36</v>
      </c>
      <c r="W326" s="1">
        <f ca="1">IFERROR(__xludf.DUMMYFUNCTION("""COMPUTED_VALUE"""),391.81)</f>
        <v>391.81</v>
      </c>
      <c r="X326" s="1">
        <f ca="1">IFERROR(__xludf.DUMMYFUNCTION("""COMPUTED_VALUE"""),645.69)</f>
        <v>645.69000000000005</v>
      </c>
      <c r="Y326" s="1">
        <f ca="1">IFERROR(__xludf.DUMMYFUNCTION("""COMPUTED_VALUE"""),118.84)</f>
        <v>118.84</v>
      </c>
      <c r="Z326" s="1">
        <f ca="1">IFERROR(__xludf.DUMMYFUNCTION("""COMPUTED_VALUE"""),342.31)</f>
        <v>342.31</v>
      </c>
      <c r="AA326" s="1">
        <f ca="1">IFERROR(__xludf.DUMMYFUNCTION("""COMPUTED_VALUE"""),38.57)</f>
        <v>38.57</v>
      </c>
      <c r="AB326" s="1">
        <f ca="1">IFERROR(__xludf.DUMMYFUNCTION("""COMPUTED_VALUE"""),118.34)</f>
        <v>118.34</v>
      </c>
      <c r="AC326" s="1">
        <f ca="1">IFERROR(__xludf.DUMMYFUNCTION("""COMPUTED_VALUE"""),82.15)</f>
        <v>82.15</v>
      </c>
    </row>
    <row r="327" spans="1:29" x14ac:dyDescent="0.25">
      <c r="A327" s="2">
        <f ca="1">IFERROR(__xludf.DUMMYFUNCTION("""COMPUTED_VALUE"""),44305.6666666666)</f>
        <v>44305.666666666599</v>
      </c>
      <c r="B327" s="1">
        <f ca="1">IFERROR(__xludf.DUMMYFUNCTION("""COMPUTED_VALUE"""),134.84)</f>
        <v>134.84</v>
      </c>
      <c r="C327" s="1">
        <f ca="1">IFERROR(__xludf.DUMMYFUNCTION("""COMPUTED_VALUE"""),258.74)</f>
        <v>258.74</v>
      </c>
      <c r="D327" s="1">
        <f ca="1">IFERROR(__xludf.DUMMYFUNCTION("""COMPUTED_VALUE"""),168.6)</f>
        <v>168.6</v>
      </c>
      <c r="E327" s="1">
        <f ca="1">IFERROR(__xludf.DUMMYFUNCTION("""COMPUTED_VALUE"""),15.36)</f>
        <v>15.36</v>
      </c>
      <c r="F327" s="1">
        <f ca="1">IFERROR(__xludf.DUMMYFUNCTION("""COMPUTED_VALUE"""),302.24)</f>
        <v>302.24</v>
      </c>
      <c r="G327" s="1">
        <f ca="1">IFERROR(__xludf.DUMMYFUNCTION("""COMPUTED_VALUE"""),115.12)</f>
        <v>115.12</v>
      </c>
      <c r="H327" s="1">
        <f ca="1">IFERROR(__xludf.DUMMYFUNCTION("""COMPUTED_VALUE"""),238.21)</f>
        <v>238.21</v>
      </c>
      <c r="I327" s="1">
        <f ca="1">IFERROR(__xludf.DUMMYFUNCTION("""COMPUTED_VALUE"""),144.75)</f>
        <v>144.75</v>
      </c>
      <c r="J327" s="1">
        <f ca="1">IFERROR(__xludf.DUMMYFUNCTION("""COMPUTED_VALUE"""),369.55)</f>
        <v>369.55</v>
      </c>
      <c r="K327" s="1">
        <f ca="1">IFERROR(__xludf.DUMMYFUNCTION("""COMPUTED_VALUE"""),46.2)</f>
        <v>46.2</v>
      </c>
      <c r="L327" s="1">
        <f ca="1">IFERROR(__xludf.DUMMYFUNCTION("""COMPUTED_VALUE"""),516.17)</f>
        <v>516.16999999999996</v>
      </c>
      <c r="M327" s="1">
        <f ca="1">IFERROR(__xludf.DUMMYFUNCTION("""COMPUTED_VALUE"""),554.44)</f>
        <v>554.44000000000005</v>
      </c>
      <c r="N327" s="1">
        <f ca="1">IFERROR(__xludf.DUMMYFUNCTION("""COMPUTED_VALUE"""),152.65)</f>
        <v>152.65</v>
      </c>
      <c r="O327" s="1">
        <f ca="1">IFERROR(__xludf.DUMMYFUNCTION("""COMPUTED_VALUE"""),225.79)</f>
        <v>225.79</v>
      </c>
      <c r="P327" s="1">
        <f ca="1">IFERROR(__xludf.DUMMYFUNCTION("""COMPUTED_VALUE"""),162.69)</f>
        <v>162.69</v>
      </c>
      <c r="Q327" s="1">
        <f ca="1">IFERROR(__xludf.DUMMYFUNCTION("""COMPUTED_VALUE"""),389.84)</f>
        <v>389.84</v>
      </c>
      <c r="R327" s="1">
        <f ca="1">IFERROR(__xludf.DUMMYFUNCTION("""COMPUTED_VALUE"""),56.48)</f>
        <v>56.48</v>
      </c>
      <c r="S327" s="1">
        <f ca="1">IFERROR(__xludf.DUMMYFUNCTION("""COMPUTED_VALUE"""),79.79)</f>
        <v>79.790000000000006</v>
      </c>
      <c r="T327" s="1">
        <f ca="1">IFERROR(__xludf.DUMMYFUNCTION("""COMPUTED_VALUE"""),46.57)</f>
        <v>46.57</v>
      </c>
      <c r="U327" s="1">
        <f ca="1">IFERROR(__xludf.DUMMYFUNCTION("""COMPUTED_VALUE"""),132.57)</f>
        <v>132.57</v>
      </c>
      <c r="V327" s="1">
        <f ca="1">IFERROR(__xludf.DUMMYFUNCTION("""COMPUTED_VALUE"""),232.39)</f>
        <v>232.39</v>
      </c>
      <c r="W327" s="1">
        <f ca="1">IFERROR(__xludf.DUMMYFUNCTION("""COMPUTED_VALUE"""),391.73)</f>
        <v>391.73</v>
      </c>
      <c r="X327" s="1">
        <f ca="1">IFERROR(__xludf.DUMMYFUNCTION("""COMPUTED_VALUE"""),630.11)</f>
        <v>630.11</v>
      </c>
      <c r="Y327" s="1">
        <f ca="1">IFERROR(__xludf.DUMMYFUNCTION("""COMPUTED_VALUE"""),115.4)</f>
        <v>115.4</v>
      </c>
      <c r="Z327" s="1">
        <f ca="1">IFERROR(__xludf.DUMMYFUNCTION("""COMPUTED_VALUE"""),343.09)</f>
        <v>343.09</v>
      </c>
      <c r="AA327" s="1">
        <f ca="1">IFERROR(__xludf.DUMMYFUNCTION("""COMPUTED_VALUE"""),38.93)</f>
        <v>38.93</v>
      </c>
      <c r="AB327" s="1">
        <f ca="1">IFERROR(__xludf.DUMMYFUNCTION("""COMPUTED_VALUE"""),117.6)</f>
        <v>117.6</v>
      </c>
      <c r="AC327" s="1">
        <f ca="1">IFERROR(__xludf.DUMMYFUNCTION("""COMPUTED_VALUE"""),81.11)</f>
        <v>81.11</v>
      </c>
    </row>
    <row r="328" spans="1:29" x14ac:dyDescent="0.25">
      <c r="A328" s="2">
        <f ca="1">IFERROR(__xludf.DUMMYFUNCTION("""COMPUTED_VALUE"""),44306.6666666666)</f>
        <v>44306.666666666599</v>
      </c>
      <c r="B328" s="1">
        <f ca="1">IFERROR(__xludf.DUMMYFUNCTION("""COMPUTED_VALUE"""),133.11)</f>
        <v>133.11000000000001</v>
      </c>
      <c r="C328" s="1">
        <f ca="1">IFERROR(__xludf.DUMMYFUNCTION("""COMPUTED_VALUE"""),258.26)</f>
        <v>258.26</v>
      </c>
      <c r="D328" s="1">
        <f ca="1">IFERROR(__xludf.DUMMYFUNCTION("""COMPUTED_VALUE"""),166.73)</f>
        <v>166.73</v>
      </c>
      <c r="E328" s="1">
        <f ca="1">IFERROR(__xludf.DUMMYFUNCTION("""COMPUTED_VALUE"""),15.17)</f>
        <v>15.17</v>
      </c>
      <c r="F328" s="1">
        <f ca="1">IFERROR(__xludf.DUMMYFUNCTION("""COMPUTED_VALUE"""),302.65)</f>
        <v>302.64999999999998</v>
      </c>
      <c r="G328" s="1">
        <f ca="1">IFERROR(__xludf.DUMMYFUNCTION("""COMPUTED_VALUE"""),114.68)</f>
        <v>114.68</v>
      </c>
      <c r="H328" s="1">
        <f ca="1">IFERROR(__xludf.DUMMYFUNCTION("""COMPUTED_VALUE"""),239.66)</f>
        <v>239.66</v>
      </c>
      <c r="I328" s="1">
        <f ca="1">IFERROR(__xludf.DUMMYFUNCTION("""COMPUTED_VALUE"""),145.71)</f>
        <v>145.71</v>
      </c>
      <c r="J328" s="1">
        <f ca="1">IFERROR(__xludf.DUMMYFUNCTION("""COMPUTED_VALUE"""),371.73)</f>
        <v>371.73</v>
      </c>
      <c r="K328" s="1">
        <f ca="1">IFERROR(__xludf.DUMMYFUNCTION("""COMPUTED_VALUE"""),45.73)</f>
        <v>45.73</v>
      </c>
      <c r="L328" s="1">
        <f ca="1">IFERROR(__xludf.DUMMYFUNCTION("""COMPUTED_VALUE"""),514.21)</f>
        <v>514.21</v>
      </c>
      <c r="M328" s="1">
        <f ca="1">IFERROR(__xludf.DUMMYFUNCTION("""COMPUTED_VALUE"""),549.57)</f>
        <v>549.57000000000005</v>
      </c>
      <c r="N328" s="1">
        <f ca="1">IFERROR(__xludf.DUMMYFUNCTION("""COMPUTED_VALUE"""),149.27)</f>
        <v>149.27000000000001</v>
      </c>
      <c r="O328" s="1">
        <f ca="1">IFERROR(__xludf.DUMMYFUNCTION("""COMPUTED_VALUE"""),223.28)</f>
        <v>223.28</v>
      </c>
      <c r="P328" s="1">
        <f ca="1">IFERROR(__xludf.DUMMYFUNCTION("""COMPUTED_VALUE"""),166.48)</f>
        <v>166.48</v>
      </c>
      <c r="Q328" s="1">
        <f ca="1">IFERROR(__xludf.DUMMYFUNCTION("""COMPUTED_VALUE"""),396.53)</f>
        <v>396.53</v>
      </c>
      <c r="R328" s="1">
        <f ca="1">IFERROR(__xludf.DUMMYFUNCTION("""COMPUTED_VALUE"""),55.29)</f>
        <v>55.29</v>
      </c>
      <c r="S328" s="1">
        <f ca="1">IFERROR(__xludf.DUMMYFUNCTION("""COMPUTED_VALUE"""),80.53)</f>
        <v>80.53</v>
      </c>
      <c r="T328" s="1">
        <f ca="1">IFERROR(__xludf.DUMMYFUNCTION("""COMPUTED_VALUE"""),46.93)</f>
        <v>46.93</v>
      </c>
      <c r="U328" s="1">
        <f ca="1">IFERROR(__xludf.DUMMYFUNCTION("""COMPUTED_VALUE"""),127.11)</f>
        <v>127.11</v>
      </c>
      <c r="V328" s="1">
        <f ca="1">IFERROR(__xludf.DUMMYFUNCTION("""COMPUTED_VALUE"""),227.63)</f>
        <v>227.63</v>
      </c>
      <c r="W328" s="1">
        <f ca="1">IFERROR(__xludf.DUMMYFUNCTION("""COMPUTED_VALUE"""),387.33)</f>
        <v>387.33</v>
      </c>
      <c r="X328" s="1">
        <f ca="1">IFERROR(__xludf.DUMMYFUNCTION("""COMPUTED_VALUE"""),616.94)</f>
        <v>616.94000000000005</v>
      </c>
      <c r="Y328" s="1">
        <f ca="1">IFERROR(__xludf.DUMMYFUNCTION("""COMPUTED_VALUE"""),114.95)</f>
        <v>114.95</v>
      </c>
      <c r="Z328" s="1">
        <f ca="1">IFERROR(__xludf.DUMMYFUNCTION("""COMPUTED_VALUE"""),331.88)</f>
        <v>331.88</v>
      </c>
      <c r="AA328" s="1">
        <f ca="1">IFERROR(__xludf.DUMMYFUNCTION("""COMPUTED_VALUE"""),39.03)</f>
        <v>39.03</v>
      </c>
      <c r="AB328" s="1">
        <f ca="1">IFERROR(__xludf.DUMMYFUNCTION("""COMPUTED_VALUE"""),116.27)</f>
        <v>116.27</v>
      </c>
      <c r="AC328" s="1">
        <f ca="1">IFERROR(__xludf.DUMMYFUNCTION("""COMPUTED_VALUE"""),79.27)</f>
        <v>79.27</v>
      </c>
    </row>
    <row r="329" spans="1:29" x14ac:dyDescent="0.25">
      <c r="A329" s="2">
        <f ca="1">IFERROR(__xludf.DUMMYFUNCTION("""COMPUTED_VALUE"""),44307.6666666666)</f>
        <v>44307.666666666599</v>
      </c>
      <c r="B329" s="1">
        <f ca="1">IFERROR(__xludf.DUMMYFUNCTION("""COMPUTED_VALUE"""),133.5)</f>
        <v>133.5</v>
      </c>
      <c r="C329" s="1">
        <f ca="1">IFERROR(__xludf.DUMMYFUNCTION("""COMPUTED_VALUE"""),260.58)</f>
        <v>260.58</v>
      </c>
      <c r="D329" s="1">
        <f ca="1">IFERROR(__xludf.DUMMYFUNCTION("""COMPUTED_VALUE"""),168.1)</f>
        <v>168.1</v>
      </c>
      <c r="E329" s="1">
        <f ca="1">IFERROR(__xludf.DUMMYFUNCTION("""COMPUTED_VALUE"""),15.36)</f>
        <v>15.36</v>
      </c>
      <c r="F329" s="1">
        <f ca="1">IFERROR(__xludf.DUMMYFUNCTION("""COMPUTED_VALUE"""),301.47)</f>
        <v>301.47000000000003</v>
      </c>
      <c r="G329" s="1">
        <f ca="1">IFERROR(__xludf.DUMMYFUNCTION("""COMPUTED_VALUE"""),114.66)</f>
        <v>114.66</v>
      </c>
      <c r="H329" s="1">
        <f ca="1">IFERROR(__xludf.DUMMYFUNCTION("""COMPUTED_VALUE"""),248.04)</f>
        <v>248.04</v>
      </c>
      <c r="I329" s="1">
        <f ca="1">IFERROR(__xludf.DUMMYFUNCTION("""COMPUTED_VALUE"""),146.98)</f>
        <v>146.97999999999999</v>
      </c>
      <c r="J329" s="1">
        <f ca="1">IFERROR(__xludf.DUMMYFUNCTION("""COMPUTED_VALUE"""),374.09)</f>
        <v>374.09</v>
      </c>
      <c r="K329" s="1">
        <f ca="1">IFERROR(__xludf.DUMMYFUNCTION("""COMPUTED_VALUE"""),45.98)</f>
        <v>45.98</v>
      </c>
      <c r="L329" s="1">
        <f ca="1">IFERROR(__xludf.DUMMYFUNCTION("""COMPUTED_VALUE"""),512.34)</f>
        <v>512.34</v>
      </c>
      <c r="M329" s="1">
        <f ca="1">IFERROR(__xludf.DUMMYFUNCTION("""COMPUTED_VALUE"""),508.9)</f>
        <v>508.9</v>
      </c>
      <c r="N329" s="1">
        <f ca="1">IFERROR(__xludf.DUMMYFUNCTION("""COMPUTED_VALUE"""),150.54)</f>
        <v>150.54</v>
      </c>
      <c r="O329" s="1">
        <f ca="1">IFERROR(__xludf.DUMMYFUNCTION("""COMPUTED_VALUE"""),227.45)</f>
        <v>227.45</v>
      </c>
      <c r="P329" s="1">
        <f ca="1">IFERROR(__xludf.DUMMYFUNCTION("""COMPUTED_VALUE"""),166.59)</f>
        <v>166.59</v>
      </c>
      <c r="Q329" s="1">
        <f ca="1">IFERROR(__xludf.DUMMYFUNCTION("""COMPUTED_VALUE"""),398.81)</f>
        <v>398.81</v>
      </c>
      <c r="R329" s="1">
        <f ca="1">IFERROR(__xludf.DUMMYFUNCTION("""COMPUTED_VALUE"""),56)</f>
        <v>56</v>
      </c>
      <c r="S329" s="1">
        <f ca="1">IFERROR(__xludf.DUMMYFUNCTION("""COMPUTED_VALUE"""),77.97)</f>
        <v>77.97</v>
      </c>
      <c r="T329" s="1">
        <f ca="1">IFERROR(__xludf.DUMMYFUNCTION("""COMPUTED_VALUE"""),47.07)</f>
        <v>47.07</v>
      </c>
      <c r="U329" s="1">
        <f ca="1">IFERROR(__xludf.DUMMYFUNCTION("""COMPUTED_VALUE"""),129.9)</f>
        <v>129.9</v>
      </c>
      <c r="V329" s="1">
        <f ca="1">IFERROR(__xludf.DUMMYFUNCTION("""COMPUTED_VALUE"""),232.46)</f>
        <v>232.46</v>
      </c>
      <c r="W329" s="1">
        <f ca="1">IFERROR(__xludf.DUMMYFUNCTION("""COMPUTED_VALUE"""),387.24)</f>
        <v>387.24</v>
      </c>
      <c r="X329" s="1">
        <f ca="1">IFERROR(__xludf.DUMMYFUNCTION("""COMPUTED_VALUE"""),655.49)</f>
        <v>655.49</v>
      </c>
      <c r="Y329" s="1">
        <f ca="1">IFERROR(__xludf.DUMMYFUNCTION("""COMPUTED_VALUE"""),117.4)</f>
        <v>117.4</v>
      </c>
      <c r="Z329" s="1">
        <f ca="1">IFERROR(__xludf.DUMMYFUNCTION("""COMPUTED_VALUE"""),335.27)</f>
        <v>335.27</v>
      </c>
      <c r="AA329" s="1">
        <f ca="1">IFERROR(__xludf.DUMMYFUNCTION("""COMPUTED_VALUE"""),39.53)</f>
        <v>39.53</v>
      </c>
      <c r="AB329" s="1">
        <f ca="1">IFERROR(__xludf.DUMMYFUNCTION("""COMPUTED_VALUE"""),116.74)</f>
        <v>116.74</v>
      </c>
      <c r="AC329" s="1">
        <f ca="1">IFERROR(__xludf.DUMMYFUNCTION("""COMPUTED_VALUE"""),81.61)</f>
        <v>81.61</v>
      </c>
    </row>
    <row r="330" spans="1:29" x14ac:dyDescent="0.25">
      <c r="A330" s="2">
        <f ca="1">IFERROR(__xludf.DUMMYFUNCTION("""COMPUTED_VALUE"""),44308.6666666666)</f>
        <v>44308.666666666599</v>
      </c>
      <c r="B330" s="1">
        <f ca="1">IFERROR(__xludf.DUMMYFUNCTION("""COMPUTED_VALUE"""),131.94)</f>
        <v>131.94</v>
      </c>
      <c r="C330" s="1">
        <f ca="1">IFERROR(__xludf.DUMMYFUNCTION("""COMPUTED_VALUE"""),257.17)</f>
        <v>257.17</v>
      </c>
      <c r="D330" s="1">
        <f ca="1">IFERROR(__xludf.DUMMYFUNCTION("""COMPUTED_VALUE"""),165.45)</f>
        <v>165.45</v>
      </c>
      <c r="E330" s="1">
        <f ca="1">IFERROR(__xludf.DUMMYFUNCTION("""COMPUTED_VALUE"""),14.85)</f>
        <v>14.85</v>
      </c>
      <c r="F330" s="1">
        <f ca="1">IFERROR(__xludf.DUMMYFUNCTION("""COMPUTED_VALUE"""),296.52)</f>
        <v>296.52</v>
      </c>
      <c r="G330" s="1">
        <f ca="1">IFERROR(__xludf.DUMMYFUNCTION("""COMPUTED_VALUE"""),113.4)</f>
        <v>113.4</v>
      </c>
      <c r="H330" s="1">
        <f ca="1">IFERROR(__xludf.DUMMYFUNCTION("""COMPUTED_VALUE"""),239.9)</f>
        <v>239.9</v>
      </c>
      <c r="I330" s="1">
        <f ca="1">IFERROR(__xludf.DUMMYFUNCTION("""COMPUTED_VALUE"""),146.07)</f>
        <v>146.07</v>
      </c>
      <c r="J330" s="1">
        <f ca="1">IFERROR(__xludf.DUMMYFUNCTION("""COMPUTED_VALUE"""),371.26)</f>
        <v>371.26</v>
      </c>
      <c r="K330" s="1">
        <f ca="1">IFERROR(__xludf.DUMMYFUNCTION("""COMPUTED_VALUE"""),45.51)</f>
        <v>45.51</v>
      </c>
      <c r="L330" s="1">
        <f ca="1">IFERROR(__xludf.DUMMYFUNCTION("""COMPUTED_VALUE"""),507.29)</f>
        <v>507.29</v>
      </c>
      <c r="M330" s="1">
        <f ca="1">IFERROR(__xludf.DUMMYFUNCTION("""COMPUTED_VALUE"""),508.78)</f>
        <v>508.78</v>
      </c>
      <c r="N330" s="1">
        <f ca="1">IFERROR(__xludf.DUMMYFUNCTION("""COMPUTED_VALUE"""),147.37)</f>
        <v>147.37</v>
      </c>
      <c r="O330" s="1">
        <f ca="1">IFERROR(__xludf.DUMMYFUNCTION("""COMPUTED_VALUE"""),227.57)</f>
        <v>227.57</v>
      </c>
      <c r="P330" s="1">
        <f ca="1">IFERROR(__xludf.DUMMYFUNCTION("""COMPUTED_VALUE"""),165.18)</f>
        <v>165.18</v>
      </c>
      <c r="Q330" s="1">
        <f ca="1">IFERROR(__xludf.DUMMYFUNCTION("""COMPUTED_VALUE"""),396.54)</f>
        <v>396.54</v>
      </c>
      <c r="R330" s="1">
        <f ca="1">IFERROR(__xludf.DUMMYFUNCTION("""COMPUTED_VALUE"""),55.27)</f>
        <v>55.27</v>
      </c>
      <c r="S330" s="1">
        <f ca="1">IFERROR(__xludf.DUMMYFUNCTION("""COMPUTED_VALUE"""),78.32)</f>
        <v>78.319999999999993</v>
      </c>
      <c r="T330" s="1">
        <f ca="1">IFERROR(__xludf.DUMMYFUNCTION("""COMPUTED_VALUE"""),46.56)</f>
        <v>46.56</v>
      </c>
      <c r="U330" s="1">
        <f ca="1">IFERROR(__xludf.DUMMYFUNCTION("""COMPUTED_VALUE"""),129.18)</f>
        <v>129.18</v>
      </c>
      <c r="V330" s="1">
        <f ca="1">IFERROR(__xludf.DUMMYFUNCTION("""COMPUTED_VALUE"""),228.89)</f>
        <v>228.89</v>
      </c>
      <c r="W330" s="1">
        <f ca="1">IFERROR(__xludf.DUMMYFUNCTION("""COMPUTED_VALUE"""),380.09)</f>
        <v>380.09</v>
      </c>
      <c r="X330" s="1">
        <f ca="1">IFERROR(__xludf.DUMMYFUNCTION("""COMPUTED_VALUE"""),647.09)</f>
        <v>647.09</v>
      </c>
      <c r="Y330" s="1">
        <f ca="1">IFERROR(__xludf.DUMMYFUNCTION("""COMPUTED_VALUE"""),115.32)</f>
        <v>115.32</v>
      </c>
      <c r="Z330" s="1">
        <f ca="1">IFERROR(__xludf.DUMMYFUNCTION("""COMPUTED_VALUE"""),330.85)</f>
        <v>330.85</v>
      </c>
      <c r="AA330" s="1">
        <f ca="1">IFERROR(__xludf.DUMMYFUNCTION("""COMPUTED_VALUE"""),38.64)</f>
        <v>38.64</v>
      </c>
      <c r="AB330" s="1">
        <f ca="1">IFERROR(__xludf.DUMMYFUNCTION("""COMPUTED_VALUE"""),115.92)</f>
        <v>115.92</v>
      </c>
      <c r="AC330" s="1">
        <f ca="1">IFERROR(__xludf.DUMMYFUNCTION("""COMPUTED_VALUE"""),79.06)</f>
        <v>79.06</v>
      </c>
    </row>
    <row r="331" spans="1:29" x14ac:dyDescent="0.25">
      <c r="A331" s="2">
        <f ca="1">IFERROR(__xludf.DUMMYFUNCTION("""COMPUTED_VALUE"""),44309.6666666666)</f>
        <v>44309.666666666599</v>
      </c>
      <c r="B331" s="1">
        <f ca="1">IFERROR(__xludf.DUMMYFUNCTION("""COMPUTED_VALUE"""),134.32)</f>
        <v>134.32</v>
      </c>
      <c r="C331" s="1">
        <f ca="1">IFERROR(__xludf.DUMMYFUNCTION("""COMPUTED_VALUE"""),261.15)</f>
        <v>261.14999999999998</v>
      </c>
      <c r="D331" s="1">
        <f ca="1">IFERROR(__xludf.DUMMYFUNCTION("""COMPUTED_VALUE"""),167.04)</f>
        <v>167.04</v>
      </c>
      <c r="E331" s="1">
        <f ca="1">IFERROR(__xludf.DUMMYFUNCTION("""COMPUTED_VALUE"""),15.27)</f>
        <v>15.27</v>
      </c>
      <c r="F331" s="1">
        <f ca="1">IFERROR(__xludf.DUMMYFUNCTION("""COMPUTED_VALUE"""),301.13)</f>
        <v>301.13</v>
      </c>
      <c r="G331" s="1">
        <f ca="1">IFERROR(__xludf.DUMMYFUNCTION("""COMPUTED_VALUE"""),115.77)</f>
        <v>115.77</v>
      </c>
      <c r="H331" s="1">
        <f ca="1">IFERROR(__xludf.DUMMYFUNCTION("""COMPUTED_VALUE"""),243.13)</f>
        <v>243.13</v>
      </c>
      <c r="I331" s="1">
        <f ca="1">IFERROR(__xludf.DUMMYFUNCTION("""COMPUTED_VALUE"""),145.83)</f>
        <v>145.83000000000001</v>
      </c>
      <c r="J331" s="1">
        <f ca="1">IFERROR(__xludf.DUMMYFUNCTION("""COMPUTED_VALUE"""),373.28)</f>
        <v>373.28</v>
      </c>
      <c r="K331" s="1">
        <f ca="1">IFERROR(__xludf.DUMMYFUNCTION("""COMPUTED_VALUE"""),46.61)</f>
        <v>46.61</v>
      </c>
      <c r="L331" s="1">
        <f ca="1">IFERROR(__xludf.DUMMYFUNCTION("""COMPUTED_VALUE"""),515.84)</f>
        <v>515.84</v>
      </c>
      <c r="M331" s="1">
        <f ca="1">IFERROR(__xludf.DUMMYFUNCTION("""COMPUTED_VALUE"""),505.55)</f>
        <v>505.55</v>
      </c>
      <c r="N331" s="1">
        <f ca="1">IFERROR(__xludf.DUMMYFUNCTION("""COMPUTED_VALUE"""),150.19)</f>
        <v>150.19</v>
      </c>
      <c r="O331" s="1">
        <f ca="1">IFERROR(__xludf.DUMMYFUNCTION("""COMPUTED_VALUE"""),230)</f>
        <v>230</v>
      </c>
      <c r="P331" s="1">
        <f ca="1">IFERROR(__xludf.DUMMYFUNCTION("""COMPUTED_VALUE"""),165.52)</f>
        <v>165.52</v>
      </c>
      <c r="Q331" s="1">
        <f ca="1">IFERROR(__xludf.DUMMYFUNCTION("""COMPUTED_VALUE"""),400.31)</f>
        <v>400.31</v>
      </c>
      <c r="R331" s="1">
        <f ca="1">IFERROR(__xludf.DUMMYFUNCTION("""COMPUTED_VALUE"""),55.57)</f>
        <v>55.57</v>
      </c>
      <c r="S331" s="1">
        <f ca="1">IFERROR(__xludf.DUMMYFUNCTION("""COMPUTED_VALUE"""),78.24)</f>
        <v>78.239999999999995</v>
      </c>
      <c r="T331" s="1">
        <f ca="1">IFERROR(__xludf.DUMMYFUNCTION("""COMPUTED_VALUE"""),46.63)</f>
        <v>46.63</v>
      </c>
      <c r="U331" s="1">
        <f ca="1">IFERROR(__xludf.DUMMYFUNCTION("""COMPUTED_VALUE"""),130.19)</f>
        <v>130.19</v>
      </c>
      <c r="V331" s="1">
        <f ca="1">IFERROR(__xludf.DUMMYFUNCTION("""COMPUTED_VALUE"""),230.11)</f>
        <v>230.11</v>
      </c>
      <c r="W331" s="1">
        <f ca="1">IFERROR(__xludf.DUMMYFUNCTION("""COMPUTED_VALUE"""),377.29)</f>
        <v>377.29</v>
      </c>
      <c r="X331" s="1">
        <f ca="1">IFERROR(__xludf.DUMMYFUNCTION("""COMPUTED_VALUE"""),670.91)</f>
        <v>670.91</v>
      </c>
      <c r="Y331" s="1">
        <f ca="1">IFERROR(__xludf.DUMMYFUNCTION("""COMPUTED_VALUE"""),118.64)</f>
        <v>118.64</v>
      </c>
      <c r="Z331" s="1">
        <f ca="1">IFERROR(__xludf.DUMMYFUNCTION("""COMPUTED_VALUE"""),339.35)</f>
        <v>339.35</v>
      </c>
      <c r="AA331" s="1">
        <f ca="1">IFERROR(__xludf.DUMMYFUNCTION("""COMPUTED_VALUE"""),38.66)</f>
        <v>38.659999999999997</v>
      </c>
      <c r="AB331" s="1">
        <f ca="1">IFERROR(__xludf.DUMMYFUNCTION("""COMPUTED_VALUE"""),117.56)</f>
        <v>117.56</v>
      </c>
      <c r="AC331" s="1">
        <f ca="1">IFERROR(__xludf.DUMMYFUNCTION("""COMPUTED_VALUE"""),82.76)</f>
        <v>82.76</v>
      </c>
    </row>
    <row r="332" spans="1:29" x14ac:dyDescent="0.25">
      <c r="A332" s="2">
        <f ca="1">IFERROR(__xludf.DUMMYFUNCTION("""COMPUTED_VALUE"""),44312.6666666666)</f>
        <v>44312.666666666599</v>
      </c>
      <c r="B332" s="1">
        <f ca="1">IFERROR(__xludf.DUMMYFUNCTION("""COMPUTED_VALUE"""),134.72)</f>
        <v>134.72</v>
      </c>
      <c r="C332" s="1">
        <f ca="1">IFERROR(__xludf.DUMMYFUNCTION("""COMPUTED_VALUE"""),261.55)</f>
        <v>261.55</v>
      </c>
      <c r="D332" s="1">
        <f ca="1">IFERROR(__xludf.DUMMYFUNCTION("""COMPUTED_VALUE"""),170.45)</f>
        <v>170.45</v>
      </c>
      <c r="E332" s="1">
        <f ca="1">IFERROR(__xludf.DUMMYFUNCTION("""COMPUTED_VALUE"""),15.48)</f>
        <v>15.48</v>
      </c>
      <c r="F332" s="1">
        <f ca="1">IFERROR(__xludf.DUMMYFUNCTION("""COMPUTED_VALUE"""),303.04)</f>
        <v>303.04000000000002</v>
      </c>
      <c r="G332" s="1">
        <f ca="1">IFERROR(__xludf.DUMMYFUNCTION("""COMPUTED_VALUE"""),116.34)</f>
        <v>116.34</v>
      </c>
      <c r="H332" s="1">
        <f ca="1">IFERROR(__xludf.DUMMYFUNCTION("""COMPUTED_VALUE"""),246.07)</f>
        <v>246.07</v>
      </c>
      <c r="I332" s="1">
        <f ca="1">IFERROR(__xludf.DUMMYFUNCTION("""COMPUTED_VALUE"""),143.36)</f>
        <v>143.36000000000001</v>
      </c>
      <c r="J332" s="1">
        <f ca="1">IFERROR(__xludf.DUMMYFUNCTION("""COMPUTED_VALUE"""),368.52)</f>
        <v>368.52</v>
      </c>
      <c r="K332" s="1">
        <f ca="1">IFERROR(__xludf.DUMMYFUNCTION("""COMPUTED_VALUE"""),47.19)</f>
        <v>47.19</v>
      </c>
      <c r="L332" s="1">
        <f ca="1">IFERROR(__xludf.DUMMYFUNCTION("""COMPUTED_VALUE"""),515.7)</f>
        <v>515.70000000000005</v>
      </c>
      <c r="M332" s="1">
        <f ca="1">IFERROR(__xludf.DUMMYFUNCTION("""COMPUTED_VALUE"""),510.3)</f>
        <v>510.3</v>
      </c>
      <c r="N332" s="1">
        <f ca="1">IFERROR(__xludf.DUMMYFUNCTION("""COMPUTED_VALUE"""),150.56)</f>
        <v>150.56</v>
      </c>
      <c r="O332" s="1">
        <f ca="1">IFERROR(__xludf.DUMMYFUNCTION("""COMPUTED_VALUE"""),230.34)</f>
        <v>230.34</v>
      </c>
      <c r="P332" s="1">
        <f ca="1">IFERROR(__xludf.DUMMYFUNCTION("""COMPUTED_VALUE"""),164.12)</f>
        <v>164.12</v>
      </c>
      <c r="Q332" s="1">
        <f ca="1">IFERROR(__xludf.DUMMYFUNCTION("""COMPUTED_VALUE"""),395.86)</f>
        <v>395.86</v>
      </c>
      <c r="R332" s="1">
        <f ca="1">IFERROR(__xludf.DUMMYFUNCTION("""COMPUTED_VALUE"""),55.68)</f>
        <v>55.68</v>
      </c>
      <c r="S332" s="1">
        <f ca="1">IFERROR(__xludf.DUMMYFUNCTION("""COMPUTED_VALUE"""),77.93)</f>
        <v>77.930000000000007</v>
      </c>
      <c r="T332" s="1">
        <f ca="1">IFERROR(__xludf.DUMMYFUNCTION("""COMPUTED_VALUE"""),45.97)</f>
        <v>45.97</v>
      </c>
      <c r="U332" s="1">
        <f ca="1">IFERROR(__xludf.DUMMYFUNCTION("""COMPUTED_VALUE"""),131.6)</f>
        <v>131.6</v>
      </c>
      <c r="V332" s="1">
        <f ca="1">IFERROR(__xludf.DUMMYFUNCTION("""COMPUTED_VALUE"""),230.56)</f>
        <v>230.56</v>
      </c>
      <c r="W332" s="1">
        <f ca="1">IFERROR(__xludf.DUMMYFUNCTION("""COMPUTED_VALUE"""),371.98)</f>
        <v>371.98</v>
      </c>
      <c r="X332" s="1">
        <f ca="1">IFERROR(__xludf.DUMMYFUNCTION("""COMPUTED_VALUE"""),670.44)</f>
        <v>670.44</v>
      </c>
      <c r="Y332" s="1">
        <f ca="1">IFERROR(__xludf.DUMMYFUNCTION("""COMPUTED_VALUE"""),121.52)</f>
        <v>121.52</v>
      </c>
      <c r="Z332" s="1">
        <f ca="1">IFERROR(__xludf.DUMMYFUNCTION("""COMPUTED_VALUE"""),343.52)</f>
        <v>343.52</v>
      </c>
      <c r="AA332" s="1">
        <f ca="1">IFERROR(__xludf.DUMMYFUNCTION("""COMPUTED_VALUE"""),38.68)</f>
        <v>38.68</v>
      </c>
      <c r="AB332" s="1">
        <f ca="1">IFERROR(__xludf.DUMMYFUNCTION("""COMPUTED_VALUE"""),115.92)</f>
        <v>115.92</v>
      </c>
      <c r="AC332" s="1">
        <f ca="1">IFERROR(__xludf.DUMMYFUNCTION("""COMPUTED_VALUE"""),85.41)</f>
        <v>85.41</v>
      </c>
    </row>
    <row r="333" spans="1:29" x14ac:dyDescent="0.25">
      <c r="A333" s="2">
        <f ca="1">IFERROR(__xludf.DUMMYFUNCTION("""COMPUTED_VALUE"""),44313.6666666666)</f>
        <v>44313.666666666599</v>
      </c>
      <c r="B333" s="1">
        <f ca="1">IFERROR(__xludf.DUMMYFUNCTION("""COMPUTED_VALUE"""),134.39)</f>
        <v>134.38999999999999</v>
      </c>
      <c r="C333" s="1">
        <f ca="1">IFERROR(__xludf.DUMMYFUNCTION("""COMPUTED_VALUE"""),261.97)</f>
        <v>261.97000000000003</v>
      </c>
      <c r="D333" s="1">
        <f ca="1">IFERROR(__xludf.DUMMYFUNCTION("""COMPUTED_VALUE"""),170.87)</f>
        <v>170.87</v>
      </c>
      <c r="E333" s="1">
        <f ca="1">IFERROR(__xludf.DUMMYFUNCTION("""COMPUTED_VALUE"""),15.38)</f>
        <v>15.38</v>
      </c>
      <c r="F333" s="1">
        <f ca="1">IFERROR(__xludf.DUMMYFUNCTION("""COMPUTED_VALUE"""),303.57)</f>
        <v>303.57</v>
      </c>
      <c r="G333" s="1">
        <f ca="1">IFERROR(__xludf.DUMMYFUNCTION("""COMPUTED_VALUE"""),115.36)</f>
        <v>115.36</v>
      </c>
      <c r="H333" s="1">
        <f ca="1">IFERROR(__xludf.DUMMYFUNCTION("""COMPUTED_VALUE"""),234.91)</f>
        <v>234.91</v>
      </c>
      <c r="I333" s="1">
        <f ca="1">IFERROR(__xludf.DUMMYFUNCTION("""COMPUTED_VALUE"""),142.89)</f>
        <v>142.88999999999999</v>
      </c>
      <c r="J333" s="1">
        <f ca="1">IFERROR(__xludf.DUMMYFUNCTION("""COMPUTED_VALUE"""),370.21)</f>
        <v>370.21</v>
      </c>
      <c r="K333" s="1">
        <f ca="1">IFERROR(__xludf.DUMMYFUNCTION("""COMPUTED_VALUE"""),46.64)</f>
        <v>46.64</v>
      </c>
      <c r="L333" s="1">
        <f ca="1">IFERROR(__xludf.DUMMYFUNCTION("""COMPUTED_VALUE"""),517.32)</f>
        <v>517.32000000000005</v>
      </c>
      <c r="M333" s="1">
        <f ca="1">IFERROR(__xludf.DUMMYFUNCTION("""COMPUTED_VALUE"""),505.55)</f>
        <v>505.55</v>
      </c>
      <c r="N333" s="1">
        <f ca="1">IFERROR(__xludf.DUMMYFUNCTION("""COMPUTED_VALUE"""),151.25)</f>
        <v>151.25</v>
      </c>
      <c r="O333" s="1">
        <f ca="1">IFERROR(__xludf.DUMMYFUNCTION("""COMPUTED_VALUE"""),229.91)</f>
        <v>229.91</v>
      </c>
      <c r="P333" s="1">
        <f ca="1">IFERROR(__xludf.DUMMYFUNCTION("""COMPUTED_VALUE"""),163.18)</f>
        <v>163.18</v>
      </c>
      <c r="Q333" s="1">
        <f ca="1">IFERROR(__xludf.DUMMYFUNCTION("""COMPUTED_VALUE"""),394.5)</f>
        <v>394.5</v>
      </c>
      <c r="R333" s="1">
        <f ca="1">IFERROR(__xludf.DUMMYFUNCTION("""COMPUTED_VALUE"""),56.41)</f>
        <v>56.41</v>
      </c>
      <c r="S333" s="1">
        <f ca="1">IFERROR(__xludf.DUMMYFUNCTION("""COMPUTED_VALUE"""),77.28)</f>
        <v>77.28</v>
      </c>
      <c r="T333" s="1">
        <f ca="1">IFERROR(__xludf.DUMMYFUNCTION("""COMPUTED_VALUE"""),46.13)</f>
        <v>46.13</v>
      </c>
      <c r="U333" s="1">
        <f ca="1">IFERROR(__xludf.DUMMYFUNCTION("""COMPUTED_VALUE"""),132.11)</f>
        <v>132.11000000000001</v>
      </c>
      <c r="V333" s="1">
        <f ca="1">IFERROR(__xludf.DUMMYFUNCTION("""COMPUTED_VALUE"""),230.34)</f>
        <v>230.34</v>
      </c>
      <c r="W333" s="1">
        <f ca="1">IFERROR(__xludf.DUMMYFUNCTION("""COMPUTED_VALUE"""),373.22)</f>
        <v>373.22</v>
      </c>
      <c r="X333" s="1">
        <f ca="1">IFERROR(__xludf.DUMMYFUNCTION("""COMPUTED_VALUE"""),672.81)</f>
        <v>672.81</v>
      </c>
      <c r="Y333" s="1">
        <f ca="1">IFERROR(__xludf.DUMMYFUNCTION("""COMPUTED_VALUE"""),121.27)</f>
        <v>121.27</v>
      </c>
      <c r="Z333" s="1">
        <f ca="1">IFERROR(__xludf.DUMMYFUNCTION("""COMPUTED_VALUE"""),346.63)</f>
        <v>346.63</v>
      </c>
      <c r="AA333" s="1">
        <f ca="1">IFERROR(__xludf.DUMMYFUNCTION("""COMPUTED_VALUE"""),38.45)</f>
        <v>38.450000000000003</v>
      </c>
      <c r="AB333" s="1">
        <f ca="1">IFERROR(__xludf.DUMMYFUNCTION("""COMPUTED_VALUE"""),116.15)</f>
        <v>116.15</v>
      </c>
      <c r="AC333" s="1">
        <f ca="1">IFERROR(__xludf.DUMMYFUNCTION("""COMPUTED_VALUE"""),85.21)</f>
        <v>85.21</v>
      </c>
    </row>
    <row r="334" spans="1:29" x14ac:dyDescent="0.25">
      <c r="A334" s="2">
        <f ca="1">IFERROR(__xludf.DUMMYFUNCTION("""COMPUTED_VALUE"""),44314.6666666666)</f>
        <v>44314.666666666599</v>
      </c>
      <c r="B334" s="1">
        <f ca="1">IFERROR(__xludf.DUMMYFUNCTION("""COMPUTED_VALUE"""),133.58)</f>
        <v>133.58000000000001</v>
      </c>
      <c r="C334" s="1">
        <f ca="1">IFERROR(__xludf.DUMMYFUNCTION("""COMPUTED_VALUE"""),254.56)</f>
        <v>254.56</v>
      </c>
      <c r="D334" s="1">
        <f ca="1">IFERROR(__xludf.DUMMYFUNCTION("""COMPUTED_VALUE"""),172.93)</f>
        <v>172.93</v>
      </c>
      <c r="E334" s="1">
        <f ca="1">IFERROR(__xludf.DUMMYFUNCTION("""COMPUTED_VALUE"""),15.28)</f>
        <v>15.28</v>
      </c>
      <c r="F334" s="1">
        <f ca="1">IFERROR(__xludf.DUMMYFUNCTION("""COMPUTED_VALUE"""),307.1)</f>
        <v>307.10000000000002</v>
      </c>
      <c r="G334" s="1">
        <f ca="1">IFERROR(__xludf.DUMMYFUNCTION("""COMPUTED_VALUE"""),119)</f>
        <v>119</v>
      </c>
      <c r="H334" s="1">
        <f ca="1">IFERROR(__xludf.DUMMYFUNCTION("""COMPUTED_VALUE"""),231.47)</f>
        <v>231.47</v>
      </c>
      <c r="I334" s="1">
        <f ca="1">IFERROR(__xludf.DUMMYFUNCTION("""COMPUTED_VALUE"""),141.83)</f>
        <v>141.83000000000001</v>
      </c>
      <c r="J334" s="1">
        <f ca="1">IFERROR(__xludf.DUMMYFUNCTION("""COMPUTED_VALUE"""),369.59)</f>
        <v>369.59</v>
      </c>
      <c r="K334" s="1">
        <f ca="1">IFERROR(__xludf.DUMMYFUNCTION("""COMPUTED_VALUE"""),45.92)</f>
        <v>45.92</v>
      </c>
      <c r="L334" s="1">
        <f ca="1">IFERROR(__xludf.DUMMYFUNCTION("""COMPUTED_VALUE"""),515.48)</f>
        <v>515.48</v>
      </c>
      <c r="M334" s="1">
        <f ca="1">IFERROR(__xludf.DUMMYFUNCTION("""COMPUTED_VALUE"""),506.52)</f>
        <v>506.52</v>
      </c>
      <c r="N334" s="1">
        <f ca="1">IFERROR(__xludf.DUMMYFUNCTION("""COMPUTED_VALUE"""),152.23)</f>
        <v>152.22999999999999</v>
      </c>
      <c r="O334" s="1">
        <f ca="1">IFERROR(__xludf.DUMMYFUNCTION("""COMPUTED_VALUE"""),233.45)</f>
        <v>233.45</v>
      </c>
      <c r="P334" s="1">
        <f ca="1">IFERROR(__xludf.DUMMYFUNCTION("""COMPUTED_VALUE"""),161.98)</f>
        <v>161.97999999999999</v>
      </c>
      <c r="Q334" s="1">
        <f ca="1">IFERROR(__xludf.DUMMYFUNCTION("""COMPUTED_VALUE"""),394.59)</f>
        <v>394.59</v>
      </c>
      <c r="R334" s="1">
        <f ca="1">IFERROR(__xludf.DUMMYFUNCTION("""COMPUTED_VALUE"""),58.11)</f>
        <v>58.11</v>
      </c>
      <c r="S334" s="1">
        <f ca="1">IFERROR(__xludf.DUMMYFUNCTION("""COMPUTED_VALUE"""),77.09)</f>
        <v>77.09</v>
      </c>
      <c r="T334" s="1">
        <f ca="1">IFERROR(__xludf.DUMMYFUNCTION("""COMPUTED_VALUE"""),45.96)</f>
        <v>45.96</v>
      </c>
      <c r="U334" s="1">
        <f ca="1">IFERROR(__xludf.DUMMYFUNCTION("""COMPUTED_VALUE"""),130.71)</f>
        <v>130.71</v>
      </c>
      <c r="V334" s="1">
        <f ca="1">IFERROR(__xludf.DUMMYFUNCTION("""COMPUTED_VALUE"""),232.3)</f>
        <v>232.3</v>
      </c>
      <c r="W334" s="1">
        <f ca="1">IFERROR(__xludf.DUMMYFUNCTION("""COMPUTED_VALUE"""),372.94)</f>
        <v>372.94</v>
      </c>
      <c r="X334" s="1">
        <f ca="1">IFERROR(__xludf.DUMMYFUNCTION("""COMPUTED_VALUE"""),665.34)</f>
        <v>665.34</v>
      </c>
      <c r="Y334" s="1">
        <f ca="1">IFERROR(__xludf.DUMMYFUNCTION("""COMPUTED_VALUE"""),119.66)</f>
        <v>119.66</v>
      </c>
      <c r="Z334" s="1">
        <f ca="1">IFERROR(__xludf.DUMMYFUNCTION("""COMPUTED_VALUE"""),348.11)</f>
        <v>348.11</v>
      </c>
      <c r="AA334" s="1">
        <f ca="1">IFERROR(__xludf.DUMMYFUNCTION("""COMPUTED_VALUE"""),38.81)</f>
        <v>38.81</v>
      </c>
      <c r="AB334" s="1">
        <f ca="1">IFERROR(__xludf.DUMMYFUNCTION("""COMPUTED_VALUE"""),112.4)</f>
        <v>112.4</v>
      </c>
      <c r="AC334" s="1">
        <f ca="1">IFERROR(__xludf.DUMMYFUNCTION("""COMPUTED_VALUE"""),84.02)</f>
        <v>84.02</v>
      </c>
    </row>
    <row r="335" spans="1:29" x14ac:dyDescent="0.25">
      <c r="A335" s="2">
        <f ca="1">IFERROR(__xludf.DUMMYFUNCTION("""COMPUTED_VALUE"""),44315.6666666666)</f>
        <v>44315.666666666599</v>
      </c>
      <c r="B335" s="1">
        <f ca="1">IFERROR(__xludf.DUMMYFUNCTION("""COMPUTED_VALUE"""),133.48)</f>
        <v>133.47999999999999</v>
      </c>
      <c r="C335" s="1">
        <f ca="1">IFERROR(__xludf.DUMMYFUNCTION("""COMPUTED_VALUE"""),252.51)</f>
        <v>252.51</v>
      </c>
      <c r="D335" s="1">
        <f ca="1">IFERROR(__xludf.DUMMYFUNCTION("""COMPUTED_VALUE"""),173.57)</f>
        <v>173.57</v>
      </c>
      <c r="E335" s="1">
        <f ca="1">IFERROR(__xludf.DUMMYFUNCTION("""COMPUTED_VALUE"""),15.32)</f>
        <v>15.32</v>
      </c>
      <c r="F335" s="1">
        <f ca="1">IFERROR(__xludf.DUMMYFUNCTION("""COMPUTED_VALUE"""),329.51)</f>
        <v>329.51</v>
      </c>
      <c r="G335" s="1">
        <f ca="1">IFERROR(__xludf.DUMMYFUNCTION("""COMPUTED_VALUE"""),121.49)</f>
        <v>121.49</v>
      </c>
      <c r="H335" s="1">
        <f ca="1">IFERROR(__xludf.DUMMYFUNCTION("""COMPUTED_VALUE"""),225.67)</f>
        <v>225.67</v>
      </c>
      <c r="I335" s="1">
        <f ca="1">IFERROR(__xludf.DUMMYFUNCTION("""COMPUTED_VALUE"""),143.94)</f>
        <v>143.94</v>
      </c>
      <c r="J335" s="1">
        <f ca="1">IFERROR(__xludf.DUMMYFUNCTION("""COMPUTED_VALUE"""),373.54)</f>
        <v>373.54</v>
      </c>
      <c r="K335" s="1">
        <f ca="1">IFERROR(__xludf.DUMMYFUNCTION("""COMPUTED_VALUE"""),46.63)</f>
        <v>46.63</v>
      </c>
      <c r="L335" s="1">
        <f ca="1">IFERROR(__xludf.DUMMYFUNCTION("""COMPUTED_VALUE"""),516.09)</f>
        <v>516.09</v>
      </c>
      <c r="M335" s="1">
        <f ca="1">IFERROR(__xludf.DUMMYFUNCTION("""COMPUTED_VALUE"""),509)</f>
        <v>509</v>
      </c>
      <c r="N335" s="1">
        <f ca="1">IFERROR(__xludf.DUMMYFUNCTION("""COMPUTED_VALUE"""),155.19)</f>
        <v>155.19</v>
      </c>
      <c r="O335" s="1">
        <f ca="1">IFERROR(__xludf.DUMMYFUNCTION("""COMPUTED_VALUE"""),236.86)</f>
        <v>236.86</v>
      </c>
      <c r="P335" s="1">
        <f ca="1">IFERROR(__xludf.DUMMYFUNCTION("""COMPUTED_VALUE"""),164.2)</f>
        <v>164.2</v>
      </c>
      <c r="Q335" s="1">
        <f ca="1">IFERROR(__xludf.DUMMYFUNCTION("""COMPUTED_VALUE"""),401.55)</f>
        <v>401.55</v>
      </c>
      <c r="R335" s="1">
        <f ca="1">IFERROR(__xludf.DUMMYFUNCTION("""COMPUTED_VALUE"""),58.94)</f>
        <v>58.94</v>
      </c>
      <c r="S335" s="1">
        <f ca="1">IFERROR(__xludf.DUMMYFUNCTION("""COMPUTED_VALUE"""),77.22)</f>
        <v>77.22</v>
      </c>
      <c r="T335" s="1">
        <f ca="1">IFERROR(__xludf.DUMMYFUNCTION("""COMPUTED_VALUE"""),46.54)</f>
        <v>46.54</v>
      </c>
      <c r="U335" s="1">
        <f ca="1">IFERROR(__xludf.DUMMYFUNCTION("""COMPUTED_VALUE"""),133.26)</f>
        <v>133.26</v>
      </c>
      <c r="V335" s="1">
        <f ca="1">IFERROR(__xludf.DUMMYFUNCTION("""COMPUTED_VALUE"""),227.47)</f>
        <v>227.47</v>
      </c>
      <c r="W335" s="1">
        <f ca="1">IFERROR(__xludf.DUMMYFUNCTION("""COMPUTED_VALUE"""),380.35)</f>
        <v>380.35</v>
      </c>
      <c r="X335" s="1">
        <f ca="1">IFERROR(__xludf.DUMMYFUNCTION("""COMPUTED_VALUE"""),662.48)</f>
        <v>662.48</v>
      </c>
      <c r="Y335" s="1">
        <f ca="1">IFERROR(__xludf.DUMMYFUNCTION("""COMPUTED_VALUE"""),119.1)</f>
        <v>119.1</v>
      </c>
      <c r="Z335" s="1">
        <f ca="1">IFERROR(__xludf.DUMMYFUNCTION("""COMPUTED_VALUE"""),352.97)</f>
        <v>352.97</v>
      </c>
      <c r="AA335" s="1">
        <f ca="1">IFERROR(__xludf.DUMMYFUNCTION("""COMPUTED_VALUE"""),38.6)</f>
        <v>38.6</v>
      </c>
      <c r="AB335" s="1">
        <f ca="1">IFERROR(__xludf.DUMMYFUNCTION("""COMPUTED_VALUE"""),114.63)</f>
        <v>114.63</v>
      </c>
      <c r="AC335" s="1">
        <f ca="1">IFERROR(__xludf.DUMMYFUNCTION("""COMPUTED_VALUE"""),83.91)</f>
        <v>83.91</v>
      </c>
    </row>
    <row r="336" spans="1:29" x14ac:dyDescent="0.25">
      <c r="A336" s="2">
        <f ca="1">IFERROR(__xludf.DUMMYFUNCTION("""COMPUTED_VALUE"""),44316.6666666666)</f>
        <v>44316.666666666599</v>
      </c>
      <c r="B336" s="1">
        <f ca="1">IFERROR(__xludf.DUMMYFUNCTION("""COMPUTED_VALUE"""),131.46)</f>
        <v>131.46</v>
      </c>
      <c r="C336" s="1">
        <f ca="1">IFERROR(__xludf.DUMMYFUNCTION("""COMPUTED_VALUE"""),252.18)</f>
        <v>252.18</v>
      </c>
      <c r="D336" s="1">
        <f ca="1">IFERROR(__xludf.DUMMYFUNCTION("""COMPUTED_VALUE"""),173.37)</f>
        <v>173.37</v>
      </c>
      <c r="E336" s="1">
        <f ca="1">IFERROR(__xludf.DUMMYFUNCTION("""COMPUTED_VALUE"""),15.01)</f>
        <v>15.01</v>
      </c>
      <c r="F336" s="1">
        <f ca="1">IFERROR(__xludf.DUMMYFUNCTION("""COMPUTED_VALUE"""),325.08)</f>
        <v>325.08</v>
      </c>
      <c r="G336" s="1">
        <f ca="1">IFERROR(__xludf.DUMMYFUNCTION("""COMPUTED_VALUE"""),120.51)</f>
        <v>120.51</v>
      </c>
      <c r="H336" s="1">
        <f ca="1">IFERROR(__xludf.DUMMYFUNCTION("""COMPUTED_VALUE"""),236.48)</f>
        <v>236.48</v>
      </c>
      <c r="I336" s="1">
        <f ca="1">IFERROR(__xludf.DUMMYFUNCTION("""COMPUTED_VALUE"""),144.16)</f>
        <v>144.16</v>
      </c>
      <c r="J336" s="1">
        <f ca="1">IFERROR(__xludf.DUMMYFUNCTION("""COMPUTED_VALUE"""),372.09)</f>
        <v>372.09</v>
      </c>
      <c r="K336" s="1">
        <f ca="1">IFERROR(__xludf.DUMMYFUNCTION("""COMPUTED_VALUE"""),45.62)</f>
        <v>45.62</v>
      </c>
      <c r="L336" s="1">
        <f ca="1">IFERROR(__xludf.DUMMYFUNCTION("""COMPUTED_VALUE"""),508.34)</f>
        <v>508.34</v>
      </c>
      <c r="M336" s="1">
        <f ca="1">IFERROR(__xludf.DUMMYFUNCTION("""COMPUTED_VALUE"""),513.47)</f>
        <v>513.47</v>
      </c>
      <c r="N336" s="1">
        <f ca="1">IFERROR(__xludf.DUMMYFUNCTION("""COMPUTED_VALUE"""),153.81)</f>
        <v>153.81</v>
      </c>
      <c r="O336" s="1">
        <f ca="1">IFERROR(__xludf.DUMMYFUNCTION("""COMPUTED_VALUE"""),233.56)</f>
        <v>233.56</v>
      </c>
      <c r="P336" s="1">
        <f ca="1">IFERROR(__xludf.DUMMYFUNCTION("""COMPUTED_VALUE"""),162.73)</f>
        <v>162.72999999999999</v>
      </c>
      <c r="Q336" s="1">
        <f ca="1">IFERROR(__xludf.DUMMYFUNCTION("""COMPUTED_VALUE"""),398.8)</f>
        <v>398.8</v>
      </c>
      <c r="R336" s="1">
        <f ca="1">IFERROR(__xludf.DUMMYFUNCTION("""COMPUTED_VALUE"""),57.24)</f>
        <v>57.24</v>
      </c>
      <c r="S336" s="1">
        <f ca="1">IFERROR(__xludf.DUMMYFUNCTION("""COMPUTED_VALUE"""),77.51)</f>
        <v>77.510000000000005</v>
      </c>
      <c r="T336" s="1">
        <f ca="1">IFERROR(__xludf.DUMMYFUNCTION("""COMPUTED_VALUE"""),46.64)</f>
        <v>46.64</v>
      </c>
      <c r="U336" s="1">
        <f ca="1">IFERROR(__xludf.DUMMYFUNCTION("""COMPUTED_VALUE"""),132.62)</f>
        <v>132.62</v>
      </c>
      <c r="V336" s="1">
        <f ca="1">IFERROR(__xludf.DUMMYFUNCTION("""COMPUTED_VALUE"""),228.11)</f>
        <v>228.11</v>
      </c>
      <c r="W336" s="1">
        <f ca="1">IFERROR(__xludf.DUMMYFUNCTION("""COMPUTED_VALUE"""),380.56)</f>
        <v>380.56</v>
      </c>
      <c r="X336" s="1">
        <f ca="1">IFERROR(__xludf.DUMMYFUNCTION("""COMPUTED_VALUE"""),648.1)</f>
        <v>648.1</v>
      </c>
      <c r="Y336" s="1">
        <f ca="1">IFERROR(__xludf.DUMMYFUNCTION("""COMPUTED_VALUE"""),116.74)</f>
        <v>116.74</v>
      </c>
      <c r="Z336" s="1">
        <f ca="1">IFERROR(__xludf.DUMMYFUNCTION("""COMPUTED_VALUE"""),348.45)</f>
        <v>348.45</v>
      </c>
      <c r="AA336" s="1">
        <f ca="1">IFERROR(__xludf.DUMMYFUNCTION("""COMPUTED_VALUE"""),38.65)</f>
        <v>38.65</v>
      </c>
      <c r="AB336" s="1">
        <f ca="1">IFERROR(__xludf.DUMMYFUNCTION("""COMPUTED_VALUE"""),114.49)</f>
        <v>114.49</v>
      </c>
      <c r="AC336" s="1">
        <f ca="1">IFERROR(__xludf.DUMMYFUNCTION("""COMPUTED_VALUE"""),81.62)</f>
        <v>81.62</v>
      </c>
    </row>
    <row r="337" spans="1:29" x14ac:dyDescent="0.25">
      <c r="A337" s="2">
        <f ca="1">IFERROR(__xludf.DUMMYFUNCTION("""COMPUTED_VALUE"""),44319.6666666666)</f>
        <v>44319.666666666599</v>
      </c>
      <c r="B337" s="1">
        <f ca="1">IFERROR(__xludf.DUMMYFUNCTION("""COMPUTED_VALUE"""),132.54)</f>
        <v>132.54</v>
      </c>
      <c r="C337" s="1">
        <f ca="1">IFERROR(__xludf.DUMMYFUNCTION("""COMPUTED_VALUE"""),251.86)</f>
        <v>251.86</v>
      </c>
      <c r="D337" s="1">
        <f ca="1">IFERROR(__xludf.DUMMYFUNCTION("""COMPUTED_VALUE"""),169.32)</f>
        <v>169.32</v>
      </c>
      <c r="E337" s="1">
        <f ca="1">IFERROR(__xludf.DUMMYFUNCTION("""COMPUTED_VALUE"""),14.84)</f>
        <v>14.84</v>
      </c>
      <c r="F337" s="1">
        <f ca="1">IFERROR(__xludf.DUMMYFUNCTION("""COMPUTED_VALUE"""),322.58)</f>
        <v>322.58</v>
      </c>
      <c r="G337" s="1">
        <f ca="1">IFERROR(__xludf.DUMMYFUNCTION("""COMPUTED_VALUE"""),119.76)</f>
        <v>119.76</v>
      </c>
      <c r="H337" s="1">
        <f ca="1">IFERROR(__xludf.DUMMYFUNCTION("""COMPUTED_VALUE"""),228.3)</f>
        <v>228.3</v>
      </c>
      <c r="I337" s="1">
        <f ca="1">IFERROR(__xludf.DUMMYFUNCTION("""COMPUTED_VALUE"""),145.79)</f>
        <v>145.79</v>
      </c>
      <c r="J337" s="1">
        <f ca="1">IFERROR(__xludf.DUMMYFUNCTION("""COMPUTED_VALUE"""),379.32)</f>
        <v>379.32</v>
      </c>
      <c r="K337" s="1">
        <f ca="1">IFERROR(__xludf.DUMMYFUNCTION("""COMPUTED_VALUE"""),45.01)</f>
        <v>45.01</v>
      </c>
      <c r="L337" s="1">
        <f ca="1">IFERROR(__xludf.DUMMYFUNCTION("""COMPUTED_VALUE"""),503.46)</f>
        <v>503.46</v>
      </c>
      <c r="M337" s="1">
        <f ca="1">IFERROR(__xludf.DUMMYFUNCTION("""COMPUTED_VALUE"""),509.11)</f>
        <v>509.11</v>
      </c>
      <c r="N337" s="1">
        <f ca="1">IFERROR(__xludf.DUMMYFUNCTION("""COMPUTED_VALUE"""),153.36)</f>
        <v>153.36000000000001</v>
      </c>
      <c r="O337" s="1">
        <f ca="1">IFERROR(__xludf.DUMMYFUNCTION("""COMPUTED_VALUE"""),232.61)</f>
        <v>232.61</v>
      </c>
      <c r="P337" s="1">
        <f ca="1">IFERROR(__xludf.DUMMYFUNCTION("""COMPUTED_VALUE"""),165.21)</f>
        <v>165.21</v>
      </c>
      <c r="Q337" s="1">
        <f ca="1">IFERROR(__xludf.DUMMYFUNCTION("""COMPUTED_VALUE"""),405.9)</f>
        <v>405.9</v>
      </c>
      <c r="R337" s="1">
        <f ca="1">IFERROR(__xludf.DUMMYFUNCTION("""COMPUTED_VALUE"""),58.82)</f>
        <v>58.82</v>
      </c>
      <c r="S337" s="1">
        <f ca="1">IFERROR(__xludf.DUMMYFUNCTION("""COMPUTED_VALUE"""),76.7)</f>
        <v>76.7</v>
      </c>
      <c r="T337" s="1">
        <f ca="1">IFERROR(__xludf.DUMMYFUNCTION("""COMPUTED_VALUE"""),47.37)</f>
        <v>47.37</v>
      </c>
      <c r="U337" s="1">
        <f ca="1">IFERROR(__xludf.DUMMYFUNCTION("""COMPUTED_VALUE"""),133.03)</f>
        <v>133.03</v>
      </c>
      <c r="V337" s="1">
        <f ca="1">IFERROR(__xludf.DUMMYFUNCTION("""COMPUTED_VALUE"""),228.17)</f>
        <v>228.17</v>
      </c>
      <c r="W337" s="1">
        <f ca="1">IFERROR(__xludf.DUMMYFUNCTION("""COMPUTED_VALUE"""),385.31)</f>
        <v>385.31</v>
      </c>
      <c r="X337" s="1">
        <f ca="1">IFERROR(__xludf.DUMMYFUNCTION("""COMPUTED_VALUE"""),654.43)</f>
        <v>654.42999999999995</v>
      </c>
      <c r="Y337" s="1">
        <f ca="1">IFERROR(__xludf.DUMMYFUNCTION("""COMPUTED_VALUE"""),115.94)</f>
        <v>115.94</v>
      </c>
      <c r="Z337" s="1">
        <f ca="1">IFERROR(__xludf.DUMMYFUNCTION("""COMPUTED_VALUE"""),350.16)</f>
        <v>350.16</v>
      </c>
      <c r="AA337" s="1">
        <f ca="1">IFERROR(__xludf.DUMMYFUNCTION("""COMPUTED_VALUE"""),39.83)</f>
        <v>39.83</v>
      </c>
      <c r="AB337" s="1">
        <f ca="1">IFERROR(__xludf.DUMMYFUNCTION("""COMPUTED_VALUE"""),115.72)</f>
        <v>115.72</v>
      </c>
      <c r="AC337" s="1">
        <f ca="1">IFERROR(__xludf.DUMMYFUNCTION("""COMPUTED_VALUE"""),78.55)</f>
        <v>78.55</v>
      </c>
    </row>
    <row r="338" spans="1:29" x14ac:dyDescent="0.25">
      <c r="A338" s="2">
        <f ca="1">IFERROR(__xludf.DUMMYFUNCTION("""COMPUTED_VALUE"""),44320.6666666666)</f>
        <v>44320.666666666599</v>
      </c>
      <c r="B338" s="1">
        <f ca="1">IFERROR(__xludf.DUMMYFUNCTION("""COMPUTED_VALUE"""),127.85)</f>
        <v>127.85</v>
      </c>
      <c r="C338" s="1">
        <f ca="1">IFERROR(__xludf.DUMMYFUNCTION("""COMPUTED_VALUE"""),247.79)</f>
        <v>247.79</v>
      </c>
      <c r="D338" s="1">
        <f ca="1">IFERROR(__xludf.DUMMYFUNCTION("""COMPUTED_VALUE"""),165.59)</f>
        <v>165.59</v>
      </c>
      <c r="E338" s="1">
        <f ca="1">IFERROR(__xludf.DUMMYFUNCTION("""COMPUTED_VALUE"""),14.35)</f>
        <v>14.35</v>
      </c>
      <c r="F338" s="1">
        <f ca="1">IFERROR(__xludf.DUMMYFUNCTION("""COMPUTED_VALUE"""),318.36)</f>
        <v>318.36</v>
      </c>
      <c r="G338" s="1">
        <f ca="1">IFERROR(__xludf.DUMMYFUNCTION("""COMPUTED_VALUE"""),117.71)</f>
        <v>117.71</v>
      </c>
      <c r="H338" s="1">
        <f ca="1">IFERROR(__xludf.DUMMYFUNCTION("""COMPUTED_VALUE"""),224.53)</f>
        <v>224.53</v>
      </c>
      <c r="I338" s="1">
        <f ca="1">IFERROR(__xludf.DUMMYFUNCTION("""COMPUTED_VALUE"""),143.96)</f>
        <v>143.96</v>
      </c>
      <c r="J338" s="1">
        <f ca="1">IFERROR(__xludf.DUMMYFUNCTION("""COMPUTED_VALUE"""),375.29)</f>
        <v>375.29</v>
      </c>
      <c r="K338" s="1">
        <f ca="1">IFERROR(__xludf.DUMMYFUNCTION("""COMPUTED_VALUE"""),44.45)</f>
        <v>44.45</v>
      </c>
      <c r="L338" s="1">
        <f ca="1">IFERROR(__xludf.DUMMYFUNCTION("""COMPUTED_VALUE"""),490.7)</f>
        <v>490.7</v>
      </c>
      <c r="M338" s="1">
        <f ca="1">IFERROR(__xludf.DUMMYFUNCTION("""COMPUTED_VALUE"""),503.18)</f>
        <v>503.18</v>
      </c>
      <c r="N338" s="1">
        <f ca="1">IFERROR(__xludf.DUMMYFUNCTION("""COMPUTED_VALUE"""),155.48)</f>
        <v>155.47999999999999</v>
      </c>
      <c r="O338" s="1">
        <f ca="1">IFERROR(__xludf.DUMMYFUNCTION("""COMPUTED_VALUE"""),232.03)</f>
        <v>232.03</v>
      </c>
      <c r="P338" s="1">
        <f ca="1">IFERROR(__xludf.DUMMYFUNCTION("""COMPUTED_VALUE"""),167.77)</f>
        <v>167.77</v>
      </c>
      <c r="Q338" s="1">
        <f ca="1">IFERROR(__xludf.DUMMYFUNCTION("""COMPUTED_VALUE"""),411.34)</f>
        <v>411.34</v>
      </c>
      <c r="R338" s="1">
        <f ca="1">IFERROR(__xludf.DUMMYFUNCTION("""COMPUTED_VALUE"""),59.19)</f>
        <v>59.19</v>
      </c>
      <c r="S338" s="1">
        <f ca="1">IFERROR(__xludf.DUMMYFUNCTION("""COMPUTED_VALUE"""),75.69)</f>
        <v>75.69</v>
      </c>
      <c r="T338" s="1">
        <f ca="1">IFERROR(__xludf.DUMMYFUNCTION("""COMPUTED_VALUE"""),46.91)</f>
        <v>46.91</v>
      </c>
      <c r="U338" s="1">
        <f ca="1">IFERROR(__xludf.DUMMYFUNCTION("""COMPUTED_VALUE"""),131.55)</f>
        <v>131.55000000000001</v>
      </c>
      <c r="V338" s="1">
        <f ca="1">IFERROR(__xludf.DUMMYFUNCTION("""COMPUTED_VALUE"""),233.41)</f>
        <v>233.41</v>
      </c>
      <c r="W338" s="1">
        <f ca="1">IFERROR(__xludf.DUMMYFUNCTION("""COMPUTED_VALUE"""),387.48)</f>
        <v>387.48</v>
      </c>
      <c r="X338" s="1">
        <f ca="1">IFERROR(__xludf.DUMMYFUNCTION("""COMPUTED_VALUE"""),629)</f>
        <v>629</v>
      </c>
      <c r="Y338" s="1">
        <f ca="1">IFERROR(__xludf.DUMMYFUNCTION("""COMPUTED_VALUE"""),115.36)</f>
        <v>115.36</v>
      </c>
      <c r="Z338" s="1">
        <f ca="1">IFERROR(__xludf.DUMMYFUNCTION("""COMPUTED_VALUE"""),349.84)</f>
        <v>349.84</v>
      </c>
      <c r="AA338" s="1">
        <f ca="1">IFERROR(__xludf.DUMMYFUNCTION("""COMPUTED_VALUE"""),39.95)</f>
        <v>39.950000000000003</v>
      </c>
      <c r="AB338" s="1">
        <f ca="1">IFERROR(__xludf.DUMMYFUNCTION("""COMPUTED_VALUE"""),114.11)</f>
        <v>114.11</v>
      </c>
      <c r="AC338" s="1">
        <f ca="1">IFERROR(__xludf.DUMMYFUNCTION("""COMPUTED_VALUE"""),78.61)</f>
        <v>78.61</v>
      </c>
    </row>
    <row r="339" spans="1:29" x14ac:dyDescent="0.25">
      <c r="A339" s="2">
        <f ca="1">IFERROR(__xludf.DUMMYFUNCTION("""COMPUTED_VALUE"""),44321.6666666666)</f>
        <v>44321.666666666599</v>
      </c>
      <c r="B339" s="1">
        <f ca="1">IFERROR(__xludf.DUMMYFUNCTION("""COMPUTED_VALUE"""),128.1)</f>
        <v>128.1</v>
      </c>
      <c r="C339" s="1">
        <f ca="1">IFERROR(__xludf.DUMMYFUNCTION("""COMPUTED_VALUE"""),246.47)</f>
        <v>246.47</v>
      </c>
      <c r="D339" s="1">
        <f ca="1">IFERROR(__xludf.DUMMYFUNCTION("""COMPUTED_VALUE"""),163.53)</f>
        <v>163.53</v>
      </c>
      <c r="E339" s="1">
        <f ca="1">IFERROR(__xludf.DUMMYFUNCTION("""COMPUTED_VALUE"""),14.46)</f>
        <v>14.46</v>
      </c>
      <c r="F339" s="1">
        <f ca="1">IFERROR(__xludf.DUMMYFUNCTION("""COMPUTED_VALUE"""),315.02)</f>
        <v>315.02</v>
      </c>
      <c r="G339" s="1">
        <f ca="1">IFERROR(__xludf.DUMMYFUNCTION("""COMPUTED_VALUE"""),117.84)</f>
        <v>117.84</v>
      </c>
      <c r="H339" s="1">
        <f ca="1">IFERROR(__xludf.DUMMYFUNCTION("""COMPUTED_VALUE"""),223.65)</f>
        <v>223.65</v>
      </c>
      <c r="I339" s="1">
        <f ca="1">IFERROR(__xludf.DUMMYFUNCTION("""COMPUTED_VALUE"""),143.89)</f>
        <v>143.88999999999999</v>
      </c>
      <c r="J339" s="1">
        <f ca="1">IFERROR(__xludf.DUMMYFUNCTION("""COMPUTED_VALUE"""),372.5)</f>
        <v>372.5</v>
      </c>
      <c r="K339" s="1">
        <f ca="1">IFERROR(__xludf.DUMMYFUNCTION("""COMPUTED_VALUE"""),44.38)</f>
        <v>44.38</v>
      </c>
      <c r="L339" s="1">
        <f ca="1">IFERROR(__xludf.DUMMYFUNCTION("""COMPUTED_VALUE"""),486.69)</f>
        <v>486.69</v>
      </c>
      <c r="M339" s="1">
        <f ca="1">IFERROR(__xludf.DUMMYFUNCTION("""COMPUTED_VALUE"""),496.08)</f>
        <v>496.08</v>
      </c>
      <c r="N339" s="1">
        <f ca="1">IFERROR(__xludf.DUMMYFUNCTION("""COMPUTED_VALUE"""),157.52)</f>
        <v>157.52000000000001</v>
      </c>
      <c r="O339" s="1">
        <f ca="1">IFERROR(__xludf.DUMMYFUNCTION("""COMPUTED_VALUE"""),229.21)</f>
        <v>229.21</v>
      </c>
      <c r="P339" s="1">
        <f ca="1">IFERROR(__xludf.DUMMYFUNCTION("""COMPUTED_VALUE"""),167.07)</f>
        <v>167.07</v>
      </c>
      <c r="Q339" s="1">
        <f ca="1">IFERROR(__xludf.DUMMYFUNCTION("""COMPUTED_VALUE"""),412.5)</f>
        <v>412.5</v>
      </c>
      <c r="R339" s="1">
        <f ca="1">IFERROR(__xludf.DUMMYFUNCTION("""COMPUTED_VALUE"""),60.97)</f>
        <v>60.97</v>
      </c>
      <c r="S339" s="1">
        <f ca="1">IFERROR(__xludf.DUMMYFUNCTION("""COMPUTED_VALUE"""),73.78)</f>
        <v>73.78</v>
      </c>
      <c r="T339" s="1">
        <f ca="1">IFERROR(__xludf.DUMMYFUNCTION("""COMPUTED_VALUE"""),46.87)</f>
        <v>46.87</v>
      </c>
      <c r="U339" s="1">
        <f ca="1">IFERROR(__xludf.DUMMYFUNCTION("""COMPUTED_VALUE"""),132.21)</f>
        <v>132.21</v>
      </c>
      <c r="V339" s="1">
        <f ca="1">IFERROR(__xludf.DUMMYFUNCTION("""COMPUTED_VALUE"""),237.88)</f>
        <v>237.88</v>
      </c>
      <c r="W339" s="1">
        <f ca="1">IFERROR(__xludf.DUMMYFUNCTION("""COMPUTED_VALUE"""),386.37)</f>
        <v>386.37</v>
      </c>
      <c r="X339" s="1">
        <f ca="1">IFERROR(__xludf.DUMMYFUNCTION("""COMPUTED_VALUE"""),641.88)</f>
        <v>641.88</v>
      </c>
      <c r="Y339" s="1">
        <f ca="1">IFERROR(__xludf.DUMMYFUNCTION("""COMPUTED_VALUE"""),115.38)</f>
        <v>115.38</v>
      </c>
      <c r="Z339" s="1">
        <f ca="1">IFERROR(__xludf.DUMMYFUNCTION("""COMPUTED_VALUE"""),357.62)</f>
        <v>357.62</v>
      </c>
      <c r="AA339" s="1">
        <f ca="1">IFERROR(__xludf.DUMMYFUNCTION("""COMPUTED_VALUE"""),39.97)</f>
        <v>39.97</v>
      </c>
      <c r="AB339" s="1">
        <f ca="1">IFERROR(__xludf.DUMMYFUNCTION("""COMPUTED_VALUE"""),113.48)</f>
        <v>113.48</v>
      </c>
      <c r="AC339" s="1">
        <f ca="1">IFERROR(__xludf.DUMMYFUNCTION("""COMPUTED_VALUE"""),77.83)</f>
        <v>77.83</v>
      </c>
    </row>
    <row r="340" spans="1:29" x14ac:dyDescent="0.25">
      <c r="A340" s="2">
        <f ca="1">IFERROR(__xludf.DUMMYFUNCTION("""COMPUTED_VALUE"""),44322.6666666666)</f>
        <v>44322.666666666599</v>
      </c>
      <c r="B340" s="1">
        <f ca="1">IFERROR(__xludf.DUMMYFUNCTION("""COMPUTED_VALUE"""),129.74)</f>
        <v>129.74</v>
      </c>
      <c r="C340" s="1">
        <f ca="1">IFERROR(__xludf.DUMMYFUNCTION("""COMPUTED_VALUE"""),249.73)</f>
        <v>249.73</v>
      </c>
      <c r="D340" s="1">
        <f ca="1">IFERROR(__xludf.DUMMYFUNCTION("""COMPUTED_VALUE"""),165.32)</f>
        <v>165.32</v>
      </c>
      <c r="E340" s="1">
        <f ca="1">IFERROR(__xludf.DUMMYFUNCTION("""COMPUTED_VALUE"""),14.52)</f>
        <v>14.52</v>
      </c>
      <c r="F340" s="1">
        <f ca="1">IFERROR(__xludf.DUMMYFUNCTION("""COMPUTED_VALUE"""),320.02)</f>
        <v>320.02</v>
      </c>
      <c r="G340" s="1">
        <f ca="1">IFERROR(__xludf.DUMMYFUNCTION("""COMPUTED_VALUE"""),119.07)</f>
        <v>119.07</v>
      </c>
      <c r="H340" s="1">
        <f ca="1">IFERROR(__xludf.DUMMYFUNCTION("""COMPUTED_VALUE"""),221.18)</f>
        <v>221.18</v>
      </c>
      <c r="I340" s="1">
        <f ca="1">IFERROR(__xludf.DUMMYFUNCTION("""COMPUTED_VALUE"""),145.56)</f>
        <v>145.56</v>
      </c>
      <c r="J340" s="1">
        <f ca="1">IFERROR(__xludf.DUMMYFUNCTION("""COMPUTED_VALUE"""),382.76)</f>
        <v>382.76</v>
      </c>
      <c r="K340" s="1">
        <f ca="1">IFERROR(__xludf.DUMMYFUNCTION("""COMPUTED_VALUE"""),44.86)</f>
        <v>44.86</v>
      </c>
      <c r="L340" s="1">
        <f ca="1">IFERROR(__xludf.DUMMYFUNCTION("""COMPUTED_VALUE"""),483.61)</f>
        <v>483.61</v>
      </c>
      <c r="M340" s="1">
        <f ca="1">IFERROR(__xludf.DUMMYFUNCTION("""COMPUTED_VALUE"""),499.55)</f>
        <v>499.55</v>
      </c>
      <c r="N340" s="1">
        <f ca="1">IFERROR(__xludf.DUMMYFUNCTION("""COMPUTED_VALUE"""),160.69)</f>
        <v>160.69</v>
      </c>
      <c r="O340" s="1">
        <f ca="1">IFERROR(__xludf.DUMMYFUNCTION("""COMPUTED_VALUE"""),231.32)</f>
        <v>231.32</v>
      </c>
      <c r="P340" s="1">
        <f ca="1">IFERROR(__xludf.DUMMYFUNCTION("""COMPUTED_VALUE"""),167.74)</f>
        <v>167.74</v>
      </c>
      <c r="Q340" s="1">
        <f ca="1">IFERROR(__xludf.DUMMYFUNCTION("""COMPUTED_VALUE"""),414.97)</f>
        <v>414.97</v>
      </c>
      <c r="R340" s="1">
        <f ca="1">IFERROR(__xludf.DUMMYFUNCTION("""COMPUTED_VALUE"""),61.55)</f>
        <v>61.55</v>
      </c>
      <c r="S340" s="1">
        <f ca="1">IFERROR(__xludf.DUMMYFUNCTION("""COMPUTED_VALUE"""),74.01)</f>
        <v>74.010000000000005</v>
      </c>
      <c r="T340" s="1">
        <f ca="1">IFERROR(__xludf.DUMMYFUNCTION("""COMPUTED_VALUE"""),47.02)</f>
        <v>47.02</v>
      </c>
      <c r="U340" s="1">
        <f ca="1">IFERROR(__xludf.DUMMYFUNCTION("""COMPUTED_VALUE"""),133.49)</f>
        <v>133.49</v>
      </c>
      <c r="V340" s="1">
        <f ca="1">IFERROR(__xludf.DUMMYFUNCTION("""COMPUTED_VALUE"""),237.07)</f>
        <v>237.07</v>
      </c>
      <c r="W340" s="1">
        <f ca="1">IFERROR(__xludf.DUMMYFUNCTION("""COMPUTED_VALUE"""),387.34)</f>
        <v>387.34</v>
      </c>
      <c r="X340" s="1">
        <f ca="1">IFERROR(__xludf.DUMMYFUNCTION("""COMPUTED_VALUE"""),644.34)</f>
        <v>644.34</v>
      </c>
      <c r="Y340" s="1">
        <f ca="1">IFERROR(__xludf.DUMMYFUNCTION("""COMPUTED_VALUE"""),117)</f>
        <v>117</v>
      </c>
      <c r="Z340" s="1">
        <f ca="1">IFERROR(__xludf.DUMMYFUNCTION("""COMPUTED_VALUE"""),365.97)</f>
        <v>365.97</v>
      </c>
      <c r="AA340" s="1">
        <f ca="1">IFERROR(__xludf.DUMMYFUNCTION("""COMPUTED_VALUE"""),39.19)</f>
        <v>39.19</v>
      </c>
      <c r="AB340" s="1">
        <f ca="1">IFERROR(__xludf.DUMMYFUNCTION("""COMPUTED_VALUE"""),114.74)</f>
        <v>114.74</v>
      </c>
      <c r="AC340" s="1">
        <f ca="1">IFERROR(__xludf.DUMMYFUNCTION("""COMPUTED_VALUE"""),77.89)</f>
        <v>77.89</v>
      </c>
    </row>
    <row r="341" spans="1:29" x14ac:dyDescent="0.25">
      <c r="A341" s="2">
        <f ca="1">IFERROR(__xludf.DUMMYFUNCTION("""COMPUTED_VALUE"""),44323.6666666666)</f>
        <v>44323.666666666599</v>
      </c>
      <c r="B341" s="1">
        <f ca="1">IFERROR(__xludf.DUMMYFUNCTION("""COMPUTED_VALUE"""),130.21)</f>
        <v>130.21</v>
      </c>
      <c r="C341" s="1">
        <f ca="1">IFERROR(__xludf.DUMMYFUNCTION("""COMPUTED_VALUE"""),252.46)</f>
        <v>252.46</v>
      </c>
      <c r="D341" s="1">
        <f ca="1">IFERROR(__xludf.DUMMYFUNCTION("""COMPUTED_VALUE"""),164.58)</f>
        <v>164.58</v>
      </c>
      <c r="E341" s="1">
        <f ca="1">IFERROR(__xludf.DUMMYFUNCTION("""COMPUTED_VALUE"""),14.81)</f>
        <v>14.81</v>
      </c>
      <c r="F341" s="1">
        <f ca="1">IFERROR(__xludf.DUMMYFUNCTION("""COMPUTED_VALUE"""),319.08)</f>
        <v>319.08</v>
      </c>
      <c r="G341" s="1">
        <f ca="1">IFERROR(__xludf.DUMMYFUNCTION("""COMPUTED_VALUE"""),119.93)</f>
        <v>119.93</v>
      </c>
      <c r="H341" s="1">
        <f ca="1">IFERROR(__xludf.DUMMYFUNCTION("""COMPUTED_VALUE"""),224.12)</f>
        <v>224.12</v>
      </c>
      <c r="I341" s="1">
        <f ca="1">IFERROR(__xludf.DUMMYFUNCTION("""COMPUTED_VALUE"""),145.56)</f>
        <v>145.56</v>
      </c>
      <c r="J341" s="1">
        <f ca="1">IFERROR(__xludf.DUMMYFUNCTION("""COMPUTED_VALUE"""),384.32)</f>
        <v>384.32</v>
      </c>
      <c r="K341" s="1">
        <f ca="1">IFERROR(__xludf.DUMMYFUNCTION("""COMPUTED_VALUE"""),45.26)</f>
        <v>45.26</v>
      </c>
      <c r="L341" s="1">
        <f ca="1">IFERROR(__xludf.DUMMYFUNCTION("""COMPUTED_VALUE"""),488.73)</f>
        <v>488.73</v>
      </c>
      <c r="M341" s="1">
        <f ca="1">IFERROR(__xludf.DUMMYFUNCTION("""COMPUTED_VALUE"""),503.84)</f>
        <v>503.84</v>
      </c>
      <c r="N341" s="1">
        <f ca="1">IFERROR(__xludf.DUMMYFUNCTION("""COMPUTED_VALUE"""),161.24)</f>
        <v>161.24</v>
      </c>
      <c r="O341" s="1">
        <f ca="1">IFERROR(__xludf.DUMMYFUNCTION("""COMPUTED_VALUE"""),232.12)</f>
        <v>232.12</v>
      </c>
      <c r="P341" s="1">
        <f ca="1">IFERROR(__xludf.DUMMYFUNCTION("""COMPUTED_VALUE"""),168.5)</f>
        <v>168.5</v>
      </c>
      <c r="Q341" s="1">
        <f ca="1">IFERROR(__xludf.DUMMYFUNCTION("""COMPUTED_VALUE"""),417.65)</f>
        <v>417.65</v>
      </c>
      <c r="R341" s="1">
        <f ca="1">IFERROR(__xludf.DUMMYFUNCTION("""COMPUTED_VALUE"""),62.43)</f>
        <v>62.43</v>
      </c>
      <c r="S341" s="1">
        <f ca="1">IFERROR(__xludf.DUMMYFUNCTION("""COMPUTED_VALUE"""),74.53)</f>
        <v>74.53</v>
      </c>
      <c r="T341" s="1">
        <f ca="1">IFERROR(__xludf.DUMMYFUNCTION("""COMPUTED_VALUE"""),46.73)</f>
        <v>46.73</v>
      </c>
      <c r="U341" s="1">
        <f ca="1">IFERROR(__xludf.DUMMYFUNCTION("""COMPUTED_VALUE"""),137.81)</f>
        <v>137.81</v>
      </c>
      <c r="V341" s="1">
        <f ca="1">IFERROR(__xludf.DUMMYFUNCTION("""COMPUTED_VALUE"""),240.99)</f>
        <v>240.99</v>
      </c>
      <c r="W341" s="1">
        <f ca="1">IFERROR(__xludf.DUMMYFUNCTION("""COMPUTED_VALUE"""),390.34)</f>
        <v>390.34</v>
      </c>
      <c r="X341" s="1">
        <f ca="1">IFERROR(__xludf.DUMMYFUNCTION("""COMPUTED_VALUE"""),658.57)</f>
        <v>658.57</v>
      </c>
      <c r="Y341" s="1">
        <f ca="1">IFERROR(__xludf.DUMMYFUNCTION("""COMPUTED_VALUE"""),116.83)</f>
        <v>116.83</v>
      </c>
      <c r="Z341" s="1">
        <f ca="1">IFERROR(__xludf.DUMMYFUNCTION("""COMPUTED_VALUE"""),370.89)</f>
        <v>370.89</v>
      </c>
      <c r="AA341" s="1">
        <f ca="1">IFERROR(__xludf.DUMMYFUNCTION("""COMPUTED_VALUE"""),39.58)</f>
        <v>39.58</v>
      </c>
      <c r="AB341" s="1">
        <f ca="1">IFERROR(__xludf.DUMMYFUNCTION("""COMPUTED_VALUE"""),114.34)</f>
        <v>114.34</v>
      </c>
      <c r="AC341" s="1">
        <f ca="1">IFERROR(__xludf.DUMMYFUNCTION("""COMPUTED_VALUE"""),78.81)</f>
        <v>78.81</v>
      </c>
    </row>
    <row r="342" spans="1:29" x14ac:dyDescent="0.25">
      <c r="A342" s="2">
        <f ca="1">IFERROR(__xludf.DUMMYFUNCTION("""COMPUTED_VALUE"""),44326.6666666666)</f>
        <v>44326.666666666599</v>
      </c>
      <c r="B342" s="1">
        <f ca="1">IFERROR(__xludf.DUMMYFUNCTION("""COMPUTED_VALUE"""),126.85)</f>
        <v>126.85</v>
      </c>
      <c r="C342" s="1">
        <f ca="1">IFERROR(__xludf.DUMMYFUNCTION("""COMPUTED_VALUE"""),247.18)</f>
        <v>247.18</v>
      </c>
      <c r="D342" s="1">
        <f ca="1">IFERROR(__xludf.DUMMYFUNCTION("""COMPUTED_VALUE"""),159.52)</f>
        <v>159.52000000000001</v>
      </c>
      <c r="E342" s="1">
        <f ca="1">IFERROR(__xludf.DUMMYFUNCTION("""COMPUTED_VALUE"""),14.27)</f>
        <v>14.27</v>
      </c>
      <c r="F342" s="1">
        <f ca="1">IFERROR(__xludf.DUMMYFUNCTION("""COMPUTED_VALUE"""),305.97)</f>
        <v>305.97000000000003</v>
      </c>
      <c r="G342" s="1">
        <f ca="1">IFERROR(__xludf.DUMMYFUNCTION("""COMPUTED_VALUE"""),117.08)</f>
        <v>117.08</v>
      </c>
      <c r="H342" s="1">
        <f ca="1">IFERROR(__xludf.DUMMYFUNCTION("""COMPUTED_VALUE"""),209.68)</f>
        <v>209.68</v>
      </c>
      <c r="I342" s="1">
        <f ca="1">IFERROR(__xludf.DUMMYFUNCTION("""COMPUTED_VALUE"""),146.72)</f>
        <v>146.72</v>
      </c>
      <c r="J342" s="1">
        <f ca="1">IFERROR(__xludf.DUMMYFUNCTION("""COMPUTED_VALUE"""),381.48)</f>
        <v>381.48</v>
      </c>
      <c r="K342" s="1">
        <f ca="1">IFERROR(__xludf.DUMMYFUNCTION("""COMPUTED_VALUE"""),43.61)</f>
        <v>43.61</v>
      </c>
      <c r="L342" s="1">
        <f ca="1">IFERROR(__xludf.DUMMYFUNCTION("""COMPUTED_VALUE"""),479.38)</f>
        <v>479.38</v>
      </c>
      <c r="M342" s="1">
        <f ca="1">IFERROR(__xludf.DUMMYFUNCTION("""COMPUTED_VALUE"""),486.69)</f>
        <v>486.69</v>
      </c>
      <c r="N342" s="1">
        <f ca="1">IFERROR(__xludf.DUMMYFUNCTION("""COMPUTED_VALUE"""),161.22)</f>
        <v>161.22</v>
      </c>
      <c r="O342" s="1">
        <f ca="1">IFERROR(__xludf.DUMMYFUNCTION("""COMPUTED_VALUE"""),225.97)</f>
        <v>225.97</v>
      </c>
      <c r="P342" s="1">
        <f ca="1">IFERROR(__xludf.DUMMYFUNCTION("""COMPUTED_VALUE"""),170.27)</f>
        <v>170.27</v>
      </c>
      <c r="Q342" s="1">
        <f ca="1">IFERROR(__xludf.DUMMYFUNCTION("""COMPUTED_VALUE"""),420.89)</f>
        <v>420.89</v>
      </c>
      <c r="R342" s="1">
        <f ca="1">IFERROR(__xludf.DUMMYFUNCTION("""COMPUTED_VALUE"""),62.58)</f>
        <v>62.58</v>
      </c>
      <c r="S342" s="1">
        <f ca="1">IFERROR(__xludf.DUMMYFUNCTION("""COMPUTED_VALUE"""),74.8)</f>
        <v>74.8</v>
      </c>
      <c r="T342" s="1">
        <f ca="1">IFERROR(__xludf.DUMMYFUNCTION("""COMPUTED_VALUE"""),46.94)</f>
        <v>46.94</v>
      </c>
      <c r="U342" s="1">
        <f ca="1">IFERROR(__xludf.DUMMYFUNCTION("""COMPUTED_VALUE"""),136.4)</f>
        <v>136.4</v>
      </c>
      <c r="V342" s="1">
        <f ca="1">IFERROR(__xludf.DUMMYFUNCTION("""COMPUTED_VALUE"""),242.61)</f>
        <v>242.61</v>
      </c>
      <c r="W342" s="1">
        <f ca="1">IFERROR(__xludf.DUMMYFUNCTION("""COMPUTED_VALUE"""),393.14)</f>
        <v>393.14</v>
      </c>
      <c r="X342" s="1">
        <f ca="1">IFERROR(__xludf.DUMMYFUNCTION("""COMPUTED_VALUE"""),627.26)</f>
        <v>627.26</v>
      </c>
      <c r="Y342" s="1">
        <f ca="1">IFERROR(__xludf.DUMMYFUNCTION("""COMPUTED_VALUE"""),112.31)</f>
        <v>112.31</v>
      </c>
      <c r="Z342" s="1">
        <f ca="1">IFERROR(__xludf.DUMMYFUNCTION("""COMPUTED_VALUE"""),368.68)</f>
        <v>368.68</v>
      </c>
      <c r="AA342" s="1">
        <f ca="1">IFERROR(__xludf.DUMMYFUNCTION("""COMPUTED_VALUE"""),39.86)</f>
        <v>39.86</v>
      </c>
      <c r="AB342" s="1">
        <f ca="1">IFERROR(__xludf.DUMMYFUNCTION("""COMPUTED_VALUE"""),114.3)</f>
        <v>114.3</v>
      </c>
      <c r="AC342" s="1">
        <f ca="1">IFERROR(__xludf.DUMMYFUNCTION("""COMPUTED_VALUE"""),75.99)</f>
        <v>75.989999999999995</v>
      </c>
    </row>
    <row r="343" spans="1:29" x14ac:dyDescent="0.25">
      <c r="A343" s="2">
        <f ca="1">IFERROR(__xludf.DUMMYFUNCTION("""COMPUTED_VALUE"""),44327.6666666666)</f>
        <v>44327.666666666599</v>
      </c>
      <c r="B343" s="1">
        <f ca="1">IFERROR(__xludf.DUMMYFUNCTION("""COMPUTED_VALUE"""),125.91)</f>
        <v>125.91</v>
      </c>
      <c r="C343" s="1">
        <f ca="1">IFERROR(__xludf.DUMMYFUNCTION("""COMPUTED_VALUE"""),246.23)</f>
        <v>246.23</v>
      </c>
      <c r="D343" s="1">
        <f ca="1">IFERROR(__xludf.DUMMYFUNCTION("""COMPUTED_VALUE"""),161.2)</f>
        <v>161.19999999999999</v>
      </c>
      <c r="E343" s="1">
        <f ca="1">IFERROR(__xludf.DUMMYFUNCTION("""COMPUTED_VALUE"""),14.31)</f>
        <v>14.31</v>
      </c>
      <c r="F343" s="1">
        <f ca="1">IFERROR(__xludf.DUMMYFUNCTION("""COMPUTED_VALUE"""),306.53)</f>
        <v>306.52999999999997</v>
      </c>
      <c r="G343" s="1">
        <f ca="1">IFERROR(__xludf.DUMMYFUNCTION("""COMPUTED_VALUE"""),115.44)</f>
        <v>115.44</v>
      </c>
      <c r="H343" s="1">
        <f ca="1">IFERROR(__xludf.DUMMYFUNCTION("""COMPUTED_VALUE"""),205.73)</f>
        <v>205.73</v>
      </c>
      <c r="I343" s="1">
        <f ca="1">IFERROR(__xludf.DUMMYFUNCTION("""COMPUTED_VALUE"""),145.65)</f>
        <v>145.65</v>
      </c>
      <c r="J343" s="1">
        <f ca="1">IFERROR(__xludf.DUMMYFUNCTION("""COMPUTED_VALUE"""),378.18)</f>
        <v>378.18</v>
      </c>
      <c r="K343" s="1">
        <f ca="1">IFERROR(__xludf.DUMMYFUNCTION("""COMPUTED_VALUE"""),44.01)</f>
        <v>44.01</v>
      </c>
      <c r="L343" s="1">
        <f ca="1">IFERROR(__xludf.DUMMYFUNCTION("""COMPUTED_VALUE"""),485.19)</f>
        <v>485.19</v>
      </c>
      <c r="M343" s="1">
        <f ca="1">IFERROR(__xludf.DUMMYFUNCTION("""COMPUTED_VALUE"""),495.08)</f>
        <v>495.08</v>
      </c>
      <c r="N343" s="1">
        <f ca="1">IFERROR(__xludf.DUMMYFUNCTION("""COMPUTED_VALUE"""),158.54)</f>
        <v>158.54</v>
      </c>
      <c r="O343" s="1">
        <f ca="1">IFERROR(__xludf.DUMMYFUNCTION("""COMPUTED_VALUE"""),225.48)</f>
        <v>225.48</v>
      </c>
      <c r="P343" s="1">
        <f ca="1">IFERROR(__xludf.DUMMYFUNCTION("""COMPUTED_VALUE"""),168.88)</f>
        <v>168.88</v>
      </c>
      <c r="Q343" s="1">
        <f ca="1">IFERROR(__xludf.DUMMYFUNCTION("""COMPUTED_VALUE"""),411.7)</f>
        <v>411.7</v>
      </c>
      <c r="R343" s="1">
        <f ca="1">IFERROR(__xludf.DUMMYFUNCTION("""COMPUTED_VALUE"""),60.59)</f>
        <v>60.59</v>
      </c>
      <c r="S343" s="1">
        <f ca="1">IFERROR(__xludf.DUMMYFUNCTION("""COMPUTED_VALUE"""),74.07)</f>
        <v>74.069999999999993</v>
      </c>
      <c r="T343" s="1">
        <f ca="1">IFERROR(__xludf.DUMMYFUNCTION("""COMPUTED_VALUE"""),46.52)</f>
        <v>46.52</v>
      </c>
      <c r="U343" s="1">
        <f ca="1">IFERROR(__xludf.DUMMYFUNCTION("""COMPUTED_VALUE"""),137.12)</f>
        <v>137.12</v>
      </c>
      <c r="V343" s="1">
        <f ca="1">IFERROR(__xludf.DUMMYFUNCTION("""COMPUTED_VALUE"""),239.3)</f>
        <v>239.3</v>
      </c>
      <c r="W343" s="1">
        <f ca="1">IFERROR(__xludf.DUMMYFUNCTION("""COMPUTED_VALUE"""),387.82)</f>
        <v>387.82</v>
      </c>
      <c r="X343" s="1">
        <f ca="1">IFERROR(__xludf.DUMMYFUNCTION("""COMPUTED_VALUE"""),630.66)</f>
        <v>630.66</v>
      </c>
      <c r="Y343" s="1">
        <f ca="1">IFERROR(__xludf.DUMMYFUNCTION("""COMPUTED_VALUE"""),112.85)</f>
        <v>112.85</v>
      </c>
      <c r="Z343" s="1">
        <f ca="1">IFERROR(__xludf.DUMMYFUNCTION("""COMPUTED_VALUE"""),359.92)</f>
        <v>359.92</v>
      </c>
      <c r="AA343" s="1">
        <f ca="1">IFERROR(__xludf.DUMMYFUNCTION("""COMPUTED_VALUE"""),39.35)</f>
        <v>39.35</v>
      </c>
      <c r="AB343" s="1">
        <f ca="1">IFERROR(__xludf.DUMMYFUNCTION("""COMPUTED_VALUE"""),113.55)</f>
        <v>113.55</v>
      </c>
      <c r="AC343" s="1">
        <f ca="1">IFERROR(__xludf.DUMMYFUNCTION("""COMPUTED_VALUE"""),76.83)</f>
        <v>76.83</v>
      </c>
    </row>
    <row r="344" spans="1:29" x14ac:dyDescent="0.25">
      <c r="A344" s="2">
        <f ca="1">IFERROR(__xludf.DUMMYFUNCTION("""COMPUTED_VALUE"""),44328.6666666666)</f>
        <v>44328.666666666599</v>
      </c>
      <c r="B344" s="1">
        <f ca="1">IFERROR(__xludf.DUMMYFUNCTION("""COMPUTED_VALUE"""),122.77)</f>
        <v>122.77</v>
      </c>
      <c r="C344" s="1">
        <f ca="1">IFERROR(__xludf.DUMMYFUNCTION("""COMPUTED_VALUE"""),239)</f>
        <v>239</v>
      </c>
      <c r="D344" s="1">
        <f ca="1">IFERROR(__xludf.DUMMYFUNCTION("""COMPUTED_VALUE"""),157.6)</f>
        <v>157.6</v>
      </c>
      <c r="E344" s="1">
        <f ca="1">IFERROR(__xludf.DUMMYFUNCTION("""COMPUTED_VALUE"""),13.76)</f>
        <v>13.76</v>
      </c>
      <c r="F344" s="1">
        <f ca="1">IFERROR(__xludf.DUMMYFUNCTION("""COMPUTED_VALUE"""),302.55)</f>
        <v>302.55</v>
      </c>
      <c r="G344" s="1">
        <f ca="1">IFERROR(__xludf.DUMMYFUNCTION("""COMPUTED_VALUE"""),111.95)</f>
        <v>111.95</v>
      </c>
      <c r="H344" s="1">
        <f ca="1">IFERROR(__xludf.DUMMYFUNCTION("""COMPUTED_VALUE"""),196.63)</f>
        <v>196.63</v>
      </c>
      <c r="I344" s="1">
        <f ca="1">IFERROR(__xludf.DUMMYFUNCTION("""COMPUTED_VALUE"""),144.23)</f>
        <v>144.22999999999999</v>
      </c>
      <c r="J344" s="1">
        <f ca="1">IFERROR(__xludf.DUMMYFUNCTION("""COMPUTED_VALUE"""),372.2)</f>
        <v>372.2</v>
      </c>
      <c r="K344" s="1">
        <f ca="1">IFERROR(__xludf.DUMMYFUNCTION("""COMPUTED_VALUE"""),42.24)</f>
        <v>42.24</v>
      </c>
      <c r="L344" s="1">
        <f ca="1">IFERROR(__xludf.DUMMYFUNCTION("""COMPUTED_VALUE"""),472.09)</f>
        <v>472.09</v>
      </c>
      <c r="M344" s="1">
        <f ca="1">IFERROR(__xludf.DUMMYFUNCTION("""COMPUTED_VALUE"""),484.98)</f>
        <v>484.98</v>
      </c>
      <c r="N344" s="1">
        <f ca="1">IFERROR(__xludf.DUMMYFUNCTION("""COMPUTED_VALUE"""),157.45)</f>
        <v>157.44999999999999</v>
      </c>
      <c r="O344" s="1">
        <f ca="1">IFERROR(__xludf.DUMMYFUNCTION("""COMPUTED_VALUE"""),220.63)</f>
        <v>220.63</v>
      </c>
      <c r="P344" s="1">
        <f ca="1">IFERROR(__xludf.DUMMYFUNCTION("""COMPUTED_VALUE"""),168.2)</f>
        <v>168.2</v>
      </c>
      <c r="Q344" s="1">
        <f ca="1">IFERROR(__xludf.DUMMYFUNCTION("""COMPUTED_VALUE"""),405.37)</f>
        <v>405.37</v>
      </c>
      <c r="R344" s="1">
        <f ca="1">IFERROR(__xludf.DUMMYFUNCTION("""COMPUTED_VALUE"""),60.04)</f>
        <v>60.04</v>
      </c>
      <c r="S344" s="1">
        <f ca="1">IFERROR(__xludf.DUMMYFUNCTION("""COMPUTED_VALUE"""),71.54)</f>
        <v>71.540000000000006</v>
      </c>
      <c r="T344" s="1">
        <f ca="1">IFERROR(__xludf.DUMMYFUNCTION("""COMPUTED_VALUE"""),45.31)</f>
        <v>45.31</v>
      </c>
      <c r="U344" s="1">
        <f ca="1">IFERROR(__xludf.DUMMYFUNCTION("""COMPUTED_VALUE"""),133.39)</f>
        <v>133.38999999999999</v>
      </c>
      <c r="V344" s="1">
        <f ca="1">IFERROR(__xludf.DUMMYFUNCTION("""COMPUTED_VALUE"""),237.32)</f>
        <v>237.32</v>
      </c>
      <c r="W344" s="1">
        <f ca="1">IFERROR(__xludf.DUMMYFUNCTION("""COMPUTED_VALUE"""),380.62)</f>
        <v>380.62</v>
      </c>
      <c r="X344" s="1">
        <f ca="1">IFERROR(__xludf.DUMMYFUNCTION("""COMPUTED_VALUE"""),601.88)</f>
        <v>601.88</v>
      </c>
      <c r="Y344" s="1">
        <f ca="1">IFERROR(__xludf.DUMMYFUNCTION("""COMPUTED_VALUE"""),108.21)</f>
        <v>108.21</v>
      </c>
      <c r="Z344" s="1">
        <f ca="1">IFERROR(__xludf.DUMMYFUNCTION("""COMPUTED_VALUE"""),354.4)</f>
        <v>354.4</v>
      </c>
      <c r="AA344" s="1">
        <f ca="1">IFERROR(__xludf.DUMMYFUNCTION("""COMPUTED_VALUE"""),39.69)</f>
        <v>39.69</v>
      </c>
      <c r="AB344" s="1">
        <f ca="1">IFERROR(__xludf.DUMMYFUNCTION("""COMPUTED_VALUE"""),109.79)</f>
        <v>109.79</v>
      </c>
      <c r="AC344" s="1">
        <f ca="1">IFERROR(__xludf.DUMMYFUNCTION("""COMPUTED_VALUE"""),74.64)</f>
        <v>74.64</v>
      </c>
    </row>
    <row r="345" spans="1:29" x14ac:dyDescent="0.25">
      <c r="A345" s="2">
        <f ca="1">IFERROR(__xludf.DUMMYFUNCTION("""COMPUTED_VALUE"""),44329.6666666666)</f>
        <v>44329.666666666599</v>
      </c>
      <c r="B345" s="1">
        <f ca="1">IFERROR(__xludf.DUMMYFUNCTION("""COMPUTED_VALUE"""),124.97)</f>
        <v>124.97</v>
      </c>
      <c r="C345" s="1">
        <f ca="1">IFERROR(__xludf.DUMMYFUNCTION("""COMPUTED_VALUE"""),243.03)</f>
        <v>243.03</v>
      </c>
      <c r="D345" s="1">
        <f ca="1">IFERROR(__xludf.DUMMYFUNCTION("""COMPUTED_VALUE"""),158.07)</f>
        <v>158.07</v>
      </c>
      <c r="E345" s="1">
        <f ca="1">IFERROR(__xludf.DUMMYFUNCTION("""COMPUTED_VALUE"""),13.67)</f>
        <v>13.67</v>
      </c>
      <c r="F345" s="1">
        <f ca="1">IFERROR(__xludf.DUMMYFUNCTION("""COMPUTED_VALUE"""),305.26)</f>
        <v>305.26</v>
      </c>
      <c r="G345" s="1">
        <f ca="1">IFERROR(__xludf.DUMMYFUNCTION("""COMPUTED_VALUE"""),113.1)</f>
        <v>113.1</v>
      </c>
      <c r="H345" s="1">
        <f ca="1">IFERROR(__xludf.DUMMYFUNCTION("""COMPUTED_VALUE"""),190.56)</f>
        <v>190.56</v>
      </c>
      <c r="I345" s="1">
        <f ca="1">IFERROR(__xludf.DUMMYFUNCTION("""COMPUTED_VALUE"""),146.37)</f>
        <v>146.37</v>
      </c>
      <c r="J345" s="1">
        <f ca="1">IFERROR(__xludf.DUMMYFUNCTION("""COMPUTED_VALUE"""),379.53)</f>
        <v>379.53</v>
      </c>
      <c r="K345" s="1">
        <f ca="1">IFERROR(__xludf.DUMMYFUNCTION("""COMPUTED_VALUE"""),43.06)</f>
        <v>43.06</v>
      </c>
      <c r="L345" s="1">
        <f ca="1">IFERROR(__xludf.DUMMYFUNCTION("""COMPUTED_VALUE"""),474.16)</f>
        <v>474.16</v>
      </c>
      <c r="M345" s="1">
        <f ca="1">IFERROR(__xludf.DUMMYFUNCTION("""COMPUTED_VALUE"""),486.66)</f>
        <v>486.66</v>
      </c>
      <c r="N345" s="1">
        <f ca="1">IFERROR(__xludf.DUMMYFUNCTION("""COMPUTED_VALUE"""),161.5)</f>
        <v>161.5</v>
      </c>
      <c r="O345" s="1">
        <f ca="1">IFERROR(__xludf.DUMMYFUNCTION("""COMPUTED_VALUE"""),223.74)</f>
        <v>223.74</v>
      </c>
      <c r="P345" s="1">
        <f ca="1">IFERROR(__xludf.DUMMYFUNCTION("""COMPUTED_VALUE"""),169.96)</f>
        <v>169.96</v>
      </c>
      <c r="Q345" s="1">
        <f ca="1">IFERROR(__xludf.DUMMYFUNCTION("""COMPUTED_VALUE"""),408.56)</f>
        <v>408.56</v>
      </c>
      <c r="R345" s="1">
        <f ca="1">IFERROR(__xludf.DUMMYFUNCTION("""COMPUTED_VALUE"""),59.3)</f>
        <v>59.3</v>
      </c>
      <c r="S345" s="1">
        <f ca="1">IFERROR(__xludf.DUMMYFUNCTION("""COMPUTED_VALUE"""),72.63)</f>
        <v>72.63</v>
      </c>
      <c r="T345" s="1">
        <f ca="1">IFERROR(__xludf.DUMMYFUNCTION("""COMPUTED_VALUE"""),46.08)</f>
        <v>46.08</v>
      </c>
      <c r="U345" s="1">
        <f ca="1">IFERROR(__xludf.DUMMYFUNCTION("""COMPUTED_VALUE"""),133.61)</f>
        <v>133.61000000000001</v>
      </c>
      <c r="V345" s="1">
        <f ca="1">IFERROR(__xludf.DUMMYFUNCTION("""COMPUTED_VALUE"""),240.07)</f>
        <v>240.07</v>
      </c>
      <c r="W345" s="1">
        <f ca="1">IFERROR(__xludf.DUMMYFUNCTION("""COMPUTED_VALUE"""),387.77)</f>
        <v>387.77</v>
      </c>
      <c r="X345" s="1">
        <f ca="1">IFERROR(__xludf.DUMMYFUNCTION("""COMPUTED_VALUE"""),623.09)</f>
        <v>623.09</v>
      </c>
      <c r="Y345" s="1">
        <f ca="1">IFERROR(__xludf.DUMMYFUNCTION("""COMPUTED_VALUE"""),108.75)</f>
        <v>108.75</v>
      </c>
      <c r="Z345" s="1">
        <f ca="1">IFERROR(__xludf.DUMMYFUNCTION("""COMPUTED_VALUE"""),358.81)</f>
        <v>358.81</v>
      </c>
      <c r="AA345" s="1">
        <f ca="1">IFERROR(__xludf.DUMMYFUNCTION("""COMPUTED_VALUE"""),40.1)</f>
        <v>40.1</v>
      </c>
      <c r="AB345" s="1">
        <f ca="1">IFERROR(__xludf.DUMMYFUNCTION("""COMPUTED_VALUE"""),110.49)</f>
        <v>110.49</v>
      </c>
      <c r="AC345" s="1">
        <f ca="1">IFERROR(__xludf.DUMMYFUNCTION("""COMPUTED_VALUE"""),73.09)</f>
        <v>73.09</v>
      </c>
    </row>
    <row r="346" spans="1:29" x14ac:dyDescent="0.25">
      <c r="A346" s="2">
        <f ca="1">IFERROR(__xludf.DUMMYFUNCTION("""COMPUTED_VALUE"""),44330.6666666666)</f>
        <v>44330.666666666599</v>
      </c>
      <c r="B346" s="1">
        <f ca="1">IFERROR(__xludf.DUMMYFUNCTION("""COMPUTED_VALUE"""),127.45)</f>
        <v>127.45</v>
      </c>
      <c r="C346" s="1">
        <f ca="1">IFERROR(__xludf.DUMMYFUNCTION("""COMPUTED_VALUE"""),248.15)</f>
        <v>248.15</v>
      </c>
      <c r="D346" s="1">
        <f ca="1">IFERROR(__xludf.DUMMYFUNCTION("""COMPUTED_VALUE"""),161.15)</f>
        <v>161.15</v>
      </c>
      <c r="E346" s="1">
        <f ca="1">IFERROR(__xludf.DUMMYFUNCTION("""COMPUTED_VALUE"""),14.24)</f>
        <v>14.24</v>
      </c>
      <c r="F346" s="1">
        <f ca="1">IFERROR(__xludf.DUMMYFUNCTION("""COMPUTED_VALUE"""),315.94)</f>
        <v>315.94</v>
      </c>
      <c r="G346" s="1">
        <f ca="1">IFERROR(__xludf.DUMMYFUNCTION("""COMPUTED_VALUE"""),115.81)</f>
        <v>115.81</v>
      </c>
      <c r="H346" s="1">
        <f ca="1">IFERROR(__xludf.DUMMYFUNCTION("""COMPUTED_VALUE"""),196.58)</f>
        <v>196.58</v>
      </c>
      <c r="I346" s="1">
        <f ca="1">IFERROR(__xludf.DUMMYFUNCTION("""COMPUTED_VALUE"""),146.59)</f>
        <v>146.59</v>
      </c>
      <c r="J346" s="1">
        <f ca="1">IFERROR(__xludf.DUMMYFUNCTION("""COMPUTED_VALUE"""),384.42)</f>
        <v>384.42</v>
      </c>
      <c r="K346" s="1">
        <f ca="1">IFERROR(__xludf.DUMMYFUNCTION("""COMPUTED_VALUE"""),44.16)</f>
        <v>44.16</v>
      </c>
      <c r="L346" s="1">
        <f ca="1">IFERROR(__xludf.DUMMYFUNCTION("""COMPUTED_VALUE"""),486.56)</f>
        <v>486.56</v>
      </c>
      <c r="M346" s="1">
        <f ca="1">IFERROR(__xludf.DUMMYFUNCTION("""COMPUTED_VALUE"""),493.37)</f>
        <v>493.37</v>
      </c>
      <c r="N346" s="1">
        <f ca="1">IFERROR(__xludf.DUMMYFUNCTION("""COMPUTED_VALUE"""),164.01)</f>
        <v>164.01</v>
      </c>
      <c r="O346" s="1">
        <f ca="1">IFERROR(__xludf.DUMMYFUNCTION("""COMPUTED_VALUE"""),226.94)</f>
        <v>226.94</v>
      </c>
      <c r="P346" s="1">
        <f ca="1">IFERROR(__xludf.DUMMYFUNCTION("""COMPUTED_VALUE"""),170.22)</f>
        <v>170.22</v>
      </c>
      <c r="Q346" s="1">
        <f ca="1">IFERROR(__xludf.DUMMYFUNCTION("""COMPUTED_VALUE"""),409.8)</f>
        <v>409.8</v>
      </c>
      <c r="R346" s="1">
        <f ca="1">IFERROR(__xludf.DUMMYFUNCTION("""COMPUTED_VALUE"""),60.77)</f>
        <v>60.77</v>
      </c>
      <c r="S346" s="1">
        <f ca="1">IFERROR(__xludf.DUMMYFUNCTION("""COMPUTED_VALUE"""),73.12)</f>
        <v>73.12</v>
      </c>
      <c r="T346" s="1">
        <f ca="1">IFERROR(__xludf.DUMMYFUNCTION("""COMPUTED_VALUE"""),46.51)</f>
        <v>46.51</v>
      </c>
      <c r="U346" s="1">
        <f ca="1">IFERROR(__xludf.DUMMYFUNCTION("""COMPUTED_VALUE"""),135.93)</f>
        <v>135.93</v>
      </c>
      <c r="V346" s="1">
        <f ca="1">IFERROR(__xludf.DUMMYFUNCTION("""COMPUTED_VALUE"""),242.23)</f>
        <v>242.23</v>
      </c>
      <c r="W346" s="1">
        <f ca="1">IFERROR(__xludf.DUMMYFUNCTION("""COMPUTED_VALUE"""),390.78)</f>
        <v>390.78</v>
      </c>
      <c r="X346" s="1">
        <f ca="1">IFERROR(__xludf.DUMMYFUNCTION("""COMPUTED_VALUE"""),647.76)</f>
        <v>647.76</v>
      </c>
      <c r="Y346" s="1">
        <f ca="1">IFERROR(__xludf.DUMMYFUNCTION("""COMPUTED_VALUE"""),112.46)</f>
        <v>112.46</v>
      </c>
      <c r="Z346" s="1">
        <f ca="1">IFERROR(__xludf.DUMMYFUNCTION("""COMPUTED_VALUE"""),368.77)</f>
        <v>368.77</v>
      </c>
      <c r="AA346" s="1">
        <f ca="1">IFERROR(__xludf.DUMMYFUNCTION("""COMPUTED_VALUE"""),40.02)</f>
        <v>40.020000000000003</v>
      </c>
      <c r="AB346" s="1">
        <f ca="1">IFERROR(__xludf.DUMMYFUNCTION("""COMPUTED_VALUE"""),111.2)</f>
        <v>111.2</v>
      </c>
      <c r="AC346" s="1">
        <f ca="1">IFERROR(__xludf.DUMMYFUNCTION("""COMPUTED_VALUE"""),74.59)</f>
        <v>74.59</v>
      </c>
    </row>
    <row r="347" spans="1:29" x14ac:dyDescent="0.25">
      <c r="A347" s="2">
        <f ca="1">IFERROR(__xludf.DUMMYFUNCTION("""COMPUTED_VALUE"""),44333.6666666666)</f>
        <v>44333.666666666599</v>
      </c>
      <c r="B347" s="1">
        <f ca="1">IFERROR(__xludf.DUMMYFUNCTION("""COMPUTED_VALUE"""),126.27)</f>
        <v>126.27</v>
      </c>
      <c r="C347" s="1">
        <f ca="1">IFERROR(__xludf.DUMMYFUNCTION("""COMPUTED_VALUE"""),245.18)</f>
        <v>245.18</v>
      </c>
      <c r="D347" s="1">
        <f ca="1">IFERROR(__xludf.DUMMYFUNCTION("""COMPUTED_VALUE"""),163.52)</f>
        <v>163.52000000000001</v>
      </c>
      <c r="E347" s="1">
        <f ca="1">IFERROR(__xludf.DUMMYFUNCTION("""COMPUTED_VALUE"""),14.17)</f>
        <v>14.17</v>
      </c>
      <c r="F347" s="1">
        <f ca="1">IFERROR(__xludf.DUMMYFUNCTION("""COMPUTED_VALUE"""),315.46)</f>
        <v>315.45999999999998</v>
      </c>
      <c r="G347" s="1">
        <f ca="1">IFERROR(__xludf.DUMMYFUNCTION("""COMPUTED_VALUE"""),116.07)</f>
        <v>116.07</v>
      </c>
      <c r="H347" s="1">
        <f ca="1">IFERROR(__xludf.DUMMYFUNCTION("""COMPUTED_VALUE"""),192.28)</f>
        <v>192.28</v>
      </c>
      <c r="I347" s="1">
        <f ca="1">IFERROR(__xludf.DUMMYFUNCTION("""COMPUTED_VALUE"""),146.17)</f>
        <v>146.16999999999999</v>
      </c>
      <c r="J347" s="1">
        <f ca="1">IFERROR(__xludf.DUMMYFUNCTION("""COMPUTED_VALUE"""),383.96)</f>
        <v>383.96</v>
      </c>
      <c r="K347" s="1">
        <f ca="1">IFERROR(__xludf.DUMMYFUNCTION("""COMPUTED_VALUE"""),43.99)</f>
        <v>43.99</v>
      </c>
      <c r="L347" s="1">
        <f ca="1">IFERROR(__xludf.DUMMYFUNCTION("""COMPUTED_VALUE"""),482.74)</f>
        <v>482.74</v>
      </c>
      <c r="M347" s="1">
        <f ca="1">IFERROR(__xludf.DUMMYFUNCTION("""COMPUTED_VALUE"""),488.94)</f>
        <v>488.94</v>
      </c>
      <c r="N347" s="1">
        <f ca="1">IFERROR(__xludf.DUMMYFUNCTION("""COMPUTED_VALUE"""),164.67)</f>
        <v>164.67</v>
      </c>
      <c r="O347" s="1">
        <f ca="1">IFERROR(__xludf.DUMMYFUNCTION("""COMPUTED_VALUE"""),226.44)</f>
        <v>226.44</v>
      </c>
      <c r="P347" s="1">
        <f ca="1">IFERROR(__xludf.DUMMYFUNCTION("""COMPUTED_VALUE"""),170.39)</f>
        <v>170.39</v>
      </c>
      <c r="Q347" s="1">
        <f ca="1">IFERROR(__xludf.DUMMYFUNCTION("""COMPUTED_VALUE"""),408.63)</f>
        <v>408.63</v>
      </c>
      <c r="R347" s="1">
        <f ca="1">IFERROR(__xludf.DUMMYFUNCTION("""COMPUTED_VALUE"""),62.19)</f>
        <v>62.19</v>
      </c>
      <c r="S347" s="1">
        <f ca="1">IFERROR(__xludf.DUMMYFUNCTION("""COMPUTED_VALUE"""),71.9)</f>
        <v>71.900000000000006</v>
      </c>
      <c r="T347" s="1">
        <f ca="1">IFERROR(__xludf.DUMMYFUNCTION("""COMPUTED_VALUE"""),46.3)</f>
        <v>46.3</v>
      </c>
      <c r="U347" s="1">
        <f ca="1">IFERROR(__xludf.DUMMYFUNCTION("""COMPUTED_VALUE"""),136.41)</f>
        <v>136.41</v>
      </c>
      <c r="V347" s="1">
        <f ca="1">IFERROR(__xludf.DUMMYFUNCTION("""COMPUTED_VALUE"""),244.79)</f>
        <v>244.79</v>
      </c>
      <c r="W347" s="1">
        <f ca="1">IFERROR(__xludf.DUMMYFUNCTION("""COMPUTED_VALUE"""),391.12)</f>
        <v>391.12</v>
      </c>
      <c r="X347" s="1">
        <f ca="1">IFERROR(__xludf.DUMMYFUNCTION("""COMPUTED_VALUE"""),635.35)</f>
        <v>635.35</v>
      </c>
      <c r="Y347" s="1">
        <f ca="1">IFERROR(__xludf.DUMMYFUNCTION("""COMPUTED_VALUE"""),109.8)</f>
        <v>109.8</v>
      </c>
      <c r="Z347" s="1">
        <f ca="1">IFERROR(__xludf.DUMMYFUNCTION("""COMPUTED_VALUE"""),369.25)</f>
        <v>369.25</v>
      </c>
      <c r="AA347" s="1">
        <f ca="1">IFERROR(__xludf.DUMMYFUNCTION("""COMPUTED_VALUE"""),40.11)</f>
        <v>40.11</v>
      </c>
      <c r="AB347" s="1">
        <f ca="1">IFERROR(__xludf.DUMMYFUNCTION("""COMPUTED_VALUE"""),110.98)</f>
        <v>110.98</v>
      </c>
      <c r="AC347" s="1">
        <f ca="1">IFERROR(__xludf.DUMMYFUNCTION("""COMPUTED_VALUE"""),74.65)</f>
        <v>74.650000000000006</v>
      </c>
    </row>
    <row r="348" spans="1:29" x14ac:dyDescent="0.25">
      <c r="A348" s="2">
        <f ca="1">IFERROR(__xludf.DUMMYFUNCTION("""COMPUTED_VALUE"""),44334.6666666666)</f>
        <v>44334.666666666599</v>
      </c>
      <c r="B348" s="1">
        <f ca="1">IFERROR(__xludf.DUMMYFUNCTION("""COMPUTED_VALUE"""),124.85)</f>
        <v>124.85</v>
      </c>
      <c r="C348" s="1">
        <f ca="1">IFERROR(__xludf.DUMMYFUNCTION("""COMPUTED_VALUE"""),243.08)</f>
        <v>243.08</v>
      </c>
      <c r="D348" s="1">
        <f ca="1">IFERROR(__xludf.DUMMYFUNCTION("""COMPUTED_VALUE"""),161.61)</f>
        <v>161.61000000000001</v>
      </c>
      <c r="E348" s="1">
        <f ca="1">IFERROR(__xludf.DUMMYFUNCTION("""COMPUTED_VALUE"""),14.02)</f>
        <v>14.02</v>
      </c>
      <c r="F348" s="1">
        <f ca="1">IFERROR(__xludf.DUMMYFUNCTION("""COMPUTED_VALUE"""),309.96)</f>
        <v>309.95999999999998</v>
      </c>
      <c r="G348" s="1">
        <f ca="1">IFERROR(__xludf.DUMMYFUNCTION("""COMPUTED_VALUE"""),115.17)</f>
        <v>115.17</v>
      </c>
      <c r="H348" s="1">
        <f ca="1">IFERROR(__xludf.DUMMYFUNCTION("""COMPUTED_VALUE"""),192.62)</f>
        <v>192.62</v>
      </c>
      <c r="I348" s="1">
        <f ca="1">IFERROR(__xludf.DUMMYFUNCTION("""COMPUTED_VALUE"""),145.51)</f>
        <v>145.51</v>
      </c>
      <c r="J348" s="1">
        <f ca="1">IFERROR(__xludf.DUMMYFUNCTION("""COMPUTED_VALUE"""),382.81)</f>
        <v>382.81</v>
      </c>
      <c r="K348" s="1">
        <f ca="1">IFERROR(__xludf.DUMMYFUNCTION("""COMPUTED_VALUE"""),43.37)</f>
        <v>43.37</v>
      </c>
      <c r="L348" s="1">
        <f ca="1">IFERROR(__xludf.DUMMYFUNCTION("""COMPUTED_VALUE"""),480.62)</f>
        <v>480.62</v>
      </c>
      <c r="M348" s="1">
        <f ca="1">IFERROR(__xludf.DUMMYFUNCTION("""COMPUTED_VALUE"""),486.28)</f>
        <v>486.28</v>
      </c>
      <c r="N348" s="1">
        <f ca="1">IFERROR(__xludf.DUMMYFUNCTION("""COMPUTED_VALUE"""),162.35)</f>
        <v>162.35</v>
      </c>
      <c r="O348" s="1">
        <f ca="1">IFERROR(__xludf.DUMMYFUNCTION("""COMPUTED_VALUE"""),225.57)</f>
        <v>225.57</v>
      </c>
      <c r="P348" s="1">
        <f ca="1">IFERROR(__xludf.DUMMYFUNCTION("""COMPUTED_VALUE"""),170.45)</f>
        <v>170.45</v>
      </c>
      <c r="Q348" s="1">
        <f ca="1">IFERROR(__xludf.DUMMYFUNCTION("""COMPUTED_VALUE"""),410.38)</f>
        <v>410.38</v>
      </c>
      <c r="R348" s="1">
        <f ca="1">IFERROR(__xludf.DUMMYFUNCTION("""COMPUTED_VALUE"""),60.43)</f>
        <v>60.43</v>
      </c>
      <c r="S348" s="1">
        <f ca="1">IFERROR(__xludf.DUMMYFUNCTION("""COMPUTED_VALUE"""),72.29)</f>
        <v>72.290000000000006</v>
      </c>
      <c r="T348" s="1">
        <f ca="1">IFERROR(__xludf.DUMMYFUNCTION("""COMPUTED_VALUE"""),47.3)</f>
        <v>47.3</v>
      </c>
      <c r="U348" s="1">
        <f ca="1">IFERROR(__xludf.DUMMYFUNCTION("""COMPUTED_VALUE"""),135.56)</f>
        <v>135.56</v>
      </c>
      <c r="V348" s="1">
        <f ca="1">IFERROR(__xludf.DUMMYFUNCTION("""COMPUTED_VALUE"""),239.47)</f>
        <v>239.47</v>
      </c>
      <c r="W348" s="1">
        <f ca="1">IFERROR(__xludf.DUMMYFUNCTION("""COMPUTED_VALUE"""),387.22)</f>
        <v>387.22</v>
      </c>
      <c r="X348" s="1">
        <f ca="1">IFERROR(__xludf.DUMMYFUNCTION("""COMPUTED_VALUE"""),632.19)</f>
        <v>632.19000000000005</v>
      </c>
      <c r="Y348" s="1">
        <f ca="1">IFERROR(__xludf.DUMMYFUNCTION("""COMPUTED_VALUE"""),110.84)</f>
        <v>110.84</v>
      </c>
      <c r="Z348" s="1">
        <f ca="1">IFERROR(__xludf.DUMMYFUNCTION("""COMPUTED_VALUE"""),364.56)</f>
        <v>364.56</v>
      </c>
      <c r="AA348" s="1">
        <f ca="1">IFERROR(__xludf.DUMMYFUNCTION("""COMPUTED_VALUE"""),40.05)</f>
        <v>40.049999999999997</v>
      </c>
      <c r="AB348" s="1">
        <f ca="1">IFERROR(__xludf.DUMMYFUNCTION("""COMPUTED_VALUE"""),111.07)</f>
        <v>111.07</v>
      </c>
      <c r="AC348" s="1">
        <f ca="1">IFERROR(__xludf.DUMMYFUNCTION("""COMPUTED_VALUE"""),74.44)</f>
        <v>74.44</v>
      </c>
    </row>
    <row r="349" spans="1:29" x14ac:dyDescent="0.25">
      <c r="A349" s="2">
        <f ca="1">IFERROR(__xludf.DUMMYFUNCTION("""COMPUTED_VALUE"""),44335.6666666666)</f>
        <v>44335.666666666599</v>
      </c>
      <c r="B349" s="1">
        <f ca="1">IFERROR(__xludf.DUMMYFUNCTION("""COMPUTED_VALUE"""),124.69)</f>
        <v>124.69</v>
      </c>
      <c r="C349" s="1">
        <f ca="1">IFERROR(__xludf.DUMMYFUNCTION("""COMPUTED_VALUE"""),243.12)</f>
        <v>243.12</v>
      </c>
      <c r="D349" s="1">
        <f ca="1">IFERROR(__xludf.DUMMYFUNCTION("""COMPUTED_VALUE"""),161.59)</f>
        <v>161.59</v>
      </c>
      <c r="E349" s="1">
        <f ca="1">IFERROR(__xludf.DUMMYFUNCTION("""COMPUTED_VALUE"""),14.07)</f>
        <v>14.07</v>
      </c>
      <c r="F349" s="1">
        <f ca="1">IFERROR(__xludf.DUMMYFUNCTION("""COMPUTED_VALUE"""),313.59)</f>
        <v>313.58999999999997</v>
      </c>
      <c r="G349" s="1">
        <f ca="1">IFERROR(__xludf.DUMMYFUNCTION("""COMPUTED_VALUE"""),115.44)</f>
        <v>115.44</v>
      </c>
      <c r="H349" s="1">
        <f ca="1">IFERROR(__xludf.DUMMYFUNCTION("""COMPUTED_VALUE"""),187.82)</f>
        <v>187.82</v>
      </c>
      <c r="I349" s="1">
        <f ca="1">IFERROR(__xludf.DUMMYFUNCTION("""COMPUTED_VALUE"""),145.43)</f>
        <v>145.43</v>
      </c>
      <c r="J349" s="1">
        <f ca="1">IFERROR(__xludf.DUMMYFUNCTION("""COMPUTED_VALUE"""),379.66)</f>
        <v>379.66</v>
      </c>
      <c r="K349" s="1">
        <f ca="1">IFERROR(__xludf.DUMMYFUNCTION("""COMPUTED_VALUE"""),44.17)</f>
        <v>44.17</v>
      </c>
      <c r="L349" s="1">
        <f ca="1">IFERROR(__xludf.DUMMYFUNCTION("""COMPUTED_VALUE"""),480.47)</f>
        <v>480.47</v>
      </c>
      <c r="M349" s="1">
        <f ca="1">IFERROR(__xludf.DUMMYFUNCTION("""COMPUTED_VALUE"""),487.7)</f>
        <v>487.7</v>
      </c>
      <c r="N349" s="1">
        <f ca="1">IFERROR(__xludf.DUMMYFUNCTION("""COMPUTED_VALUE"""),161.11)</f>
        <v>161.11000000000001</v>
      </c>
      <c r="O349" s="1">
        <f ca="1">IFERROR(__xludf.DUMMYFUNCTION("""COMPUTED_VALUE"""),224.59)</f>
        <v>224.59</v>
      </c>
      <c r="P349" s="1">
        <f ca="1">IFERROR(__xludf.DUMMYFUNCTION("""COMPUTED_VALUE"""),170.08)</f>
        <v>170.08</v>
      </c>
      <c r="Q349" s="1">
        <f ca="1">IFERROR(__xludf.DUMMYFUNCTION("""COMPUTED_VALUE"""),409.5)</f>
        <v>409.5</v>
      </c>
      <c r="R349" s="1">
        <f ca="1">IFERROR(__xludf.DUMMYFUNCTION("""COMPUTED_VALUE"""),58.98)</f>
        <v>58.98</v>
      </c>
      <c r="S349" s="1">
        <f ca="1">IFERROR(__xludf.DUMMYFUNCTION("""COMPUTED_VALUE"""),72.66)</f>
        <v>72.66</v>
      </c>
      <c r="T349" s="1">
        <f ca="1">IFERROR(__xludf.DUMMYFUNCTION("""COMPUTED_VALUE"""),47.31)</f>
        <v>47.31</v>
      </c>
      <c r="U349" s="1">
        <f ca="1">IFERROR(__xludf.DUMMYFUNCTION("""COMPUTED_VALUE"""),132.96)</f>
        <v>132.96</v>
      </c>
      <c r="V349" s="1">
        <f ca="1">IFERROR(__xludf.DUMMYFUNCTION("""COMPUTED_VALUE"""),236.87)</f>
        <v>236.87</v>
      </c>
      <c r="W349" s="1">
        <f ca="1">IFERROR(__xludf.DUMMYFUNCTION("""COMPUTED_VALUE"""),385.54)</f>
        <v>385.54</v>
      </c>
      <c r="X349" s="1">
        <f ca="1">IFERROR(__xludf.DUMMYFUNCTION("""COMPUTED_VALUE"""),630.78)</f>
        <v>630.78</v>
      </c>
      <c r="Y349" s="1">
        <f ca="1">IFERROR(__xludf.DUMMYFUNCTION("""COMPUTED_VALUE"""),112.4)</f>
        <v>112.4</v>
      </c>
      <c r="Z349" s="1">
        <f ca="1">IFERROR(__xludf.DUMMYFUNCTION("""COMPUTED_VALUE"""),358.38)</f>
        <v>358.38</v>
      </c>
      <c r="AA349" s="1">
        <f ca="1">IFERROR(__xludf.DUMMYFUNCTION("""COMPUTED_VALUE"""),39.83)</f>
        <v>39.83</v>
      </c>
      <c r="AB349" s="1">
        <f ca="1">IFERROR(__xludf.DUMMYFUNCTION("""COMPUTED_VALUE"""),109.67)</f>
        <v>109.67</v>
      </c>
      <c r="AC349" s="1">
        <f ca="1">IFERROR(__xludf.DUMMYFUNCTION("""COMPUTED_VALUE"""),76.23)</f>
        <v>76.23</v>
      </c>
    </row>
    <row r="350" spans="1:29" x14ac:dyDescent="0.25">
      <c r="A350" s="2">
        <f ca="1">IFERROR(__xludf.DUMMYFUNCTION("""COMPUTED_VALUE"""),44336.6666666666)</f>
        <v>44336.666666666599</v>
      </c>
      <c r="B350" s="1">
        <f ca="1">IFERROR(__xludf.DUMMYFUNCTION("""COMPUTED_VALUE"""),127.31)</f>
        <v>127.31</v>
      </c>
      <c r="C350" s="1">
        <f ca="1">IFERROR(__xludf.DUMMYFUNCTION("""COMPUTED_VALUE"""),246.48)</f>
        <v>246.48</v>
      </c>
      <c r="D350" s="1">
        <f ca="1">IFERROR(__xludf.DUMMYFUNCTION("""COMPUTED_VALUE"""),162.38)</f>
        <v>162.38</v>
      </c>
      <c r="E350" s="1">
        <f ca="1">IFERROR(__xludf.DUMMYFUNCTION("""COMPUTED_VALUE"""),14.61)</f>
        <v>14.61</v>
      </c>
      <c r="F350" s="1">
        <f ca="1">IFERROR(__xludf.DUMMYFUNCTION("""COMPUTED_VALUE"""),318.61)</f>
        <v>318.61</v>
      </c>
      <c r="G350" s="1">
        <f ca="1">IFERROR(__xludf.DUMMYFUNCTION("""COMPUTED_VALUE"""),117.8)</f>
        <v>117.8</v>
      </c>
      <c r="H350" s="1">
        <f ca="1">IFERROR(__xludf.DUMMYFUNCTION("""COMPUTED_VALUE"""),195.59)</f>
        <v>195.59</v>
      </c>
      <c r="I350" s="1">
        <f ca="1">IFERROR(__xludf.DUMMYFUNCTION("""COMPUTED_VALUE"""),147.23)</f>
        <v>147.22999999999999</v>
      </c>
      <c r="J350" s="1">
        <f ca="1">IFERROR(__xludf.DUMMYFUNCTION("""COMPUTED_VALUE"""),383.58)</f>
        <v>383.58</v>
      </c>
      <c r="K350" s="1">
        <f ca="1">IFERROR(__xludf.DUMMYFUNCTION("""COMPUTED_VALUE"""),45.5)</f>
        <v>45.5</v>
      </c>
      <c r="L350" s="1">
        <f ca="1">IFERROR(__xludf.DUMMYFUNCTION("""COMPUTED_VALUE"""),491.67)</f>
        <v>491.67</v>
      </c>
      <c r="M350" s="1">
        <f ca="1">IFERROR(__xludf.DUMMYFUNCTION("""COMPUTED_VALUE"""),501.67)</f>
        <v>501.67</v>
      </c>
      <c r="N350" s="1">
        <f ca="1">IFERROR(__xludf.DUMMYFUNCTION("""COMPUTED_VALUE"""),160.83)</f>
        <v>160.83000000000001</v>
      </c>
      <c r="O350" s="1">
        <f ca="1">IFERROR(__xludf.DUMMYFUNCTION("""COMPUTED_VALUE"""),226.44)</f>
        <v>226.44</v>
      </c>
      <c r="P350" s="1">
        <f ca="1">IFERROR(__xludf.DUMMYFUNCTION("""COMPUTED_VALUE"""),171.07)</f>
        <v>171.07</v>
      </c>
      <c r="Q350" s="1">
        <f ca="1">IFERROR(__xludf.DUMMYFUNCTION("""COMPUTED_VALUE"""),408.64)</f>
        <v>408.64</v>
      </c>
      <c r="R350" s="1">
        <f ca="1">IFERROR(__xludf.DUMMYFUNCTION("""COMPUTED_VALUE"""),58.84)</f>
        <v>58.84</v>
      </c>
      <c r="S350" s="1">
        <f ca="1">IFERROR(__xludf.DUMMYFUNCTION("""COMPUTED_VALUE"""),74.29)</f>
        <v>74.290000000000006</v>
      </c>
      <c r="T350" s="1">
        <f ca="1">IFERROR(__xludf.DUMMYFUNCTION("""COMPUTED_VALUE"""),47.47)</f>
        <v>47.47</v>
      </c>
      <c r="U350" s="1">
        <f ca="1">IFERROR(__xludf.DUMMYFUNCTION("""COMPUTED_VALUE"""),133.27)</f>
        <v>133.27000000000001</v>
      </c>
      <c r="V350" s="1">
        <f ca="1">IFERROR(__xludf.DUMMYFUNCTION("""COMPUTED_VALUE"""),234.99)</f>
        <v>234.99</v>
      </c>
      <c r="W350" s="1">
        <f ca="1">IFERROR(__xludf.DUMMYFUNCTION("""COMPUTED_VALUE"""),388.32)</f>
        <v>388.32</v>
      </c>
      <c r="X350" s="1">
        <f ca="1">IFERROR(__xludf.DUMMYFUNCTION("""COMPUTED_VALUE"""),648.77)</f>
        <v>648.77</v>
      </c>
      <c r="Y350" s="1">
        <f ca="1">IFERROR(__xludf.DUMMYFUNCTION("""COMPUTED_VALUE"""),113.28)</f>
        <v>113.28</v>
      </c>
      <c r="Z350" s="1">
        <f ca="1">IFERROR(__xludf.DUMMYFUNCTION("""COMPUTED_VALUE"""),359.78)</f>
        <v>359.78</v>
      </c>
      <c r="AA350" s="1">
        <f ca="1">IFERROR(__xludf.DUMMYFUNCTION("""COMPUTED_VALUE"""),40.12)</f>
        <v>40.119999999999997</v>
      </c>
      <c r="AB350" s="1">
        <f ca="1">IFERROR(__xludf.DUMMYFUNCTION("""COMPUTED_VALUE"""),111.41)</f>
        <v>111.41</v>
      </c>
      <c r="AC350" s="1">
        <f ca="1">IFERROR(__xludf.DUMMYFUNCTION("""COMPUTED_VALUE"""),78.06)</f>
        <v>78.06</v>
      </c>
    </row>
    <row r="351" spans="1:29" x14ac:dyDescent="0.25">
      <c r="A351" s="2">
        <f ca="1">IFERROR(__xludf.DUMMYFUNCTION("""COMPUTED_VALUE"""),44337.6666666666)</f>
        <v>44337.666666666599</v>
      </c>
      <c r="B351" s="1">
        <f ca="1">IFERROR(__xludf.DUMMYFUNCTION("""COMPUTED_VALUE"""),125.43)</f>
        <v>125.43</v>
      </c>
      <c r="C351" s="1">
        <f ca="1">IFERROR(__xludf.DUMMYFUNCTION("""COMPUTED_VALUE"""),245.17)</f>
        <v>245.17</v>
      </c>
      <c r="D351" s="1">
        <f ca="1">IFERROR(__xludf.DUMMYFUNCTION("""COMPUTED_VALUE"""),160.15)</f>
        <v>160.15</v>
      </c>
      <c r="E351" s="1">
        <f ca="1">IFERROR(__xludf.DUMMYFUNCTION("""COMPUTED_VALUE"""),14.99)</f>
        <v>14.99</v>
      </c>
      <c r="F351" s="1">
        <f ca="1">IFERROR(__xludf.DUMMYFUNCTION("""COMPUTED_VALUE"""),316.23)</f>
        <v>316.23</v>
      </c>
      <c r="G351" s="1">
        <f ca="1">IFERROR(__xludf.DUMMYFUNCTION("""COMPUTED_VALUE"""),117.26)</f>
        <v>117.26</v>
      </c>
      <c r="H351" s="1">
        <f ca="1">IFERROR(__xludf.DUMMYFUNCTION("""COMPUTED_VALUE"""),193.63)</f>
        <v>193.63</v>
      </c>
      <c r="I351" s="1">
        <f ca="1">IFERROR(__xludf.DUMMYFUNCTION("""COMPUTED_VALUE"""),147.1)</f>
        <v>147.1</v>
      </c>
      <c r="J351" s="1">
        <f ca="1">IFERROR(__xludf.DUMMYFUNCTION("""COMPUTED_VALUE"""),380.72)</f>
        <v>380.72</v>
      </c>
      <c r="K351" s="1">
        <f ca="1">IFERROR(__xludf.DUMMYFUNCTION("""COMPUTED_VALUE"""),45.12)</f>
        <v>45.12</v>
      </c>
      <c r="L351" s="1">
        <f ca="1">IFERROR(__xludf.DUMMYFUNCTION("""COMPUTED_VALUE"""),488.07)</f>
        <v>488.07</v>
      </c>
      <c r="M351" s="1">
        <f ca="1">IFERROR(__xludf.DUMMYFUNCTION("""COMPUTED_VALUE"""),497.89)</f>
        <v>497.89</v>
      </c>
      <c r="N351" s="1">
        <f ca="1">IFERROR(__xludf.DUMMYFUNCTION("""COMPUTED_VALUE"""),162.66)</f>
        <v>162.66</v>
      </c>
      <c r="O351" s="1">
        <f ca="1">IFERROR(__xludf.DUMMYFUNCTION("""COMPUTED_VALUE"""),226.77)</f>
        <v>226.77</v>
      </c>
      <c r="P351" s="1">
        <f ca="1">IFERROR(__xludf.DUMMYFUNCTION("""COMPUTED_VALUE"""),170.96)</f>
        <v>170.96</v>
      </c>
      <c r="Q351" s="1">
        <f ca="1">IFERROR(__xludf.DUMMYFUNCTION("""COMPUTED_VALUE"""),411.63)</f>
        <v>411.63</v>
      </c>
      <c r="R351" s="1">
        <f ca="1">IFERROR(__xludf.DUMMYFUNCTION("""COMPUTED_VALUE"""),58.92)</f>
        <v>58.92</v>
      </c>
      <c r="S351" s="1">
        <f ca="1">IFERROR(__xludf.DUMMYFUNCTION("""COMPUTED_VALUE"""),74.44)</f>
        <v>74.44</v>
      </c>
      <c r="T351" s="1">
        <f ca="1">IFERROR(__xludf.DUMMYFUNCTION("""COMPUTED_VALUE"""),47.25)</f>
        <v>47.25</v>
      </c>
      <c r="U351" s="1">
        <f ca="1">IFERROR(__xludf.DUMMYFUNCTION("""COMPUTED_VALUE"""),132.66)</f>
        <v>132.66</v>
      </c>
      <c r="V351" s="1">
        <f ca="1">IFERROR(__xludf.DUMMYFUNCTION("""COMPUTED_VALUE"""),237.24)</f>
        <v>237.24</v>
      </c>
      <c r="W351" s="1">
        <f ca="1">IFERROR(__xludf.DUMMYFUNCTION("""COMPUTED_VALUE"""),387.22)</f>
        <v>387.22</v>
      </c>
      <c r="X351" s="1">
        <f ca="1">IFERROR(__xludf.DUMMYFUNCTION("""COMPUTED_VALUE"""),639.22)</f>
        <v>639.22</v>
      </c>
      <c r="Y351" s="1">
        <f ca="1">IFERROR(__xludf.DUMMYFUNCTION("""COMPUTED_VALUE"""),111.85)</f>
        <v>111.85</v>
      </c>
      <c r="Z351" s="1">
        <f ca="1">IFERROR(__xludf.DUMMYFUNCTION("""COMPUTED_VALUE"""),366.26)</f>
        <v>366.26</v>
      </c>
      <c r="AA351" s="1">
        <f ca="1">IFERROR(__xludf.DUMMYFUNCTION("""COMPUTED_VALUE"""),39.95)</f>
        <v>39.950000000000003</v>
      </c>
      <c r="AB351" s="1">
        <f ca="1">IFERROR(__xludf.DUMMYFUNCTION("""COMPUTED_VALUE"""),110.92)</f>
        <v>110.92</v>
      </c>
      <c r="AC351" s="1">
        <f ca="1">IFERROR(__xludf.DUMMYFUNCTION("""COMPUTED_VALUE"""),77.17)</f>
        <v>77.17</v>
      </c>
    </row>
    <row r="352" spans="1:29" x14ac:dyDescent="0.25">
      <c r="A352" s="2">
        <f ca="1">IFERROR(__xludf.DUMMYFUNCTION("""COMPUTED_VALUE"""),44340.6666666666)</f>
        <v>44340.666666666599</v>
      </c>
      <c r="B352" s="1">
        <f ca="1">IFERROR(__xludf.DUMMYFUNCTION("""COMPUTED_VALUE"""),127.1)</f>
        <v>127.1</v>
      </c>
      <c r="C352" s="1">
        <f ca="1">IFERROR(__xludf.DUMMYFUNCTION("""COMPUTED_VALUE"""),250.78)</f>
        <v>250.78</v>
      </c>
      <c r="D352" s="1">
        <f ca="1">IFERROR(__xludf.DUMMYFUNCTION("""COMPUTED_VALUE"""),162.25)</f>
        <v>162.25</v>
      </c>
      <c r="E352" s="1">
        <f ca="1">IFERROR(__xludf.DUMMYFUNCTION("""COMPUTED_VALUE"""),15.61)</f>
        <v>15.61</v>
      </c>
      <c r="F352" s="1">
        <f ca="1">IFERROR(__xludf.DUMMYFUNCTION("""COMPUTED_VALUE"""),324.63)</f>
        <v>324.63</v>
      </c>
      <c r="G352" s="1">
        <f ca="1">IFERROR(__xludf.DUMMYFUNCTION("""COMPUTED_VALUE"""),120.33)</f>
        <v>120.33</v>
      </c>
      <c r="H352" s="1">
        <f ca="1">IFERROR(__xludf.DUMMYFUNCTION("""COMPUTED_VALUE"""),202.15)</f>
        <v>202.15</v>
      </c>
      <c r="I352" s="1">
        <f ca="1">IFERROR(__xludf.DUMMYFUNCTION("""COMPUTED_VALUE"""),147.85)</f>
        <v>147.85</v>
      </c>
      <c r="J352" s="1">
        <f ca="1">IFERROR(__xludf.DUMMYFUNCTION("""COMPUTED_VALUE"""),383.45)</f>
        <v>383.45</v>
      </c>
      <c r="K352" s="1">
        <f ca="1">IFERROR(__xludf.DUMMYFUNCTION("""COMPUTED_VALUE"""),45.92)</f>
        <v>45.92</v>
      </c>
      <c r="L352" s="1">
        <f ca="1">IFERROR(__xludf.DUMMYFUNCTION("""COMPUTED_VALUE"""),497.83)</f>
        <v>497.83</v>
      </c>
      <c r="M352" s="1">
        <f ca="1">IFERROR(__xludf.DUMMYFUNCTION("""COMPUTED_VALUE"""),502.9)</f>
        <v>502.9</v>
      </c>
      <c r="N352" s="1">
        <f ca="1">IFERROR(__xludf.DUMMYFUNCTION("""COMPUTED_VALUE"""),163.54)</f>
        <v>163.54</v>
      </c>
      <c r="O352" s="1">
        <f ca="1">IFERROR(__xludf.DUMMYFUNCTION("""COMPUTED_VALUE"""),229.32)</f>
        <v>229.32</v>
      </c>
      <c r="P352" s="1">
        <f ca="1">IFERROR(__xludf.DUMMYFUNCTION("""COMPUTED_VALUE"""),170.55)</f>
        <v>170.55</v>
      </c>
      <c r="Q352" s="1">
        <f ca="1">IFERROR(__xludf.DUMMYFUNCTION("""COMPUTED_VALUE"""),410.95)</f>
        <v>410.95</v>
      </c>
      <c r="R352" s="1">
        <f ca="1">IFERROR(__xludf.DUMMYFUNCTION("""COMPUTED_VALUE"""),59.61)</f>
        <v>59.61</v>
      </c>
      <c r="S352" s="1">
        <f ca="1">IFERROR(__xludf.DUMMYFUNCTION("""COMPUTED_VALUE"""),74.03)</f>
        <v>74.03</v>
      </c>
      <c r="T352" s="1">
        <f ca="1">IFERROR(__xludf.DUMMYFUNCTION("""COMPUTED_VALUE"""),47.25)</f>
        <v>47.25</v>
      </c>
      <c r="U352" s="1">
        <f ca="1">IFERROR(__xludf.DUMMYFUNCTION("""COMPUTED_VALUE"""),134.06)</f>
        <v>134.06</v>
      </c>
      <c r="V352" s="1">
        <f ca="1">IFERROR(__xludf.DUMMYFUNCTION("""COMPUTED_VALUE"""),239.05)</f>
        <v>239.05</v>
      </c>
      <c r="W352" s="1">
        <f ca="1">IFERROR(__xludf.DUMMYFUNCTION("""COMPUTED_VALUE"""),387.71)</f>
        <v>387.71</v>
      </c>
      <c r="X352" s="1">
        <f ca="1">IFERROR(__xludf.DUMMYFUNCTION("""COMPUTED_VALUE"""),658.95)</f>
        <v>658.95</v>
      </c>
      <c r="Y352" s="1">
        <f ca="1">IFERROR(__xludf.DUMMYFUNCTION("""COMPUTED_VALUE"""),113.63)</f>
        <v>113.63</v>
      </c>
      <c r="Z352" s="1">
        <f ca="1">IFERROR(__xludf.DUMMYFUNCTION("""COMPUTED_VALUE"""),368.29)</f>
        <v>368.29</v>
      </c>
      <c r="AA352" s="1">
        <f ca="1">IFERROR(__xludf.DUMMYFUNCTION("""COMPUTED_VALUE"""),39.81)</f>
        <v>39.81</v>
      </c>
      <c r="AB352" s="1">
        <f ca="1">IFERROR(__xludf.DUMMYFUNCTION("""COMPUTED_VALUE"""),112.52)</f>
        <v>112.52</v>
      </c>
      <c r="AC352" s="1">
        <f ca="1">IFERROR(__xludf.DUMMYFUNCTION("""COMPUTED_VALUE"""),77.44)</f>
        <v>77.44</v>
      </c>
    </row>
    <row r="353" spans="1:29" x14ac:dyDescent="0.25">
      <c r="A353" s="2">
        <f ca="1">IFERROR(__xludf.DUMMYFUNCTION("""COMPUTED_VALUE"""),44341.6666666666)</f>
        <v>44341.666666666599</v>
      </c>
      <c r="B353" s="1">
        <f ca="1">IFERROR(__xludf.DUMMYFUNCTION("""COMPUTED_VALUE"""),126.9)</f>
        <v>126.9</v>
      </c>
      <c r="C353" s="1">
        <f ca="1">IFERROR(__xludf.DUMMYFUNCTION("""COMPUTED_VALUE"""),251.72)</f>
        <v>251.72</v>
      </c>
      <c r="D353" s="1">
        <f ca="1">IFERROR(__xludf.DUMMYFUNCTION("""COMPUTED_VALUE"""),162.95)</f>
        <v>162.94999999999999</v>
      </c>
      <c r="E353" s="1">
        <f ca="1">IFERROR(__xludf.DUMMYFUNCTION("""COMPUTED_VALUE"""),15.65)</f>
        <v>15.65</v>
      </c>
      <c r="F353" s="1">
        <f ca="1">IFERROR(__xludf.DUMMYFUNCTION("""COMPUTED_VALUE"""),327.79)</f>
        <v>327.79</v>
      </c>
      <c r="G353" s="1">
        <f ca="1">IFERROR(__xludf.DUMMYFUNCTION("""COMPUTED_VALUE"""),120.45)</f>
        <v>120.45</v>
      </c>
      <c r="H353" s="1">
        <f ca="1">IFERROR(__xludf.DUMMYFUNCTION("""COMPUTED_VALUE"""),201.56)</f>
        <v>201.56</v>
      </c>
      <c r="I353" s="1">
        <f ca="1">IFERROR(__xludf.DUMMYFUNCTION("""COMPUTED_VALUE"""),148.3)</f>
        <v>148.30000000000001</v>
      </c>
      <c r="J353" s="1">
        <f ca="1">IFERROR(__xludf.DUMMYFUNCTION("""COMPUTED_VALUE"""),385.38)</f>
        <v>385.38</v>
      </c>
      <c r="K353" s="1">
        <f ca="1">IFERROR(__xludf.DUMMYFUNCTION("""COMPUTED_VALUE"""),45.95)</f>
        <v>45.95</v>
      </c>
      <c r="L353" s="1">
        <f ca="1">IFERROR(__xludf.DUMMYFUNCTION("""COMPUTED_VALUE"""),505.08)</f>
        <v>505.08</v>
      </c>
      <c r="M353" s="1">
        <f ca="1">IFERROR(__xludf.DUMMYFUNCTION("""COMPUTED_VALUE"""),501.34)</f>
        <v>501.34</v>
      </c>
      <c r="N353" s="1">
        <f ca="1">IFERROR(__xludf.DUMMYFUNCTION("""COMPUTED_VALUE"""),161.85)</f>
        <v>161.85</v>
      </c>
      <c r="O353" s="1">
        <f ca="1">IFERROR(__xludf.DUMMYFUNCTION("""COMPUTED_VALUE"""),229.02)</f>
        <v>229.02</v>
      </c>
      <c r="P353" s="1">
        <f ca="1">IFERROR(__xludf.DUMMYFUNCTION("""COMPUTED_VALUE"""),170.08)</f>
        <v>170.08</v>
      </c>
      <c r="Q353" s="1">
        <f ca="1">IFERROR(__xludf.DUMMYFUNCTION("""COMPUTED_VALUE"""),413.05)</f>
        <v>413.05</v>
      </c>
      <c r="R353" s="1">
        <f ca="1">IFERROR(__xludf.DUMMYFUNCTION("""COMPUTED_VALUE"""),58.26)</f>
        <v>58.26</v>
      </c>
      <c r="S353" s="1">
        <f ca="1">IFERROR(__xludf.DUMMYFUNCTION("""COMPUTED_VALUE"""),73.37)</f>
        <v>73.37</v>
      </c>
      <c r="T353" s="1">
        <f ca="1">IFERROR(__xludf.DUMMYFUNCTION("""COMPUTED_VALUE"""),47.45)</f>
        <v>47.45</v>
      </c>
      <c r="U353" s="1">
        <f ca="1">IFERROR(__xludf.DUMMYFUNCTION("""COMPUTED_VALUE"""),134.32)</f>
        <v>134.32</v>
      </c>
      <c r="V353" s="1">
        <f ca="1">IFERROR(__xludf.DUMMYFUNCTION("""COMPUTED_VALUE"""),237.17)</f>
        <v>237.17</v>
      </c>
      <c r="W353" s="1">
        <f ca="1">IFERROR(__xludf.DUMMYFUNCTION("""COMPUTED_VALUE"""),385.85)</f>
        <v>385.85</v>
      </c>
      <c r="X353" s="1">
        <f ca="1">IFERROR(__xludf.DUMMYFUNCTION("""COMPUTED_VALUE"""),672.29)</f>
        <v>672.29</v>
      </c>
      <c r="Y353" s="1">
        <f ca="1">IFERROR(__xludf.DUMMYFUNCTION("""COMPUTED_VALUE"""),114.28)</f>
        <v>114.28</v>
      </c>
      <c r="Z353" s="1">
        <f ca="1">IFERROR(__xludf.DUMMYFUNCTION("""COMPUTED_VALUE"""),364.51)</f>
        <v>364.51</v>
      </c>
      <c r="AA353" s="1">
        <f ca="1">IFERROR(__xludf.DUMMYFUNCTION("""COMPUTED_VALUE"""),39.33)</f>
        <v>39.33</v>
      </c>
      <c r="AB353" s="1">
        <f ca="1">IFERROR(__xludf.DUMMYFUNCTION("""COMPUTED_VALUE"""),112.63)</f>
        <v>112.63</v>
      </c>
      <c r="AC353" s="1">
        <f ca="1">IFERROR(__xludf.DUMMYFUNCTION("""COMPUTED_VALUE"""),77.86)</f>
        <v>77.86</v>
      </c>
    </row>
    <row r="354" spans="1:29" x14ac:dyDescent="0.25">
      <c r="A354" s="2">
        <f ca="1">IFERROR(__xludf.DUMMYFUNCTION("""COMPUTED_VALUE"""),44342.6666666666)</f>
        <v>44342.666666666599</v>
      </c>
      <c r="B354" s="1">
        <f ca="1">IFERROR(__xludf.DUMMYFUNCTION("""COMPUTED_VALUE"""),126.85)</f>
        <v>126.85</v>
      </c>
      <c r="C354" s="1">
        <f ca="1">IFERROR(__xludf.DUMMYFUNCTION("""COMPUTED_VALUE"""),251.49)</f>
        <v>251.49</v>
      </c>
      <c r="D354" s="1">
        <f ca="1">IFERROR(__xludf.DUMMYFUNCTION("""COMPUTED_VALUE"""),163.26)</f>
        <v>163.26</v>
      </c>
      <c r="E354" s="1">
        <f ca="1">IFERROR(__xludf.DUMMYFUNCTION("""COMPUTED_VALUE"""),15.7)</f>
        <v>15.7</v>
      </c>
      <c r="F354" s="1">
        <f ca="1">IFERROR(__xludf.DUMMYFUNCTION("""COMPUTED_VALUE"""),327.66)</f>
        <v>327.66000000000003</v>
      </c>
      <c r="G354" s="1">
        <f ca="1">IFERROR(__xludf.DUMMYFUNCTION("""COMPUTED_VALUE"""),121.68)</f>
        <v>121.68</v>
      </c>
      <c r="H354" s="1">
        <f ca="1">IFERROR(__xludf.DUMMYFUNCTION("""COMPUTED_VALUE"""),206.38)</f>
        <v>206.38</v>
      </c>
      <c r="I354" s="1">
        <f ca="1">IFERROR(__xludf.DUMMYFUNCTION("""COMPUTED_VALUE"""),148.3)</f>
        <v>148.30000000000001</v>
      </c>
      <c r="J354" s="1">
        <f ca="1">IFERROR(__xludf.DUMMYFUNCTION("""COMPUTED_VALUE"""),385.62)</f>
        <v>385.62</v>
      </c>
      <c r="K354" s="1">
        <f ca="1">IFERROR(__xludf.DUMMYFUNCTION("""COMPUTED_VALUE"""),46.05)</f>
        <v>46.05</v>
      </c>
      <c r="L354" s="1">
        <f ca="1">IFERROR(__xludf.DUMMYFUNCTION("""COMPUTED_VALUE"""),506.98)</f>
        <v>506.98</v>
      </c>
      <c r="M354" s="1">
        <f ca="1">IFERROR(__xludf.DUMMYFUNCTION("""COMPUTED_VALUE"""),502.36)</f>
        <v>502.36</v>
      </c>
      <c r="N354" s="1">
        <f ca="1">IFERROR(__xludf.DUMMYFUNCTION("""COMPUTED_VALUE"""),161.83)</f>
        <v>161.83000000000001</v>
      </c>
      <c r="O354" s="1">
        <f ca="1">IFERROR(__xludf.DUMMYFUNCTION("""COMPUTED_VALUE"""),227.07)</f>
        <v>227.07</v>
      </c>
      <c r="P354" s="1">
        <f ca="1">IFERROR(__xludf.DUMMYFUNCTION("""COMPUTED_VALUE"""),169.07)</f>
        <v>169.07</v>
      </c>
      <c r="Q354" s="1">
        <f ca="1">IFERROR(__xludf.DUMMYFUNCTION("""COMPUTED_VALUE"""),413.21)</f>
        <v>413.21</v>
      </c>
      <c r="R354" s="1">
        <f ca="1">IFERROR(__xludf.DUMMYFUNCTION("""COMPUTED_VALUE"""),58.94)</f>
        <v>58.94</v>
      </c>
      <c r="S354" s="1">
        <f ca="1">IFERROR(__xludf.DUMMYFUNCTION("""COMPUTED_VALUE"""),73.47)</f>
        <v>73.47</v>
      </c>
      <c r="T354" s="1">
        <f ca="1">IFERROR(__xludf.DUMMYFUNCTION("""COMPUTED_VALUE"""),47.39)</f>
        <v>47.39</v>
      </c>
      <c r="U354" s="1">
        <f ca="1">IFERROR(__xludf.DUMMYFUNCTION("""COMPUTED_VALUE"""),136.89)</f>
        <v>136.88999999999999</v>
      </c>
      <c r="V354" s="1">
        <f ca="1">IFERROR(__xludf.DUMMYFUNCTION("""COMPUTED_VALUE"""),237.71)</f>
        <v>237.71</v>
      </c>
      <c r="W354" s="1">
        <f ca="1">IFERROR(__xludf.DUMMYFUNCTION("""COMPUTED_VALUE"""),384.13)</f>
        <v>384.13</v>
      </c>
      <c r="X354" s="1">
        <f ca="1">IFERROR(__xludf.DUMMYFUNCTION("""COMPUTED_VALUE"""),665.77)</f>
        <v>665.77</v>
      </c>
      <c r="Y354" s="1">
        <f ca="1">IFERROR(__xludf.DUMMYFUNCTION("""COMPUTED_VALUE"""),116)</f>
        <v>116</v>
      </c>
      <c r="Z354" s="1">
        <f ca="1">IFERROR(__xludf.DUMMYFUNCTION("""COMPUTED_VALUE"""),367.4)</f>
        <v>367.4</v>
      </c>
      <c r="AA354" s="1">
        <f ca="1">IFERROR(__xludf.DUMMYFUNCTION("""COMPUTED_VALUE"""),38.92)</f>
        <v>38.92</v>
      </c>
      <c r="AB354" s="1">
        <f ca="1">IFERROR(__xludf.DUMMYFUNCTION("""COMPUTED_VALUE"""),112.85)</f>
        <v>112.85</v>
      </c>
      <c r="AC354" s="1">
        <f ca="1">IFERROR(__xludf.DUMMYFUNCTION("""COMPUTED_VALUE"""),78.34)</f>
        <v>78.34</v>
      </c>
    </row>
    <row r="355" spans="1:29" x14ac:dyDescent="0.25">
      <c r="A355" s="2">
        <f ca="1">IFERROR(__xludf.DUMMYFUNCTION("""COMPUTED_VALUE"""),44343.6666666666)</f>
        <v>44343.666666666599</v>
      </c>
      <c r="B355" s="1">
        <f ca="1">IFERROR(__xludf.DUMMYFUNCTION("""COMPUTED_VALUE"""),125.28)</f>
        <v>125.28</v>
      </c>
      <c r="C355" s="1">
        <f ca="1">IFERROR(__xludf.DUMMYFUNCTION("""COMPUTED_VALUE"""),249.31)</f>
        <v>249.31</v>
      </c>
      <c r="D355" s="1">
        <f ca="1">IFERROR(__xludf.DUMMYFUNCTION("""COMPUTED_VALUE"""),161.51)</f>
        <v>161.51</v>
      </c>
      <c r="E355" s="1">
        <f ca="1">IFERROR(__xludf.DUMMYFUNCTION("""COMPUTED_VALUE"""),15.49)</f>
        <v>15.49</v>
      </c>
      <c r="F355" s="1">
        <f ca="1">IFERROR(__xludf.DUMMYFUNCTION("""COMPUTED_VALUE"""),332.75)</f>
        <v>332.75</v>
      </c>
      <c r="G355" s="1">
        <f ca="1">IFERROR(__xludf.DUMMYFUNCTION("""COMPUTED_VALUE"""),120.13)</f>
        <v>120.13</v>
      </c>
      <c r="H355" s="1">
        <f ca="1">IFERROR(__xludf.DUMMYFUNCTION("""COMPUTED_VALUE"""),210.28)</f>
        <v>210.28</v>
      </c>
      <c r="I355" s="1">
        <f ca="1">IFERROR(__xludf.DUMMYFUNCTION("""COMPUTED_VALUE"""),146.51)</f>
        <v>146.51</v>
      </c>
      <c r="J355" s="1">
        <f ca="1">IFERROR(__xludf.DUMMYFUNCTION("""COMPUTED_VALUE"""),387.5)</f>
        <v>387.5</v>
      </c>
      <c r="K355" s="1">
        <f ca="1">IFERROR(__xludf.DUMMYFUNCTION("""COMPUTED_VALUE"""),46.77)</f>
        <v>46.77</v>
      </c>
      <c r="L355" s="1">
        <f ca="1">IFERROR(__xludf.DUMMYFUNCTION("""COMPUTED_VALUE"""),498.28)</f>
        <v>498.28</v>
      </c>
      <c r="M355" s="1">
        <f ca="1">IFERROR(__xludf.DUMMYFUNCTION("""COMPUTED_VALUE"""),503.86)</f>
        <v>503.86</v>
      </c>
      <c r="N355" s="1">
        <f ca="1">IFERROR(__xludf.DUMMYFUNCTION("""COMPUTED_VALUE"""),164.35)</f>
        <v>164.35</v>
      </c>
      <c r="O355" s="1">
        <f ca="1">IFERROR(__xludf.DUMMYFUNCTION("""COMPUTED_VALUE"""),226.86)</f>
        <v>226.86</v>
      </c>
      <c r="P355" s="1">
        <f ca="1">IFERROR(__xludf.DUMMYFUNCTION("""COMPUTED_VALUE"""),168.81)</f>
        <v>168.81</v>
      </c>
      <c r="Q355" s="1">
        <f ca="1">IFERROR(__xludf.DUMMYFUNCTION("""COMPUTED_VALUE"""),412.7)</f>
        <v>412.7</v>
      </c>
      <c r="R355" s="1">
        <f ca="1">IFERROR(__xludf.DUMMYFUNCTION("""COMPUTED_VALUE"""),58.56)</f>
        <v>58.56</v>
      </c>
      <c r="S355" s="1">
        <f ca="1">IFERROR(__xludf.DUMMYFUNCTION("""COMPUTED_VALUE"""),73)</f>
        <v>73</v>
      </c>
      <c r="T355" s="1">
        <f ca="1">IFERROR(__xludf.DUMMYFUNCTION("""COMPUTED_VALUE"""),47.23)</f>
        <v>47.23</v>
      </c>
      <c r="U355" s="1">
        <f ca="1">IFERROR(__xludf.DUMMYFUNCTION("""COMPUTED_VALUE"""),136.56)</f>
        <v>136.56</v>
      </c>
      <c r="V355" s="1">
        <f ca="1">IFERROR(__xludf.DUMMYFUNCTION("""COMPUTED_VALUE"""),241.28)</f>
        <v>241.28</v>
      </c>
      <c r="W355" s="1">
        <f ca="1">IFERROR(__xludf.DUMMYFUNCTION("""COMPUTED_VALUE"""),387.39)</f>
        <v>387.39</v>
      </c>
      <c r="X355" s="1">
        <f ca="1">IFERROR(__xludf.DUMMYFUNCTION("""COMPUTED_VALUE"""),665.09)</f>
        <v>665.09</v>
      </c>
      <c r="Y355" s="1">
        <f ca="1">IFERROR(__xludf.DUMMYFUNCTION("""COMPUTED_VALUE"""),115.77)</f>
        <v>115.77</v>
      </c>
      <c r="Z355" s="1">
        <f ca="1">IFERROR(__xludf.DUMMYFUNCTION("""COMPUTED_VALUE"""),371.37)</f>
        <v>371.37</v>
      </c>
      <c r="AA355" s="1">
        <f ca="1">IFERROR(__xludf.DUMMYFUNCTION("""COMPUTED_VALUE"""),38.65)</f>
        <v>38.65</v>
      </c>
      <c r="AB355" s="1">
        <f ca="1">IFERROR(__xludf.DUMMYFUNCTION("""COMPUTED_VALUE"""),113.51)</f>
        <v>113.51</v>
      </c>
      <c r="AC355" s="1">
        <f ca="1">IFERROR(__xludf.DUMMYFUNCTION("""COMPUTED_VALUE"""),78.42)</f>
        <v>78.42</v>
      </c>
    </row>
    <row r="356" spans="1:29" x14ac:dyDescent="0.25">
      <c r="A356" s="2">
        <f ca="1">IFERROR(__xludf.DUMMYFUNCTION("""COMPUTED_VALUE"""),44344.6666666666)</f>
        <v>44344.666666666599</v>
      </c>
      <c r="B356" s="1">
        <f ca="1">IFERROR(__xludf.DUMMYFUNCTION("""COMPUTED_VALUE"""),124.61)</f>
        <v>124.61</v>
      </c>
      <c r="C356" s="1">
        <f ca="1">IFERROR(__xludf.DUMMYFUNCTION("""COMPUTED_VALUE"""),249.68)</f>
        <v>249.68</v>
      </c>
      <c r="D356" s="1">
        <f ca="1">IFERROR(__xludf.DUMMYFUNCTION("""COMPUTED_VALUE"""),161.15)</f>
        <v>161.15</v>
      </c>
      <c r="E356" s="1">
        <f ca="1">IFERROR(__xludf.DUMMYFUNCTION("""COMPUTED_VALUE"""),16.24)</f>
        <v>16.239999999999998</v>
      </c>
      <c r="F356" s="1">
        <f ca="1">IFERROR(__xludf.DUMMYFUNCTION("""COMPUTED_VALUE"""),328.73)</f>
        <v>328.73</v>
      </c>
      <c r="G356" s="1">
        <f ca="1">IFERROR(__xludf.DUMMYFUNCTION("""COMPUTED_VALUE"""),120.58)</f>
        <v>120.58</v>
      </c>
      <c r="H356" s="1">
        <f ca="1">IFERROR(__xludf.DUMMYFUNCTION("""COMPUTED_VALUE"""),208.41)</f>
        <v>208.41</v>
      </c>
      <c r="I356" s="1">
        <f ca="1">IFERROR(__xludf.DUMMYFUNCTION("""COMPUTED_VALUE"""),147.94)</f>
        <v>147.94</v>
      </c>
      <c r="J356" s="1">
        <f ca="1">IFERROR(__xludf.DUMMYFUNCTION("""COMPUTED_VALUE"""),378.27)</f>
        <v>378.27</v>
      </c>
      <c r="K356" s="1">
        <f ca="1">IFERROR(__xludf.DUMMYFUNCTION("""COMPUTED_VALUE"""),47.23)</f>
        <v>47.23</v>
      </c>
      <c r="L356" s="1">
        <f ca="1">IFERROR(__xludf.DUMMYFUNCTION("""COMPUTED_VALUE"""),504.58)</f>
        <v>504.58</v>
      </c>
      <c r="M356" s="1">
        <f ca="1">IFERROR(__xludf.DUMMYFUNCTION("""COMPUTED_VALUE"""),502.81)</f>
        <v>502.81</v>
      </c>
      <c r="N356" s="1">
        <f ca="1">IFERROR(__xludf.DUMMYFUNCTION("""COMPUTED_VALUE"""),164.24)</f>
        <v>164.24</v>
      </c>
      <c r="O356" s="1">
        <f ca="1">IFERROR(__xludf.DUMMYFUNCTION("""COMPUTED_VALUE"""),227.3)</f>
        <v>227.3</v>
      </c>
      <c r="P356" s="1">
        <f ca="1">IFERROR(__xludf.DUMMYFUNCTION("""COMPUTED_VALUE"""),169.25)</f>
        <v>169.25</v>
      </c>
      <c r="Q356" s="1">
        <f ca="1">IFERROR(__xludf.DUMMYFUNCTION("""COMPUTED_VALUE"""),411.92)</f>
        <v>411.92</v>
      </c>
      <c r="R356" s="1">
        <f ca="1">IFERROR(__xludf.DUMMYFUNCTION("""COMPUTED_VALUE"""),58.37)</f>
        <v>58.37</v>
      </c>
      <c r="S356" s="1">
        <f ca="1">IFERROR(__xludf.DUMMYFUNCTION("""COMPUTED_VALUE"""),73.22)</f>
        <v>73.22</v>
      </c>
      <c r="T356" s="1">
        <f ca="1">IFERROR(__xludf.DUMMYFUNCTION("""COMPUTED_VALUE"""),47.34)</f>
        <v>47.34</v>
      </c>
      <c r="U356" s="1">
        <f ca="1">IFERROR(__xludf.DUMMYFUNCTION("""COMPUTED_VALUE"""),136.46)</f>
        <v>136.46</v>
      </c>
      <c r="V356" s="1">
        <f ca="1">IFERROR(__xludf.DUMMYFUNCTION("""COMPUTED_VALUE"""),241.08)</f>
        <v>241.08</v>
      </c>
      <c r="W356" s="1">
        <f ca="1">IFERROR(__xludf.DUMMYFUNCTION("""COMPUTED_VALUE"""),382.2)</f>
        <v>382.2</v>
      </c>
      <c r="X356" s="1">
        <f ca="1">IFERROR(__xludf.DUMMYFUNCTION("""COMPUTED_VALUE"""),675.47)</f>
        <v>675.47</v>
      </c>
      <c r="Y356" s="1">
        <f ca="1">IFERROR(__xludf.DUMMYFUNCTION("""COMPUTED_VALUE"""),117.36)</f>
        <v>117.36</v>
      </c>
      <c r="Z356" s="1">
        <f ca="1">IFERROR(__xludf.DUMMYFUNCTION("""COMPUTED_VALUE"""),372.02)</f>
        <v>372.02</v>
      </c>
      <c r="AA356" s="1">
        <f ca="1">IFERROR(__xludf.DUMMYFUNCTION("""COMPUTED_VALUE"""),38.73)</f>
        <v>38.729999999999997</v>
      </c>
      <c r="AB356" s="1">
        <f ca="1">IFERROR(__xludf.DUMMYFUNCTION("""COMPUTED_VALUE"""),113.88)</f>
        <v>113.88</v>
      </c>
      <c r="AC356" s="1">
        <f ca="1">IFERROR(__xludf.DUMMYFUNCTION("""COMPUTED_VALUE"""),80.08)</f>
        <v>80.08</v>
      </c>
    </row>
    <row r="357" spans="1:29" x14ac:dyDescent="0.25">
      <c r="A357" s="2">
        <f ca="1">IFERROR(__xludf.DUMMYFUNCTION("""COMPUTED_VALUE"""),44348.6666666666)</f>
        <v>44348.666666666599</v>
      </c>
      <c r="B357" s="1">
        <f ca="1">IFERROR(__xludf.DUMMYFUNCTION("""COMPUTED_VALUE"""),124.28)</f>
        <v>124.28</v>
      </c>
      <c r="C357" s="1">
        <f ca="1">IFERROR(__xludf.DUMMYFUNCTION("""COMPUTED_VALUE"""),247.4)</f>
        <v>247.4</v>
      </c>
      <c r="D357" s="1">
        <f ca="1">IFERROR(__xludf.DUMMYFUNCTION("""COMPUTED_VALUE"""),160.93)</f>
        <v>160.93</v>
      </c>
      <c r="E357" s="1">
        <f ca="1">IFERROR(__xludf.DUMMYFUNCTION("""COMPUTED_VALUE"""),16.26)</f>
        <v>16.260000000000002</v>
      </c>
      <c r="F357" s="1">
        <f ca="1">IFERROR(__xludf.DUMMYFUNCTION("""COMPUTED_VALUE"""),329.13)</f>
        <v>329.13</v>
      </c>
      <c r="G357" s="1">
        <f ca="1">IFERROR(__xludf.DUMMYFUNCTION("""COMPUTED_VALUE"""),121.49)</f>
        <v>121.49</v>
      </c>
      <c r="H357" s="1">
        <f ca="1">IFERROR(__xludf.DUMMYFUNCTION("""COMPUTED_VALUE"""),207.97)</f>
        <v>207.97</v>
      </c>
      <c r="I357" s="1">
        <f ca="1">IFERROR(__xludf.DUMMYFUNCTION("""COMPUTED_VALUE"""),147.63)</f>
        <v>147.63</v>
      </c>
      <c r="J357" s="1">
        <f ca="1">IFERROR(__xludf.DUMMYFUNCTION("""COMPUTED_VALUE"""),378.23)</f>
        <v>378.23</v>
      </c>
      <c r="K357" s="1">
        <f ca="1">IFERROR(__xludf.DUMMYFUNCTION("""COMPUTED_VALUE"""),46.83)</f>
        <v>46.83</v>
      </c>
      <c r="L357" s="1">
        <f ca="1">IFERROR(__xludf.DUMMYFUNCTION("""COMPUTED_VALUE"""),495.91)</f>
        <v>495.91</v>
      </c>
      <c r="M357" s="1">
        <f ca="1">IFERROR(__xludf.DUMMYFUNCTION("""COMPUTED_VALUE"""),499.08)</f>
        <v>499.08</v>
      </c>
      <c r="N357" s="1">
        <f ca="1">IFERROR(__xludf.DUMMYFUNCTION("""COMPUTED_VALUE"""),166.05)</f>
        <v>166.05</v>
      </c>
      <c r="O357" s="1">
        <f ca="1">IFERROR(__xludf.DUMMYFUNCTION("""COMPUTED_VALUE"""),226.63)</f>
        <v>226.63</v>
      </c>
      <c r="P357" s="1">
        <f ca="1">IFERROR(__xludf.DUMMYFUNCTION("""COMPUTED_VALUE"""),165.53)</f>
        <v>165.53</v>
      </c>
      <c r="Q357" s="1">
        <f ca="1">IFERROR(__xludf.DUMMYFUNCTION("""COMPUTED_VALUE"""),406.72)</f>
        <v>406.72</v>
      </c>
      <c r="R357" s="1">
        <f ca="1">IFERROR(__xludf.DUMMYFUNCTION("""COMPUTED_VALUE"""),60.46)</f>
        <v>60.46</v>
      </c>
      <c r="S357" s="1">
        <f ca="1">IFERROR(__xludf.DUMMYFUNCTION("""COMPUTED_VALUE"""),72.12)</f>
        <v>72.12</v>
      </c>
      <c r="T357" s="1">
        <f ca="1">IFERROR(__xludf.DUMMYFUNCTION("""COMPUTED_VALUE"""),47.22)</f>
        <v>47.22</v>
      </c>
      <c r="U357" s="1">
        <f ca="1">IFERROR(__xludf.DUMMYFUNCTION("""COMPUTED_VALUE"""),134.51)</f>
        <v>134.51</v>
      </c>
      <c r="V357" s="1">
        <f ca="1">IFERROR(__xludf.DUMMYFUNCTION("""COMPUTED_VALUE"""),242.76)</f>
        <v>242.76</v>
      </c>
      <c r="W357" s="1">
        <f ca="1">IFERROR(__xludf.DUMMYFUNCTION("""COMPUTED_VALUE"""),381.92)</f>
        <v>381.92</v>
      </c>
      <c r="X357" s="1">
        <f ca="1">IFERROR(__xludf.DUMMYFUNCTION("""COMPUTED_VALUE"""),671.8)</f>
        <v>671.8</v>
      </c>
      <c r="Y357" s="1">
        <f ca="1">IFERROR(__xludf.DUMMYFUNCTION("""COMPUTED_VALUE"""),118.51)</f>
        <v>118.51</v>
      </c>
      <c r="Z357" s="1">
        <f ca="1">IFERROR(__xludf.DUMMYFUNCTION("""COMPUTED_VALUE"""),382.44)</f>
        <v>382.44</v>
      </c>
      <c r="AA357" s="1">
        <f ca="1">IFERROR(__xludf.DUMMYFUNCTION("""COMPUTED_VALUE"""),38.5)</f>
        <v>38.5</v>
      </c>
      <c r="AB357" s="1">
        <f ca="1">IFERROR(__xludf.DUMMYFUNCTION("""COMPUTED_VALUE"""),113.34)</f>
        <v>113.34</v>
      </c>
      <c r="AC357" s="1">
        <f ca="1">IFERROR(__xludf.DUMMYFUNCTION("""COMPUTED_VALUE"""),80.81)</f>
        <v>80.81</v>
      </c>
    </row>
    <row r="358" spans="1:29" x14ac:dyDescent="0.25">
      <c r="A358" s="2">
        <f ca="1">IFERROR(__xludf.DUMMYFUNCTION("""COMPUTED_VALUE"""),44349.6666666666)</f>
        <v>44349.666666666599</v>
      </c>
      <c r="B358" s="1">
        <f ca="1">IFERROR(__xludf.DUMMYFUNCTION("""COMPUTED_VALUE"""),125.06)</f>
        <v>125.06</v>
      </c>
      <c r="C358" s="1">
        <f ca="1">IFERROR(__xludf.DUMMYFUNCTION("""COMPUTED_VALUE"""),247.3)</f>
        <v>247.3</v>
      </c>
      <c r="D358" s="1">
        <f ca="1">IFERROR(__xludf.DUMMYFUNCTION("""COMPUTED_VALUE"""),161.7)</f>
        <v>161.69999999999999</v>
      </c>
      <c r="E358" s="1">
        <f ca="1">IFERROR(__xludf.DUMMYFUNCTION("""COMPUTED_VALUE"""),16.78)</f>
        <v>16.78</v>
      </c>
      <c r="F358" s="1">
        <f ca="1">IFERROR(__xludf.DUMMYFUNCTION("""COMPUTED_VALUE"""),329.15)</f>
        <v>329.15</v>
      </c>
      <c r="G358" s="1">
        <f ca="1">IFERROR(__xludf.DUMMYFUNCTION("""COMPUTED_VALUE"""),121.06)</f>
        <v>121.06</v>
      </c>
      <c r="H358" s="1">
        <f ca="1">IFERROR(__xludf.DUMMYFUNCTION("""COMPUTED_VALUE"""),201.71)</f>
        <v>201.71</v>
      </c>
      <c r="I358" s="1">
        <f ca="1">IFERROR(__xludf.DUMMYFUNCTION("""COMPUTED_VALUE"""),148.22)</f>
        <v>148.22</v>
      </c>
      <c r="J358" s="1">
        <f ca="1">IFERROR(__xludf.DUMMYFUNCTION("""COMPUTED_VALUE"""),380.59)</f>
        <v>380.59</v>
      </c>
      <c r="K358" s="1">
        <f ca="1">IFERROR(__xludf.DUMMYFUNCTION("""COMPUTED_VALUE"""),47.37)</f>
        <v>47.37</v>
      </c>
      <c r="L358" s="1">
        <f ca="1">IFERROR(__xludf.DUMMYFUNCTION("""COMPUTED_VALUE"""),495.77)</f>
        <v>495.77</v>
      </c>
      <c r="M358" s="1">
        <f ca="1">IFERROR(__xludf.DUMMYFUNCTION("""COMPUTED_VALUE"""),499.24)</f>
        <v>499.24</v>
      </c>
      <c r="N358" s="1">
        <f ca="1">IFERROR(__xludf.DUMMYFUNCTION("""COMPUTED_VALUE"""),166.06)</f>
        <v>166.06</v>
      </c>
      <c r="O358" s="1">
        <f ca="1">IFERROR(__xludf.DUMMYFUNCTION("""COMPUTED_VALUE"""),229.66)</f>
        <v>229.66</v>
      </c>
      <c r="P358" s="1">
        <f ca="1">IFERROR(__xludf.DUMMYFUNCTION("""COMPUTED_VALUE"""),166.2)</f>
        <v>166.2</v>
      </c>
      <c r="Q358" s="1">
        <f ca="1">IFERROR(__xludf.DUMMYFUNCTION("""COMPUTED_VALUE"""),405.85)</f>
        <v>405.85</v>
      </c>
      <c r="R358" s="1">
        <f ca="1">IFERROR(__xludf.DUMMYFUNCTION("""COMPUTED_VALUE"""),60.94)</f>
        <v>60.94</v>
      </c>
      <c r="S358" s="1">
        <f ca="1">IFERROR(__xludf.DUMMYFUNCTION("""COMPUTED_VALUE"""),72.71)</f>
        <v>72.709999999999994</v>
      </c>
      <c r="T358" s="1">
        <f ca="1">IFERROR(__xludf.DUMMYFUNCTION("""COMPUTED_VALUE"""),47.12)</f>
        <v>47.12</v>
      </c>
      <c r="U358" s="1">
        <f ca="1">IFERROR(__xludf.DUMMYFUNCTION("""COMPUTED_VALUE"""),134.17)</f>
        <v>134.16999999999999</v>
      </c>
      <c r="V358" s="1">
        <f ca="1">IFERROR(__xludf.DUMMYFUNCTION("""COMPUTED_VALUE"""),243.46)</f>
        <v>243.46</v>
      </c>
      <c r="W358" s="1">
        <f ca="1">IFERROR(__xludf.DUMMYFUNCTION("""COMPUTED_VALUE"""),385.09)</f>
        <v>385.09</v>
      </c>
      <c r="X358" s="1">
        <f ca="1">IFERROR(__xludf.DUMMYFUNCTION("""COMPUTED_VALUE"""),674.09)</f>
        <v>674.09</v>
      </c>
      <c r="Y358" s="1">
        <f ca="1">IFERROR(__xludf.DUMMYFUNCTION("""COMPUTED_VALUE"""),118.95)</f>
        <v>118.95</v>
      </c>
      <c r="Z358" s="1">
        <f ca="1">IFERROR(__xludf.DUMMYFUNCTION("""COMPUTED_VALUE"""),383.44)</f>
        <v>383.44</v>
      </c>
      <c r="AA358" s="1">
        <f ca="1">IFERROR(__xludf.DUMMYFUNCTION("""COMPUTED_VALUE"""),38.79)</f>
        <v>38.79</v>
      </c>
      <c r="AB358" s="1">
        <f ca="1">IFERROR(__xludf.DUMMYFUNCTION("""COMPUTED_VALUE"""),113)</f>
        <v>113</v>
      </c>
      <c r="AC358" s="1">
        <f ca="1">IFERROR(__xludf.DUMMYFUNCTION("""COMPUTED_VALUE"""),81.97)</f>
        <v>81.97</v>
      </c>
    </row>
    <row r="359" spans="1:29" x14ac:dyDescent="0.25">
      <c r="A359" s="2">
        <f ca="1">IFERROR(__xludf.DUMMYFUNCTION("""COMPUTED_VALUE"""),44350.6666666666)</f>
        <v>44350.666666666599</v>
      </c>
      <c r="B359" s="1">
        <f ca="1">IFERROR(__xludf.DUMMYFUNCTION("""COMPUTED_VALUE"""),123.54)</f>
        <v>123.54</v>
      </c>
      <c r="C359" s="1">
        <f ca="1">IFERROR(__xludf.DUMMYFUNCTION("""COMPUTED_VALUE"""),245.71)</f>
        <v>245.71</v>
      </c>
      <c r="D359" s="1">
        <f ca="1">IFERROR(__xludf.DUMMYFUNCTION("""COMPUTED_VALUE"""),159.35)</f>
        <v>159.35</v>
      </c>
      <c r="E359" s="1">
        <f ca="1">IFERROR(__xludf.DUMMYFUNCTION("""COMPUTED_VALUE"""),16.97)</f>
        <v>16.97</v>
      </c>
      <c r="F359" s="1">
        <f ca="1">IFERROR(__xludf.DUMMYFUNCTION("""COMPUTED_VALUE"""),326.04)</f>
        <v>326.04000000000002</v>
      </c>
      <c r="G359" s="1">
        <f ca="1">IFERROR(__xludf.DUMMYFUNCTION("""COMPUTED_VALUE"""),120.23)</f>
        <v>120.23</v>
      </c>
      <c r="H359" s="1">
        <f ca="1">IFERROR(__xludf.DUMMYFUNCTION("""COMPUTED_VALUE"""),190.95)</f>
        <v>190.95</v>
      </c>
      <c r="I359" s="1">
        <f ca="1">IFERROR(__xludf.DUMMYFUNCTION("""COMPUTED_VALUE"""),147.67)</f>
        <v>147.66999999999999</v>
      </c>
      <c r="J359" s="1">
        <f ca="1">IFERROR(__xludf.DUMMYFUNCTION("""COMPUTED_VALUE"""),383.87)</f>
        <v>383.87</v>
      </c>
      <c r="K359" s="1">
        <f ca="1">IFERROR(__xludf.DUMMYFUNCTION("""COMPUTED_VALUE"""),46.48)</f>
        <v>46.48</v>
      </c>
      <c r="L359" s="1">
        <f ca="1">IFERROR(__xludf.DUMMYFUNCTION("""COMPUTED_VALUE"""),493.14)</f>
        <v>493.14</v>
      </c>
      <c r="M359" s="1">
        <f ca="1">IFERROR(__xludf.DUMMYFUNCTION("""COMPUTED_VALUE"""),489.43)</f>
        <v>489.43</v>
      </c>
      <c r="N359" s="1">
        <f ca="1">IFERROR(__xludf.DUMMYFUNCTION("""COMPUTED_VALUE"""),166.17)</f>
        <v>166.17</v>
      </c>
      <c r="O359" s="1">
        <f ca="1">IFERROR(__xludf.DUMMYFUNCTION("""COMPUTED_VALUE"""),228.11)</f>
        <v>228.11</v>
      </c>
      <c r="P359" s="1">
        <f ca="1">IFERROR(__xludf.DUMMYFUNCTION("""COMPUTED_VALUE"""),166.04)</f>
        <v>166.04</v>
      </c>
      <c r="Q359" s="1">
        <f ca="1">IFERROR(__xludf.DUMMYFUNCTION("""COMPUTED_VALUE"""),407.96)</f>
        <v>407.96</v>
      </c>
      <c r="R359" s="1">
        <f ca="1">IFERROR(__xludf.DUMMYFUNCTION("""COMPUTED_VALUE"""),61.18)</f>
        <v>61.18</v>
      </c>
      <c r="S359" s="1">
        <f ca="1">IFERROR(__xludf.DUMMYFUNCTION("""COMPUTED_VALUE"""),72.37)</f>
        <v>72.37</v>
      </c>
      <c r="T359" s="1">
        <f ca="1">IFERROR(__xludf.DUMMYFUNCTION("""COMPUTED_VALUE"""),47.2)</f>
        <v>47.2</v>
      </c>
      <c r="U359" s="1">
        <f ca="1">IFERROR(__xludf.DUMMYFUNCTION("""COMPUTED_VALUE"""),134.17)</f>
        <v>134.16999999999999</v>
      </c>
      <c r="V359" s="1">
        <f ca="1">IFERROR(__xludf.DUMMYFUNCTION("""COMPUTED_VALUE"""),243.84)</f>
        <v>243.84</v>
      </c>
      <c r="W359" s="1">
        <f ca="1">IFERROR(__xludf.DUMMYFUNCTION("""COMPUTED_VALUE"""),387.35)</f>
        <v>387.35</v>
      </c>
      <c r="X359" s="1">
        <f ca="1">IFERROR(__xludf.DUMMYFUNCTION("""COMPUTED_VALUE"""),665.89)</f>
        <v>665.89</v>
      </c>
      <c r="Y359" s="1">
        <f ca="1">IFERROR(__xludf.DUMMYFUNCTION("""COMPUTED_VALUE"""),116.82)</f>
        <v>116.82</v>
      </c>
      <c r="Z359" s="1">
        <f ca="1">IFERROR(__xludf.DUMMYFUNCTION("""COMPUTED_VALUE"""),388.72)</f>
        <v>388.72</v>
      </c>
      <c r="AA359" s="1">
        <f ca="1">IFERROR(__xludf.DUMMYFUNCTION("""COMPUTED_VALUE"""),38.97)</f>
        <v>38.97</v>
      </c>
      <c r="AB359" s="1">
        <f ca="1">IFERROR(__xludf.DUMMYFUNCTION("""COMPUTED_VALUE"""),111.12)</f>
        <v>111.12</v>
      </c>
      <c r="AC359" s="1">
        <f ca="1">IFERROR(__xludf.DUMMYFUNCTION("""COMPUTED_VALUE"""),80.28)</f>
        <v>80.28</v>
      </c>
    </row>
    <row r="360" spans="1:29" x14ac:dyDescent="0.25">
      <c r="A360" s="2">
        <f ca="1">IFERROR(__xludf.DUMMYFUNCTION("""COMPUTED_VALUE"""),44351.6666666666)</f>
        <v>44351.666666666599</v>
      </c>
      <c r="B360" s="1">
        <f ca="1">IFERROR(__xludf.DUMMYFUNCTION("""COMPUTED_VALUE"""),125.89)</f>
        <v>125.89</v>
      </c>
      <c r="C360" s="1">
        <f ca="1">IFERROR(__xludf.DUMMYFUNCTION("""COMPUTED_VALUE"""),250.79)</f>
        <v>250.79</v>
      </c>
      <c r="D360" s="1">
        <f ca="1">IFERROR(__xludf.DUMMYFUNCTION("""COMPUTED_VALUE"""),160.31)</f>
        <v>160.31</v>
      </c>
      <c r="E360" s="1">
        <f ca="1">IFERROR(__xludf.DUMMYFUNCTION("""COMPUTED_VALUE"""),17.58)</f>
        <v>17.579999999999998</v>
      </c>
      <c r="F360" s="1">
        <f ca="1">IFERROR(__xludf.DUMMYFUNCTION("""COMPUTED_VALUE"""),330.35)</f>
        <v>330.35</v>
      </c>
      <c r="G360" s="1">
        <f ca="1">IFERROR(__xludf.DUMMYFUNCTION("""COMPUTED_VALUE"""),122.59)</f>
        <v>122.59</v>
      </c>
      <c r="H360" s="1">
        <f ca="1">IFERROR(__xludf.DUMMYFUNCTION("""COMPUTED_VALUE"""),199.68)</f>
        <v>199.68</v>
      </c>
      <c r="I360" s="1">
        <f ca="1">IFERROR(__xludf.DUMMYFUNCTION("""COMPUTED_VALUE"""),147.84)</f>
        <v>147.84</v>
      </c>
      <c r="J360" s="1">
        <f ca="1">IFERROR(__xludf.DUMMYFUNCTION("""COMPUTED_VALUE"""),387.52)</f>
        <v>387.52</v>
      </c>
      <c r="K360" s="1">
        <f ca="1">IFERROR(__xludf.DUMMYFUNCTION("""COMPUTED_VALUE"""),47.5)</f>
        <v>47.5</v>
      </c>
      <c r="L360" s="1">
        <f ca="1">IFERROR(__xludf.DUMMYFUNCTION("""COMPUTED_VALUE"""),504.5)</f>
        <v>504.5</v>
      </c>
      <c r="M360" s="1">
        <f ca="1">IFERROR(__xludf.DUMMYFUNCTION("""COMPUTED_VALUE"""),494.74)</f>
        <v>494.74</v>
      </c>
      <c r="N360" s="1">
        <f ca="1">IFERROR(__xludf.DUMMYFUNCTION("""COMPUTED_VALUE"""),166.44)</f>
        <v>166.44</v>
      </c>
      <c r="O360" s="1">
        <f ca="1">IFERROR(__xludf.DUMMYFUNCTION("""COMPUTED_VALUE"""),230.14)</f>
        <v>230.14</v>
      </c>
      <c r="P360" s="1">
        <f ca="1">IFERROR(__xludf.DUMMYFUNCTION("""COMPUTED_VALUE"""),165.97)</f>
        <v>165.97</v>
      </c>
      <c r="Q360" s="1">
        <f ca="1">IFERROR(__xludf.DUMMYFUNCTION("""COMPUTED_VALUE"""),405.64)</f>
        <v>405.64</v>
      </c>
      <c r="R360" s="1">
        <f ca="1">IFERROR(__xludf.DUMMYFUNCTION("""COMPUTED_VALUE"""),61.45)</f>
        <v>61.45</v>
      </c>
      <c r="S360" s="1">
        <f ca="1">IFERROR(__xludf.DUMMYFUNCTION("""COMPUTED_VALUE"""),72.34)</f>
        <v>72.34</v>
      </c>
      <c r="T360" s="1">
        <f ca="1">IFERROR(__xludf.DUMMYFUNCTION("""COMPUTED_VALUE"""),47.28)</f>
        <v>47.28</v>
      </c>
      <c r="U360" s="1">
        <f ca="1">IFERROR(__xludf.DUMMYFUNCTION("""COMPUTED_VALUE"""),133.74)</f>
        <v>133.74</v>
      </c>
      <c r="V360" s="1">
        <f ca="1">IFERROR(__xludf.DUMMYFUNCTION("""COMPUTED_VALUE"""),244.02)</f>
        <v>244.02</v>
      </c>
      <c r="W360" s="1">
        <f ca="1">IFERROR(__xludf.DUMMYFUNCTION("""COMPUTED_VALUE"""),394.1)</f>
        <v>394.1</v>
      </c>
      <c r="X360" s="1">
        <f ca="1">IFERROR(__xludf.DUMMYFUNCTION("""COMPUTED_VALUE"""),683.3)</f>
        <v>683.3</v>
      </c>
      <c r="Y360" s="1">
        <f ca="1">IFERROR(__xludf.DUMMYFUNCTION("""COMPUTED_VALUE"""),119.51)</f>
        <v>119.51</v>
      </c>
      <c r="Z360" s="1">
        <f ca="1">IFERROR(__xludf.DUMMYFUNCTION("""COMPUTED_VALUE"""),391.45)</f>
        <v>391.45</v>
      </c>
      <c r="AA360" s="1">
        <f ca="1">IFERROR(__xludf.DUMMYFUNCTION("""COMPUTED_VALUE"""),39.15)</f>
        <v>39.15</v>
      </c>
      <c r="AB360" s="1">
        <f ca="1">IFERROR(__xludf.DUMMYFUNCTION("""COMPUTED_VALUE"""),111.99)</f>
        <v>111.99</v>
      </c>
      <c r="AC360" s="1">
        <f ca="1">IFERROR(__xludf.DUMMYFUNCTION("""COMPUTED_VALUE"""),81.58)</f>
        <v>81.58</v>
      </c>
    </row>
    <row r="361" spans="1:29" x14ac:dyDescent="0.25">
      <c r="A361" s="2">
        <f ca="1">IFERROR(__xludf.DUMMYFUNCTION("""COMPUTED_VALUE"""),44354.6666666666)</f>
        <v>44354.666666666599</v>
      </c>
      <c r="B361" s="1">
        <f ca="1">IFERROR(__xludf.DUMMYFUNCTION("""COMPUTED_VALUE"""),125.9)</f>
        <v>125.9</v>
      </c>
      <c r="C361" s="1">
        <f ca="1">IFERROR(__xludf.DUMMYFUNCTION("""COMPUTED_VALUE"""),253.81)</f>
        <v>253.81</v>
      </c>
      <c r="D361" s="1">
        <f ca="1">IFERROR(__xludf.DUMMYFUNCTION("""COMPUTED_VALUE"""),159.9)</f>
        <v>159.9</v>
      </c>
      <c r="E361" s="1">
        <f ca="1">IFERROR(__xludf.DUMMYFUNCTION("""COMPUTED_VALUE"""),17.62)</f>
        <v>17.62</v>
      </c>
      <c r="F361" s="1">
        <f ca="1">IFERROR(__xludf.DUMMYFUNCTION("""COMPUTED_VALUE"""),336.58)</f>
        <v>336.58</v>
      </c>
      <c r="G361" s="1">
        <f ca="1">IFERROR(__xludf.DUMMYFUNCTION("""COMPUTED_VALUE"""),123.3)</f>
        <v>123.3</v>
      </c>
      <c r="H361" s="1">
        <f ca="1">IFERROR(__xludf.DUMMYFUNCTION("""COMPUTED_VALUE"""),201.71)</f>
        <v>201.71</v>
      </c>
      <c r="I361" s="1">
        <f ca="1">IFERROR(__xludf.DUMMYFUNCTION("""COMPUTED_VALUE"""),147.75)</f>
        <v>147.75</v>
      </c>
      <c r="J361" s="1">
        <f ca="1">IFERROR(__xludf.DUMMYFUNCTION("""COMPUTED_VALUE"""),380.4)</f>
        <v>380.4</v>
      </c>
      <c r="K361" s="1">
        <f ca="1">IFERROR(__xludf.DUMMYFUNCTION("""COMPUTED_VALUE"""),46.38)</f>
        <v>46.38</v>
      </c>
      <c r="L361" s="1">
        <f ca="1">IFERROR(__xludf.DUMMYFUNCTION("""COMPUTED_VALUE"""),509.47)</f>
        <v>509.47</v>
      </c>
      <c r="M361" s="1">
        <f ca="1">IFERROR(__xludf.DUMMYFUNCTION("""COMPUTED_VALUE"""),494.66)</f>
        <v>494.66</v>
      </c>
      <c r="N361" s="1">
        <f ca="1">IFERROR(__xludf.DUMMYFUNCTION("""COMPUTED_VALUE"""),165.66)</f>
        <v>165.66</v>
      </c>
      <c r="O361" s="1">
        <f ca="1">IFERROR(__xludf.DUMMYFUNCTION("""COMPUTED_VALUE"""),231.32)</f>
        <v>231.32</v>
      </c>
      <c r="P361" s="1">
        <f ca="1">IFERROR(__xludf.DUMMYFUNCTION("""COMPUTED_VALUE"""),164.84)</f>
        <v>164.84</v>
      </c>
      <c r="Q361" s="1">
        <f ca="1">IFERROR(__xludf.DUMMYFUNCTION("""COMPUTED_VALUE"""),400.25)</f>
        <v>400.25</v>
      </c>
      <c r="R361" s="1">
        <f ca="1">IFERROR(__xludf.DUMMYFUNCTION("""COMPUTED_VALUE"""),61.05)</f>
        <v>61.05</v>
      </c>
      <c r="S361" s="1">
        <f ca="1">IFERROR(__xludf.DUMMYFUNCTION("""COMPUTED_VALUE"""),72.47)</f>
        <v>72.47</v>
      </c>
      <c r="T361" s="1">
        <f ca="1">IFERROR(__xludf.DUMMYFUNCTION("""COMPUTED_VALUE"""),46.97)</f>
        <v>46.97</v>
      </c>
      <c r="U361" s="1">
        <f ca="1">IFERROR(__xludf.DUMMYFUNCTION("""COMPUTED_VALUE"""),133.95)</f>
        <v>133.94999999999999</v>
      </c>
      <c r="V361" s="1">
        <f ca="1">IFERROR(__xludf.DUMMYFUNCTION("""COMPUTED_VALUE"""),239.76)</f>
        <v>239.76</v>
      </c>
      <c r="W361" s="1">
        <f ca="1">IFERROR(__xludf.DUMMYFUNCTION("""COMPUTED_VALUE"""),391.51)</f>
        <v>391.51</v>
      </c>
      <c r="X361" s="1">
        <f ca="1">IFERROR(__xludf.DUMMYFUNCTION("""COMPUTED_VALUE"""),681.98)</f>
        <v>681.98</v>
      </c>
      <c r="Y361" s="1">
        <f ca="1">IFERROR(__xludf.DUMMYFUNCTION("""COMPUTED_VALUE"""),118.22)</f>
        <v>118.22</v>
      </c>
      <c r="Z361" s="1">
        <f ca="1">IFERROR(__xludf.DUMMYFUNCTION("""COMPUTED_VALUE"""),388.16)</f>
        <v>388.16</v>
      </c>
      <c r="AA361" s="1">
        <f ca="1">IFERROR(__xludf.DUMMYFUNCTION("""COMPUTED_VALUE"""),38.99)</f>
        <v>38.99</v>
      </c>
      <c r="AB361" s="1">
        <f ca="1">IFERROR(__xludf.DUMMYFUNCTION("""COMPUTED_VALUE"""),111.33)</f>
        <v>111.33</v>
      </c>
      <c r="AC361" s="1">
        <f ca="1">IFERROR(__xludf.DUMMYFUNCTION("""COMPUTED_VALUE"""),81.35)</f>
        <v>81.349999999999994</v>
      </c>
    </row>
    <row r="362" spans="1:29" x14ac:dyDescent="0.25">
      <c r="A362" s="2">
        <f ca="1">IFERROR(__xludf.DUMMYFUNCTION("""COMPUTED_VALUE"""),44355.6666666666)</f>
        <v>44355.666666666599</v>
      </c>
      <c r="B362" s="1">
        <f ca="1">IFERROR(__xludf.DUMMYFUNCTION("""COMPUTED_VALUE"""),126.74)</f>
        <v>126.74</v>
      </c>
      <c r="C362" s="1">
        <f ca="1">IFERROR(__xludf.DUMMYFUNCTION("""COMPUTED_VALUE"""),252.57)</f>
        <v>252.57</v>
      </c>
      <c r="D362" s="1">
        <f ca="1">IFERROR(__xludf.DUMMYFUNCTION("""COMPUTED_VALUE"""),163.21)</f>
        <v>163.21</v>
      </c>
      <c r="E362" s="1">
        <f ca="1">IFERROR(__xludf.DUMMYFUNCTION("""COMPUTED_VALUE"""),17.46)</f>
        <v>17.46</v>
      </c>
      <c r="F362" s="1">
        <f ca="1">IFERROR(__xludf.DUMMYFUNCTION("""COMPUTED_VALUE"""),333.68)</f>
        <v>333.68</v>
      </c>
      <c r="G362" s="1">
        <f ca="1">IFERROR(__xludf.DUMMYFUNCTION("""COMPUTED_VALUE"""),124.14)</f>
        <v>124.14</v>
      </c>
      <c r="H362" s="1">
        <f ca="1">IFERROR(__xludf.DUMMYFUNCTION("""COMPUTED_VALUE"""),201.2)</f>
        <v>201.2</v>
      </c>
      <c r="I362" s="1">
        <f ca="1">IFERROR(__xludf.DUMMYFUNCTION("""COMPUTED_VALUE"""),146.37)</f>
        <v>146.37</v>
      </c>
      <c r="J362" s="1">
        <f ca="1">IFERROR(__xludf.DUMMYFUNCTION("""COMPUTED_VALUE"""),379.7)</f>
        <v>379.7</v>
      </c>
      <c r="K362" s="1">
        <f ca="1">IFERROR(__xludf.DUMMYFUNCTION("""COMPUTED_VALUE"""),46.35)</f>
        <v>46.35</v>
      </c>
      <c r="L362" s="1">
        <f ca="1">IFERROR(__xludf.DUMMYFUNCTION("""COMPUTED_VALUE"""),509.2)</f>
        <v>509.2</v>
      </c>
      <c r="M362" s="1">
        <f ca="1">IFERROR(__xludf.DUMMYFUNCTION("""COMPUTED_VALUE"""),492.39)</f>
        <v>492.39</v>
      </c>
      <c r="N362" s="1">
        <f ca="1">IFERROR(__xludf.DUMMYFUNCTION("""COMPUTED_VALUE"""),165)</f>
        <v>165</v>
      </c>
      <c r="O362" s="1">
        <f ca="1">IFERROR(__xludf.DUMMYFUNCTION("""COMPUTED_VALUE"""),232.05)</f>
        <v>232.05</v>
      </c>
      <c r="P362" s="1">
        <f ca="1">IFERROR(__xludf.DUMMYFUNCTION("""COMPUTED_VALUE"""),163.39)</f>
        <v>163.38999999999999</v>
      </c>
      <c r="Q362" s="1">
        <f ca="1">IFERROR(__xludf.DUMMYFUNCTION("""COMPUTED_VALUE"""),401.74)</f>
        <v>401.74</v>
      </c>
      <c r="R362" s="1">
        <f ca="1">IFERROR(__xludf.DUMMYFUNCTION("""COMPUTED_VALUE"""),62.13)</f>
        <v>62.13</v>
      </c>
      <c r="S362" s="1">
        <f ca="1">IFERROR(__xludf.DUMMYFUNCTION("""COMPUTED_VALUE"""),72.14)</f>
        <v>72.14</v>
      </c>
      <c r="T362" s="1">
        <f ca="1">IFERROR(__xludf.DUMMYFUNCTION("""COMPUTED_VALUE"""),46.61)</f>
        <v>46.61</v>
      </c>
      <c r="U362" s="1">
        <f ca="1">IFERROR(__xludf.DUMMYFUNCTION("""COMPUTED_VALUE"""),133.35)</f>
        <v>133.35</v>
      </c>
      <c r="V362" s="1">
        <f ca="1">IFERROR(__xludf.DUMMYFUNCTION("""COMPUTED_VALUE"""),240.16)</f>
        <v>240.16</v>
      </c>
      <c r="W362" s="1">
        <f ca="1">IFERROR(__xludf.DUMMYFUNCTION("""COMPUTED_VALUE"""),388.53)</f>
        <v>388.53</v>
      </c>
      <c r="X362" s="1">
        <f ca="1">IFERROR(__xludf.DUMMYFUNCTION("""COMPUTED_VALUE"""),680.73)</f>
        <v>680.73</v>
      </c>
      <c r="Y362" s="1">
        <f ca="1">IFERROR(__xludf.DUMMYFUNCTION("""COMPUTED_VALUE"""),115.92)</f>
        <v>115.92</v>
      </c>
      <c r="Z362" s="1">
        <f ca="1">IFERROR(__xludf.DUMMYFUNCTION("""COMPUTED_VALUE"""),384.7)</f>
        <v>384.7</v>
      </c>
      <c r="AA362" s="1">
        <f ca="1">IFERROR(__xludf.DUMMYFUNCTION("""COMPUTED_VALUE"""),38.85)</f>
        <v>38.85</v>
      </c>
      <c r="AB362" s="1">
        <f ca="1">IFERROR(__xludf.DUMMYFUNCTION("""COMPUTED_VALUE"""),111.52)</f>
        <v>111.52</v>
      </c>
      <c r="AC362" s="1">
        <f ca="1">IFERROR(__xludf.DUMMYFUNCTION("""COMPUTED_VALUE"""),80.89)</f>
        <v>80.89</v>
      </c>
    </row>
    <row r="363" spans="1:29" x14ac:dyDescent="0.25">
      <c r="A363" s="2">
        <f ca="1">IFERROR(__xludf.DUMMYFUNCTION("""COMPUTED_VALUE"""),44356.6666666666)</f>
        <v>44356.666666666599</v>
      </c>
      <c r="B363" s="1">
        <f ca="1">IFERROR(__xludf.DUMMYFUNCTION("""COMPUTED_VALUE"""),127.13)</f>
        <v>127.13</v>
      </c>
      <c r="C363" s="1">
        <f ca="1">IFERROR(__xludf.DUMMYFUNCTION("""COMPUTED_VALUE"""),253.59)</f>
        <v>253.59</v>
      </c>
      <c r="D363" s="1">
        <f ca="1">IFERROR(__xludf.DUMMYFUNCTION("""COMPUTED_VALUE"""),164.06)</f>
        <v>164.06</v>
      </c>
      <c r="E363" s="1">
        <f ca="1">IFERROR(__xludf.DUMMYFUNCTION("""COMPUTED_VALUE"""),17.36)</f>
        <v>17.36</v>
      </c>
      <c r="F363" s="1">
        <f ca="1">IFERROR(__xludf.DUMMYFUNCTION("""COMPUTED_VALUE"""),330.25)</f>
        <v>330.25</v>
      </c>
      <c r="G363" s="1">
        <f ca="1">IFERROR(__xludf.DUMMYFUNCTION("""COMPUTED_VALUE"""),124.57)</f>
        <v>124.57</v>
      </c>
      <c r="H363" s="1">
        <f ca="1">IFERROR(__xludf.DUMMYFUNCTION("""COMPUTED_VALUE"""),199.59)</f>
        <v>199.59</v>
      </c>
      <c r="I363" s="1">
        <f ca="1">IFERROR(__xludf.DUMMYFUNCTION("""COMPUTED_VALUE"""),146.1)</f>
        <v>146.1</v>
      </c>
      <c r="J363" s="1">
        <f ca="1">IFERROR(__xludf.DUMMYFUNCTION("""COMPUTED_VALUE"""),379.96)</f>
        <v>379.96</v>
      </c>
      <c r="K363" s="1">
        <f ca="1">IFERROR(__xludf.DUMMYFUNCTION("""COMPUTED_VALUE"""),46.39)</f>
        <v>46.39</v>
      </c>
      <c r="L363" s="1">
        <f ca="1">IFERROR(__xludf.DUMMYFUNCTION("""COMPUTED_VALUE"""),514.68)</f>
        <v>514.67999999999995</v>
      </c>
      <c r="M363" s="1">
        <f ca="1">IFERROR(__xludf.DUMMYFUNCTION("""COMPUTED_VALUE"""),485.81)</f>
        <v>485.81</v>
      </c>
      <c r="N363" s="1">
        <f ca="1">IFERROR(__xludf.DUMMYFUNCTION("""COMPUTED_VALUE"""),162.94)</f>
        <v>162.94</v>
      </c>
      <c r="O363" s="1">
        <f ca="1">IFERROR(__xludf.DUMMYFUNCTION("""COMPUTED_VALUE"""),232.31)</f>
        <v>232.31</v>
      </c>
      <c r="P363" s="1">
        <f ca="1">IFERROR(__xludf.DUMMYFUNCTION("""COMPUTED_VALUE"""),165.59)</f>
        <v>165.59</v>
      </c>
      <c r="Q363" s="1">
        <f ca="1">IFERROR(__xludf.DUMMYFUNCTION("""COMPUTED_VALUE"""),401.1)</f>
        <v>401.1</v>
      </c>
      <c r="R363" s="1">
        <f ca="1">IFERROR(__xludf.DUMMYFUNCTION("""COMPUTED_VALUE"""),62.65)</f>
        <v>62.65</v>
      </c>
      <c r="S363" s="1">
        <f ca="1">IFERROR(__xludf.DUMMYFUNCTION("""COMPUTED_VALUE"""),72.45)</f>
        <v>72.45</v>
      </c>
      <c r="T363" s="1">
        <f ca="1">IFERROR(__xludf.DUMMYFUNCTION("""COMPUTED_VALUE"""),46.36)</f>
        <v>46.36</v>
      </c>
      <c r="U363" s="1">
        <f ca="1">IFERROR(__xludf.DUMMYFUNCTION("""COMPUTED_VALUE"""),131.84)</f>
        <v>131.84</v>
      </c>
      <c r="V363" s="1">
        <f ca="1">IFERROR(__xludf.DUMMYFUNCTION("""COMPUTED_VALUE"""),234.65)</f>
        <v>234.65</v>
      </c>
      <c r="W363" s="1">
        <f ca="1">IFERROR(__xludf.DUMMYFUNCTION("""COMPUTED_VALUE"""),386.8)</f>
        <v>386.8</v>
      </c>
      <c r="X363" s="1">
        <f ca="1">IFERROR(__xludf.DUMMYFUNCTION("""COMPUTED_VALUE"""),682.59)</f>
        <v>682.59</v>
      </c>
      <c r="Y363" s="1">
        <f ca="1">IFERROR(__xludf.DUMMYFUNCTION("""COMPUTED_VALUE"""),117.13)</f>
        <v>117.13</v>
      </c>
      <c r="Z363" s="1">
        <f ca="1">IFERROR(__xludf.DUMMYFUNCTION("""COMPUTED_VALUE"""),382.78)</f>
        <v>382.78</v>
      </c>
      <c r="AA363" s="1">
        <f ca="1">IFERROR(__xludf.DUMMYFUNCTION("""COMPUTED_VALUE"""),39.81)</f>
        <v>39.81</v>
      </c>
      <c r="AB363" s="1">
        <f ca="1">IFERROR(__xludf.DUMMYFUNCTION("""COMPUTED_VALUE"""),111.39)</f>
        <v>111.39</v>
      </c>
      <c r="AC363" s="1">
        <f ca="1">IFERROR(__xludf.DUMMYFUNCTION("""COMPUTED_VALUE"""),79.96)</f>
        <v>79.959999999999994</v>
      </c>
    </row>
    <row r="364" spans="1:29" x14ac:dyDescent="0.25">
      <c r="A364" s="2">
        <f ca="1">IFERROR(__xludf.DUMMYFUNCTION("""COMPUTED_VALUE"""),44357.6666666666)</f>
        <v>44357.666666666599</v>
      </c>
      <c r="B364" s="1">
        <f ca="1">IFERROR(__xludf.DUMMYFUNCTION("""COMPUTED_VALUE"""),126.11)</f>
        <v>126.11</v>
      </c>
      <c r="C364" s="1">
        <f ca="1">IFERROR(__xludf.DUMMYFUNCTION("""COMPUTED_VALUE"""),257.24)</f>
        <v>257.24</v>
      </c>
      <c r="D364" s="1">
        <f ca="1">IFERROR(__xludf.DUMMYFUNCTION("""COMPUTED_VALUE"""),167.48)</f>
        <v>167.48</v>
      </c>
      <c r="E364" s="1">
        <f ca="1">IFERROR(__xludf.DUMMYFUNCTION("""COMPUTED_VALUE"""),17.43)</f>
        <v>17.43</v>
      </c>
      <c r="F364" s="1">
        <f ca="1">IFERROR(__xludf.DUMMYFUNCTION("""COMPUTED_VALUE"""),332.46)</f>
        <v>332.46</v>
      </c>
      <c r="G364" s="1">
        <f ca="1">IFERROR(__xludf.DUMMYFUNCTION("""COMPUTED_VALUE"""),126.08)</f>
        <v>126.08</v>
      </c>
      <c r="H364" s="1">
        <f ca="1">IFERROR(__xludf.DUMMYFUNCTION("""COMPUTED_VALUE"""),203.37)</f>
        <v>203.37</v>
      </c>
      <c r="I364" s="1">
        <f ca="1">IFERROR(__xludf.DUMMYFUNCTION("""COMPUTED_VALUE"""),147.6)</f>
        <v>147.6</v>
      </c>
      <c r="J364" s="1">
        <f ca="1">IFERROR(__xludf.DUMMYFUNCTION("""COMPUTED_VALUE"""),383.01)</f>
        <v>383.01</v>
      </c>
      <c r="K364" s="1">
        <f ca="1">IFERROR(__xludf.DUMMYFUNCTION("""COMPUTED_VALUE"""),46.87)</f>
        <v>46.87</v>
      </c>
      <c r="L364" s="1">
        <f ca="1">IFERROR(__xludf.DUMMYFUNCTION("""COMPUTED_VALUE"""),535.52)</f>
        <v>535.52</v>
      </c>
      <c r="M364" s="1">
        <f ca="1">IFERROR(__xludf.DUMMYFUNCTION("""COMPUTED_VALUE"""),487.27)</f>
        <v>487.27</v>
      </c>
      <c r="N364" s="1">
        <f ca="1">IFERROR(__xludf.DUMMYFUNCTION("""COMPUTED_VALUE"""),160.4)</f>
        <v>160.4</v>
      </c>
      <c r="O364" s="1">
        <f ca="1">IFERROR(__xludf.DUMMYFUNCTION("""COMPUTED_VALUE"""),233.95)</f>
        <v>233.95</v>
      </c>
      <c r="P364" s="1">
        <f ca="1">IFERROR(__xludf.DUMMYFUNCTION("""COMPUTED_VALUE"""),167.08)</f>
        <v>167.08</v>
      </c>
      <c r="Q364" s="1">
        <f ca="1">IFERROR(__xludf.DUMMYFUNCTION("""COMPUTED_VALUE"""),401.49)</f>
        <v>401.49</v>
      </c>
      <c r="R364" s="1">
        <f ca="1">IFERROR(__xludf.DUMMYFUNCTION("""COMPUTED_VALUE"""),62.75)</f>
        <v>62.75</v>
      </c>
      <c r="S364" s="1">
        <f ca="1">IFERROR(__xludf.DUMMYFUNCTION("""COMPUTED_VALUE"""),73.51)</f>
        <v>73.510000000000005</v>
      </c>
      <c r="T364" s="1">
        <f ca="1">IFERROR(__xludf.DUMMYFUNCTION("""COMPUTED_VALUE"""),46.63)</f>
        <v>46.63</v>
      </c>
      <c r="U364" s="1">
        <f ca="1">IFERROR(__xludf.DUMMYFUNCTION("""COMPUTED_VALUE"""),130.98)</f>
        <v>130.97999999999999</v>
      </c>
      <c r="V364" s="1">
        <f ca="1">IFERROR(__xludf.DUMMYFUNCTION("""COMPUTED_VALUE"""),225.73)</f>
        <v>225.73</v>
      </c>
      <c r="W364" s="1">
        <f ca="1">IFERROR(__xludf.DUMMYFUNCTION("""COMPUTED_VALUE"""),387.72)</f>
        <v>387.72</v>
      </c>
      <c r="X364" s="1">
        <f ca="1">IFERROR(__xludf.DUMMYFUNCTION("""COMPUTED_VALUE"""),699.94)</f>
        <v>699.94</v>
      </c>
      <c r="Y364" s="1">
        <f ca="1">IFERROR(__xludf.DUMMYFUNCTION("""COMPUTED_VALUE"""),118.24)</f>
        <v>118.24</v>
      </c>
      <c r="Z364" s="1">
        <f ca="1">IFERROR(__xludf.DUMMYFUNCTION("""COMPUTED_VALUE"""),373.94)</f>
        <v>373.94</v>
      </c>
      <c r="AA364" s="1">
        <f ca="1">IFERROR(__xludf.DUMMYFUNCTION("""COMPUTED_VALUE"""),40.68)</f>
        <v>40.68</v>
      </c>
      <c r="AB364" s="1">
        <f ca="1">IFERROR(__xludf.DUMMYFUNCTION("""COMPUTED_VALUE"""),112.21)</f>
        <v>112.21</v>
      </c>
      <c r="AC364" s="1">
        <f ca="1">IFERROR(__xludf.DUMMYFUNCTION("""COMPUTED_VALUE"""),81.56)</f>
        <v>81.56</v>
      </c>
    </row>
    <row r="365" spans="1:29" x14ac:dyDescent="0.25">
      <c r="A365" s="2">
        <f ca="1">IFERROR(__xludf.DUMMYFUNCTION("""COMPUTED_VALUE"""),44358.6666666666)</f>
        <v>44358.666666666599</v>
      </c>
      <c r="B365" s="1">
        <f ca="1">IFERROR(__xludf.DUMMYFUNCTION("""COMPUTED_VALUE"""),127.35)</f>
        <v>127.35</v>
      </c>
      <c r="C365" s="1">
        <f ca="1">IFERROR(__xludf.DUMMYFUNCTION("""COMPUTED_VALUE"""),257.89)</f>
        <v>257.89</v>
      </c>
      <c r="D365" s="1">
        <f ca="1">IFERROR(__xludf.DUMMYFUNCTION("""COMPUTED_VALUE"""),167.34)</f>
        <v>167.34</v>
      </c>
      <c r="E365" s="1">
        <f ca="1">IFERROR(__xludf.DUMMYFUNCTION("""COMPUTED_VALUE"""),17.83)</f>
        <v>17.829999999999998</v>
      </c>
      <c r="F365" s="1">
        <f ca="1">IFERROR(__xludf.DUMMYFUNCTION("""COMPUTED_VALUE"""),331.26)</f>
        <v>331.26</v>
      </c>
      <c r="G365" s="1">
        <f ca="1">IFERROR(__xludf.DUMMYFUNCTION("""COMPUTED_VALUE"""),125.7)</f>
        <v>125.7</v>
      </c>
      <c r="H365" s="1">
        <f ca="1">IFERROR(__xludf.DUMMYFUNCTION("""COMPUTED_VALUE"""),203.3)</f>
        <v>203.3</v>
      </c>
      <c r="I365" s="1">
        <f ca="1">IFERROR(__xludf.DUMMYFUNCTION("""COMPUTED_VALUE"""),147.69)</f>
        <v>147.69</v>
      </c>
      <c r="J365" s="1">
        <f ca="1">IFERROR(__xludf.DUMMYFUNCTION("""COMPUTED_VALUE"""),381.83)</f>
        <v>381.83</v>
      </c>
      <c r="K365" s="1">
        <f ca="1">IFERROR(__xludf.DUMMYFUNCTION("""COMPUTED_VALUE"""),47.07)</f>
        <v>47.07</v>
      </c>
      <c r="L365" s="1">
        <f ca="1">IFERROR(__xludf.DUMMYFUNCTION("""COMPUTED_VALUE"""),541.26)</f>
        <v>541.26</v>
      </c>
      <c r="M365" s="1">
        <f ca="1">IFERROR(__xludf.DUMMYFUNCTION("""COMPUTED_VALUE"""),488.77)</f>
        <v>488.77</v>
      </c>
      <c r="N365" s="1">
        <f ca="1">IFERROR(__xludf.DUMMYFUNCTION("""COMPUTED_VALUE"""),160.29)</f>
        <v>160.29</v>
      </c>
      <c r="O365" s="1">
        <f ca="1">IFERROR(__xludf.DUMMYFUNCTION("""COMPUTED_VALUE"""),234.96)</f>
        <v>234.96</v>
      </c>
      <c r="P365" s="1">
        <f ca="1">IFERROR(__xludf.DUMMYFUNCTION("""COMPUTED_VALUE"""),164.96)</f>
        <v>164.96</v>
      </c>
      <c r="Q365" s="1">
        <f ca="1">IFERROR(__xludf.DUMMYFUNCTION("""COMPUTED_VALUE"""),397.89)</f>
        <v>397.89</v>
      </c>
      <c r="R365" s="1">
        <f ca="1">IFERROR(__xludf.DUMMYFUNCTION("""COMPUTED_VALUE"""),62.17)</f>
        <v>62.17</v>
      </c>
      <c r="S365" s="1">
        <f ca="1">IFERROR(__xludf.DUMMYFUNCTION("""COMPUTED_VALUE"""),73.49)</f>
        <v>73.489999999999995</v>
      </c>
      <c r="T365" s="1">
        <f ca="1">IFERROR(__xludf.DUMMYFUNCTION("""COMPUTED_VALUE"""),46.92)</f>
        <v>46.92</v>
      </c>
      <c r="U365" s="1">
        <f ca="1">IFERROR(__xludf.DUMMYFUNCTION("""COMPUTED_VALUE"""),131.94)</f>
        <v>131.94</v>
      </c>
      <c r="V365" s="1">
        <f ca="1">IFERROR(__xludf.DUMMYFUNCTION("""COMPUTED_VALUE"""),220.7)</f>
        <v>220.7</v>
      </c>
      <c r="W365" s="1">
        <f ca="1">IFERROR(__xludf.DUMMYFUNCTION("""COMPUTED_VALUE"""),387.72)</f>
        <v>387.72</v>
      </c>
      <c r="X365" s="1">
        <f ca="1">IFERROR(__xludf.DUMMYFUNCTION("""COMPUTED_VALUE"""),697.03)</f>
        <v>697.03</v>
      </c>
      <c r="Y365" s="1">
        <f ca="1">IFERROR(__xludf.DUMMYFUNCTION("""COMPUTED_VALUE"""),118.25)</f>
        <v>118.25</v>
      </c>
      <c r="Z365" s="1">
        <f ca="1">IFERROR(__xludf.DUMMYFUNCTION("""COMPUTED_VALUE"""),378.05)</f>
        <v>378.05</v>
      </c>
      <c r="AA365" s="1">
        <f ca="1">IFERROR(__xludf.DUMMYFUNCTION("""COMPUTED_VALUE"""),40.15)</f>
        <v>40.15</v>
      </c>
      <c r="AB365" s="1">
        <f ca="1">IFERROR(__xludf.DUMMYFUNCTION("""COMPUTED_VALUE"""),112.56)</f>
        <v>112.56</v>
      </c>
      <c r="AC365" s="1">
        <f ca="1">IFERROR(__xludf.DUMMYFUNCTION("""COMPUTED_VALUE"""),81.31)</f>
        <v>81.31</v>
      </c>
    </row>
    <row r="366" spans="1:29" x14ac:dyDescent="0.25">
      <c r="A366" s="2">
        <f ca="1">IFERROR(__xludf.DUMMYFUNCTION("""COMPUTED_VALUE"""),44361.6666666666)</f>
        <v>44361.666666666599</v>
      </c>
      <c r="B366" s="1">
        <f ca="1">IFERROR(__xludf.DUMMYFUNCTION("""COMPUTED_VALUE"""),130.48)</f>
        <v>130.47999999999999</v>
      </c>
      <c r="C366" s="1">
        <f ca="1">IFERROR(__xludf.DUMMYFUNCTION("""COMPUTED_VALUE"""),259.89)</f>
        <v>259.89</v>
      </c>
      <c r="D366" s="1">
        <f ca="1">IFERROR(__xludf.DUMMYFUNCTION("""COMPUTED_VALUE"""),169.19)</f>
        <v>169.19</v>
      </c>
      <c r="E366" s="1">
        <f ca="1">IFERROR(__xludf.DUMMYFUNCTION("""COMPUTED_VALUE"""),18.02)</f>
        <v>18.02</v>
      </c>
      <c r="F366" s="1">
        <f ca="1">IFERROR(__xludf.DUMMYFUNCTION("""COMPUTED_VALUE"""),336.77)</f>
        <v>336.77</v>
      </c>
      <c r="G366" s="1">
        <f ca="1">IFERROR(__xludf.DUMMYFUNCTION("""COMPUTED_VALUE"""),126.35)</f>
        <v>126.35</v>
      </c>
      <c r="H366" s="1">
        <f ca="1">IFERROR(__xludf.DUMMYFUNCTION("""COMPUTED_VALUE"""),205.9)</f>
        <v>205.9</v>
      </c>
      <c r="I366" s="1">
        <f ca="1">IFERROR(__xludf.DUMMYFUNCTION("""COMPUTED_VALUE"""),148.57)</f>
        <v>148.57</v>
      </c>
      <c r="J366" s="1">
        <f ca="1">IFERROR(__xludf.DUMMYFUNCTION("""COMPUTED_VALUE"""),383.76)</f>
        <v>383.76</v>
      </c>
      <c r="K366" s="1">
        <f ca="1">IFERROR(__xludf.DUMMYFUNCTION("""COMPUTED_VALUE"""),47.58)</f>
        <v>47.58</v>
      </c>
      <c r="L366" s="1">
        <f ca="1">IFERROR(__xludf.DUMMYFUNCTION("""COMPUTED_VALUE"""),556.95)</f>
        <v>556.95000000000005</v>
      </c>
      <c r="M366" s="1">
        <f ca="1">IFERROR(__xludf.DUMMYFUNCTION("""COMPUTED_VALUE"""),499.89)</f>
        <v>499.89</v>
      </c>
      <c r="N366" s="1">
        <f ca="1">IFERROR(__xludf.DUMMYFUNCTION("""COMPUTED_VALUE"""),157.57)</f>
        <v>157.57</v>
      </c>
      <c r="O366" s="1">
        <f ca="1">IFERROR(__xludf.DUMMYFUNCTION("""COMPUTED_VALUE"""),234.08)</f>
        <v>234.08</v>
      </c>
      <c r="P366" s="1">
        <f ca="1">IFERROR(__xludf.DUMMYFUNCTION("""COMPUTED_VALUE"""),165.37)</f>
        <v>165.37</v>
      </c>
      <c r="Q366" s="1">
        <f ca="1">IFERROR(__xludf.DUMMYFUNCTION("""COMPUTED_VALUE"""),399.16)</f>
        <v>399.16</v>
      </c>
      <c r="R366" s="1">
        <f ca="1">IFERROR(__xludf.DUMMYFUNCTION("""COMPUTED_VALUE"""),62.07)</f>
        <v>62.07</v>
      </c>
      <c r="S366" s="1">
        <f ca="1">IFERROR(__xludf.DUMMYFUNCTION("""COMPUTED_VALUE"""),73.31)</f>
        <v>73.31</v>
      </c>
      <c r="T366" s="1">
        <f ca="1">IFERROR(__xludf.DUMMYFUNCTION("""COMPUTED_VALUE"""),46.85)</f>
        <v>46.85</v>
      </c>
      <c r="U366" s="1">
        <f ca="1">IFERROR(__xludf.DUMMYFUNCTION("""COMPUTED_VALUE"""),131.36)</f>
        <v>131.36000000000001</v>
      </c>
      <c r="V366" s="1">
        <f ca="1">IFERROR(__xludf.DUMMYFUNCTION("""COMPUTED_VALUE"""),219.01)</f>
        <v>219.01</v>
      </c>
      <c r="W366" s="1">
        <f ca="1">IFERROR(__xludf.DUMMYFUNCTION("""COMPUTED_VALUE"""),389.11)</f>
        <v>389.11</v>
      </c>
      <c r="X366" s="1">
        <f ca="1">IFERROR(__xludf.DUMMYFUNCTION("""COMPUTED_VALUE"""),709.33)</f>
        <v>709.33</v>
      </c>
      <c r="Y366" s="1">
        <f ca="1">IFERROR(__xludf.DUMMYFUNCTION("""COMPUTED_VALUE"""),120.99)</f>
        <v>120.99</v>
      </c>
      <c r="Z366" s="1">
        <f ca="1">IFERROR(__xludf.DUMMYFUNCTION("""COMPUTED_VALUE"""),372.92)</f>
        <v>372.92</v>
      </c>
      <c r="AA366" s="1">
        <f ca="1">IFERROR(__xludf.DUMMYFUNCTION("""COMPUTED_VALUE"""),39.63)</f>
        <v>39.630000000000003</v>
      </c>
      <c r="AB366" s="1">
        <f ca="1">IFERROR(__xludf.DUMMYFUNCTION("""COMPUTED_VALUE"""),112.45)</f>
        <v>112.45</v>
      </c>
      <c r="AC366" s="1">
        <f ca="1">IFERROR(__xludf.DUMMYFUNCTION("""COMPUTED_VALUE"""),81.55)</f>
        <v>81.55</v>
      </c>
    </row>
    <row r="367" spans="1:29" x14ac:dyDescent="0.25">
      <c r="A367" s="2">
        <f ca="1">IFERROR(__xludf.DUMMYFUNCTION("""COMPUTED_VALUE"""),44362.6666666666)</f>
        <v>44362.666666666599</v>
      </c>
      <c r="B367" s="1">
        <f ca="1">IFERROR(__xludf.DUMMYFUNCTION("""COMPUTED_VALUE"""),129.64)</f>
        <v>129.63999999999999</v>
      </c>
      <c r="C367" s="1">
        <f ca="1">IFERROR(__xludf.DUMMYFUNCTION("""COMPUTED_VALUE"""),258.36)</f>
        <v>258.36</v>
      </c>
      <c r="D367" s="1">
        <f ca="1">IFERROR(__xludf.DUMMYFUNCTION("""COMPUTED_VALUE"""),169.16)</f>
        <v>169.16</v>
      </c>
      <c r="E367" s="1">
        <f ca="1">IFERROR(__xludf.DUMMYFUNCTION("""COMPUTED_VALUE"""),17.79)</f>
        <v>17.79</v>
      </c>
      <c r="F367" s="1">
        <f ca="1">IFERROR(__xludf.DUMMYFUNCTION("""COMPUTED_VALUE"""),336.75)</f>
        <v>336.75</v>
      </c>
      <c r="G367" s="1">
        <f ca="1">IFERROR(__xludf.DUMMYFUNCTION("""COMPUTED_VALUE"""),126.03)</f>
        <v>126.03</v>
      </c>
      <c r="H367" s="1">
        <f ca="1">IFERROR(__xludf.DUMMYFUNCTION("""COMPUTED_VALUE"""),199.79)</f>
        <v>199.79</v>
      </c>
      <c r="I367" s="1">
        <f ca="1">IFERROR(__xludf.DUMMYFUNCTION("""COMPUTED_VALUE"""),148.58)</f>
        <v>148.58000000000001</v>
      </c>
      <c r="J367" s="1">
        <f ca="1">IFERROR(__xludf.DUMMYFUNCTION("""COMPUTED_VALUE"""),383.91)</f>
        <v>383.91</v>
      </c>
      <c r="K367" s="1">
        <f ca="1">IFERROR(__xludf.DUMMYFUNCTION("""COMPUTED_VALUE"""),47.07)</f>
        <v>47.07</v>
      </c>
      <c r="L367" s="1">
        <f ca="1">IFERROR(__xludf.DUMMYFUNCTION("""COMPUTED_VALUE"""),548.46)</f>
        <v>548.46</v>
      </c>
      <c r="M367" s="1">
        <f ca="1">IFERROR(__xludf.DUMMYFUNCTION("""COMPUTED_VALUE"""),491.9)</f>
        <v>491.9</v>
      </c>
      <c r="N367" s="1">
        <f ca="1">IFERROR(__xludf.DUMMYFUNCTION("""COMPUTED_VALUE"""),155.18)</f>
        <v>155.18</v>
      </c>
      <c r="O367" s="1">
        <f ca="1">IFERROR(__xludf.DUMMYFUNCTION("""COMPUTED_VALUE"""),232.98)</f>
        <v>232.98</v>
      </c>
      <c r="P367" s="1">
        <f ca="1">IFERROR(__xludf.DUMMYFUNCTION("""COMPUTED_VALUE"""),164.49)</f>
        <v>164.49</v>
      </c>
      <c r="Q367" s="1">
        <f ca="1">IFERROR(__xludf.DUMMYFUNCTION("""COMPUTED_VALUE"""),400.28)</f>
        <v>400.28</v>
      </c>
      <c r="R367" s="1">
        <f ca="1">IFERROR(__xludf.DUMMYFUNCTION("""COMPUTED_VALUE"""),64.33)</f>
        <v>64.33</v>
      </c>
      <c r="S367" s="1">
        <f ca="1">IFERROR(__xludf.DUMMYFUNCTION("""COMPUTED_VALUE"""),73.43)</f>
        <v>73.430000000000007</v>
      </c>
      <c r="T367" s="1">
        <f ca="1">IFERROR(__xludf.DUMMYFUNCTION("""COMPUTED_VALUE"""),46.67)</f>
        <v>46.67</v>
      </c>
      <c r="U367" s="1">
        <f ca="1">IFERROR(__xludf.DUMMYFUNCTION("""COMPUTED_VALUE"""),130.29)</f>
        <v>130.29</v>
      </c>
      <c r="V367" s="1">
        <f ca="1">IFERROR(__xludf.DUMMYFUNCTION("""COMPUTED_VALUE"""),219.46)</f>
        <v>219.46</v>
      </c>
      <c r="W367" s="1">
        <f ca="1">IFERROR(__xludf.DUMMYFUNCTION("""COMPUTED_VALUE"""),389.8)</f>
        <v>389.8</v>
      </c>
      <c r="X367" s="1">
        <f ca="1">IFERROR(__xludf.DUMMYFUNCTION("""COMPUTED_VALUE"""),701.78)</f>
        <v>701.78</v>
      </c>
      <c r="Y367" s="1">
        <f ca="1">IFERROR(__xludf.DUMMYFUNCTION("""COMPUTED_VALUE"""),119.45)</f>
        <v>119.45</v>
      </c>
      <c r="Z367" s="1">
        <f ca="1">IFERROR(__xludf.DUMMYFUNCTION("""COMPUTED_VALUE"""),371.3)</f>
        <v>371.3</v>
      </c>
      <c r="AA367" s="1">
        <f ca="1">IFERROR(__xludf.DUMMYFUNCTION("""COMPUTED_VALUE"""),39.59)</f>
        <v>39.590000000000003</v>
      </c>
      <c r="AB367" s="1">
        <f ca="1">IFERROR(__xludf.DUMMYFUNCTION("""COMPUTED_VALUE"""),111.89)</f>
        <v>111.89</v>
      </c>
      <c r="AC367" s="1">
        <f ca="1">IFERROR(__xludf.DUMMYFUNCTION("""COMPUTED_VALUE"""),80.47)</f>
        <v>80.47</v>
      </c>
    </row>
    <row r="368" spans="1:29" x14ac:dyDescent="0.25">
      <c r="A368" s="2">
        <f ca="1">IFERROR(__xludf.DUMMYFUNCTION("""COMPUTED_VALUE"""),44363.6666666666)</f>
        <v>44363.666666666599</v>
      </c>
      <c r="B368" s="1">
        <f ca="1">IFERROR(__xludf.DUMMYFUNCTION("""COMPUTED_VALUE"""),130.15)</f>
        <v>130.15</v>
      </c>
      <c r="C368" s="1">
        <f ca="1">IFERROR(__xludf.DUMMYFUNCTION("""COMPUTED_VALUE"""),257.38)</f>
        <v>257.38</v>
      </c>
      <c r="D368" s="1">
        <f ca="1">IFERROR(__xludf.DUMMYFUNCTION("""COMPUTED_VALUE"""),170.76)</f>
        <v>170.76</v>
      </c>
      <c r="E368" s="1">
        <f ca="1">IFERROR(__xludf.DUMMYFUNCTION("""COMPUTED_VALUE"""),17.81)</f>
        <v>17.809999999999999</v>
      </c>
      <c r="F368" s="1">
        <f ca="1">IFERROR(__xludf.DUMMYFUNCTION("""COMPUTED_VALUE"""),331.08)</f>
        <v>331.08</v>
      </c>
      <c r="G368" s="1">
        <f ca="1">IFERROR(__xludf.DUMMYFUNCTION("""COMPUTED_VALUE"""),125.7)</f>
        <v>125.7</v>
      </c>
      <c r="H368" s="1">
        <f ca="1">IFERROR(__xludf.DUMMYFUNCTION("""COMPUTED_VALUE"""),201.62)</f>
        <v>201.62</v>
      </c>
      <c r="I368" s="1">
        <f ca="1">IFERROR(__xludf.DUMMYFUNCTION("""COMPUTED_VALUE"""),147.1)</f>
        <v>147.1</v>
      </c>
      <c r="J368" s="1">
        <f ca="1">IFERROR(__xludf.DUMMYFUNCTION("""COMPUTED_VALUE"""),379.41)</f>
        <v>379.41</v>
      </c>
      <c r="K368" s="1">
        <f ca="1">IFERROR(__xludf.DUMMYFUNCTION("""COMPUTED_VALUE"""),46.58)</f>
        <v>46.58</v>
      </c>
      <c r="L368" s="1">
        <f ca="1">IFERROR(__xludf.DUMMYFUNCTION("""COMPUTED_VALUE"""),543.33)</f>
        <v>543.33000000000004</v>
      </c>
      <c r="M368" s="1">
        <f ca="1">IFERROR(__xludf.DUMMYFUNCTION("""COMPUTED_VALUE"""),492.41)</f>
        <v>492.41</v>
      </c>
      <c r="N368" s="1">
        <f ca="1">IFERROR(__xludf.DUMMYFUNCTION("""COMPUTED_VALUE"""),156.27)</f>
        <v>156.27000000000001</v>
      </c>
      <c r="O368" s="1">
        <f ca="1">IFERROR(__xludf.DUMMYFUNCTION("""COMPUTED_VALUE"""),229.6)</f>
        <v>229.6</v>
      </c>
      <c r="P368" s="1">
        <f ca="1">IFERROR(__xludf.DUMMYFUNCTION("""COMPUTED_VALUE"""),164.43)</f>
        <v>164.43</v>
      </c>
      <c r="Q368" s="1">
        <f ca="1">IFERROR(__xludf.DUMMYFUNCTION("""COMPUTED_VALUE"""),397.25)</f>
        <v>397.25</v>
      </c>
      <c r="R368" s="1">
        <f ca="1">IFERROR(__xludf.DUMMYFUNCTION("""COMPUTED_VALUE"""),64.1)</f>
        <v>64.099999999999994</v>
      </c>
      <c r="S368" s="1">
        <f ca="1">IFERROR(__xludf.DUMMYFUNCTION("""COMPUTED_VALUE"""),73.3)</f>
        <v>73.3</v>
      </c>
      <c r="T368" s="1">
        <f ca="1">IFERROR(__xludf.DUMMYFUNCTION("""COMPUTED_VALUE"""),45.72)</f>
        <v>45.72</v>
      </c>
      <c r="U368" s="1">
        <f ca="1">IFERROR(__xludf.DUMMYFUNCTION("""COMPUTED_VALUE"""),130.4)</f>
        <v>130.4</v>
      </c>
      <c r="V368" s="1">
        <f ca="1">IFERROR(__xludf.DUMMYFUNCTION("""COMPUTED_VALUE"""),217.16)</f>
        <v>217.16</v>
      </c>
      <c r="W368" s="1">
        <f ca="1">IFERROR(__xludf.DUMMYFUNCTION("""COMPUTED_VALUE"""),383.6)</f>
        <v>383.6</v>
      </c>
      <c r="X368" s="1">
        <f ca="1">IFERROR(__xludf.DUMMYFUNCTION("""COMPUTED_VALUE"""),699.05)</f>
        <v>699.05</v>
      </c>
      <c r="Y368" s="1">
        <f ca="1">IFERROR(__xludf.DUMMYFUNCTION("""COMPUTED_VALUE"""),118.02)</f>
        <v>118.02</v>
      </c>
      <c r="Z368" s="1">
        <f ca="1">IFERROR(__xludf.DUMMYFUNCTION("""COMPUTED_VALUE"""),371)</f>
        <v>371</v>
      </c>
      <c r="AA368" s="1">
        <f ca="1">IFERROR(__xludf.DUMMYFUNCTION("""COMPUTED_VALUE"""),39.3)</f>
        <v>39.299999999999997</v>
      </c>
      <c r="AB368" s="1">
        <f ca="1">IFERROR(__xludf.DUMMYFUNCTION("""COMPUTED_VALUE"""),111.36)</f>
        <v>111.36</v>
      </c>
      <c r="AC368" s="1">
        <f ca="1">IFERROR(__xludf.DUMMYFUNCTION("""COMPUTED_VALUE"""),80.11)</f>
        <v>80.11</v>
      </c>
    </row>
    <row r="369" spans="1:29" x14ac:dyDescent="0.25">
      <c r="A369" s="2">
        <f ca="1">IFERROR(__xludf.DUMMYFUNCTION("""COMPUTED_VALUE"""),44364.6666666666)</f>
        <v>44364.666666666599</v>
      </c>
      <c r="B369" s="1">
        <f ca="1">IFERROR(__xludf.DUMMYFUNCTION("""COMPUTED_VALUE"""),131.79)</f>
        <v>131.79</v>
      </c>
      <c r="C369" s="1">
        <f ca="1">IFERROR(__xludf.DUMMYFUNCTION("""COMPUTED_VALUE"""),260.9)</f>
        <v>260.89999999999998</v>
      </c>
      <c r="D369" s="1">
        <f ca="1">IFERROR(__xludf.DUMMYFUNCTION("""COMPUTED_VALUE"""),174.46)</f>
        <v>174.46</v>
      </c>
      <c r="E369" s="1">
        <f ca="1">IFERROR(__xludf.DUMMYFUNCTION("""COMPUTED_VALUE"""),18.66)</f>
        <v>18.66</v>
      </c>
      <c r="F369" s="1">
        <f ca="1">IFERROR(__xludf.DUMMYFUNCTION("""COMPUTED_VALUE"""),336.51)</f>
        <v>336.51</v>
      </c>
      <c r="G369" s="1">
        <f ca="1">IFERROR(__xludf.DUMMYFUNCTION("""COMPUTED_VALUE"""),126.37)</f>
        <v>126.37</v>
      </c>
      <c r="H369" s="1">
        <f ca="1">IFERROR(__xludf.DUMMYFUNCTION("""COMPUTED_VALUE"""),205.53)</f>
        <v>205.53</v>
      </c>
      <c r="I369" s="1">
        <f ca="1">IFERROR(__xludf.DUMMYFUNCTION("""COMPUTED_VALUE"""),148.52)</f>
        <v>148.52000000000001</v>
      </c>
      <c r="J369" s="1">
        <f ca="1">IFERROR(__xludf.DUMMYFUNCTION("""COMPUTED_VALUE"""),384.75)</f>
        <v>384.75</v>
      </c>
      <c r="K369" s="1">
        <f ca="1">IFERROR(__xludf.DUMMYFUNCTION("""COMPUTED_VALUE"""),47.12)</f>
        <v>47.12</v>
      </c>
      <c r="L369" s="1">
        <f ca="1">IFERROR(__xludf.DUMMYFUNCTION("""COMPUTED_VALUE"""),551.36)</f>
        <v>551.36</v>
      </c>
      <c r="M369" s="1">
        <f ca="1">IFERROR(__xludf.DUMMYFUNCTION("""COMPUTED_VALUE"""),498.34)</f>
        <v>498.34</v>
      </c>
      <c r="N369" s="1">
        <f ca="1">IFERROR(__xludf.DUMMYFUNCTION("""COMPUTED_VALUE"""),151.76)</f>
        <v>151.76</v>
      </c>
      <c r="O369" s="1">
        <f ca="1">IFERROR(__xludf.DUMMYFUNCTION("""COMPUTED_VALUE"""),232.15)</f>
        <v>232.15</v>
      </c>
      <c r="P369" s="1">
        <f ca="1">IFERROR(__xludf.DUMMYFUNCTION("""COMPUTED_VALUE"""),165.22)</f>
        <v>165.22</v>
      </c>
      <c r="Q369" s="1">
        <f ca="1">IFERROR(__xludf.DUMMYFUNCTION("""COMPUTED_VALUE"""),397.35)</f>
        <v>397.35</v>
      </c>
      <c r="R369" s="1">
        <f ca="1">IFERROR(__xludf.DUMMYFUNCTION("""COMPUTED_VALUE"""),61.99)</f>
        <v>61.99</v>
      </c>
      <c r="S369" s="1">
        <f ca="1">IFERROR(__xludf.DUMMYFUNCTION("""COMPUTED_VALUE"""),74.58)</f>
        <v>74.58</v>
      </c>
      <c r="T369" s="1">
        <f ca="1">IFERROR(__xludf.DUMMYFUNCTION("""COMPUTED_VALUE"""),45.91)</f>
        <v>45.91</v>
      </c>
      <c r="U369" s="1">
        <f ca="1">IFERROR(__xludf.DUMMYFUNCTION("""COMPUTED_VALUE"""),128.92)</f>
        <v>128.91999999999999</v>
      </c>
      <c r="V369" s="1">
        <f ca="1">IFERROR(__xludf.DUMMYFUNCTION("""COMPUTED_VALUE"""),209.45)</f>
        <v>209.45</v>
      </c>
      <c r="W369" s="1">
        <f ca="1">IFERROR(__xludf.DUMMYFUNCTION("""COMPUTED_VALUE"""),382.9)</f>
        <v>382.9</v>
      </c>
      <c r="X369" s="1">
        <f ca="1">IFERROR(__xludf.DUMMYFUNCTION("""COMPUTED_VALUE"""),698.83)</f>
        <v>698.83</v>
      </c>
      <c r="Y369" s="1">
        <f ca="1">IFERROR(__xludf.DUMMYFUNCTION("""COMPUTED_VALUE"""),119.12)</f>
        <v>119.12</v>
      </c>
      <c r="Z369" s="1">
        <f ca="1">IFERROR(__xludf.DUMMYFUNCTION("""COMPUTED_VALUE"""),361.5)</f>
        <v>361.5</v>
      </c>
      <c r="AA369" s="1">
        <f ca="1">IFERROR(__xludf.DUMMYFUNCTION("""COMPUTED_VALUE"""),39.48)</f>
        <v>39.479999999999997</v>
      </c>
      <c r="AB369" s="1">
        <f ca="1">IFERROR(__xludf.DUMMYFUNCTION("""COMPUTED_VALUE"""),111.39)</f>
        <v>111.39</v>
      </c>
      <c r="AC369" s="1">
        <f ca="1">IFERROR(__xludf.DUMMYFUNCTION("""COMPUTED_VALUE"""),84.56)</f>
        <v>84.56</v>
      </c>
    </row>
    <row r="370" spans="1:29" x14ac:dyDescent="0.25">
      <c r="A370" s="2">
        <f ca="1">IFERROR(__xludf.DUMMYFUNCTION("""COMPUTED_VALUE"""),44365.6666666666)</f>
        <v>44365.666666666599</v>
      </c>
      <c r="B370" s="1">
        <f ca="1">IFERROR(__xludf.DUMMYFUNCTION("""COMPUTED_VALUE"""),130.46)</f>
        <v>130.46</v>
      </c>
      <c r="C370" s="1">
        <f ca="1">IFERROR(__xludf.DUMMYFUNCTION("""COMPUTED_VALUE"""),259.43)</f>
        <v>259.43</v>
      </c>
      <c r="D370" s="1">
        <f ca="1">IFERROR(__xludf.DUMMYFUNCTION("""COMPUTED_VALUE"""),174.35)</f>
        <v>174.35</v>
      </c>
      <c r="E370" s="1">
        <f ca="1">IFERROR(__xludf.DUMMYFUNCTION("""COMPUTED_VALUE"""),18.64)</f>
        <v>18.64</v>
      </c>
      <c r="F370" s="1">
        <f ca="1">IFERROR(__xludf.DUMMYFUNCTION("""COMPUTED_VALUE"""),329.66)</f>
        <v>329.66</v>
      </c>
      <c r="G370" s="1">
        <f ca="1">IFERROR(__xludf.DUMMYFUNCTION("""COMPUTED_VALUE"""),125.57)</f>
        <v>125.57</v>
      </c>
      <c r="H370" s="1">
        <f ca="1">IFERROR(__xludf.DUMMYFUNCTION("""COMPUTED_VALUE"""),207.77)</f>
        <v>207.77</v>
      </c>
      <c r="I370" s="1">
        <f ca="1">IFERROR(__xludf.DUMMYFUNCTION("""COMPUTED_VALUE"""),145.42)</f>
        <v>145.41999999999999</v>
      </c>
      <c r="J370" s="1">
        <f ca="1">IFERROR(__xludf.DUMMYFUNCTION("""COMPUTED_VALUE"""),380.88)</f>
        <v>380.88</v>
      </c>
      <c r="K370" s="1">
        <f ca="1">IFERROR(__xludf.DUMMYFUNCTION("""COMPUTED_VALUE"""),46.35)</f>
        <v>46.35</v>
      </c>
      <c r="L370" s="1">
        <f ca="1">IFERROR(__xludf.DUMMYFUNCTION("""COMPUTED_VALUE"""),565.59)</f>
        <v>565.59</v>
      </c>
      <c r="M370" s="1">
        <f ca="1">IFERROR(__xludf.DUMMYFUNCTION("""COMPUTED_VALUE"""),500.77)</f>
        <v>500.77</v>
      </c>
      <c r="N370" s="1">
        <f ca="1">IFERROR(__xludf.DUMMYFUNCTION("""COMPUTED_VALUE"""),147.92)</f>
        <v>147.91999999999999</v>
      </c>
      <c r="O370" s="1">
        <f ca="1">IFERROR(__xludf.DUMMYFUNCTION("""COMPUTED_VALUE"""),230.41)</f>
        <v>230.41</v>
      </c>
      <c r="P370" s="1">
        <f ca="1">IFERROR(__xludf.DUMMYFUNCTION("""COMPUTED_VALUE"""),161.98)</f>
        <v>161.97999999999999</v>
      </c>
      <c r="Q370" s="1">
        <f ca="1">IFERROR(__xludf.DUMMYFUNCTION("""COMPUTED_VALUE"""),389.37)</f>
        <v>389.37</v>
      </c>
      <c r="R370" s="1">
        <f ca="1">IFERROR(__xludf.DUMMYFUNCTION("""COMPUTED_VALUE"""),60.4)</f>
        <v>60.4</v>
      </c>
      <c r="S370" s="1">
        <f ca="1">IFERROR(__xludf.DUMMYFUNCTION("""COMPUTED_VALUE"""),73.28)</f>
        <v>73.28</v>
      </c>
      <c r="T370" s="1">
        <f ca="1">IFERROR(__xludf.DUMMYFUNCTION("""COMPUTED_VALUE"""),45.06)</f>
        <v>45.06</v>
      </c>
      <c r="U370" s="1">
        <f ca="1">IFERROR(__xludf.DUMMYFUNCTION("""COMPUTED_VALUE"""),128.41)</f>
        <v>128.41</v>
      </c>
      <c r="V370" s="1">
        <f ca="1">IFERROR(__xludf.DUMMYFUNCTION("""COMPUTED_VALUE"""),208.86)</f>
        <v>208.86</v>
      </c>
      <c r="W370" s="1">
        <f ca="1">IFERROR(__xludf.DUMMYFUNCTION("""COMPUTED_VALUE"""),379.19)</f>
        <v>379.19</v>
      </c>
      <c r="X370" s="1">
        <f ca="1">IFERROR(__xludf.DUMMYFUNCTION("""COMPUTED_VALUE"""),671.07)</f>
        <v>671.07</v>
      </c>
      <c r="Y370" s="1">
        <f ca="1">IFERROR(__xludf.DUMMYFUNCTION("""COMPUTED_VALUE"""),115.79)</f>
        <v>115.79</v>
      </c>
      <c r="Z370" s="1">
        <f ca="1">IFERROR(__xludf.DUMMYFUNCTION("""COMPUTED_VALUE"""),348.83)</f>
        <v>348.83</v>
      </c>
      <c r="AA370" s="1">
        <f ca="1">IFERROR(__xludf.DUMMYFUNCTION("""COMPUTED_VALUE"""),38.81)</f>
        <v>38.81</v>
      </c>
      <c r="AB370" s="1">
        <f ca="1">IFERROR(__xludf.DUMMYFUNCTION("""COMPUTED_VALUE"""),109.7)</f>
        <v>109.7</v>
      </c>
      <c r="AC370" s="1">
        <f ca="1">IFERROR(__xludf.DUMMYFUNCTION("""COMPUTED_VALUE"""),84.65)</f>
        <v>84.65</v>
      </c>
    </row>
    <row r="371" spans="1:29" x14ac:dyDescent="0.25">
      <c r="A371" s="2">
        <f ca="1">IFERROR(__xludf.DUMMYFUNCTION("""COMPUTED_VALUE"""),44368.6666666666)</f>
        <v>44368.666666666599</v>
      </c>
      <c r="B371" s="1">
        <f ca="1">IFERROR(__xludf.DUMMYFUNCTION("""COMPUTED_VALUE"""),132.3)</f>
        <v>132.30000000000001</v>
      </c>
      <c r="C371" s="1">
        <f ca="1">IFERROR(__xludf.DUMMYFUNCTION("""COMPUTED_VALUE"""),262.63)</f>
        <v>262.63</v>
      </c>
      <c r="D371" s="1">
        <f ca="1">IFERROR(__xludf.DUMMYFUNCTION("""COMPUTED_VALUE"""),172.7)</f>
        <v>172.7</v>
      </c>
      <c r="E371" s="1">
        <f ca="1">IFERROR(__xludf.DUMMYFUNCTION("""COMPUTED_VALUE"""),18.43)</f>
        <v>18.43</v>
      </c>
      <c r="F371" s="1">
        <f ca="1">IFERROR(__xludf.DUMMYFUNCTION("""COMPUTED_VALUE"""),332.29)</f>
        <v>332.29</v>
      </c>
      <c r="G371" s="1">
        <f ca="1">IFERROR(__xludf.DUMMYFUNCTION("""COMPUTED_VALUE"""),126.46)</f>
        <v>126.46</v>
      </c>
      <c r="H371" s="1">
        <f ca="1">IFERROR(__xludf.DUMMYFUNCTION("""COMPUTED_VALUE"""),206.94)</f>
        <v>206.94</v>
      </c>
      <c r="I371" s="1">
        <f ca="1">IFERROR(__xludf.DUMMYFUNCTION("""COMPUTED_VALUE"""),146.56)</f>
        <v>146.56</v>
      </c>
      <c r="J371" s="1">
        <f ca="1">IFERROR(__xludf.DUMMYFUNCTION("""COMPUTED_VALUE"""),386.8)</f>
        <v>386.8</v>
      </c>
      <c r="K371" s="1">
        <f ca="1">IFERROR(__xludf.DUMMYFUNCTION("""COMPUTED_VALUE"""),46.46)</f>
        <v>46.46</v>
      </c>
      <c r="L371" s="1">
        <f ca="1">IFERROR(__xludf.DUMMYFUNCTION("""COMPUTED_VALUE"""),567.35)</f>
        <v>567.35</v>
      </c>
      <c r="M371" s="1">
        <f ca="1">IFERROR(__xludf.DUMMYFUNCTION("""COMPUTED_VALUE"""),497)</f>
        <v>497</v>
      </c>
      <c r="N371" s="1">
        <f ca="1">IFERROR(__xludf.DUMMYFUNCTION("""COMPUTED_VALUE"""),150.43)</f>
        <v>150.43</v>
      </c>
      <c r="O371" s="1">
        <f ca="1">IFERROR(__xludf.DUMMYFUNCTION("""COMPUTED_VALUE"""),234.32)</f>
        <v>234.32</v>
      </c>
      <c r="P371" s="1">
        <f ca="1">IFERROR(__xludf.DUMMYFUNCTION("""COMPUTED_VALUE"""),163.84)</f>
        <v>163.84</v>
      </c>
      <c r="Q371" s="1">
        <f ca="1">IFERROR(__xludf.DUMMYFUNCTION("""COMPUTED_VALUE"""),398.07)</f>
        <v>398.07</v>
      </c>
      <c r="R371" s="1">
        <f ca="1">IFERROR(__xludf.DUMMYFUNCTION("""COMPUTED_VALUE"""),62.59)</f>
        <v>62.59</v>
      </c>
      <c r="S371" s="1">
        <f ca="1">IFERROR(__xludf.DUMMYFUNCTION("""COMPUTED_VALUE"""),74.33)</f>
        <v>74.33</v>
      </c>
      <c r="T371" s="1">
        <f ca="1">IFERROR(__xludf.DUMMYFUNCTION("""COMPUTED_VALUE"""),45.47)</f>
        <v>45.47</v>
      </c>
      <c r="U371" s="1">
        <f ca="1">IFERROR(__xludf.DUMMYFUNCTION("""COMPUTED_VALUE"""),130.08)</f>
        <v>130.08000000000001</v>
      </c>
      <c r="V371" s="1">
        <f ca="1">IFERROR(__xludf.DUMMYFUNCTION("""COMPUTED_VALUE"""),213.21)</f>
        <v>213.21</v>
      </c>
      <c r="W371" s="1">
        <f ca="1">IFERROR(__xludf.DUMMYFUNCTION("""COMPUTED_VALUE"""),382.5)</f>
        <v>382.5</v>
      </c>
      <c r="X371" s="1">
        <f ca="1">IFERROR(__xludf.DUMMYFUNCTION("""COMPUTED_VALUE"""),680.65)</f>
        <v>680.65</v>
      </c>
      <c r="Y371" s="1">
        <f ca="1">IFERROR(__xludf.DUMMYFUNCTION("""COMPUTED_VALUE"""),114.14)</f>
        <v>114.14</v>
      </c>
      <c r="Z371" s="1">
        <f ca="1">IFERROR(__xludf.DUMMYFUNCTION("""COMPUTED_VALUE"""),357.54)</f>
        <v>357.54</v>
      </c>
      <c r="AA371" s="1">
        <f ca="1">IFERROR(__xludf.DUMMYFUNCTION("""COMPUTED_VALUE"""),39.42)</f>
        <v>39.42</v>
      </c>
      <c r="AB371" s="1">
        <f ca="1">IFERROR(__xludf.DUMMYFUNCTION("""COMPUTED_VALUE"""),110.97)</f>
        <v>110.97</v>
      </c>
      <c r="AC371" s="1">
        <f ca="1">IFERROR(__xludf.DUMMYFUNCTION("""COMPUTED_VALUE"""),82.59)</f>
        <v>82.59</v>
      </c>
    </row>
    <row r="372" spans="1:29" x14ac:dyDescent="0.25">
      <c r="A372" s="2">
        <f ca="1">IFERROR(__xludf.DUMMYFUNCTION("""COMPUTED_VALUE"""),44369.6666666666)</f>
        <v>44369.666666666599</v>
      </c>
      <c r="B372" s="1">
        <f ca="1">IFERROR(__xludf.DUMMYFUNCTION("""COMPUTED_VALUE"""),133.98)</f>
        <v>133.97999999999999</v>
      </c>
      <c r="C372" s="1">
        <f ca="1">IFERROR(__xludf.DUMMYFUNCTION("""COMPUTED_VALUE"""),265.51)</f>
        <v>265.51</v>
      </c>
      <c r="D372" s="1">
        <f ca="1">IFERROR(__xludf.DUMMYFUNCTION("""COMPUTED_VALUE"""),175.27)</f>
        <v>175.27</v>
      </c>
      <c r="E372" s="1">
        <f ca="1">IFERROR(__xludf.DUMMYFUNCTION("""COMPUTED_VALUE"""),18.89)</f>
        <v>18.89</v>
      </c>
      <c r="F372" s="1">
        <f ca="1">IFERROR(__xludf.DUMMYFUNCTION("""COMPUTED_VALUE"""),339.03)</f>
        <v>339.03</v>
      </c>
      <c r="G372" s="1">
        <f ca="1">IFERROR(__xludf.DUMMYFUNCTION("""COMPUTED_VALUE"""),127)</f>
        <v>127</v>
      </c>
      <c r="H372" s="1">
        <f ca="1">IFERROR(__xludf.DUMMYFUNCTION("""COMPUTED_VALUE"""),207.9)</f>
        <v>207.9</v>
      </c>
      <c r="I372" s="1">
        <f ca="1">IFERROR(__xludf.DUMMYFUNCTION("""COMPUTED_VALUE"""),146.78)</f>
        <v>146.78</v>
      </c>
      <c r="J372" s="1">
        <f ca="1">IFERROR(__xludf.DUMMYFUNCTION("""COMPUTED_VALUE"""),392.18)</f>
        <v>392.18</v>
      </c>
      <c r="K372" s="1">
        <f ca="1">IFERROR(__xludf.DUMMYFUNCTION("""COMPUTED_VALUE"""),46.45)</f>
        <v>46.45</v>
      </c>
      <c r="L372" s="1">
        <f ca="1">IFERROR(__xludf.DUMMYFUNCTION("""COMPUTED_VALUE"""),575.74)</f>
        <v>575.74</v>
      </c>
      <c r="M372" s="1">
        <f ca="1">IFERROR(__xludf.DUMMYFUNCTION("""COMPUTED_VALUE"""),508.82)</f>
        <v>508.82</v>
      </c>
      <c r="N372" s="1">
        <f ca="1">IFERROR(__xludf.DUMMYFUNCTION("""COMPUTED_VALUE"""),150.21)</f>
        <v>150.21</v>
      </c>
      <c r="O372" s="1">
        <f ca="1">IFERROR(__xludf.DUMMYFUNCTION("""COMPUTED_VALUE"""),235.93)</f>
        <v>235.93</v>
      </c>
      <c r="P372" s="1">
        <f ca="1">IFERROR(__xludf.DUMMYFUNCTION("""COMPUTED_VALUE"""),163.62)</f>
        <v>163.62</v>
      </c>
      <c r="Q372" s="1">
        <f ca="1">IFERROR(__xludf.DUMMYFUNCTION("""COMPUTED_VALUE"""),398.69)</f>
        <v>398.69</v>
      </c>
      <c r="R372" s="1">
        <f ca="1">IFERROR(__xludf.DUMMYFUNCTION("""COMPUTED_VALUE"""),63.79)</f>
        <v>63.79</v>
      </c>
      <c r="S372" s="1">
        <f ca="1">IFERROR(__xludf.DUMMYFUNCTION("""COMPUTED_VALUE"""),74.11)</f>
        <v>74.11</v>
      </c>
      <c r="T372" s="1">
        <f ca="1">IFERROR(__xludf.DUMMYFUNCTION("""COMPUTED_VALUE"""),45.68)</f>
        <v>45.68</v>
      </c>
      <c r="U372" s="1">
        <f ca="1">IFERROR(__xludf.DUMMYFUNCTION("""COMPUTED_VALUE"""),132.48)</f>
        <v>132.47999999999999</v>
      </c>
      <c r="V372" s="1">
        <f ca="1">IFERROR(__xludf.DUMMYFUNCTION("""COMPUTED_VALUE"""),213.13)</f>
        <v>213.13</v>
      </c>
      <c r="W372" s="1">
        <f ca="1">IFERROR(__xludf.DUMMYFUNCTION("""COMPUTED_VALUE"""),382.48)</f>
        <v>382.48</v>
      </c>
      <c r="X372" s="1">
        <f ca="1">IFERROR(__xludf.DUMMYFUNCTION("""COMPUTED_VALUE"""),685.81)</f>
        <v>685.81</v>
      </c>
      <c r="Y372" s="1">
        <f ca="1">IFERROR(__xludf.DUMMYFUNCTION("""COMPUTED_VALUE"""),114.33)</f>
        <v>114.33</v>
      </c>
      <c r="Z372" s="1">
        <f ca="1">IFERROR(__xludf.DUMMYFUNCTION("""COMPUTED_VALUE"""),357.53)</f>
        <v>357.53</v>
      </c>
      <c r="AA372" s="1">
        <f ca="1">IFERROR(__xludf.DUMMYFUNCTION("""COMPUTED_VALUE"""),39.61)</f>
        <v>39.61</v>
      </c>
      <c r="AB372" s="1">
        <f ca="1">IFERROR(__xludf.DUMMYFUNCTION("""COMPUTED_VALUE"""),111.85)</f>
        <v>111.85</v>
      </c>
      <c r="AC372" s="1">
        <f ca="1">IFERROR(__xludf.DUMMYFUNCTION("""COMPUTED_VALUE"""),83.58)</f>
        <v>83.58</v>
      </c>
    </row>
    <row r="373" spans="1:29" x14ac:dyDescent="0.25">
      <c r="A373" s="2">
        <f ca="1">IFERROR(__xludf.DUMMYFUNCTION("""COMPUTED_VALUE"""),44370.6666666666)</f>
        <v>44370.666666666599</v>
      </c>
      <c r="B373" s="1">
        <f ca="1">IFERROR(__xludf.DUMMYFUNCTION("""COMPUTED_VALUE"""),133.7)</f>
        <v>133.69999999999999</v>
      </c>
      <c r="C373" s="1">
        <f ca="1">IFERROR(__xludf.DUMMYFUNCTION("""COMPUTED_VALUE"""),265.27)</f>
        <v>265.27</v>
      </c>
      <c r="D373" s="1">
        <f ca="1">IFERROR(__xludf.DUMMYFUNCTION("""COMPUTED_VALUE"""),175.19)</f>
        <v>175.19</v>
      </c>
      <c r="E373" s="1">
        <f ca="1">IFERROR(__xludf.DUMMYFUNCTION("""COMPUTED_VALUE"""),19.06)</f>
        <v>19.059999999999999</v>
      </c>
      <c r="F373" s="1">
        <f ca="1">IFERROR(__xludf.DUMMYFUNCTION("""COMPUTED_VALUE"""),340.59)</f>
        <v>340.59</v>
      </c>
      <c r="G373" s="1">
        <f ca="1">IFERROR(__xludf.DUMMYFUNCTION("""COMPUTED_VALUE"""),126.46)</f>
        <v>126.46</v>
      </c>
      <c r="H373" s="1">
        <f ca="1">IFERROR(__xludf.DUMMYFUNCTION("""COMPUTED_VALUE"""),218.86)</f>
        <v>218.86</v>
      </c>
      <c r="I373" s="1">
        <f ca="1">IFERROR(__xludf.DUMMYFUNCTION("""COMPUTED_VALUE"""),144.85)</f>
        <v>144.85</v>
      </c>
      <c r="J373" s="1">
        <f ca="1">IFERROR(__xludf.DUMMYFUNCTION("""COMPUTED_VALUE"""),391.97)</f>
        <v>391.97</v>
      </c>
      <c r="K373" s="1">
        <f ca="1">IFERROR(__xludf.DUMMYFUNCTION("""COMPUTED_VALUE"""),46.67)</f>
        <v>46.67</v>
      </c>
      <c r="L373" s="1">
        <f ca="1">IFERROR(__xludf.DUMMYFUNCTION("""COMPUTED_VALUE"""),574.23)</f>
        <v>574.23</v>
      </c>
      <c r="M373" s="1">
        <f ca="1">IFERROR(__xludf.DUMMYFUNCTION("""COMPUTED_VALUE"""),512.74)</f>
        <v>512.74</v>
      </c>
      <c r="N373" s="1">
        <f ca="1">IFERROR(__xludf.DUMMYFUNCTION("""COMPUTED_VALUE"""),151.12)</f>
        <v>151.12</v>
      </c>
      <c r="O373" s="1">
        <f ca="1">IFERROR(__xludf.DUMMYFUNCTION("""COMPUTED_VALUE"""),234.68)</f>
        <v>234.68</v>
      </c>
      <c r="P373" s="1">
        <f ca="1">IFERROR(__xludf.DUMMYFUNCTION("""COMPUTED_VALUE"""),162.63)</f>
        <v>162.63</v>
      </c>
      <c r="Q373" s="1">
        <f ca="1">IFERROR(__xludf.DUMMYFUNCTION("""COMPUTED_VALUE"""),395.56)</f>
        <v>395.56</v>
      </c>
      <c r="R373" s="1">
        <f ca="1">IFERROR(__xludf.DUMMYFUNCTION("""COMPUTED_VALUE"""),64.26)</f>
        <v>64.260000000000005</v>
      </c>
      <c r="S373" s="1">
        <f ca="1">IFERROR(__xludf.DUMMYFUNCTION("""COMPUTED_VALUE"""),73.35)</f>
        <v>73.349999999999994</v>
      </c>
      <c r="T373" s="1">
        <f ca="1">IFERROR(__xludf.DUMMYFUNCTION("""COMPUTED_VALUE"""),45.32)</f>
        <v>45.32</v>
      </c>
      <c r="U373" s="1">
        <f ca="1">IFERROR(__xludf.DUMMYFUNCTION("""COMPUTED_VALUE"""),133.1)</f>
        <v>133.1</v>
      </c>
      <c r="V373" s="1">
        <f ca="1">IFERROR(__xludf.DUMMYFUNCTION("""COMPUTED_VALUE"""),213.79)</f>
        <v>213.79</v>
      </c>
      <c r="W373" s="1">
        <f ca="1">IFERROR(__xludf.DUMMYFUNCTION("""COMPUTED_VALUE"""),377.33)</f>
        <v>377.33</v>
      </c>
      <c r="X373" s="1">
        <f ca="1">IFERROR(__xludf.DUMMYFUNCTION("""COMPUTED_VALUE"""),681.65)</f>
        <v>681.65</v>
      </c>
      <c r="Y373" s="1">
        <f ca="1">IFERROR(__xludf.DUMMYFUNCTION("""COMPUTED_VALUE"""),116.05)</f>
        <v>116.05</v>
      </c>
      <c r="Z373" s="1">
        <f ca="1">IFERROR(__xludf.DUMMYFUNCTION("""COMPUTED_VALUE"""),361.05)</f>
        <v>361.05</v>
      </c>
      <c r="AA373" s="1">
        <f ca="1">IFERROR(__xludf.DUMMYFUNCTION("""COMPUTED_VALUE"""),39.05)</f>
        <v>39.049999999999997</v>
      </c>
      <c r="AB373" s="1">
        <f ca="1">IFERROR(__xludf.DUMMYFUNCTION("""COMPUTED_VALUE"""),111.56)</f>
        <v>111.56</v>
      </c>
      <c r="AC373" s="1">
        <f ca="1">IFERROR(__xludf.DUMMYFUNCTION("""COMPUTED_VALUE"""),83.82)</f>
        <v>83.82</v>
      </c>
    </row>
    <row r="374" spans="1:29" x14ac:dyDescent="0.25">
      <c r="A374" s="2">
        <f ca="1">IFERROR(__xludf.DUMMYFUNCTION("""COMPUTED_VALUE"""),44371.6666666666)</f>
        <v>44371.666666666599</v>
      </c>
      <c r="B374" s="1">
        <f ca="1">IFERROR(__xludf.DUMMYFUNCTION("""COMPUTED_VALUE"""),133.41)</f>
        <v>133.41</v>
      </c>
      <c r="C374" s="1">
        <f ca="1">IFERROR(__xludf.DUMMYFUNCTION("""COMPUTED_VALUE"""),266.69)</f>
        <v>266.69</v>
      </c>
      <c r="D374" s="1">
        <f ca="1">IFERROR(__xludf.DUMMYFUNCTION("""COMPUTED_VALUE"""),172.45)</f>
        <v>172.45</v>
      </c>
      <c r="E374" s="1">
        <f ca="1">IFERROR(__xludf.DUMMYFUNCTION("""COMPUTED_VALUE"""),19.21)</f>
        <v>19.21</v>
      </c>
      <c r="F374" s="1">
        <f ca="1">IFERROR(__xludf.DUMMYFUNCTION("""COMPUTED_VALUE"""),343.18)</f>
        <v>343.18</v>
      </c>
      <c r="G374" s="1">
        <f ca="1">IFERROR(__xludf.DUMMYFUNCTION("""COMPUTED_VALUE"""),127.28)</f>
        <v>127.28</v>
      </c>
      <c r="H374" s="1">
        <f ca="1">IFERROR(__xludf.DUMMYFUNCTION("""COMPUTED_VALUE"""),226.61)</f>
        <v>226.61</v>
      </c>
      <c r="I374" s="1">
        <f ca="1">IFERROR(__xludf.DUMMYFUNCTION("""COMPUTED_VALUE"""),145.67)</f>
        <v>145.66999999999999</v>
      </c>
      <c r="J374" s="1">
        <f ca="1">IFERROR(__xludf.DUMMYFUNCTION("""COMPUTED_VALUE"""),392.07)</f>
        <v>392.07</v>
      </c>
      <c r="K374" s="1">
        <f ca="1">IFERROR(__xludf.DUMMYFUNCTION("""COMPUTED_VALUE"""),47.01)</f>
        <v>47.01</v>
      </c>
      <c r="L374" s="1">
        <f ca="1">IFERROR(__xludf.DUMMYFUNCTION("""COMPUTED_VALUE"""),578.26)</f>
        <v>578.26</v>
      </c>
      <c r="M374" s="1">
        <f ca="1">IFERROR(__xludf.DUMMYFUNCTION("""COMPUTED_VALUE"""),518.06)</f>
        <v>518.05999999999995</v>
      </c>
      <c r="N374" s="1">
        <f ca="1">IFERROR(__xludf.DUMMYFUNCTION("""COMPUTED_VALUE"""),152.51)</f>
        <v>152.51</v>
      </c>
      <c r="O374" s="1">
        <f ca="1">IFERROR(__xludf.DUMMYFUNCTION("""COMPUTED_VALUE"""),236.24)</f>
        <v>236.24</v>
      </c>
      <c r="P374" s="1">
        <f ca="1">IFERROR(__xludf.DUMMYFUNCTION("""COMPUTED_VALUE"""),163.37)</f>
        <v>163.37</v>
      </c>
      <c r="Q374" s="1">
        <f ca="1">IFERROR(__xludf.DUMMYFUNCTION("""COMPUTED_VALUE"""),398.87)</f>
        <v>398.87</v>
      </c>
      <c r="R374" s="1">
        <f ca="1">IFERROR(__xludf.DUMMYFUNCTION("""COMPUTED_VALUE"""),64.52)</f>
        <v>64.52</v>
      </c>
      <c r="S374" s="1">
        <f ca="1">IFERROR(__xludf.DUMMYFUNCTION("""COMPUTED_VALUE"""),72.88)</f>
        <v>72.88</v>
      </c>
      <c r="T374" s="1">
        <f ca="1">IFERROR(__xludf.DUMMYFUNCTION("""COMPUTED_VALUE"""),45.64)</f>
        <v>45.64</v>
      </c>
      <c r="U374" s="1">
        <f ca="1">IFERROR(__xludf.DUMMYFUNCTION("""COMPUTED_VALUE"""),133.6)</f>
        <v>133.6</v>
      </c>
      <c r="V374" s="1">
        <f ca="1">IFERROR(__xludf.DUMMYFUNCTION("""COMPUTED_VALUE"""),219.34)</f>
        <v>219.34</v>
      </c>
      <c r="W374" s="1">
        <f ca="1">IFERROR(__xludf.DUMMYFUNCTION("""COMPUTED_VALUE"""),377.73)</f>
        <v>377.73</v>
      </c>
      <c r="X374" s="1">
        <f ca="1">IFERROR(__xludf.DUMMYFUNCTION("""COMPUTED_VALUE"""),695)</f>
        <v>695</v>
      </c>
      <c r="Y374" s="1">
        <f ca="1">IFERROR(__xludf.DUMMYFUNCTION("""COMPUTED_VALUE"""),117.24)</f>
        <v>117.24</v>
      </c>
      <c r="Z374" s="1">
        <f ca="1">IFERROR(__xludf.DUMMYFUNCTION("""COMPUTED_VALUE"""),368.75)</f>
        <v>368.75</v>
      </c>
      <c r="AA374" s="1">
        <f ca="1">IFERROR(__xludf.DUMMYFUNCTION("""COMPUTED_VALUE"""),39.19)</f>
        <v>39.19</v>
      </c>
      <c r="AB374" s="1">
        <f ca="1">IFERROR(__xludf.DUMMYFUNCTION("""COMPUTED_VALUE"""),111.99)</f>
        <v>111.99</v>
      </c>
      <c r="AC374" s="1">
        <f ca="1">IFERROR(__xludf.DUMMYFUNCTION("""COMPUTED_VALUE"""),86.1)</f>
        <v>86.1</v>
      </c>
    </row>
    <row r="375" spans="1:29" x14ac:dyDescent="0.25">
      <c r="A375" s="2">
        <f ca="1">IFERROR(__xludf.DUMMYFUNCTION("""COMPUTED_VALUE"""),44372.6666666666)</f>
        <v>44372.666666666599</v>
      </c>
      <c r="B375" s="1">
        <f ca="1">IFERROR(__xludf.DUMMYFUNCTION("""COMPUTED_VALUE"""),133.11)</f>
        <v>133.11000000000001</v>
      </c>
      <c r="C375" s="1">
        <f ca="1">IFERROR(__xludf.DUMMYFUNCTION("""COMPUTED_VALUE"""),265.02)</f>
        <v>265.02</v>
      </c>
      <c r="D375" s="1">
        <f ca="1">IFERROR(__xludf.DUMMYFUNCTION("""COMPUTED_VALUE"""),170.07)</f>
        <v>170.07</v>
      </c>
      <c r="E375" s="1">
        <f ca="1">IFERROR(__xludf.DUMMYFUNCTION("""COMPUTED_VALUE"""),19.03)</f>
        <v>19.03</v>
      </c>
      <c r="F375" s="1">
        <f ca="1">IFERROR(__xludf.DUMMYFUNCTION("""COMPUTED_VALUE"""),341.37)</f>
        <v>341.37</v>
      </c>
      <c r="G375" s="1">
        <f ca="1">IFERROR(__xludf.DUMMYFUNCTION("""COMPUTED_VALUE"""),127)</f>
        <v>127</v>
      </c>
      <c r="H375" s="1">
        <f ca="1">IFERROR(__xludf.DUMMYFUNCTION("""COMPUTED_VALUE"""),223.96)</f>
        <v>223.96</v>
      </c>
      <c r="I375" s="1">
        <f ca="1">IFERROR(__xludf.DUMMYFUNCTION("""COMPUTED_VALUE"""),146.41)</f>
        <v>146.41</v>
      </c>
      <c r="J375" s="1">
        <f ca="1">IFERROR(__xludf.DUMMYFUNCTION("""COMPUTED_VALUE"""),394.51)</f>
        <v>394.51</v>
      </c>
      <c r="K375" s="1">
        <f ca="1">IFERROR(__xludf.DUMMYFUNCTION("""COMPUTED_VALUE"""),46.22)</f>
        <v>46.22</v>
      </c>
      <c r="L375" s="1">
        <f ca="1">IFERROR(__xludf.DUMMYFUNCTION("""COMPUTED_VALUE"""),579.66)</f>
        <v>579.66</v>
      </c>
      <c r="M375" s="1">
        <f ca="1">IFERROR(__xludf.DUMMYFUNCTION("""COMPUTED_VALUE"""),527.07)</f>
        <v>527.07000000000005</v>
      </c>
      <c r="N375" s="1">
        <f ca="1">IFERROR(__xludf.DUMMYFUNCTION("""COMPUTED_VALUE"""),154.05)</f>
        <v>154.05000000000001</v>
      </c>
      <c r="O375" s="1">
        <f ca="1">IFERROR(__xludf.DUMMYFUNCTION("""COMPUTED_VALUE"""),237.32)</f>
        <v>237.32</v>
      </c>
      <c r="P375" s="1">
        <f ca="1">IFERROR(__xludf.DUMMYFUNCTION("""COMPUTED_VALUE"""),164.21)</f>
        <v>164.21</v>
      </c>
      <c r="Q375" s="1">
        <f ca="1">IFERROR(__xludf.DUMMYFUNCTION("""COMPUTED_VALUE"""),404.95)</f>
        <v>404.95</v>
      </c>
      <c r="R375" s="1">
        <f ca="1">IFERROR(__xludf.DUMMYFUNCTION("""COMPUTED_VALUE"""),64.66)</f>
        <v>64.66</v>
      </c>
      <c r="S375" s="1">
        <f ca="1">IFERROR(__xludf.DUMMYFUNCTION("""COMPUTED_VALUE"""),73.86)</f>
        <v>73.86</v>
      </c>
      <c r="T375" s="1">
        <f ca="1">IFERROR(__xludf.DUMMYFUNCTION("""COMPUTED_VALUE"""),46.18)</f>
        <v>46.18</v>
      </c>
      <c r="U375" s="1">
        <f ca="1">IFERROR(__xludf.DUMMYFUNCTION("""COMPUTED_VALUE"""),154.35)</f>
        <v>154.35</v>
      </c>
      <c r="V375" s="1">
        <f ca="1">IFERROR(__xludf.DUMMYFUNCTION("""COMPUTED_VALUE"""),216.31)</f>
        <v>216.31</v>
      </c>
      <c r="W375" s="1">
        <f ca="1">IFERROR(__xludf.DUMMYFUNCTION("""COMPUTED_VALUE"""),382.01)</f>
        <v>382.01</v>
      </c>
      <c r="X375" s="1">
        <f ca="1">IFERROR(__xludf.DUMMYFUNCTION("""COMPUTED_VALUE"""),686.21)</f>
        <v>686.21</v>
      </c>
      <c r="Y375" s="1">
        <f ca="1">IFERROR(__xludf.DUMMYFUNCTION("""COMPUTED_VALUE"""),116.53)</f>
        <v>116.53</v>
      </c>
      <c r="Z375" s="1">
        <f ca="1">IFERROR(__xludf.DUMMYFUNCTION("""COMPUTED_VALUE"""),368.77)</f>
        <v>368.77</v>
      </c>
      <c r="AA375" s="1">
        <f ca="1">IFERROR(__xludf.DUMMYFUNCTION("""COMPUTED_VALUE"""),38.98)</f>
        <v>38.979999999999997</v>
      </c>
      <c r="AB375" s="1">
        <f ca="1">IFERROR(__xludf.DUMMYFUNCTION("""COMPUTED_VALUE"""),113.04)</f>
        <v>113.04</v>
      </c>
      <c r="AC375" s="1">
        <f ca="1">IFERROR(__xludf.DUMMYFUNCTION("""COMPUTED_VALUE"""),85.62)</f>
        <v>85.62</v>
      </c>
    </row>
    <row r="376" spans="1:29" x14ac:dyDescent="0.25">
      <c r="A376" s="2">
        <f ca="1">IFERROR(__xludf.DUMMYFUNCTION("""COMPUTED_VALUE"""),44375.6666666666)</f>
        <v>44375.666666666599</v>
      </c>
      <c r="B376" s="1">
        <f ca="1">IFERROR(__xludf.DUMMYFUNCTION("""COMPUTED_VALUE"""),134.78)</f>
        <v>134.78</v>
      </c>
      <c r="C376" s="1">
        <f ca="1">IFERROR(__xludf.DUMMYFUNCTION("""COMPUTED_VALUE"""),268.72)</f>
        <v>268.72000000000003</v>
      </c>
      <c r="D376" s="1">
        <f ca="1">IFERROR(__xludf.DUMMYFUNCTION("""COMPUTED_VALUE"""),172.19)</f>
        <v>172.19</v>
      </c>
      <c r="E376" s="1">
        <f ca="1">IFERROR(__xludf.DUMMYFUNCTION("""COMPUTED_VALUE"""),19.99)</f>
        <v>19.989999999999998</v>
      </c>
      <c r="F376" s="1">
        <f ca="1">IFERROR(__xludf.DUMMYFUNCTION("""COMPUTED_VALUE"""),355.64)</f>
        <v>355.64</v>
      </c>
      <c r="G376" s="1">
        <f ca="1">IFERROR(__xludf.DUMMYFUNCTION("""COMPUTED_VALUE"""),126.82)</f>
        <v>126.82</v>
      </c>
      <c r="H376" s="1">
        <f ca="1">IFERROR(__xludf.DUMMYFUNCTION("""COMPUTED_VALUE"""),229.57)</f>
        <v>229.57</v>
      </c>
      <c r="I376" s="1">
        <f ca="1">IFERROR(__xludf.DUMMYFUNCTION("""COMPUTED_VALUE"""),147.04)</f>
        <v>147.04</v>
      </c>
      <c r="J376" s="1">
        <f ca="1">IFERROR(__xludf.DUMMYFUNCTION("""COMPUTED_VALUE"""),396.54)</f>
        <v>396.54</v>
      </c>
      <c r="K376" s="1">
        <f ca="1">IFERROR(__xludf.DUMMYFUNCTION("""COMPUTED_VALUE"""),47.28)</f>
        <v>47.28</v>
      </c>
      <c r="L376" s="1">
        <f ca="1">IFERROR(__xludf.DUMMYFUNCTION("""COMPUTED_VALUE"""),588.8)</f>
        <v>588.79999999999995</v>
      </c>
      <c r="M376" s="1">
        <f ca="1">IFERROR(__xludf.DUMMYFUNCTION("""COMPUTED_VALUE"""),533.03)</f>
        <v>533.03</v>
      </c>
      <c r="N376" s="1">
        <f ca="1">IFERROR(__xludf.DUMMYFUNCTION("""COMPUTED_VALUE"""),154.33)</f>
        <v>154.33000000000001</v>
      </c>
      <c r="O376" s="1">
        <f ca="1">IFERROR(__xludf.DUMMYFUNCTION("""COMPUTED_VALUE"""),234.09)</f>
        <v>234.09</v>
      </c>
      <c r="P376" s="1">
        <f ca="1">IFERROR(__xludf.DUMMYFUNCTION("""COMPUTED_VALUE"""),164.02)</f>
        <v>164.02</v>
      </c>
      <c r="Q376" s="1">
        <f ca="1">IFERROR(__xludf.DUMMYFUNCTION("""COMPUTED_VALUE"""),401.46)</f>
        <v>401.46</v>
      </c>
      <c r="R376" s="1">
        <f ca="1">IFERROR(__xludf.DUMMYFUNCTION("""COMPUTED_VALUE"""),63.01)</f>
        <v>63.01</v>
      </c>
      <c r="S376" s="1">
        <f ca="1">IFERROR(__xludf.DUMMYFUNCTION("""COMPUTED_VALUE"""),75.15)</f>
        <v>75.150000000000006</v>
      </c>
      <c r="T376" s="1">
        <f ca="1">IFERROR(__xludf.DUMMYFUNCTION("""COMPUTED_VALUE"""),46.03)</f>
        <v>46.03</v>
      </c>
      <c r="U376" s="1">
        <f ca="1">IFERROR(__xludf.DUMMYFUNCTION("""COMPUTED_VALUE"""),152.36)</f>
        <v>152.36000000000001</v>
      </c>
      <c r="V376" s="1">
        <f ca="1">IFERROR(__xludf.DUMMYFUNCTION("""COMPUTED_VALUE"""),216.27)</f>
        <v>216.27</v>
      </c>
      <c r="W376" s="1">
        <f ca="1">IFERROR(__xludf.DUMMYFUNCTION("""COMPUTED_VALUE"""),380.07)</f>
        <v>380.07</v>
      </c>
      <c r="X376" s="1">
        <f ca="1">IFERROR(__xludf.DUMMYFUNCTION("""COMPUTED_VALUE"""),704.11)</f>
        <v>704.11</v>
      </c>
      <c r="Y376" s="1">
        <f ca="1">IFERROR(__xludf.DUMMYFUNCTION("""COMPUTED_VALUE"""),119.61)</f>
        <v>119.61</v>
      </c>
      <c r="Z376" s="1">
        <f ca="1">IFERROR(__xludf.DUMMYFUNCTION("""COMPUTED_VALUE"""),368.71)</f>
        <v>368.71</v>
      </c>
      <c r="AA376" s="1">
        <f ca="1">IFERROR(__xludf.DUMMYFUNCTION("""COMPUTED_VALUE"""),39.12)</f>
        <v>39.119999999999997</v>
      </c>
      <c r="AB376" s="1">
        <f ca="1">IFERROR(__xludf.DUMMYFUNCTION("""COMPUTED_VALUE"""),112.24)</f>
        <v>112.24</v>
      </c>
      <c r="AC376" s="1">
        <f ca="1">IFERROR(__xludf.DUMMYFUNCTION("""COMPUTED_VALUE"""),87.08)</f>
        <v>87.08</v>
      </c>
    </row>
    <row r="377" spans="1:29" x14ac:dyDescent="0.25">
      <c r="A377" s="2">
        <f ca="1">IFERROR(__xludf.DUMMYFUNCTION("""COMPUTED_VALUE"""),44376.6666666666)</f>
        <v>44376.666666666599</v>
      </c>
      <c r="B377" s="1">
        <f ca="1">IFERROR(__xludf.DUMMYFUNCTION("""COMPUTED_VALUE"""),136.33)</f>
        <v>136.33000000000001</v>
      </c>
      <c r="C377" s="1">
        <f ca="1">IFERROR(__xludf.DUMMYFUNCTION("""COMPUTED_VALUE"""),271.4)</f>
        <v>271.39999999999998</v>
      </c>
      <c r="D377" s="1">
        <f ca="1">IFERROR(__xludf.DUMMYFUNCTION("""COMPUTED_VALUE"""),172.41)</f>
        <v>172.41</v>
      </c>
      <c r="E377" s="1">
        <f ca="1">IFERROR(__xludf.DUMMYFUNCTION("""COMPUTED_VALUE"""),20.03)</f>
        <v>20.03</v>
      </c>
      <c r="F377" s="1">
        <f ca="1">IFERROR(__xludf.DUMMYFUNCTION("""COMPUTED_VALUE"""),351.89)</f>
        <v>351.89</v>
      </c>
      <c r="G377" s="1">
        <f ca="1">IFERROR(__xludf.DUMMYFUNCTION("""COMPUTED_VALUE"""),126.02)</f>
        <v>126.02</v>
      </c>
      <c r="H377" s="1">
        <f ca="1">IFERROR(__xludf.DUMMYFUNCTION("""COMPUTED_VALUE"""),226.92)</f>
        <v>226.92</v>
      </c>
      <c r="I377" s="1">
        <f ca="1">IFERROR(__xludf.DUMMYFUNCTION("""COMPUTED_VALUE"""),146.94)</f>
        <v>146.94</v>
      </c>
      <c r="J377" s="1">
        <f ca="1">IFERROR(__xludf.DUMMYFUNCTION("""COMPUTED_VALUE"""),398.79)</f>
        <v>398.79</v>
      </c>
      <c r="K377" s="1">
        <f ca="1">IFERROR(__xludf.DUMMYFUNCTION("""COMPUTED_VALUE"""),47.72)</f>
        <v>47.72</v>
      </c>
      <c r="L377" s="1">
        <f ca="1">IFERROR(__xludf.DUMMYFUNCTION("""COMPUTED_VALUE"""),590.75)</f>
        <v>590.75</v>
      </c>
      <c r="M377" s="1">
        <f ca="1">IFERROR(__xludf.DUMMYFUNCTION("""COMPUTED_VALUE"""),533.5)</f>
        <v>533.5</v>
      </c>
      <c r="N377" s="1">
        <f ca="1">IFERROR(__xludf.DUMMYFUNCTION("""COMPUTED_VALUE"""),154.14)</f>
        <v>154.13999999999999</v>
      </c>
      <c r="O377" s="1">
        <f ca="1">IFERROR(__xludf.DUMMYFUNCTION("""COMPUTED_VALUE"""),235.95)</f>
        <v>235.95</v>
      </c>
      <c r="P377" s="1">
        <f ca="1">IFERROR(__xludf.DUMMYFUNCTION("""COMPUTED_VALUE"""),164.03)</f>
        <v>164.03</v>
      </c>
      <c r="Q377" s="1">
        <f ca="1">IFERROR(__xludf.DUMMYFUNCTION("""COMPUTED_VALUE"""),398.1)</f>
        <v>398.1</v>
      </c>
      <c r="R377" s="1">
        <f ca="1">IFERROR(__xludf.DUMMYFUNCTION("""COMPUTED_VALUE"""),62.62)</f>
        <v>62.62</v>
      </c>
      <c r="S377" s="1">
        <f ca="1">IFERROR(__xludf.DUMMYFUNCTION("""COMPUTED_VALUE"""),74.08)</f>
        <v>74.08</v>
      </c>
      <c r="T377" s="1">
        <f ca="1">IFERROR(__xludf.DUMMYFUNCTION("""COMPUTED_VALUE"""),45.77)</f>
        <v>45.77</v>
      </c>
      <c r="U377" s="1">
        <f ca="1">IFERROR(__xludf.DUMMYFUNCTION("""COMPUTED_VALUE"""),155.95)</f>
        <v>155.94999999999999</v>
      </c>
      <c r="V377" s="1">
        <f ca="1">IFERROR(__xludf.DUMMYFUNCTION("""COMPUTED_VALUE"""),215.1)</f>
        <v>215.1</v>
      </c>
      <c r="W377" s="1">
        <f ca="1">IFERROR(__xludf.DUMMYFUNCTION("""COMPUTED_VALUE"""),373.42)</f>
        <v>373.42</v>
      </c>
      <c r="X377" s="1">
        <f ca="1">IFERROR(__xludf.DUMMYFUNCTION("""COMPUTED_VALUE"""),703.68)</f>
        <v>703.68</v>
      </c>
      <c r="Y377" s="1">
        <f ca="1">IFERROR(__xludf.DUMMYFUNCTION("""COMPUTED_VALUE"""),120.23)</f>
        <v>120.23</v>
      </c>
      <c r="Z377" s="1">
        <f ca="1">IFERROR(__xludf.DUMMYFUNCTION("""COMPUTED_VALUE"""),372.62)</f>
        <v>372.62</v>
      </c>
      <c r="AA377" s="1">
        <f ca="1">IFERROR(__xludf.DUMMYFUNCTION("""COMPUTED_VALUE"""),39.1)</f>
        <v>39.1</v>
      </c>
      <c r="AB377" s="1">
        <f ca="1">IFERROR(__xludf.DUMMYFUNCTION("""COMPUTED_VALUE"""),112.27)</f>
        <v>112.27</v>
      </c>
      <c r="AC377" s="1">
        <f ca="1">IFERROR(__xludf.DUMMYFUNCTION("""COMPUTED_VALUE"""),89.52)</f>
        <v>89.52</v>
      </c>
    </row>
    <row r="378" spans="1:29" x14ac:dyDescent="0.25">
      <c r="A378" s="2">
        <f ca="1">IFERROR(__xludf.DUMMYFUNCTION("""COMPUTED_VALUE"""),44377.6666666666)</f>
        <v>44377.666666666599</v>
      </c>
      <c r="B378" s="1">
        <f ca="1">IFERROR(__xludf.DUMMYFUNCTION("""COMPUTED_VALUE"""),136.96)</f>
        <v>136.96</v>
      </c>
      <c r="C378" s="1">
        <f ca="1">IFERROR(__xludf.DUMMYFUNCTION("""COMPUTED_VALUE"""),270.9)</f>
        <v>270.89999999999998</v>
      </c>
      <c r="D378" s="1">
        <f ca="1">IFERROR(__xludf.DUMMYFUNCTION("""COMPUTED_VALUE"""),172.01)</f>
        <v>172.01</v>
      </c>
      <c r="E378" s="1">
        <f ca="1">IFERROR(__xludf.DUMMYFUNCTION("""COMPUTED_VALUE"""),20)</f>
        <v>20</v>
      </c>
      <c r="F378" s="1">
        <f ca="1">IFERROR(__xludf.DUMMYFUNCTION("""COMPUTED_VALUE"""),347.71)</f>
        <v>347.71</v>
      </c>
      <c r="G378" s="1">
        <f ca="1">IFERROR(__xludf.DUMMYFUNCTION("""COMPUTED_VALUE"""),125.32)</f>
        <v>125.32</v>
      </c>
      <c r="H378" s="1">
        <f ca="1">IFERROR(__xludf.DUMMYFUNCTION("""COMPUTED_VALUE"""),226.57)</f>
        <v>226.57</v>
      </c>
      <c r="I378" s="1">
        <f ca="1">IFERROR(__xludf.DUMMYFUNCTION("""COMPUTED_VALUE"""),148.17)</f>
        <v>148.16999999999999</v>
      </c>
      <c r="J378" s="1">
        <f ca="1">IFERROR(__xludf.DUMMYFUNCTION("""COMPUTED_VALUE"""),395.67)</f>
        <v>395.67</v>
      </c>
      <c r="K378" s="1">
        <f ca="1">IFERROR(__xludf.DUMMYFUNCTION("""COMPUTED_VALUE"""),47.68)</f>
        <v>47.68</v>
      </c>
      <c r="L378" s="1">
        <f ca="1">IFERROR(__xludf.DUMMYFUNCTION("""COMPUTED_VALUE"""),585.64)</f>
        <v>585.64</v>
      </c>
      <c r="M378" s="1">
        <f ca="1">IFERROR(__xludf.DUMMYFUNCTION("""COMPUTED_VALUE"""),528.21)</f>
        <v>528.21</v>
      </c>
      <c r="N378" s="1">
        <f ca="1">IFERROR(__xludf.DUMMYFUNCTION("""COMPUTED_VALUE"""),155.54)</f>
        <v>155.54</v>
      </c>
      <c r="O378" s="1">
        <f ca="1">IFERROR(__xludf.DUMMYFUNCTION("""COMPUTED_VALUE"""),233.82)</f>
        <v>233.82</v>
      </c>
      <c r="P378" s="1">
        <f ca="1">IFERROR(__xludf.DUMMYFUNCTION("""COMPUTED_VALUE"""),164.74)</f>
        <v>164.74</v>
      </c>
      <c r="Q378" s="1">
        <f ca="1">IFERROR(__xludf.DUMMYFUNCTION("""COMPUTED_VALUE"""),400.44)</f>
        <v>400.44</v>
      </c>
      <c r="R378" s="1">
        <f ca="1">IFERROR(__xludf.DUMMYFUNCTION("""COMPUTED_VALUE"""),63.08)</f>
        <v>63.08</v>
      </c>
      <c r="S378" s="1">
        <f ca="1">IFERROR(__xludf.DUMMYFUNCTION("""COMPUTED_VALUE"""),73.28)</f>
        <v>73.28</v>
      </c>
      <c r="T378" s="1">
        <f ca="1">IFERROR(__xludf.DUMMYFUNCTION("""COMPUTED_VALUE"""),47.01)</f>
        <v>47.01</v>
      </c>
      <c r="U378" s="1">
        <f ca="1">IFERROR(__xludf.DUMMYFUNCTION("""COMPUTED_VALUE"""),154.49)</f>
        <v>154.49</v>
      </c>
      <c r="V378" s="1">
        <f ca="1">IFERROR(__xludf.DUMMYFUNCTION("""COMPUTED_VALUE"""),217.63)</f>
        <v>217.63</v>
      </c>
      <c r="W378" s="1">
        <f ca="1">IFERROR(__xludf.DUMMYFUNCTION("""COMPUTED_VALUE"""),378.35)</f>
        <v>378.35</v>
      </c>
      <c r="X378" s="1">
        <f ca="1">IFERROR(__xludf.DUMMYFUNCTION("""COMPUTED_VALUE"""),690.84)</f>
        <v>690.84</v>
      </c>
      <c r="Y378" s="1">
        <f ca="1">IFERROR(__xludf.DUMMYFUNCTION("""COMPUTED_VALUE"""),120.16)</f>
        <v>120.16</v>
      </c>
      <c r="Z378" s="1">
        <f ca="1">IFERROR(__xludf.DUMMYFUNCTION("""COMPUTED_VALUE"""),379.53)</f>
        <v>379.53</v>
      </c>
      <c r="AA378" s="1">
        <f ca="1">IFERROR(__xludf.DUMMYFUNCTION("""COMPUTED_VALUE"""),39.16)</f>
        <v>39.159999999999997</v>
      </c>
      <c r="AB378" s="1">
        <f ca="1">IFERROR(__xludf.DUMMYFUNCTION("""COMPUTED_VALUE"""),111.81)</f>
        <v>111.81</v>
      </c>
      <c r="AC378" s="1">
        <f ca="1">IFERROR(__xludf.DUMMYFUNCTION("""COMPUTED_VALUE"""),93.93)</f>
        <v>93.93</v>
      </c>
    </row>
    <row r="379" spans="1:29" x14ac:dyDescent="0.25">
      <c r="A379" s="2">
        <f ca="1">IFERROR(__xludf.DUMMYFUNCTION("""COMPUTED_VALUE"""),44378.6666666666)</f>
        <v>44378.666666666599</v>
      </c>
      <c r="B379" s="1">
        <f ca="1">IFERROR(__xludf.DUMMYFUNCTION("""COMPUTED_VALUE"""),137.27)</f>
        <v>137.27000000000001</v>
      </c>
      <c r="C379" s="1">
        <f ca="1">IFERROR(__xludf.DUMMYFUNCTION("""COMPUTED_VALUE"""),271.6)</f>
        <v>271.60000000000002</v>
      </c>
      <c r="D379" s="1">
        <f ca="1">IFERROR(__xludf.DUMMYFUNCTION("""COMPUTED_VALUE"""),171.65)</f>
        <v>171.65</v>
      </c>
      <c r="E379" s="1">
        <f ca="1">IFERROR(__xludf.DUMMYFUNCTION("""COMPUTED_VALUE"""),20.21)</f>
        <v>20.21</v>
      </c>
      <c r="F379" s="1">
        <f ca="1">IFERROR(__xludf.DUMMYFUNCTION("""COMPUTED_VALUE"""),354.39)</f>
        <v>354.39</v>
      </c>
      <c r="G379" s="1">
        <f ca="1">IFERROR(__xludf.DUMMYFUNCTION("""COMPUTED_VALUE"""),126.37)</f>
        <v>126.37</v>
      </c>
      <c r="H379" s="1">
        <f ca="1">IFERROR(__xludf.DUMMYFUNCTION("""COMPUTED_VALUE"""),225.97)</f>
        <v>225.97</v>
      </c>
      <c r="I379" s="1">
        <f ca="1">IFERROR(__xludf.DUMMYFUNCTION("""COMPUTED_VALUE"""),148.2)</f>
        <v>148.19999999999999</v>
      </c>
      <c r="J379" s="1">
        <f ca="1">IFERROR(__xludf.DUMMYFUNCTION("""COMPUTED_VALUE"""),394.53)</f>
        <v>394.53</v>
      </c>
      <c r="K379" s="1">
        <f ca="1">IFERROR(__xludf.DUMMYFUNCTION("""COMPUTED_VALUE"""),46.96)</f>
        <v>46.96</v>
      </c>
      <c r="L379" s="1">
        <f ca="1">IFERROR(__xludf.DUMMYFUNCTION("""COMPUTED_VALUE"""),584.73)</f>
        <v>584.73</v>
      </c>
      <c r="M379" s="1">
        <f ca="1">IFERROR(__xludf.DUMMYFUNCTION("""COMPUTED_VALUE"""),533.54)</f>
        <v>533.54</v>
      </c>
      <c r="N379" s="1">
        <f ca="1">IFERROR(__xludf.DUMMYFUNCTION("""COMPUTED_VALUE"""),157.08)</f>
        <v>157.08000000000001</v>
      </c>
      <c r="O379" s="1">
        <f ca="1">IFERROR(__xludf.DUMMYFUNCTION("""COMPUTED_VALUE"""),235.15)</f>
        <v>235.15</v>
      </c>
      <c r="P379" s="1">
        <f ca="1">IFERROR(__xludf.DUMMYFUNCTION("""COMPUTED_VALUE"""),165.96)</f>
        <v>165.96</v>
      </c>
      <c r="Q379" s="1">
        <f ca="1">IFERROR(__xludf.DUMMYFUNCTION("""COMPUTED_VALUE"""),404.89)</f>
        <v>404.89</v>
      </c>
      <c r="R379" s="1">
        <f ca="1">IFERROR(__xludf.DUMMYFUNCTION("""COMPUTED_VALUE"""),63.26)</f>
        <v>63.26</v>
      </c>
      <c r="S379" s="1">
        <f ca="1">IFERROR(__xludf.DUMMYFUNCTION("""COMPUTED_VALUE"""),74.19)</f>
        <v>74.19</v>
      </c>
      <c r="T379" s="1">
        <f ca="1">IFERROR(__xludf.DUMMYFUNCTION("""COMPUTED_VALUE"""),46.44)</f>
        <v>46.44</v>
      </c>
      <c r="U379" s="1">
        <f ca="1">IFERROR(__xludf.DUMMYFUNCTION("""COMPUTED_VALUE"""),158)</f>
        <v>158</v>
      </c>
      <c r="V379" s="1">
        <f ca="1">IFERROR(__xludf.DUMMYFUNCTION("""COMPUTED_VALUE"""),216.71)</f>
        <v>216.71</v>
      </c>
      <c r="W379" s="1">
        <f ca="1">IFERROR(__xludf.DUMMYFUNCTION("""COMPUTED_VALUE"""),380.22)</f>
        <v>380.22</v>
      </c>
      <c r="X379" s="1">
        <f ca="1">IFERROR(__xludf.DUMMYFUNCTION("""COMPUTED_VALUE"""),679.31)</f>
        <v>679.31</v>
      </c>
      <c r="Y379" s="1">
        <f ca="1">IFERROR(__xludf.DUMMYFUNCTION("""COMPUTED_VALUE"""),118.42)</f>
        <v>118.42</v>
      </c>
      <c r="Z379" s="1">
        <f ca="1">IFERROR(__xludf.DUMMYFUNCTION("""COMPUTED_VALUE"""),374.99)</f>
        <v>374.99</v>
      </c>
      <c r="AA379" s="1">
        <f ca="1">IFERROR(__xludf.DUMMYFUNCTION("""COMPUTED_VALUE"""),39.56)</f>
        <v>39.56</v>
      </c>
      <c r="AB379" s="1">
        <f ca="1">IFERROR(__xludf.DUMMYFUNCTION("""COMPUTED_VALUE"""),113.41)</f>
        <v>113.41</v>
      </c>
      <c r="AC379" s="1">
        <f ca="1">IFERROR(__xludf.DUMMYFUNCTION("""COMPUTED_VALUE"""),93.31)</f>
        <v>93.31</v>
      </c>
    </row>
    <row r="380" spans="1:29" x14ac:dyDescent="0.25">
      <c r="A380" s="2">
        <f ca="1">IFERROR(__xludf.DUMMYFUNCTION("""COMPUTED_VALUE"""),44379.6666666666)</f>
        <v>44379.666666666599</v>
      </c>
      <c r="B380" s="1">
        <f ca="1">IFERROR(__xludf.DUMMYFUNCTION("""COMPUTED_VALUE"""),139.96)</f>
        <v>139.96</v>
      </c>
      <c r="C380" s="1">
        <f ca="1">IFERROR(__xludf.DUMMYFUNCTION("""COMPUTED_VALUE"""),277.65)</f>
        <v>277.64999999999998</v>
      </c>
      <c r="D380" s="1">
        <f ca="1">IFERROR(__xludf.DUMMYFUNCTION("""COMPUTED_VALUE"""),175.55)</f>
        <v>175.55</v>
      </c>
      <c r="E380" s="1">
        <f ca="1">IFERROR(__xludf.DUMMYFUNCTION("""COMPUTED_VALUE"""),20.49)</f>
        <v>20.49</v>
      </c>
      <c r="F380" s="1">
        <f ca="1">IFERROR(__xludf.DUMMYFUNCTION("""COMPUTED_VALUE"""),354.7)</f>
        <v>354.7</v>
      </c>
      <c r="G380" s="1">
        <f ca="1">IFERROR(__xludf.DUMMYFUNCTION("""COMPUTED_VALUE"""),128.72)</f>
        <v>128.72</v>
      </c>
      <c r="H380" s="1">
        <f ca="1">IFERROR(__xludf.DUMMYFUNCTION("""COMPUTED_VALUE"""),226.3)</f>
        <v>226.3</v>
      </c>
      <c r="I380" s="1">
        <f ca="1">IFERROR(__xludf.DUMMYFUNCTION("""COMPUTED_VALUE"""),148.91)</f>
        <v>148.91</v>
      </c>
      <c r="J380" s="1">
        <f ca="1">IFERROR(__xludf.DUMMYFUNCTION("""COMPUTED_VALUE"""),398.94)</f>
        <v>398.94</v>
      </c>
      <c r="K380" s="1">
        <f ca="1">IFERROR(__xludf.DUMMYFUNCTION("""COMPUTED_VALUE"""),46.82)</f>
        <v>46.82</v>
      </c>
      <c r="L380" s="1">
        <f ca="1">IFERROR(__xludf.DUMMYFUNCTION("""COMPUTED_VALUE"""),593.07)</f>
        <v>593.07000000000005</v>
      </c>
      <c r="M380" s="1">
        <f ca="1">IFERROR(__xludf.DUMMYFUNCTION("""COMPUTED_VALUE"""),533.98)</f>
        <v>533.98</v>
      </c>
      <c r="N380" s="1">
        <f ca="1">IFERROR(__xludf.DUMMYFUNCTION("""COMPUTED_VALUE"""),156.03)</f>
        <v>156.03</v>
      </c>
      <c r="O380" s="1">
        <f ca="1">IFERROR(__xludf.DUMMYFUNCTION("""COMPUTED_VALUE"""),238.63)</f>
        <v>238.63</v>
      </c>
      <c r="P380" s="1">
        <f ca="1">IFERROR(__xludf.DUMMYFUNCTION("""COMPUTED_VALUE"""),168.98)</f>
        <v>168.98</v>
      </c>
      <c r="Q380" s="1">
        <f ca="1">IFERROR(__xludf.DUMMYFUNCTION("""COMPUTED_VALUE"""),409.36)</f>
        <v>409.36</v>
      </c>
      <c r="R380" s="1">
        <f ca="1">IFERROR(__xludf.DUMMYFUNCTION("""COMPUTED_VALUE"""),63.17)</f>
        <v>63.17</v>
      </c>
      <c r="S380" s="1">
        <f ca="1">IFERROR(__xludf.DUMMYFUNCTION("""COMPUTED_VALUE"""),74.28)</f>
        <v>74.28</v>
      </c>
      <c r="T380" s="1">
        <f ca="1">IFERROR(__xludf.DUMMYFUNCTION("""COMPUTED_VALUE"""),46.7)</f>
        <v>46.7</v>
      </c>
      <c r="U380" s="1">
        <f ca="1">IFERROR(__xludf.DUMMYFUNCTION("""COMPUTED_VALUE"""),159.74)</f>
        <v>159.74</v>
      </c>
      <c r="V380" s="1">
        <f ca="1">IFERROR(__xludf.DUMMYFUNCTION("""COMPUTED_VALUE"""),217.76)</f>
        <v>217.76</v>
      </c>
      <c r="W380" s="1">
        <f ca="1">IFERROR(__xludf.DUMMYFUNCTION("""COMPUTED_VALUE"""),381.49)</f>
        <v>381.49</v>
      </c>
      <c r="X380" s="1">
        <f ca="1">IFERROR(__xludf.DUMMYFUNCTION("""COMPUTED_VALUE"""),687.54)</f>
        <v>687.54</v>
      </c>
      <c r="Y380" s="1">
        <f ca="1">IFERROR(__xludf.DUMMYFUNCTION("""COMPUTED_VALUE"""),118.91)</f>
        <v>118.91</v>
      </c>
      <c r="Z380" s="1">
        <f ca="1">IFERROR(__xludf.DUMMYFUNCTION("""COMPUTED_VALUE"""),374.16)</f>
        <v>374.16</v>
      </c>
      <c r="AA380" s="1">
        <f ca="1">IFERROR(__xludf.DUMMYFUNCTION("""COMPUTED_VALUE"""),39.73)</f>
        <v>39.729999999999997</v>
      </c>
      <c r="AB380" s="1">
        <f ca="1">IFERROR(__xludf.DUMMYFUNCTION("""COMPUTED_VALUE"""),114.97)</f>
        <v>114.97</v>
      </c>
      <c r="AC380" s="1">
        <f ca="1">IFERROR(__xludf.DUMMYFUNCTION("""COMPUTED_VALUE"""),94.7)</f>
        <v>94.7</v>
      </c>
    </row>
    <row r="381" spans="1:29" x14ac:dyDescent="0.25">
      <c r="A381" s="2">
        <f ca="1">IFERROR(__xludf.DUMMYFUNCTION("""COMPUTED_VALUE"""),44383.6666666666)</f>
        <v>44383.666666666599</v>
      </c>
      <c r="B381" s="1">
        <f ca="1">IFERROR(__xludf.DUMMYFUNCTION("""COMPUTED_VALUE"""),142.02)</f>
        <v>142.02000000000001</v>
      </c>
      <c r="C381" s="1">
        <f ca="1">IFERROR(__xludf.DUMMYFUNCTION("""COMPUTED_VALUE"""),277.66)</f>
        <v>277.66000000000003</v>
      </c>
      <c r="D381" s="1">
        <f ca="1">IFERROR(__xludf.DUMMYFUNCTION("""COMPUTED_VALUE"""),183.79)</f>
        <v>183.79</v>
      </c>
      <c r="E381" s="1">
        <f ca="1">IFERROR(__xludf.DUMMYFUNCTION("""COMPUTED_VALUE"""),20.7)</f>
        <v>20.7</v>
      </c>
      <c r="F381" s="1">
        <f ca="1">IFERROR(__xludf.DUMMYFUNCTION("""COMPUTED_VALUE"""),352.78)</f>
        <v>352.78</v>
      </c>
      <c r="G381" s="1">
        <f ca="1">IFERROR(__xludf.DUMMYFUNCTION("""COMPUTED_VALUE"""),129.77)</f>
        <v>129.77000000000001</v>
      </c>
      <c r="H381" s="1">
        <f ca="1">IFERROR(__xludf.DUMMYFUNCTION("""COMPUTED_VALUE"""),219.86)</f>
        <v>219.86</v>
      </c>
      <c r="I381" s="1">
        <f ca="1">IFERROR(__xludf.DUMMYFUNCTION("""COMPUTED_VALUE"""),149.13)</f>
        <v>149.13</v>
      </c>
      <c r="J381" s="1">
        <f ca="1">IFERROR(__xludf.DUMMYFUNCTION("""COMPUTED_VALUE"""),398.86)</f>
        <v>398.86</v>
      </c>
      <c r="K381" s="1">
        <f ca="1">IFERROR(__xludf.DUMMYFUNCTION("""COMPUTED_VALUE"""),47.33)</f>
        <v>47.33</v>
      </c>
      <c r="L381" s="1">
        <f ca="1">IFERROR(__xludf.DUMMYFUNCTION("""COMPUTED_VALUE"""),596.9)</f>
        <v>596.9</v>
      </c>
      <c r="M381" s="1">
        <f ca="1">IFERROR(__xludf.DUMMYFUNCTION("""COMPUTED_VALUE"""),541.64)</f>
        <v>541.64</v>
      </c>
      <c r="N381" s="1">
        <f ca="1">IFERROR(__xludf.DUMMYFUNCTION("""COMPUTED_VALUE"""),153.41)</f>
        <v>153.41</v>
      </c>
      <c r="O381" s="1">
        <f ca="1">IFERROR(__xludf.DUMMYFUNCTION("""COMPUTED_VALUE"""),239.6)</f>
        <v>239.6</v>
      </c>
      <c r="P381" s="1">
        <f ca="1">IFERROR(__xludf.DUMMYFUNCTION("""COMPUTED_VALUE"""),167.97)</f>
        <v>167.97</v>
      </c>
      <c r="Q381" s="1">
        <f ca="1">IFERROR(__xludf.DUMMYFUNCTION("""COMPUTED_VALUE"""),410.26)</f>
        <v>410.26</v>
      </c>
      <c r="R381" s="1">
        <f ca="1">IFERROR(__xludf.DUMMYFUNCTION("""COMPUTED_VALUE"""),61.37)</f>
        <v>61.37</v>
      </c>
      <c r="S381" s="1">
        <f ca="1">IFERROR(__xludf.DUMMYFUNCTION("""COMPUTED_VALUE"""),75.13)</f>
        <v>75.13</v>
      </c>
      <c r="T381" s="1">
        <f ca="1">IFERROR(__xludf.DUMMYFUNCTION("""COMPUTED_VALUE"""),46.65)</f>
        <v>46.65</v>
      </c>
      <c r="U381" s="1">
        <f ca="1">IFERROR(__xludf.DUMMYFUNCTION("""COMPUTED_VALUE"""),160.11)</f>
        <v>160.11000000000001</v>
      </c>
      <c r="V381" s="1">
        <f ca="1">IFERROR(__xludf.DUMMYFUNCTION("""COMPUTED_VALUE"""),213.52)</f>
        <v>213.52</v>
      </c>
      <c r="W381" s="1">
        <f ca="1">IFERROR(__xludf.DUMMYFUNCTION("""COMPUTED_VALUE"""),378.67)</f>
        <v>378.67</v>
      </c>
      <c r="X381" s="1">
        <f ca="1">IFERROR(__xludf.DUMMYFUNCTION("""COMPUTED_VALUE"""),685.87)</f>
        <v>685.87</v>
      </c>
      <c r="Y381" s="1">
        <f ca="1">IFERROR(__xludf.DUMMYFUNCTION("""COMPUTED_VALUE"""),120.05)</f>
        <v>120.05</v>
      </c>
      <c r="Z381" s="1">
        <f ca="1">IFERROR(__xludf.DUMMYFUNCTION("""COMPUTED_VALUE"""),369.86)</f>
        <v>369.86</v>
      </c>
      <c r="AA381" s="1">
        <f ca="1">IFERROR(__xludf.DUMMYFUNCTION("""COMPUTED_VALUE"""),39.29)</f>
        <v>39.29</v>
      </c>
      <c r="AB381" s="1">
        <f ca="1">IFERROR(__xludf.DUMMYFUNCTION("""COMPUTED_VALUE"""),115.73)</f>
        <v>115.73</v>
      </c>
      <c r="AC381" s="1">
        <f ca="1">IFERROR(__xludf.DUMMYFUNCTION("""COMPUTED_VALUE"""),94.47)</f>
        <v>94.47</v>
      </c>
    </row>
    <row r="382" spans="1:29" x14ac:dyDescent="0.25">
      <c r="A382" s="2">
        <f ca="1">IFERROR(__xludf.DUMMYFUNCTION("""COMPUTED_VALUE"""),44384.6666666666)</f>
        <v>44384.666666666599</v>
      </c>
      <c r="B382" s="1">
        <f ca="1">IFERROR(__xludf.DUMMYFUNCTION("""COMPUTED_VALUE"""),144.57)</f>
        <v>144.57</v>
      </c>
      <c r="C382" s="1">
        <f ca="1">IFERROR(__xludf.DUMMYFUNCTION("""COMPUTED_VALUE"""),279.93)</f>
        <v>279.93</v>
      </c>
      <c r="D382" s="1">
        <f ca="1">IFERROR(__xludf.DUMMYFUNCTION("""COMPUTED_VALUE"""),184.83)</f>
        <v>184.83</v>
      </c>
      <c r="E382" s="1">
        <f ca="1">IFERROR(__xludf.DUMMYFUNCTION("""COMPUTED_VALUE"""),20.37)</f>
        <v>20.37</v>
      </c>
      <c r="F382" s="1">
        <f ca="1">IFERROR(__xludf.DUMMYFUNCTION("""COMPUTED_VALUE"""),350.49)</f>
        <v>350.49</v>
      </c>
      <c r="G382" s="1">
        <f ca="1">IFERROR(__xludf.DUMMYFUNCTION("""COMPUTED_VALUE"""),130.08)</f>
        <v>130.08000000000001</v>
      </c>
      <c r="H382" s="1">
        <f ca="1">IFERROR(__xludf.DUMMYFUNCTION("""COMPUTED_VALUE"""),214.88)</f>
        <v>214.88</v>
      </c>
      <c r="I382" s="1">
        <f ca="1">IFERROR(__xludf.DUMMYFUNCTION("""COMPUTED_VALUE"""),149.79)</f>
        <v>149.79</v>
      </c>
      <c r="J382" s="1">
        <f ca="1">IFERROR(__xludf.DUMMYFUNCTION("""COMPUTED_VALUE"""),404.68)</f>
        <v>404.68</v>
      </c>
      <c r="K382" s="1">
        <f ca="1">IFERROR(__xludf.DUMMYFUNCTION("""COMPUTED_VALUE"""),46.95)</f>
        <v>46.95</v>
      </c>
      <c r="L382" s="1">
        <f ca="1">IFERROR(__xludf.DUMMYFUNCTION("""COMPUTED_VALUE"""),605.77)</f>
        <v>605.77</v>
      </c>
      <c r="M382" s="1">
        <f ca="1">IFERROR(__xludf.DUMMYFUNCTION("""COMPUTED_VALUE"""),535.96)</f>
        <v>535.96</v>
      </c>
      <c r="N382" s="1">
        <f ca="1">IFERROR(__xludf.DUMMYFUNCTION("""COMPUTED_VALUE"""),153.59)</f>
        <v>153.59</v>
      </c>
      <c r="O382" s="1">
        <f ca="1">IFERROR(__xludf.DUMMYFUNCTION("""COMPUTED_VALUE"""),240)</f>
        <v>240</v>
      </c>
      <c r="P382" s="1">
        <f ca="1">IFERROR(__xludf.DUMMYFUNCTION("""COMPUTED_VALUE"""),169.41)</f>
        <v>169.41</v>
      </c>
      <c r="Q382" s="1">
        <f ca="1">IFERROR(__xludf.DUMMYFUNCTION("""COMPUTED_VALUE"""),411.66)</f>
        <v>411.66</v>
      </c>
      <c r="R382" s="1">
        <f ca="1">IFERROR(__xludf.DUMMYFUNCTION("""COMPUTED_VALUE"""),60.41)</f>
        <v>60.41</v>
      </c>
      <c r="S382" s="1">
        <f ca="1">IFERROR(__xludf.DUMMYFUNCTION("""COMPUTED_VALUE"""),75.33)</f>
        <v>75.33</v>
      </c>
      <c r="T382" s="1">
        <f ca="1">IFERROR(__xludf.DUMMYFUNCTION("""COMPUTED_VALUE"""),46.57)</f>
        <v>46.57</v>
      </c>
      <c r="U382" s="1">
        <f ca="1">IFERROR(__xludf.DUMMYFUNCTION("""COMPUTED_VALUE"""),160.16)</f>
        <v>160.16</v>
      </c>
      <c r="V382" s="1">
        <f ca="1">IFERROR(__xludf.DUMMYFUNCTION("""COMPUTED_VALUE"""),214.69)</f>
        <v>214.69</v>
      </c>
      <c r="W382" s="1">
        <f ca="1">IFERROR(__xludf.DUMMYFUNCTION("""COMPUTED_VALUE"""),383.48)</f>
        <v>383.48</v>
      </c>
      <c r="X382" s="1">
        <f ca="1">IFERROR(__xludf.DUMMYFUNCTION("""COMPUTED_VALUE"""),690.18)</f>
        <v>690.18</v>
      </c>
      <c r="Y382" s="1">
        <f ca="1">IFERROR(__xludf.DUMMYFUNCTION("""COMPUTED_VALUE"""),118.25)</f>
        <v>118.25</v>
      </c>
      <c r="Z382" s="1">
        <f ca="1">IFERROR(__xludf.DUMMYFUNCTION("""COMPUTED_VALUE"""),367.67)</f>
        <v>367.67</v>
      </c>
      <c r="AA382" s="1">
        <f ca="1">IFERROR(__xludf.DUMMYFUNCTION("""COMPUTED_VALUE"""),39.35)</f>
        <v>39.35</v>
      </c>
      <c r="AB382" s="1">
        <f ca="1">IFERROR(__xludf.DUMMYFUNCTION("""COMPUTED_VALUE"""),117.14)</f>
        <v>117.14</v>
      </c>
      <c r="AC382" s="1">
        <f ca="1">IFERROR(__xludf.DUMMYFUNCTION("""COMPUTED_VALUE"""),90.54)</f>
        <v>90.54</v>
      </c>
    </row>
    <row r="383" spans="1:29" x14ac:dyDescent="0.25">
      <c r="A383" s="2">
        <f ca="1">IFERROR(__xludf.DUMMYFUNCTION("""COMPUTED_VALUE"""),44385.6666666666)</f>
        <v>44385.666666666599</v>
      </c>
      <c r="B383" s="1">
        <f ca="1">IFERROR(__xludf.DUMMYFUNCTION("""COMPUTED_VALUE"""),143.24)</f>
        <v>143.24</v>
      </c>
      <c r="C383" s="1">
        <f ca="1">IFERROR(__xludf.DUMMYFUNCTION("""COMPUTED_VALUE"""),277.42)</f>
        <v>277.42</v>
      </c>
      <c r="D383" s="1">
        <f ca="1">IFERROR(__xludf.DUMMYFUNCTION("""COMPUTED_VALUE"""),186.57)</f>
        <v>186.57</v>
      </c>
      <c r="E383" s="1">
        <f ca="1">IFERROR(__xludf.DUMMYFUNCTION("""COMPUTED_VALUE"""),19.9)</f>
        <v>19.899999999999999</v>
      </c>
      <c r="F383" s="1">
        <f ca="1">IFERROR(__xludf.DUMMYFUNCTION("""COMPUTED_VALUE"""),345.65)</f>
        <v>345.65</v>
      </c>
      <c r="G383" s="1">
        <f ca="1">IFERROR(__xludf.DUMMYFUNCTION("""COMPUTED_VALUE"""),129.18)</f>
        <v>129.18</v>
      </c>
      <c r="H383" s="1">
        <f ca="1">IFERROR(__xludf.DUMMYFUNCTION("""COMPUTED_VALUE"""),217.6)</f>
        <v>217.6</v>
      </c>
      <c r="I383" s="1">
        <f ca="1">IFERROR(__xludf.DUMMYFUNCTION("""COMPUTED_VALUE"""),149.86)</f>
        <v>149.86000000000001</v>
      </c>
      <c r="J383" s="1">
        <f ca="1">IFERROR(__xludf.DUMMYFUNCTION("""COMPUTED_VALUE"""),407.15)</f>
        <v>407.15</v>
      </c>
      <c r="K383" s="1">
        <f ca="1">IFERROR(__xludf.DUMMYFUNCTION("""COMPUTED_VALUE"""),47.05)</f>
        <v>47.05</v>
      </c>
      <c r="L383" s="1">
        <f ca="1">IFERROR(__xludf.DUMMYFUNCTION("""COMPUTED_VALUE"""),605.95)</f>
        <v>605.95000000000005</v>
      </c>
      <c r="M383" s="1">
        <f ca="1">IFERROR(__xludf.DUMMYFUNCTION("""COMPUTED_VALUE"""),530.76)</f>
        <v>530.76</v>
      </c>
      <c r="N383" s="1">
        <f ca="1">IFERROR(__xludf.DUMMYFUNCTION("""COMPUTED_VALUE"""),150.94)</f>
        <v>150.94</v>
      </c>
      <c r="O383" s="1">
        <f ca="1">IFERROR(__xludf.DUMMYFUNCTION("""COMPUTED_VALUE"""),236.61)</f>
        <v>236.61</v>
      </c>
      <c r="P383" s="1">
        <f ca="1">IFERROR(__xludf.DUMMYFUNCTION("""COMPUTED_VALUE"""),169.08)</f>
        <v>169.08</v>
      </c>
      <c r="Q383" s="1">
        <f ca="1">IFERROR(__xludf.DUMMYFUNCTION("""COMPUTED_VALUE"""),409.95)</f>
        <v>409.95</v>
      </c>
      <c r="R383" s="1">
        <f ca="1">IFERROR(__xludf.DUMMYFUNCTION("""COMPUTED_VALUE"""),60.14)</f>
        <v>60.14</v>
      </c>
      <c r="S383" s="1">
        <f ca="1">IFERROR(__xludf.DUMMYFUNCTION("""COMPUTED_VALUE"""),75.13)</f>
        <v>75.13</v>
      </c>
      <c r="T383" s="1">
        <f ca="1">IFERROR(__xludf.DUMMYFUNCTION("""COMPUTED_VALUE"""),46.53)</f>
        <v>46.53</v>
      </c>
      <c r="U383" s="1">
        <f ca="1">IFERROR(__xludf.DUMMYFUNCTION("""COMPUTED_VALUE"""),160.63)</f>
        <v>160.63</v>
      </c>
      <c r="V383" s="1">
        <f ca="1">IFERROR(__xludf.DUMMYFUNCTION("""COMPUTED_VALUE"""),212.11)</f>
        <v>212.11</v>
      </c>
      <c r="W383" s="1">
        <f ca="1">IFERROR(__xludf.DUMMYFUNCTION("""COMPUTED_VALUE"""),379.92)</f>
        <v>379.92</v>
      </c>
      <c r="X383" s="1">
        <f ca="1">IFERROR(__xludf.DUMMYFUNCTION("""COMPUTED_VALUE"""),673.69)</f>
        <v>673.69</v>
      </c>
      <c r="Y383" s="1">
        <f ca="1">IFERROR(__xludf.DUMMYFUNCTION("""COMPUTED_VALUE"""),117.87)</f>
        <v>117.87</v>
      </c>
      <c r="Z383" s="1">
        <f ca="1">IFERROR(__xludf.DUMMYFUNCTION("""COMPUTED_VALUE"""),358.94)</f>
        <v>358.94</v>
      </c>
      <c r="AA383" s="1">
        <f ca="1">IFERROR(__xludf.DUMMYFUNCTION("""COMPUTED_VALUE"""),39.25)</f>
        <v>39.25</v>
      </c>
      <c r="AB383" s="1">
        <f ca="1">IFERROR(__xludf.DUMMYFUNCTION("""COMPUTED_VALUE"""),115.99)</f>
        <v>115.99</v>
      </c>
      <c r="AC383" s="1">
        <f ca="1">IFERROR(__xludf.DUMMYFUNCTION("""COMPUTED_VALUE"""),89.74)</f>
        <v>89.74</v>
      </c>
    </row>
    <row r="384" spans="1:29" x14ac:dyDescent="0.25">
      <c r="A384" s="2">
        <f ca="1">IFERROR(__xludf.DUMMYFUNCTION("""COMPUTED_VALUE"""),44386.6666666666)</f>
        <v>44386.666666666599</v>
      </c>
      <c r="B384" s="1">
        <f ca="1">IFERROR(__xludf.DUMMYFUNCTION("""COMPUTED_VALUE"""),145.11)</f>
        <v>145.11000000000001</v>
      </c>
      <c r="C384" s="1">
        <f ca="1">IFERROR(__xludf.DUMMYFUNCTION("""COMPUTED_VALUE"""),277.94)</f>
        <v>277.94</v>
      </c>
      <c r="D384" s="1">
        <f ca="1">IFERROR(__xludf.DUMMYFUNCTION("""COMPUTED_VALUE"""),185.97)</f>
        <v>185.97</v>
      </c>
      <c r="E384" s="1">
        <f ca="1">IFERROR(__xludf.DUMMYFUNCTION("""COMPUTED_VALUE"""),20.05)</f>
        <v>20.05</v>
      </c>
      <c r="F384" s="1">
        <f ca="1">IFERROR(__xludf.DUMMYFUNCTION("""COMPUTED_VALUE"""),350.42)</f>
        <v>350.42</v>
      </c>
      <c r="G384" s="1">
        <f ca="1">IFERROR(__xludf.DUMMYFUNCTION("""COMPUTED_VALUE"""),129.57)</f>
        <v>129.57</v>
      </c>
      <c r="H384" s="1">
        <f ca="1">IFERROR(__xludf.DUMMYFUNCTION("""COMPUTED_VALUE"""),218.98)</f>
        <v>218.98</v>
      </c>
      <c r="I384" s="1">
        <f ca="1">IFERROR(__xludf.DUMMYFUNCTION("""COMPUTED_VALUE"""),149.48)</f>
        <v>149.47999999999999</v>
      </c>
      <c r="J384" s="1">
        <f ca="1">IFERROR(__xludf.DUMMYFUNCTION("""COMPUTED_VALUE"""),412.37)</f>
        <v>412.37</v>
      </c>
      <c r="K384" s="1">
        <f ca="1">IFERROR(__xludf.DUMMYFUNCTION("""COMPUTED_VALUE"""),48.02)</f>
        <v>48.02</v>
      </c>
      <c r="L384" s="1">
        <f ca="1">IFERROR(__xludf.DUMMYFUNCTION("""COMPUTED_VALUE"""),604.5)</f>
        <v>604.5</v>
      </c>
      <c r="M384" s="1">
        <f ca="1">IFERROR(__xludf.DUMMYFUNCTION("""COMPUTED_VALUE"""),535.98)</f>
        <v>535.98</v>
      </c>
      <c r="N384" s="1">
        <f ca="1">IFERROR(__xludf.DUMMYFUNCTION("""COMPUTED_VALUE"""),155.77)</f>
        <v>155.77000000000001</v>
      </c>
      <c r="O384" s="1">
        <f ca="1">IFERROR(__xludf.DUMMYFUNCTION("""COMPUTED_VALUE"""),238.47)</f>
        <v>238.47</v>
      </c>
      <c r="P384" s="1">
        <f ca="1">IFERROR(__xludf.DUMMYFUNCTION("""COMPUTED_VALUE"""),169.75)</f>
        <v>169.75</v>
      </c>
      <c r="Q384" s="1">
        <f ca="1">IFERROR(__xludf.DUMMYFUNCTION("""COMPUTED_VALUE"""),412.11)</f>
        <v>412.11</v>
      </c>
      <c r="R384" s="1">
        <f ca="1">IFERROR(__xludf.DUMMYFUNCTION("""COMPUTED_VALUE"""),61.23)</f>
        <v>61.23</v>
      </c>
      <c r="S384" s="1">
        <f ca="1">IFERROR(__xludf.DUMMYFUNCTION("""COMPUTED_VALUE"""),74.99)</f>
        <v>74.989999999999995</v>
      </c>
      <c r="T384" s="1">
        <f ca="1">IFERROR(__xludf.DUMMYFUNCTION("""COMPUTED_VALUE"""),46.77)</f>
        <v>46.77</v>
      </c>
      <c r="U384" s="1">
        <f ca="1">IFERROR(__xludf.DUMMYFUNCTION("""COMPUTED_VALUE"""),161)</f>
        <v>161</v>
      </c>
      <c r="V384" s="1">
        <f ca="1">IFERROR(__xludf.DUMMYFUNCTION("""COMPUTED_VALUE"""),217.42)</f>
        <v>217.42</v>
      </c>
      <c r="W384" s="1">
        <f ca="1">IFERROR(__xludf.DUMMYFUNCTION("""COMPUTED_VALUE"""),383.11)</f>
        <v>383.11</v>
      </c>
      <c r="X384" s="1">
        <f ca="1">IFERROR(__xludf.DUMMYFUNCTION("""COMPUTED_VALUE"""),691.36)</f>
        <v>691.36</v>
      </c>
      <c r="Y384" s="1">
        <f ca="1">IFERROR(__xludf.DUMMYFUNCTION("""COMPUTED_VALUE"""),120.56)</f>
        <v>120.56</v>
      </c>
      <c r="Z384" s="1">
        <f ca="1">IFERROR(__xludf.DUMMYFUNCTION("""COMPUTED_VALUE"""),371.76)</f>
        <v>371.76</v>
      </c>
      <c r="AA384" s="1">
        <f ca="1">IFERROR(__xludf.DUMMYFUNCTION("""COMPUTED_VALUE"""),39.61)</f>
        <v>39.61</v>
      </c>
      <c r="AB384" s="1">
        <f ca="1">IFERROR(__xludf.DUMMYFUNCTION("""COMPUTED_VALUE"""),117.47)</f>
        <v>117.47</v>
      </c>
      <c r="AC384" s="1">
        <f ca="1">IFERROR(__xludf.DUMMYFUNCTION("""COMPUTED_VALUE"""),90.9)</f>
        <v>90.9</v>
      </c>
    </row>
    <row r="385" spans="1:29" x14ac:dyDescent="0.25">
      <c r="A385" s="2">
        <f ca="1">IFERROR(__xludf.DUMMYFUNCTION("""COMPUTED_VALUE"""),44389.6666666666)</f>
        <v>44389.666666666599</v>
      </c>
      <c r="B385" s="1">
        <f ca="1">IFERROR(__xludf.DUMMYFUNCTION("""COMPUTED_VALUE"""),144.5)</f>
        <v>144.5</v>
      </c>
      <c r="C385" s="1">
        <f ca="1">IFERROR(__xludf.DUMMYFUNCTION("""COMPUTED_VALUE"""),277.32)</f>
        <v>277.32</v>
      </c>
      <c r="D385" s="1">
        <f ca="1">IFERROR(__xludf.DUMMYFUNCTION("""COMPUTED_VALUE"""),185.93)</f>
        <v>185.93</v>
      </c>
      <c r="E385" s="1">
        <f ca="1">IFERROR(__xludf.DUMMYFUNCTION("""COMPUTED_VALUE"""),20.51)</f>
        <v>20.51</v>
      </c>
      <c r="F385" s="1">
        <f ca="1">IFERROR(__xludf.DUMMYFUNCTION("""COMPUTED_VALUE"""),353.16)</f>
        <v>353.16</v>
      </c>
      <c r="G385" s="1">
        <f ca="1">IFERROR(__xludf.DUMMYFUNCTION("""COMPUTED_VALUE"""),130.56)</f>
        <v>130.56</v>
      </c>
      <c r="H385" s="1">
        <f ca="1">IFERROR(__xludf.DUMMYFUNCTION("""COMPUTED_VALUE"""),228.57)</f>
        <v>228.57</v>
      </c>
      <c r="I385" s="1">
        <f ca="1">IFERROR(__xludf.DUMMYFUNCTION("""COMPUTED_VALUE"""),149.51)</f>
        <v>149.51</v>
      </c>
      <c r="J385" s="1">
        <f ca="1">IFERROR(__xludf.DUMMYFUNCTION("""COMPUTED_VALUE"""),407.88)</f>
        <v>407.88</v>
      </c>
      <c r="K385" s="1">
        <f ca="1">IFERROR(__xludf.DUMMYFUNCTION("""COMPUTED_VALUE"""),48.58)</f>
        <v>48.58</v>
      </c>
      <c r="L385" s="1">
        <f ca="1">IFERROR(__xludf.DUMMYFUNCTION("""COMPUTED_VALUE"""),600.2)</f>
        <v>600.20000000000005</v>
      </c>
      <c r="M385" s="1">
        <f ca="1">IFERROR(__xludf.DUMMYFUNCTION("""COMPUTED_VALUE"""),537.31)</f>
        <v>537.30999999999995</v>
      </c>
      <c r="N385" s="1">
        <f ca="1">IFERROR(__xludf.DUMMYFUNCTION("""COMPUTED_VALUE"""),158)</f>
        <v>158</v>
      </c>
      <c r="O385" s="1">
        <f ca="1">IFERROR(__xludf.DUMMYFUNCTION("""COMPUTED_VALUE"""),237.87)</f>
        <v>237.87</v>
      </c>
      <c r="P385" s="1">
        <f ca="1">IFERROR(__xludf.DUMMYFUNCTION("""COMPUTED_VALUE"""),169.48)</f>
        <v>169.48</v>
      </c>
      <c r="Q385" s="1">
        <f ca="1">IFERROR(__xludf.DUMMYFUNCTION("""COMPUTED_VALUE"""),416.04)</f>
        <v>416.04</v>
      </c>
      <c r="R385" s="1">
        <f ca="1">IFERROR(__xludf.DUMMYFUNCTION("""COMPUTED_VALUE"""),61.17)</f>
        <v>61.17</v>
      </c>
      <c r="S385" s="1">
        <f ca="1">IFERROR(__xludf.DUMMYFUNCTION("""COMPUTED_VALUE"""),75.09)</f>
        <v>75.09</v>
      </c>
      <c r="T385" s="1">
        <f ca="1">IFERROR(__xludf.DUMMYFUNCTION("""COMPUTED_VALUE"""),46.68)</f>
        <v>46.68</v>
      </c>
      <c r="U385" s="1">
        <f ca="1">IFERROR(__xludf.DUMMYFUNCTION("""COMPUTED_VALUE"""),161.82)</f>
        <v>161.82</v>
      </c>
      <c r="V385" s="1">
        <f ca="1">IFERROR(__xludf.DUMMYFUNCTION("""COMPUTED_VALUE"""),218.58)</f>
        <v>218.58</v>
      </c>
      <c r="W385" s="1">
        <f ca="1">IFERROR(__xludf.DUMMYFUNCTION("""COMPUTED_VALUE"""),379.07)</f>
        <v>379.07</v>
      </c>
      <c r="X385" s="1">
        <f ca="1">IFERROR(__xludf.DUMMYFUNCTION("""COMPUTED_VALUE"""),707.81)</f>
        <v>707.81</v>
      </c>
      <c r="Y385" s="1">
        <f ca="1">IFERROR(__xludf.DUMMYFUNCTION("""COMPUTED_VALUE"""),122.63)</f>
        <v>122.63</v>
      </c>
      <c r="Z385" s="1">
        <f ca="1">IFERROR(__xludf.DUMMYFUNCTION("""COMPUTED_VALUE"""),380.5)</f>
        <v>380.5</v>
      </c>
      <c r="AA385" s="1">
        <f ca="1">IFERROR(__xludf.DUMMYFUNCTION("""COMPUTED_VALUE"""),39.76)</f>
        <v>39.76</v>
      </c>
      <c r="AB385" s="1">
        <f ca="1">IFERROR(__xludf.DUMMYFUNCTION("""COMPUTED_VALUE"""),118.46)</f>
        <v>118.46</v>
      </c>
      <c r="AC385" s="1">
        <f ca="1">IFERROR(__xludf.DUMMYFUNCTION("""COMPUTED_VALUE"""),90.81)</f>
        <v>90.81</v>
      </c>
    </row>
    <row r="386" spans="1:29" x14ac:dyDescent="0.25">
      <c r="A386" s="2">
        <f ca="1">IFERROR(__xludf.DUMMYFUNCTION("""COMPUTED_VALUE"""),44390.6666666666)</f>
        <v>44390.666666666599</v>
      </c>
      <c r="B386" s="1">
        <f ca="1">IFERROR(__xludf.DUMMYFUNCTION("""COMPUTED_VALUE"""),145.64)</f>
        <v>145.63999999999999</v>
      </c>
      <c r="C386" s="1">
        <f ca="1">IFERROR(__xludf.DUMMYFUNCTION("""COMPUTED_VALUE"""),280.98)</f>
        <v>280.98</v>
      </c>
      <c r="D386" s="1">
        <f ca="1">IFERROR(__xludf.DUMMYFUNCTION("""COMPUTED_VALUE"""),183.87)</f>
        <v>183.87</v>
      </c>
      <c r="E386" s="1">
        <f ca="1">IFERROR(__xludf.DUMMYFUNCTION("""COMPUTED_VALUE"""),20.25)</f>
        <v>20.25</v>
      </c>
      <c r="F386" s="1">
        <f ca="1">IFERROR(__xludf.DUMMYFUNCTION("""COMPUTED_VALUE"""),352.09)</f>
        <v>352.09</v>
      </c>
      <c r="G386" s="1">
        <f ca="1">IFERROR(__xludf.DUMMYFUNCTION("""COMPUTED_VALUE"""),130.99)</f>
        <v>130.99</v>
      </c>
      <c r="H386" s="1">
        <f ca="1">IFERROR(__xludf.DUMMYFUNCTION("""COMPUTED_VALUE"""),222.85)</f>
        <v>222.85</v>
      </c>
      <c r="I386" s="1">
        <f ca="1">IFERROR(__xludf.DUMMYFUNCTION("""COMPUTED_VALUE"""),152.96)</f>
        <v>152.96</v>
      </c>
      <c r="J386" s="1">
        <f ca="1">IFERROR(__xludf.DUMMYFUNCTION("""COMPUTED_VALUE"""),407.06)</f>
        <v>407.06</v>
      </c>
      <c r="K386" s="1">
        <f ca="1">IFERROR(__xludf.DUMMYFUNCTION("""COMPUTED_VALUE"""),48.4)</f>
        <v>48.4</v>
      </c>
      <c r="L386" s="1">
        <f ca="1">IFERROR(__xludf.DUMMYFUNCTION("""COMPUTED_VALUE"""),605.01)</f>
        <v>605.01</v>
      </c>
      <c r="M386" s="1">
        <f ca="1">IFERROR(__xludf.DUMMYFUNCTION("""COMPUTED_VALUE"""),540.68)</f>
        <v>540.67999999999995</v>
      </c>
      <c r="N386" s="1">
        <f ca="1">IFERROR(__xludf.DUMMYFUNCTION("""COMPUTED_VALUE"""),155.65)</f>
        <v>155.65</v>
      </c>
      <c r="O386" s="1">
        <f ca="1">IFERROR(__xludf.DUMMYFUNCTION("""COMPUTED_VALUE"""),242.35)</f>
        <v>242.35</v>
      </c>
      <c r="P386" s="1">
        <f ca="1">IFERROR(__xludf.DUMMYFUNCTION("""COMPUTED_VALUE"""),169.27)</f>
        <v>169.27</v>
      </c>
      <c r="Q386" s="1">
        <f ca="1">IFERROR(__xludf.DUMMYFUNCTION("""COMPUTED_VALUE"""),418.54)</f>
        <v>418.54</v>
      </c>
      <c r="R386" s="1">
        <f ca="1">IFERROR(__xludf.DUMMYFUNCTION("""COMPUTED_VALUE"""),60.88)</f>
        <v>60.88</v>
      </c>
      <c r="S386" s="1">
        <f ca="1">IFERROR(__xludf.DUMMYFUNCTION("""COMPUTED_VALUE"""),74.86)</f>
        <v>74.86</v>
      </c>
      <c r="T386" s="1">
        <f ca="1">IFERROR(__xludf.DUMMYFUNCTION("""COMPUTED_VALUE"""),46.86)</f>
        <v>46.86</v>
      </c>
      <c r="U386" s="1">
        <f ca="1">IFERROR(__xludf.DUMMYFUNCTION("""COMPUTED_VALUE"""),161.59)</f>
        <v>161.59</v>
      </c>
      <c r="V386" s="1">
        <f ca="1">IFERROR(__xludf.DUMMYFUNCTION("""COMPUTED_VALUE"""),215.19)</f>
        <v>215.19</v>
      </c>
      <c r="W386" s="1">
        <f ca="1">IFERROR(__xludf.DUMMYFUNCTION("""COMPUTED_VALUE"""),377.84)</f>
        <v>377.84</v>
      </c>
      <c r="X386" s="1">
        <f ca="1">IFERROR(__xludf.DUMMYFUNCTION("""COMPUTED_VALUE"""),706.42)</f>
        <v>706.42</v>
      </c>
      <c r="Y386" s="1">
        <f ca="1">IFERROR(__xludf.DUMMYFUNCTION("""COMPUTED_VALUE"""),123.9)</f>
        <v>123.9</v>
      </c>
      <c r="Z386" s="1">
        <f ca="1">IFERROR(__xludf.DUMMYFUNCTION("""COMPUTED_VALUE"""),375.98)</f>
        <v>375.98</v>
      </c>
      <c r="AA386" s="1">
        <f ca="1">IFERROR(__xludf.DUMMYFUNCTION("""COMPUTED_VALUE"""),39.65)</f>
        <v>39.65</v>
      </c>
      <c r="AB386" s="1">
        <f ca="1">IFERROR(__xludf.DUMMYFUNCTION("""COMPUTED_VALUE"""),119.55)</f>
        <v>119.55</v>
      </c>
      <c r="AC386" s="1">
        <f ca="1">IFERROR(__xludf.DUMMYFUNCTION("""COMPUTED_VALUE"""),90.26)</f>
        <v>90.26</v>
      </c>
    </row>
    <row r="387" spans="1:29" x14ac:dyDescent="0.25">
      <c r="A387" s="2">
        <f ca="1">IFERROR(__xludf.DUMMYFUNCTION("""COMPUTED_VALUE"""),44391.6666666666)</f>
        <v>44391.666666666599</v>
      </c>
      <c r="B387" s="1">
        <f ca="1">IFERROR(__xludf.DUMMYFUNCTION("""COMPUTED_VALUE"""),149.15)</f>
        <v>149.15</v>
      </c>
      <c r="C387" s="1">
        <f ca="1">IFERROR(__xludf.DUMMYFUNCTION("""COMPUTED_VALUE"""),282.51)</f>
        <v>282.51</v>
      </c>
      <c r="D387" s="1">
        <f ca="1">IFERROR(__xludf.DUMMYFUNCTION("""COMPUTED_VALUE"""),184.08)</f>
        <v>184.08</v>
      </c>
      <c r="E387" s="1">
        <f ca="1">IFERROR(__xludf.DUMMYFUNCTION("""COMPUTED_VALUE"""),19.84)</f>
        <v>19.84</v>
      </c>
      <c r="F387" s="1">
        <f ca="1">IFERROR(__xludf.DUMMYFUNCTION("""COMPUTED_VALUE"""),347.63)</f>
        <v>347.63</v>
      </c>
      <c r="G387" s="1">
        <f ca="1">IFERROR(__xludf.DUMMYFUNCTION("""COMPUTED_VALUE"""),132.08)</f>
        <v>132.08000000000001</v>
      </c>
      <c r="H387" s="1">
        <f ca="1">IFERROR(__xludf.DUMMYFUNCTION("""COMPUTED_VALUE"""),217.79)</f>
        <v>217.79</v>
      </c>
      <c r="I387" s="1">
        <f ca="1">IFERROR(__xludf.DUMMYFUNCTION("""COMPUTED_VALUE"""),154.54)</f>
        <v>154.54</v>
      </c>
      <c r="J387" s="1">
        <f ca="1">IFERROR(__xludf.DUMMYFUNCTION("""COMPUTED_VALUE"""),409.95)</f>
        <v>409.95</v>
      </c>
      <c r="K387" s="1">
        <f ca="1">IFERROR(__xludf.DUMMYFUNCTION("""COMPUTED_VALUE"""),48.16)</f>
        <v>48.16</v>
      </c>
      <c r="L387" s="1">
        <f ca="1">IFERROR(__xludf.DUMMYFUNCTION("""COMPUTED_VALUE"""),608.83)</f>
        <v>608.83000000000004</v>
      </c>
      <c r="M387" s="1">
        <f ca="1">IFERROR(__xludf.DUMMYFUNCTION("""COMPUTED_VALUE"""),547.95)</f>
        <v>547.95000000000005</v>
      </c>
      <c r="N387" s="1">
        <f ca="1">IFERROR(__xludf.DUMMYFUNCTION("""COMPUTED_VALUE"""),155.12)</f>
        <v>155.12</v>
      </c>
      <c r="O387" s="1">
        <f ca="1">IFERROR(__xludf.DUMMYFUNCTION("""COMPUTED_VALUE"""),245.99)</f>
        <v>245.99</v>
      </c>
      <c r="P387" s="1">
        <f ca="1">IFERROR(__xludf.DUMMYFUNCTION("""COMPUTED_VALUE"""),170.42)</f>
        <v>170.42</v>
      </c>
      <c r="Q387" s="1">
        <f ca="1">IFERROR(__xludf.DUMMYFUNCTION("""COMPUTED_VALUE"""),414.74)</f>
        <v>414.74</v>
      </c>
      <c r="R387" s="1">
        <f ca="1">IFERROR(__xludf.DUMMYFUNCTION("""COMPUTED_VALUE"""),59.53)</f>
        <v>59.53</v>
      </c>
      <c r="S387" s="1">
        <f ca="1">IFERROR(__xludf.DUMMYFUNCTION("""COMPUTED_VALUE"""),75.7)</f>
        <v>75.7</v>
      </c>
      <c r="T387" s="1">
        <f ca="1">IFERROR(__xludf.DUMMYFUNCTION("""COMPUTED_VALUE"""),47.18)</f>
        <v>47.18</v>
      </c>
      <c r="U387" s="1">
        <f ca="1">IFERROR(__xludf.DUMMYFUNCTION("""COMPUTED_VALUE"""),161.54)</f>
        <v>161.54</v>
      </c>
      <c r="V387" s="1">
        <f ca="1">IFERROR(__xludf.DUMMYFUNCTION("""COMPUTED_VALUE"""),211.64)</f>
        <v>211.64</v>
      </c>
      <c r="W387" s="1">
        <f ca="1">IFERROR(__xludf.DUMMYFUNCTION("""COMPUTED_VALUE"""),376.82)</f>
        <v>376.82</v>
      </c>
      <c r="X387" s="1">
        <f ca="1">IFERROR(__xludf.DUMMYFUNCTION("""COMPUTED_VALUE"""),716.51)</f>
        <v>716.51</v>
      </c>
      <c r="Y387" s="1">
        <f ca="1">IFERROR(__xludf.DUMMYFUNCTION("""COMPUTED_VALUE"""),124.39)</f>
        <v>124.39</v>
      </c>
      <c r="Z387" s="1">
        <f ca="1">IFERROR(__xludf.DUMMYFUNCTION("""COMPUTED_VALUE"""),374.4)</f>
        <v>374.4</v>
      </c>
      <c r="AA387" s="1">
        <f ca="1">IFERROR(__xludf.DUMMYFUNCTION("""COMPUTED_VALUE"""),39.95)</f>
        <v>39.950000000000003</v>
      </c>
      <c r="AB387" s="1">
        <f ca="1">IFERROR(__xludf.DUMMYFUNCTION("""COMPUTED_VALUE"""),119.8)</f>
        <v>119.8</v>
      </c>
      <c r="AC387" s="1">
        <f ca="1">IFERROR(__xludf.DUMMYFUNCTION("""COMPUTED_VALUE"""),89.05)</f>
        <v>89.05</v>
      </c>
    </row>
    <row r="388" spans="1:29" x14ac:dyDescent="0.25">
      <c r="A388" s="2">
        <f ca="1">IFERROR(__xludf.DUMMYFUNCTION("""COMPUTED_VALUE"""),44392.6666666666)</f>
        <v>44392.666666666599</v>
      </c>
      <c r="B388" s="1">
        <f ca="1">IFERROR(__xludf.DUMMYFUNCTION("""COMPUTED_VALUE"""),148.48)</f>
        <v>148.47999999999999</v>
      </c>
      <c r="C388" s="1">
        <f ca="1">IFERROR(__xludf.DUMMYFUNCTION("""COMPUTED_VALUE"""),281.03)</f>
        <v>281.02999999999997</v>
      </c>
      <c r="D388" s="1">
        <f ca="1">IFERROR(__xludf.DUMMYFUNCTION("""COMPUTED_VALUE"""),181.56)</f>
        <v>181.56</v>
      </c>
      <c r="E388" s="1">
        <f ca="1">IFERROR(__xludf.DUMMYFUNCTION("""COMPUTED_VALUE"""),18.97)</f>
        <v>18.97</v>
      </c>
      <c r="F388" s="1">
        <f ca="1">IFERROR(__xludf.DUMMYFUNCTION("""COMPUTED_VALUE"""),344.46)</f>
        <v>344.46</v>
      </c>
      <c r="G388" s="1">
        <f ca="1">IFERROR(__xludf.DUMMYFUNCTION("""COMPUTED_VALUE"""),131.27)</f>
        <v>131.27000000000001</v>
      </c>
      <c r="H388" s="1">
        <f ca="1">IFERROR(__xludf.DUMMYFUNCTION("""COMPUTED_VALUE"""),216.87)</f>
        <v>216.87</v>
      </c>
      <c r="I388" s="1">
        <f ca="1">IFERROR(__xludf.DUMMYFUNCTION("""COMPUTED_VALUE"""),155.25)</f>
        <v>155.25</v>
      </c>
      <c r="J388" s="1">
        <f ca="1">IFERROR(__xludf.DUMMYFUNCTION("""COMPUTED_VALUE"""),411.82)</f>
        <v>411.82</v>
      </c>
      <c r="K388" s="1">
        <f ca="1">IFERROR(__xludf.DUMMYFUNCTION("""COMPUTED_VALUE"""),47.73)</f>
        <v>47.73</v>
      </c>
      <c r="L388" s="1">
        <f ca="1">IFERROR(__xludf.DUMMYFUNCTION("""COMPUTED_VALUE"""),606.17)</f>
        <v>606.16999999999996</v>
      </c>
      <c r="M388" s="1">
        <f ca="1">IFERROR(__xludf.DUMMYFUNCTION("""COMPUTED_VALUE"""),542.95)</f>
        <v>542.95000000000005</v>
      </c>
      <c r="N388" s="1">
        <f ca="1">IFERROR(__xludf.DUMMYFUNCTION("""COMPUTED_VALUE"""),155.46)</f>
        <v>155.46</v>
      </c>
      <c r="O388" s="1">
        <f ca="1">IFERROR(__xludf.DUMMYFUNCTION("""COMPUTED_VALUE"""),248.55)</f>
        <v>248.55</v>
      </c>
      <c r="P388" s="1">
        <f ca="1">IFERROR(__xludf.DUMMYFUNCTION("""COMPUTED_VALUE"""),168.37)</f>
        <v>168.37</v>
      </c>
      <c r="Q388" s="1">
        <f ca="1">IFERROR(__xludf.DUMMYFUNCTION("""COMPUTED_VALUE"""),420.05)</f>
        <v>420.05</v>
      </c>
      <c r="R388" s="1">
        <f ca="1">IFERROR(__xludf.DUMMYFUNCTION("""COMPUTED_VALUE"""),58.95)</f>
        <v>58.95</v>
      </c>
      <c r="S388" s="1">
        <f ca="1">IFERROR(__xludf.DUMMYFUNCTION("""COMPUTED_VALUE"""),76.82)</f>
        <v>76.819999999999993</v>
      </c>
      <c r="T388" s="1">
        <f ca="1">IFERROR(__xludf.DUMMYFUNCTION("""COMPUTED_VALUE"""),47.22)</f>
        <v>47.22</v>
      </c>
      <c r="U388" s="1">
        <f ca="1">IFERROR(__xludf.DUMMYFUNCTION("""COMPUTED_VALUE"""),161.69)</f>
        <v>161.69</v>
      </c>
      <c r="V388" s="1">
        <f ca="1">IFERROR(__xludf.DUMMYFUNCTION("""COMPUTED_VALUE"""),211.41)</f>
        <v>211.41</v>
      </c>
      <c r="W388" s="1">
        <f ca="1">IFERROR(__xludf.DUMMYFUNCTION("""COMPUTED_VALUE"""),378.25)</f>
        <v>378.25</v>
      </c>
      <c r="X388" s="1">
        <f ca="1">IFERROR(__xludf.DUMMYFUNCTION("""COMPUTED_VALUE"""),703.94)</f>
        <v>703.94</v>
      </c>
      <c r="Y388" s="1">
        <f ca="1">IFERROR(__xludf.DUMMYFUNCTION("""COMPUTED_VALUE"""),117.53)</f>
        <v>117.53</v>
      </c>
      <c r="Z388" s="1">
        <f ca="1">IFERROR(__xludf.DUMMYFUNCTION("""COMPUTED_VALUE"""),373.35)</f>
        <v>373.35</v>
      </c>
      <c r="AA388" s="1">
        <f ca="1">IFERROR(__xludf.DUMMYFUNCTION("""COMPUTED_VALUE"""),40.09)</f>
        <v>40.090000000000003</v>
      </c>
      <c r="AB388" s="1">
        <f ca="1">IFERROR(__xludf.DUMMYFUNCTION("""COMPUTED_VALUE"""),118.97)</f>
        <v>118.97</v>
      </c>
      <c r="AC388" s="1">
        <f ca="1">IFERROR(__xludf.DUMMYFUNCTION("""COMPUTED_VALUE"""),86.93)</f>
        <v>86.93</v>
      </c>
    </row>
    <row r="389" spans="1:29" x14ac:dyDescent="0.25">
      <c r="A389" s="2">
        <f ca="1">IFERROR(__xludf.DUMMYFUNCTION("""COMPUTED_VALUE"""),44393.6666666666)</f>
        <v>44393.666666666599</v>
      </c>
      <c r="B389" s="1">
        <f ca="1">IFERROR(__xludf.DUMMYFUNCTION("""COMPUTED_VALUE"""),146.39)</f>
        <v>146.38999999999999</v>
      </c>
      <c r="C389" s="1">
        <f ca="1">IFERROR(__xludf.DUMMYFUNCTION("""COMPUTED_VALUE"""),280.75)</f>
        <v>280.75</v>
      </c>
      <c r="D389" s="1">
        <f ca="1">IFERROR(__xludf.DUMMYFUNCTION("""COMPUTED_VALUE"""),178.68)</f>
        <v>178.68</v>
      </c>
      <c r="E389" s="1">
        <f ca="1">IFERROR(__xludf.DUMMYFUNCTION("""COMPUTED_VALUE"""),18.16)</f>
        <v>18.16</v>
      </c>
      <c r="F389" s="1">
        <f ca="1">IFERROR(__xludf.DUMMYFUNCTION("""COMPUTED_VALUE"""),341.16)</f>
        <v>341.16</v>
      </c>
      <c r="G389" s="1">
        <f ca="1">IFERROR(__xludf.DUMMYFUNCTION("""COMPUTED_VALUE"""),131.85)</f>
        <v>131.85</v>
      </c>
      <c r="H389" s="1">
        <f ca="1">IFERROR(__xludf.DUMMYFUNCTION("""COMPUTED_VALUE"""),214.74)</f>
        <v>214.74</v>
      </c>
      <c r="I389" s="1">
        <f ca="1">IFERROR(__xludf.DUMMYFUNCTION("""COMPUTED_VALUE"""),155.82)</f>
        <v>155.82</v>
      </c>
      <c r="J389" s="1">
        <f ca="1">IFERROR(__xludf.DUMMYFUNCTION("""COMPUTED_VALUE"""),410.37)</f>
        <v>410.37</v>
      </c>
      <c r="K389" s="1">
        <f ca="1">IFERROR(__xludf.DUMMYFUNCTION("""COMPUTED_VALUE"""),46.81)</f>
        <v>46.81</v>
      </c>
      <c r="L389" s="1">
        <f ca="1">IFERROR(__xludf.DUMMYFUNCTION("""COMPUTED_VALUE"""),606.1)</f>
        <v>606.1</v>
      </c>
      <c r="M389" s="1">
        <f ca="1">IFERROR(__xludf.DUMMYFUNCTION("""COMPUTED_VALUE"""),530.31)</f>
        <v>530.30999999999995</v>
      </c>
      <c r="N389" s="1">
        <f ca="1">IFERROR(__xludf.DUMMYFUNCTION("""COMPUTED_VALUE"""),151.91)</f>
        <v>151.91</v>
      </c>
      <c r="O389" s="1">
        <f ca="1">IFERROR(__xludf.DUMMYFUNCTION("""COMPUTED_VALUE"""),248.12)</f>
        <v>248.12</v>
      </c>
      <c r="P389" s="1">
        <f ca="1">IFERROR(__xludf.DUMMYFUNCTION("""COMPUTED_VALUE"""),168.1)</f>
        <v>168.1</v>
      </c>
      <c r="Q389" s="1">
        <f ca="1">IFERROR(__xludf.DUMMYFUNCTION("""COMPUTED_VALUE"""),419.7)</f>
        <v>419.7</v>
      </c>
      <c r="R389" s="1">
        <f ca="1">IFERROR(__xludf.DUMMYFUNCTION("""COMPUTED_VALUE"""),57.32)</f>
        <v>57.32</v>
      </c>
      <c r="S389" s="1">
        <f ca="1">IFERROR(__xludf.DUMMYFUNCTION("""COMPUTED_VALUE"""),77.92)</f>
        <v>77.92</v>
      </c>
      <c r="T389" s="1">
        <f ca="1">IFERROR(__xludf.DUMMYFUNCTION("""COMPUTED_VALUE"""),47.19)</f>
        <v>47.19</v>
      </c>
      <c r="U389" s="1">
        <f ca="1">IFERROR(__xludf.DUMMYFUNCTION("""COMPUTED_VALUE"""),159.85)</f>
        <v>159.85</v>
      </c>
      <c r="V389" s="1">
        <f ca="1">IFERROR(__xludf.DUMMYFUNCTION("""COMPUTED_VALUE"""),207.95)</f>
        <v>207.95</v>
      </c>
      <c r="W389" s="1">
        <f ca="1">IFERROR(__xludf.DUMMYFUNCTION("""COMPUTED_VALUE"""),377.14)</f>
        <v>377.14</v>
      </c>
      <c r="X389" s="1">
        <f ca="1">IFERROR(__xludf.DUMMYFUNCTION("""COMPUTED_VALUE"""),687.42)</f>
        <v>687.42</v>
      </c>
      <c r="Y389" s="1">
        <f ca="1">IFERROR(__xludf.DUMMYFUNCTION("""COMPUTED_VALUE"""),115.74)</f>
        <v>115.74</v>
      </c>
      <c r="Z389" s="1">
        <f ca="1">IFERROR(__xludf.DUMMYFUNCTION("""COMPUTED_VALUE"""),364.8)</f>
        <v>364.8</v>
      </c>
      <c r="AA389" s="1">
        <f ca="1">IFERROR(__xludf.DUMMYFUNCTION("""COMPUTED_VALUE"""),40.35)</f>
        <v>40.35</v>
      </c>
      <c r="AB389" s="1">
        <f ca="1">IFERROR(__xludf.DUMMYFUNCTION("""COMPUTED_VALUE"""),118.73)</f>
        <v>118.73</v>
      </c>
      <c r="AC389" s="1">
        <f ca="1">IFERROR(__xludf.DUMMYFUNCTION("""COMPUTED_VALUE"""),85.89)</f>
        <v>85.89</v>
      </c>
    </row>
    <row r="390" spans="1:29" x14ac:dyDescent="0.25">
      <c r="A390" s="2">
        <f ca="1">IFERROR(__xludf.DUMMYFUNCTION("""COMPUTED_VALUE"""),44396.6666666666)</f>
        <v>44396.666666666599</v>
      </c>
      <c r="B390" s="1">
        <f ca="1">IFERROR(__xludf.DUMMYFUNCTION("""COMPUTED_VALUE"""),142.45)</f>
        <v>142.44999999999999</v>
      </c>
      <c r="C390" s="1">
        <f ca="1">IFERROR(__xludf.DUMMYFUNCTION("""COMPUTED_VALUE"""),277.01)</f>
        <v>277.01</v>
      </c>
      <c r="D390" s="1">
        <f ca="1">IFERROR(__xludf.DUMMYFUNCTION("""COMPUTED_VALUE"""),177.48)</f>
        <v>177.48</v>
      </c>
      <c r="E390" s="1">
        <f ca="1">IFERROR(__xludf.DUMMYFUNCTION("""COMPUTED_VALUE"""),18.78)</f>
        <v>18.78</v>
      </c>
      <c r="F390" s="1">
        <f ca="1">IFERROR(__xludf.DUMMYFUNCTION("""COMPUTED_VALUE"""),336.95)</f>
        <v>336.95</v>
      </c>
      <c r="G390" s="1">
        <f ca="1">IFERROR(__xludf.DUMMYFUNCTION("""COMPUTED_VALUE"""),129.25)</f>
        <v>129.25</v>
      </c>
      <c r="H390" s="1">
        <f ca="1">IFERROR(__xludf.DUMMYFUNCTION("""COMPUTED_VALUE"""),215.41)</f>
        <v>215.41</v>
      </c>
      <c r="I390" s="1">
        <f ca="1">IFERROR(__xludf.DUMMYFUNCTION("""COMPUTED_VALUE"""),155.8)</f>
        <v>155.80000000000001</v>
      </c>
      <c r="J390" s="1">
        <f ca="1">IFERROR(__xludf.DUMMYFUNCTION("""COMPUTED_VALUE"""),414.15)</f>
        <v>414.15</v>
      </c>
      <c r="K390" s="1">
        <f ca="1">IFERROR(__xludf.DUMMYFUNCTION("""COMPUTED_VALUE"""),46.57)</f>
        <v>46.57</v>
      </c>
      <c r="L390" s="1">
        <f ca="1">IFERROR(__xludf.DUMMYFUNCTION("""COMPUTED_VALUE"""),602.05)</f>
        <v>602.04999999999995</v>
      </c>
      <c r="M390" s="1">
        <f ca="1">IFERROR(__xludf.DUMMYFUNCTION("""COMPUTED_VALUE"""),532.28)</f>
        <v>532.28</v>
      </c>
      <c r="N390" s="1">
        <f ca="1">IFERROR(__xludf.DUMMYFUNCTION("""COMPUTED_VALUE"""),146.97)</f>
        <v>146.97</v>
      </c>
      <c r="O390" s="1">
        <f ca="1">IFERROR(__xludf.DUMMYFUNCTION("""COMPUTED_VALUE"""),240.41)</f>
        <v>240.41</v>
      </c>
      <c r="P390" s="1">
        <f ca="1">IFERROR(__xludf.DUMMYFUNCTION("""COMPUTED_VALUE"""),166.88)</f>
        <v>166.88</v>
      </c>
      <c r="Q390" s="1">
        <f ca="1">IFERROR(__xludf.DUMMYFUNCTION("""COMPUTED_VALUE"""),409.06)</f>
        <v>409.06</v>
      </c>
      <c r="R390" s="1">
        <f ca="1">IFERROR(__xludf.DUMMYFUNCTION("""COMPUTED_VALUE"""),55.35)</f>
        <v>55.35</v>
      </c>
      <c r="S390" s="1">
        <f ca="1">IFERROR(__xludf.DUMMYFUNCTION("""COMPUTED_VALUE"""),76.99)</f>
        <v>76.989999999999995</v>
      </c>
      <c r="T390" s="1">
        <f ca="1">IFERROR(__xludf.DUMMYFUNCTION("""COMPUTED_VALUE"""),47.08)</f>
        <v>47.08</v>
      </c>
      <c r="U390" s="1">
        <f ca="1">IFERROR(__xludf.DUMMYFUNCTION("""COMPUTED_VALUE"""),157.87)</f>
        <v>157.87</v>
      </c>
      <c r="V390" s="1">
        <f ca="1">IFERROR(__xludf.DUMMYFUNCTION("""COMPUTED_VALUE"""),203.08)</f>
        <v>203.08</v>
      </c>
      <c r="W390" s="1">
        <f ca="1">IFERROR(__xludf.DUMMYFUNCTION("""COMPUTED_VALUE"""),372.02)</f>
        <v>372.02</v>
      </c>
      <c r="X390" s="1">
        <f ca="1">IFERROR(__xludf.DUMMYFUNCTION("""COMPUTED_VALUE"""),684)</f>
        <v>684</v>
      </c>
      <c r="Y390" s="1">
        <f ca="1">IFERROR(__xludf.DUMMYFUNCTION("""COMPUTED_VALUE"""),115.35)</f>
        <v>115.35</v>
      </c>
      <c r="Z390" s="1">
        <f ca="1">IFERROR(__xludf.DUMMYFUNCTION("""COMPUTED_VALUE"""),354.72)</f>
        <v>354.72</v>
      </c>
      <c r="AA390" s="1">
        <f ca="1">IFERROR(__xludf.DUMMYFUNCTION("""COMPUTED_VALUE"""),40.15)</f>
        <v>40.15</v>
      </c>
      <c r="AB390" s="1">
        <f ca="1">IFERROR(__xludf.DUMMYFUNCTION("""COMPUTED_VALUE"""),115.32)</f>
        <v>115.32</v>
      </c>
      <c r="AC390" s="1">
        <f ca="1">IFERROR(__xludf.DUMMYFUNCTION("""COMPUTED_VALUE"""),86.58)</f>
        <v>86.58</v>
      </c>
    </row>
    <row r="391" spans="1:29" x14ac:dyDescent="0.25">
      <c r="A391" s="2">
        <f ca="1">IFERROR(__xludf.DUMMYFUNCTION("""COMPUTED_VALUE"""),44397.6666666666)</f>
        <v>44397.666666666599</v>
      </c>
      <c r="B391" s="1">
        <f ca="1">IFERROR(__xludf.DUMMYFUNCTION("""COMPUTED_VALUE"""),146.15)</f>
        <v>146.15</v>
      </c>
      <c r="C391" s="1">
        <f ca="1">IFERROR(__xludf.DUMMYFUNCTION("""COMPUTED_VALUE"""),279.32)</f>
        <v>279.32</v>
      </c>
      <c r="D391" s="1">
        <f ca="1">IFERROR(__xludf.DUMMYFUNCTION("""COMPUTED_VALUE"""),178.66)</f>
        <v>178.66</v>
      </c>
      <c r="E391" s="1">
        <f ca="1">IFERROR(__xludf.DUMMYFUNCTION("""COMPUTED_VALUE"""),18.61)</f>
        <v>18.61</v>
      </c>
      <c r="F391" s="1">
        <f ca="1">IFERROR(__xludf.DUMMYFUNCTION("""COMPUTED_VALUE"""),341.66)</f>
        <v>341.66</v>
      </c>
      <c r="G391" s="1">
        <f ca="1">IFERROR(__xludf.DUMMYFUNCTION("""COMPUTED_VALUE"""),131.1)</f>
        <v>131.1</v>
      </c>
      <c r="H391" s="1">
        <f ca="1">IFERROR(__xludf.DUMMYFUNCTION("""COMPUTED_VALUE"""),220.17)</f>
        <v>220.17</v>
      </c>
      <c r="I391" s="1">
        <f ca="1">IFERROR(__xludf.DUMMYFUNCTION("""COMPUTED_VALUE"""),155.82)</f>
        <v>155.82</v>
      </c>
      <c r="J391" s="1">
        <f ca="1">IFERROR(__xludf.DUMMYFUNCTION("""COMPUTED_VALUE"""),416.24)</f>
        <v>416.24</v>
      </c>
      <c r="K391" s="1">
        <f ca="1">IFERROR(__xludf.DUMMYFUNCTION("""COMPUTED_VALUE"""),46.86)</f>
        <v>46.86</v>
      </c>
      <c r="L391" s="1">
        <f ca="1">IFERROR(__xludf.DUMMYFUNCTION("""COMPUTED_VALUE"""),608.72)</f>
        <v>608.72</v>
      </c>
      <c r="M391" s="1">
        <f ca="1">IFERROR(__xludf.DUMMYFUNCTION("""COMPUTED_VALUE"""),531.05)</f>
        <v>531.04999999999995</v>
      </c>
      <c r="N391" s="1">
        <f ca="1">IFERROR(__xludf.DUMMYFUNCTION("""COMPUTED_VALUE"""),149.71)</f>
        <v>149.71</v>
      </c>
      <c r="O391" s="1">
        <f ca="1">IFERROR(__xludf.DUMMYFUNCTION("""COMPUTED_VALUE"""),242.7)</f>
        <v>242.7</v>
      </c>
      <c r="P391" s="1">
        <f ca="1">IFERROR(__xludf.DUMMYFUNCTION("""COMPUTED_VALUE"""),168.45)</f>
        <v>168.45</v>
      </c>
      <c r="Q391" s="1">
        <f ca="1">IFERROR(__xludf.DUMMYFUNCTION("""COMPUTED_VALUE"""),412.97)</f>
        <v>412.97</v>
      </c>
      <c r="R391" s="1">
        <f ca="1">IFERROR(__xludf.DUMMYFUNCTION("""COMPUTED_VALUE"""),55.96)</f>
        <v>55.96</v>
      </c>
      <c r="S391" s="1">
        <f ca="1">IFERROR(__xludf.DUMMYFUNCTION("""COMPUTED_VALUE"""),77.17)</f>
        <v>77.17</v>
      </c>
      <c r="T391" s="1">
        <f ca="1">IFERROR(__xludf.DUMMYFUNCTION("""COMPUTED_VALUE"""),47.29)</f>
        <v>47.29</v>
      </c>
      <c r="U391" s="1">
        <f ca="1">IFERROR(__xludf.DUMMYFUNCTION("""COMPUTED_VALUE"""),159.74)</f>
        <v>159.74</v>
      </c>
      <c r="V391" s="1">
        <f ca="1">IFERROR(__xludf.DUMMYFUNCTION("""COMPUTED_VALUE"""),207.96)</f>
        <v>207.96</v>
      </c>
      <c r="W391" s="1">
        <f ca="1">IFERROR(__xludf.DUMMYFUNCTION("""COMPUTED_VALUE"""),379.98)</f>
        <v>379.98</v>
      </c>
      <c r="X391" s="1">
        <f ca="1">IFERROR(__xludf.DUMMYFUNCTION("""COMPUTED_VALUE"""),684.05)</f>
        <v>684.05</v>
      </c>
      <c r="Y391" s="1">
        <f ca="1">IFERROR(__xludf.DUMMYFUNCTION("""COMPUTED_VALUE"""),116.4)</f>
        <v>116.4</v>
      </c>
      <c r="Z391" s="1">
        <f ca="1">IFERROR(__xludf.DUMMYFUNCTION("""COMPUTED_VALUE"""),364.76)</f>
        <v>364.76</v>
      </c>
      <c r="AA391" s="1">
        <f ca="1">IFERROR(__xludf.DUMMYFUNCTION("""COMPUTED_VALUE"""),41.05)</f>
        <v>41.05</v>
      </c>
      <c r="AB391" s="1">
        <f ca="1">IFERROR(__xludf.DUMMYFUNCTION("""COMPUTED_VALUE"""),117.42)</f>
        <v>117.42</v>
      </c>
      <c r="AC391" s="1">
        <f ca="1">IFERROR(__xludf.DUMMYFUNCTION("""COMPUTED_VALUE"""),87.11)</f>
        <v>87.11</v>
      </c>
    </row>
    <row r="392" spans="1:29" x14ac:dyDescent="0.25">
      <c r="A392" s="2">
        <f ca="1">IFERROR(__xludf.DUMMYFUNCTION("""COMPUTED_VALUE"""),44398.6666666666)</f>
        <v>44398.666666666599</v>
      </c>
      <c r="B392" s="1">
        <f ca="1">IFERROR(__xludf.DUMMYFUNCTION("""COMPUTED_VALUE"""),145.4)</f>
        <v>145.4</v>
      </c>
      <c r="C392" s="1">
        <f ca="1">IFERROR(__xludf.DUMMYFUNCTION("""COMPUTED_VALUE"""),281.4)</f>
        <v>281.39999999999998</v>
      </c>
      <c r="D392" s="1">
        <f ca="1">IFERROR(__xludf.DUMMYFUNCTION("""COMPUTED_VALUE"""),179.26)</f>
        <v>179.26</v>
      </c>
      <c r="E392" s="1">
        <f ca="1">IFERROR(__xludf.DUMMYFUNCTION("""COMPUTED_VALUE"""),19.41)</f>
        <v>19.41</v>
      </c>
      <c r="F392" s="1">
        <f ca="1">IFERROR(__xludf.DUMMYFUNCTION("""COMPUTED_VALUE"""),346.23)</f>
        <v>346.23</v>
      </c>
      <c r="G392" s="1">
        <f ca="1">IFERROR(__xludf.DUMMYFUNCTION("""COMPUTED_VALUE"""),132.6)</f>
        <v>132.6</v>
      </c>
      <c r="H392" s="1">
        <f ca="1">IFERROR(__xludf.DUMMYFUNCTION("""COMPUTED_VALUE"""),218.43)</f>
        <v>218.43</v>
      </c>
      <c r="I392" s="1">
        <f ca="1">IFERROR(__xludf.DUMMYFUNCTION("""COMPUTED_VALUE"""),155.24)</f>
        <v>155.24</v>
      </c>
      <c r="J392" s="1">
        <f ca="1">IFERROR(__xludf.DUMMYFUNCTION("""COMPUTED_VALUE"""),415.01)</f>
        <v>415.01</v>
      </c>
      <c r="K392" s="1">
        <f ca="1">IFERROR(__xludf.DUMMYFUNCTION("""COMPUTED_VALUE"""),47.9)</f>
        <v>47.9</v>
      </c>
      <c r="L392" s="1">
        <f ca="1">IFERROR(__xludf.DUMMYFUNCTION("""COMPUTED_VALUE"""),612.26)</f>
        <v>612.26</v>
      </c>
      <c r="M392" s="1">
        <f ca="1">IFERROR(__xludf.DUMMYFUNCTION("""COMPUTED_VALUE"""),513.63)</f>
        <v>513.63</v>
      </c>
      <c r="N392" s="1">
        <f ca="1">IFERROR(__xludf.DUMMYFUNCTION("""COMPUTED_VALUE"""),152.86)</f>
        <v>152.86000000000001</v>
      </c>
      <c r="O392" s="1">
        <f ca="1">IFERROR(__xludf.DUMMYFUNCTION("""COMPUTED_VALUE"""),243.66)</f>
        <v>243.66</v>
      </c>
      <c r="P392" s="1">
        <f ca="1">IFERROR(__xludf.DUMMYFUNCTION("""COMPUTED_VALUE"""),169.49)</f>
        <v>169.49</v>
      </c>
      <c r="Q392" s="1">
        <f ca="1">IFERROR(__xludf.DUMMYFUNCTION("""COMPUTED_VALUE"""),414.64)</f>
        <v>414.64</v>
      </c>
      <c r="R392" s="1">
        <f ca="1">IFERROR(__xludf.DUMMYFUNCTION("""COMPUTED_VALUE"""),57.76)</f>
        <v>57.76</v>
      </c>
      <c r="S392" s="1">
        <f ca="1">IFERROR(__xludf.DUMMYFUNCTION("""COMPUTED_VALUE"""),75.88)</f>
        <v>75.88</v>
      </c>
      <c r="T392" s="1">
        <f ca="1">IFERROR(__xludf.DUMMYFUNCTION("""COMPUTED_VALUE"""),47.06)</f>
        <v>47.06</v>
      </c>
      <c r="U392" s="1">
        <f ca="1">IFERROR(__xludf.DUMMYFUNCTION("""COMPUTED_VALUE"""),161.08)</f>
        <v>161.08000000000001</v>
      </c>
      <c r="V392" s="1">
        <f ca="1">IFERROR(__xludf.DUMMYFUNCTION("""COMPUTED_VALUE"""),210.73)</f>
        <v>210.73</v>
      </c>
      <c r="W392" s="1">
        <f ca="1">IFERROR(__xludf.DUMMYFUNCTION("""COMPUTED_VALUE"""),380.89)</f>
        <v>380.89</v>
      </c>
      <c r="X392" s="1">
        <f ca="1">IFERROR(__xludf.DUMMYFUNCTION("""COMPUTED_VALUE"""),721)</f>
        <v>721</v>
      </c>
      <c r="Y392" s="1">
        <f ca="1">IFERROR(__xludf.DUMMYFUNCTION("""COMPUTED_VALUE"""),117.87)</f>
        <v>117.87</v>
      </c>
      <c r="Z392" s="1">
        <f ca="1">IFERROR(__xludf.DUMMYFUNCTION("""COMPUTED_VALUE"""),373.5)</f>
        <v>373.5</v>
      </c>
      <c r="AA392" s="1">
        <f ca="1">IFERROR(__xludf.DUMMYFUNCTION("""COMPUTED_VALUE"""),41.02)</f>
        <v>41.02</v>
      </c>
      <c r="AB392" s="1">
        <f ca="1">IFERROR(__xludf.DUMMYFUNCTION("""COMPUTED_VALUE"""),119.27)</f>
        <v>119.27</v>
      </c>
      <c r="AC392" s="1">
        <f ca="1">IFERROR(__xludf.DUMMYFUNCTION("""COMPUTED_VALUE"""),89.41)</f>
        <v>89.41</v>
      </c>
    </row>
    <row r="393" spans="1:29" x14ac:dyDescent="0.25">
      <c r="A393" s="2">
        <f ca="1">IFERROR(__xludf.DUMMYFUNCTION("""COMPUTED_VALUE"""),44399.6666666666)</f>
        <v>44399.666666666599</v>
      </c>
      <c r="B393" s="1">
        <f ca="1">IFERROR(__xludf.DUMMYFUNCTION("""COMPUTED_VALUE"""),146.8)</f>
        <v>146.80000000000001</v>
      </c>
      <c r="C393" s="1">
        <f ca="1">IFERROR(__xludf.DUMMYFUNCTION("""COMPUTED_VALUE"""),286.14)</f>
        <v>286.14</v>
      </c>
      <c r="D393" s="1">
        <f ca="1">IFERROR(__xludf.DUMMYFUNCTION("""COMPUTED_VALUE"""),181.9)</f>
        <v>181.9</v>
      </c>
      <c r="E393" s="1">
        <f ca="1">IFERROR(__xludf.DUMMYFUNCTION("""COMPUTED_VALUE"""),19.59)</f>
        <v>19.59</v>
      </c>
      <c r="F393" s="1">
        <f ca="1">IFERROR(__xludf.DUMMYFUNCTION("""COMPUTED_VALUE"""),351.19)</f>
        <v>351.19</v>
      </c>
      <c r="G393" s="1">
        <f ca="1">IFERROR(__xludf.DUMMYFUNCTION("""COMPUTED_VALUE"""),133.33)</f>
        <v>133.33000000000001</v>
      </c>
      <c r="H393" s="1">
        <f ca="1">IFERROR(__xludf.DUMMYFUNCTION("""COMPUTED_VALUE"""),216.42)</f>
        <v>216.42</v>
      </c>
      <c r="I393" s="1">
        <f ca="1">IFERROR(__xludf.DUMMYFUNCTION("""COMPUTED_VALUE"""),155.19)</f>
        <v>155.19</v>
      </c>
      <c r="J393" s="1">
        <f ca="1">IFERROR(__xludf.DUMMYFUNCTION("""COMPUTED_VALUE"""),417.54)</f>
        <v>417.54</v>
      </c>
      <c r="K393" s="1">
        <f ca="1">IFERROR(__xludf.DUMMYFUNCTION("""COMPUTED_VALUE"""),47.63)</f>
        <v>47.63</v>
      </c>
      <c r="L393" s="1">
        <f ca="1">IFERROR(__xludf.DUMMYFUNCTION("""COMPUTED_VALUE"""),623.68)</f>
        <v>623.67999999999995</v>
      </c>
      <c r="M393" s="1">
        <f ca="1">IFERROR(__xludf.DUMMYFUNCTION("""COMPUTED_VALUE"""),511.77)</f>
        <v>511.77</v>
      </c>
      <c r="N393" s="1">
        <f ca="1">IFERROR(__xludf.DUMMYFUNCTION("""COMPUTED_VALUE"""),150.93)</f>
        <v>150.93</v>
      </c>
      <c r="O393" s="1">
        <f ca="1">IFERROR(__xludf.DUMMYFUNCTION("""COMPUTED_VALUE"""),244.14)</f>
        <v>244.14</v>
      </c>
      <c r="P393" s="1">
        <f ca="1">IFERROR(__xludf.DUMMYFUNCTION("""COMPUTED_VALUE"""),169.98)</f>
        <v>169.98</v>
      </c>
      <c r="Q393" s="1">
        <f ca="1">IFERROR(__xludf.DUMMYFUNCTION("""COMPUTED_VALUE"""),415.77)</f>
        <v>415.77</v>
      </c>
      <c r="R393" s="1">
        <f ca="1">IFERROR(__xludf.DUMMYFUNCTION("""COMPUTED_VALUE"""),57.11)</f>
        <v>57.11</v>
      </c>
      <c r="S393" s="1">
        <f ca="1">IFERROR(__xludf.DUMMYFUNCTION("""COMPUTED_VALUE"""),76.12)</f>
        <v>76.12</v>
      </c>
      <c r="T393" s="1">
        <f ca="1">IFERROR(__xludf.DUMMYFUNCTION("""COMPUTED_VALUE"""),47.09)</f>
        <v>47.09</v>
      </c>
      <c r="U393" s="1">
        <f ca="1">IFERROR(__xludf.DUMMYFUNCTION("""COMPUTED_VALUE"""),163.68)</f>
        <v>163.68</v>
      </c>
      <c r="V393" s="1">
        <f ca="1">IFERROR(__xludf.DUMMYFUNCTION("""COMPUTED_VALUE"""),209.16)</f>
        <v>209.16</v>
      </c>
      <c r="W393" s="1">
        <f ca="1">IFERROR(__xludf.DUMMYFUNCTION("""COMPUTED_VALUE"""),379.93)</f>
        <v>379.93</v>
      </c>
      <c r="X393" s="1">
        <f ca="1">IFERROR(__xludf.DUMMYFUNCTION("""COMPUTED_VALUE"""),729.92)</f>
        <v>729.92</v>
      </c>
      <c r="Y393" s="1">
        <f ca="1">IFERROR(__xludf.DUMMYFUNCTION("""COMPUTED_VALUE"""),116.56)</f>
        <v>116.56</v>
      </c>
      <c r="Z393" s="1">
        <f ca="1">IFERROR(__xludf.DUMMYFUNCTION("""COMPUTED_VALUE"""),372.71)</f>
        <v>372.71</v>
      </c>
      <c r="AA393" s="1">
        <f ca="1">IFERROR(__xludf.DUMMYFUNCTION("""COMPUTED_VALUE"""),41.47)</f>
        <v>41.47</v>
      </c>
      <c r="AB393" s="1">
        <f ca="1">IFERROR(__xludf.DUMMYFUNCTION("""COMPUTED_VALUE"""),122.63)</f>
        <v>122.63</v>
      </c>
      <c r="AC393" s="1">
        <f ca="1">IFERROR(__xludf.DUMMYFUNCTION("""COMPUTED_VALUE"""),91.21)</f>
        <v>91.21</v>
      </c>
    </row>
    <row r="394" spans="1:29" x14ac:dyDescent="0.25">
      <c r="A394" s="2">
        <f ca="1">IFERROR(__xludf.DUMMYFUNCTION("""COMPUTED_VALUE"""),44400.6666666666)</f>
        <v>44400.666666666599</v>
      </c>
      <c r="B394" s="1">
        <f ca="1">IFERROR(__xludf.DUMMYFUNCTION("""COMPUTED_VALUE"""),148.56)</f>
        <v>148.56</v>
      </c>
      <c r="C394" s="1">
        <f ca="1">IFERROR(__xludf.DUMMYFUNCTION("""COMPUTED_VALUE"""),289.67)</f>
        <v>289.67</v>
      </c>
      <c r="D394" s="1">
        <f ca="1">IFERROR(__xludf.DUMMYFUNCTION("""COMPUTED_VALUE"""),182.83)</f>
        <v>182.83</v>
      </c>
      <c r="E394" s="1">
        <f ca="1">IFERROR(__xludf.DUMMYFUNCTION("""COMPUTED_VALUE"""),19.56)</f>
        <v>19.559999999999999</v>
      </c>
      <c r="F394" s="1">
        <f ca="1">IFERROR(__xludf.DUMMYFUNCTION("""COMPUTED_VALUE"""),369.79)</f>
        <v>369.79</v>
      </c>
      <c r="G394" s="1">
        <f ca="1">IFERROR(__xludf.DUMMYFUNCTION("""COMPUTED_VALUE"""),137.82)</f>
        <v>137.82</v>
      </c>
      <c r="H394" s="1">
        <f ca="1">IFERROR(__xludf.DUMMYFUNCTION("""COMPUTED_VALUE"""),214.46)</f>
        <v>214.46</v>
      </c>
      <c r="I394" s="1">
        <f ca="1">IFERROR(__xludf.DUMMYFUNCTION("""COMPUTED_VALUE"""),157.18)</f>
        <v>157.18</v>
      </c>
      <c r="J394" s="1">
        <f ca="1">IFERROR(__xludf.DUMMYFUNCTION("""COMPUTED_VALUE"""),423.43)</f>
        <v>423.43</v>
      </c>
      <c r="K394" s="1">
        <f ca="1">IFERROR(__xludf.DUMMYFUNCTION("""COMPUTED_VALUE"""),48.32)</f>
        <v>48.32</v>
      </c>
      <c r="L394" s="1">
        <f ca="1">IFERROR(__xludf.DUMMYFUNCTION("""COMPUTED_VALUE"""),625.87)</f>
        <v>625.87</v>
      </c>
      <c r="M394" s="1">
        <f ca="1">IFERROR(__xludf.DUMMYFUNCTION("""COMPUTED_VALUE"""),515.41)</f>
        <v>515.41</v>
      </c>
      <c r="N394" s="1">
        <f ca="1">IFERROR(__xludf.DUMMYFUNCTION("""COMPUTED_VALUE"""),150.64)</f>
        <v>150.63999999999999</v>
      </c>
      <c r="O394" s="1">
        <f ca="1">IFERROR(__xludf.DUMMYFUNCTION("""COMPUTED_VALUE"""),249.02)</f>
        <v>249.02</v>
      </c>
      <c r="P394" s="1">
        <f ca="1">IFERROR(__xludf.DUMMYFUNCTION("""COMPUTED_VALUE"""),171.79)</f>
        <v>171.79</v>
      </c>
      <c r="Q394" s="1">
        <f ca="1">IFERROR(__xludf.DUMMYFUNCTION("""COMPUTED_VALUE"""),417.7)</f>
        <v>417.7</v>
      </c>
      <c r="R394" s="1">
        <f ca="1">IFERROR(__xludf.DUMMYFUNCTION("""COMPUTED_VALUE"""),57.04)</f>
        <v>57.04</v>
      </c>
      <c r="S394" s="1">
        <f ca="1">IFERROR(__xludf.DUMMYFUNCTION("""COMPUTED_VALUE"""),77.2)</f>
        <v>77.2</v>
      </c>
      <c r="T394" s="1">
        <f ca="1">IFERROR(__xludf.DUMMYFUNCTION("""COMPUTED_VALUE"""),47.48)</f>
        <v>47.48</v>
      </c>
      <c r="U394" s="1">
        <f ca="1">IFERROR(__xludf.DUMMYFUNCTION("""COMPUTED_VALUE"""),166.36)</f>
        <v>166.36</v>
      </c>
      <c r="V394" s="1">
        <f ca="1">IFERROR(__xludf.DUMMYFUNCTION("""COMPUTED_VALUE"""),209.53)</f>
        <v>209.53</v>
      </c>
      <c r="W394" s="1">
        <f ca="1">IFERROR(__xludf.DUMMYFUNCTION("""COMPUTED_VALUE"""),380.77)</f>
        <v>380.77</v>
      </c>
      <c r="X394" s="1">
        <f ca="1">IFERROR(__xludf.DUMMYFUNCTION("""COMPUTED_VALUE"""),748.14)</f>
        <v>748.14</v>
      </c>
      <c r="Y394" s="1">
        <f ca="1">IFERROR(__xludf.DUMMYFUNCTION("""COMPUTED_VALUE"""),116.79)</f>
        <v>116.79</v>
      </c>
      <c r="Z394" s="1">
        <f ca="1">IFERROR(__xludf.DUMMYFUNCTION("""COMPUTED_VALUE"""),374.05)</f>
        <v>374.05</v>
      </c>
      <c r="AA394" s="1">
        <f ca="1">IFERROR(__xludf.DUMMYFUNCTION("""COMPUTED_VALUE"""),41.68)</f>
        <v>41.68</v>
      </c>
      <c r="AB394" s="1">
        <f ca="1">IFERROR(__xludf.DUMMYFUNCTION("""COMPUTED_VALUE"""),125.97)</f>
        <v>125.97</v>
      </c>
      <c r="AC394" s="1">
        <f ca="1">IFERROR(__xludf.DUMMYFUNCTION("""COMPUTED_VALUE"""),92.15)</f>
        <v>92.15</v>
      </c>
    </row>
    <row r="395" spans="1:29" x14ac:dyDescent="0.25">
      <c r="A395" s="2">
        <f ca="1">IFERROR(__xludf.DUMMYFUNCTION("""COMPUTED_VALUE"""),44403.6666666666)</f>
        <v>44403.666666666599</v>
      </c>
      <c r="B395" s="1">
        <f ca="1">IFERROR(__xludf.DUMMYFUNCTION("""COMPUTED_VALUE"""),148.99)</f>
        <v>148.99</v>
      </c>
      <c r="C395" s="1">
        <f ca="1">IFERROR(__xludf.DUMMYFUNCTION("""COMPUTED_VALUE"""),289.05)</f>
        <v>289.05</v>
      </c>
      <c r="D395" s="1">
        <f ca="1">IFERROR(__xludf.DUMMYFUNCTION("""COMPUTED_VALUE"""),184.99)</f>
        <v>184.99</v>
      </c>
      <c r="E395" s="1">
        <f ca="1">IFERROR(__xludf.DUMMYFUNCTION("""COMPUTED_VALUE"""),19.29)</f>
        <v>19.29</v>
      </c>
      <c r="F395" s="1">
        <f ca="1">IFERROR(__xludf.DUMMYFUNCTION("""COMPUTED_VALUE"""),372.46)</f>
        <v>372.46</v>
      </c>
      <c r="G395" s="1">
        <f ca="1">IFERROR(__xludf.DUMMYFUNCTION("""COMPUTED_VALUE"""),139.64)</f>
        <v>139.63999999999999</v>
      </c>
      <c r="H395" s="1">
        <f ca="1">IFERROR(__xludf.DUMMYFUNCTION("""COMPUTED_VALUE"""),219.21)</f>
        <v>219.21</v>
      </c>
      <c r="I395" s="1">
        <f ca="1">IFERROR(__xludf.DUMMYFUNCTION("""COMPUTED_VALUE"""),157.07)</f>
        <v>157.07</v>
      </c>
      <c r="J395" s="1">
        <f ca="1">IFERROR(__xludf.DUMMYFUNCTION("""COMPUTED_VALUE"""),423.23)</f>
        <v>423.23</v>
      </c>
      <c r="K395" s="1">
        <f ca="1">IFERROR(__xludf.DUMMYFUNCTION("""COMPUTED_VALUE"""),48.22)</f>
        <v>48.22</v>
      </c>
      <c r="L395" s="1">
        <f ca="1">IFERROR(__xludf.DUMMYFUNCTION("""COMPUTED_VALUE"""),620.8)</f>
        <v>620.79999999999995</v>
      </c>
      <c r="M395" s="1">
        <f ca="1">IFERROR(__xludf.DUMMYFUNCTION("""COMPUTED_VALUE"""),516.49)</f>
        <v>516.49</v>
      </c>
      <c r="N395" s="1">
        <f ca="1">IFERROR(__xludf.DUMMYFUNCTION("""COMPUTED_VALUE"""),151.65)</f>
        <v>151.65</v>
      </c>
      <c r="O395" s="1">
        <f ca="1">IFERROR(__xludf.DUMMYFUNCTION("""COMPUTED_VALUE"""),250.25)</f>
        <v>250.25</v>
      </c>
      <c r="P395" s="1">
        <f ca="1">IFERROR(__xludf.DUMMYFUNCTION("""COMPUTED_VALUE"""),171.87)</f>
        <v>171.87</v>
      </c>
      <c r="Q395" s="1">
        <f ca="1">IFERROR(__xludf.DUMMYFUNCTION("""COMPUTED_VALUE"""),413.54)</f>
        <v>413.54</v>
      </c>
      <c r="R395" s="1">
        <f ca="1">IFERROR(__xludf.DUMMYFUNCTION("""COMPUTED_VALUE"""),58.48)</f>
        <v>58.48</v>
      </c>
      <c r="S395" s="1">
        <f ca="1">IFERROR(__xludf.DUMMYFUNCTION("""COMPUTED_VALUE"""),76.91)</f>
        <v>76.91</v>
      </c>
      <c r="T395" s="1">
        <f ca="1">IFERROR(__xludf.DUMMYFUNCTION("""COMPUTED_VALUE"""),47.54)</f>
        <v>47.54</v>
      </c>
      <c r="U395" s="1">
        <f ca="1">IFERROR(__xludf.DUMMYFUNCTION("""COMPUTED_VALUE"""),165.09)</f>
        <v>165.09</v>
      </c>
      <c r="V395" s="1">
        <f ca="1">IFERROR(__xludf.DUMMYFUNCTION("""COMPUTED_VALUE"""),211.03)</f>
        <v>211.03</v>
      </c>
      <c r="W395" s="1">
        <f ca="1">IFERROR(__xludf.DUMMYFUNCTION("""COMPUTED_VALUE"""),368.05)</f>
        <v>368.05</v>
      </c>
      <c r="X395" s="1">
        <f ca="1">IFERROR(__xludf.DUMMYFUNCTION("""COMPUTED_VALUE"""),754.09)</f>
        <v>754.09</v>
      </c>
      <c r="Y395" s="1">
        <f ca="1">IFERROR(__xludf.DUMMYFUNCTION("""COMPUTED_VALUE"""),115.65)</f>
        <v>115.65</v>
      </c>
      <c r="Z395" s="1">
        <f ca="1">IFERROR(__xludf.DUMMYFUNCTION("""COMPUTED_VALUE"""),375.9)</f>
        <v>375.9</v>
      </c>
      <c r="AA395" s="1">
        <f ca="1">IFERROR(__xludf.DUMMYFUNCTION("""COMPUTED_VALUE"""),41.81)</f>
        <v>41.81</v>
      </c>
      <c r="AB395" s="1">
        <f ca="1">IFERROR(__xludf.DUMMYFUNCTION("""COMPUTED_VALUE"""),126.06)</f>
        <v>126.06</v>
      </c>
      <c r="AC395" s="1">
        <f ca="1">IFERROR(__xludf.DUMMYFUNCTION("""COMPUTED_VALUE"""),91.82)</f>
        <v>91.82</v>
      </c>
    </row>
    <row r="396" spans="1:29" x14ac:dyDescent="0.25">
      <c r="A396" s="2">
        <f ca="1">IFERROR(__xludf.DUMMYFUNCTION("""COMPUTED_VALUE"""),44404.6666666666)</f>
        <v>44404.666666666599</v>
      </c>
      <c r="B396" s="1">
        <f ca="1">IFERROR(__xludf.DUMMYFUNCTION("""COMPUTED_VALUE"""),146.77)</f>
        <v>146.77000000000001</v>
      </c>
      <c r="C396" s="1">
        <f ca="1">IFERROR(__xludf.DUMMYFUNCTION("""COMPUTED_VALUE"""),286.54)</f>
        <v>286.54000000000002</v>
      </c>
      <c r="D396" s="1">
        <f ca="1">IFERROR(__xludf.DUMMYFUNCTION("""COMPUTED_VALUE"""),181.32)</f>
        <v>181.32</v>
      </c>
      <c r="E396" s="1">
        <f ca="1">IFERROR(__xludf.DUMMYFUNCTION("""COMPUTED_VALUE"""),19.21)</f>
        <v>19.21</v>
      </c>
      <c r="F396" s="1">
        <f ca="1">IFERROR(__xludf.DUMMYFUNCTION("""COMPUTED_VALUE"""),367.81)</f>
        <v>367.81</v>
      </c>
      <c r="G396" s="1">
        <f ca="1">IFERROR(__xludf.DUMMYFUNCTION("""COMPUTED_VALUE"""),136.8)</f>
        <v>136.80000000000001</v>
      </c>
      <c r="H396" s="1">
        <f ca="1">IFERROR(__xludf.DUMMYFUNCTION("""COMPUTED_VALUE"""),214.93)</f>
        <v>214.93</v>
      </c>
      <c r="I396" s="1">
        <f ca="1">IFERROR(__xludf.DUMMYFUNCTION("""COMPUTED_VALUE"""),157.94)</f>
        <v>157.94</v>
      </c>
      <c r="J396" s="1">
        <f ca="1">IFERROR(__xludf.DUMMYFUNCTION("""COMPUTED_VALUE"""),424.34)</f>
        <v>424.34</v>
      </c>
      <c r="K396" s="1">
        <f ca="1">IFERROR(__xludf.DUMMYFUNCTION("""COMPUTED_VALUE"""),47.54)</f>
        <v>47.54</v>
      </c>
      <c r="L396" s="1">
        <f ca="1">IFERROR(__xludf.DUMMYFUNCTION("""COMPUTED_VALUE"""),618.28)</f>
        <v>618.28</v>
      </c>
      <c r="M396" s="1">
        <f ca="1">IFERROR(__xludf.DUMMYFUNCTION("""COMPUTED_VALUE"""),518.91)</f>
        <v>518.91</v>
      </c>
      <c r="N396" s="1">
        <f ca="1">IFERROR(__xludf.DUMMYFUNCTION("""COMPUTED_VALUE"""),151.45)</f>
        <v>151.44999999999999</v>
      </c>
      <c r="O396" s="1">
        <f ca="1">IFERROR(__xludf.DUMMYFUNCTION("""COMPUTED_VALUE"""),250.93)</f>
        <v>250.93</v>
      </c>
      <c r="P396" s="1">
        <f ca="1">IFERROR(__xludf.DUMMYFUNCTION("""COMPUTED_VALUE"""),172.66)</f>
        <v>172.66</v>
      </c>
      <c r="Q396" s="1">
        <f ca="1">IFERROR(__xludf.DUMMYFUNCTION("""COMPUTED_VALUE"""),415.1)</f>
        <v>415.1</v>
      </c>
      <c r="R396" s="1">
        <f ca="1">IFERROR(__xludf.DUMMYFUNCTION("""COMPUTED_VALUE"""),57.83)</f>
        <v>57.83</v>
      </c>
      <c r="S396" s="1">
        <f ca="1">IFERROR(__xludf.DUMMYFUNCTION("""COMPUTED_VALUE"""),77.86)</f>
        <v>77.86</v>
      </c>
      <c r="T396" s="1">
        <f ca="1">IFERROR(__xludf.DUMMYFUNCTION("""COMPUTED_VALUE"""),47.55)</f>
        <v>47.55</v>
      </c>
      <c r="U396" s="1">
        <f ca="1">IFERROR(__xludf.DUMMYFUNCTION("""COMPUTED_VALUE"""),164.57)</f>
        <v>164.57</v>
      </c>
      <c r="V396" s="1">
        <f ca="1">IFERROR(__xludf.DUMMYFUNCTION("""COMPUTED_VALUE"""),209.9)</f>
        <v>209.9</v>
      </c>
      <c r="W396" s="1">
        <f ca="1">IFERROR(__xludf.DUMMYFUNCTION("""COMPUTED_VALUE"""),374.73)</f>
        <v>374.73</v>
      </c>
      <c r="X396" s="1">
        <f ca="1">IFERROR(__xludf.DUMMYFUNCTION("""COMPUTED_VALUE"""),745.6)</f>
        <v>745.6</v>
      </c>
      <c r="Y396" s="1">
        <f ca="1">IFERROR(__xludf.DUMMYFUNCTION("""COMPUTED_VALUE"""),113.54)</f>
        <v>113.54</v>
      </c>
      <c r="Z396" s="1">
        <f ca="1">IFERROR(__xludf.DUMMYFUNCTION("""COMPUTED_VALUE"""),374.84)</f>
        <v>374.84</v>
      </c>
      <c r="AA396" s="1">
        <f ca="1">IFERROR(__xludf.DUMMYFUNCTION("""COMPUTED_VALUE"""),42.1)</f>
        <v>42.1</v>
      </c>
      <c r="AB396" s="1">
        <f ca="1">IFERROR(__xludf.DUMMYFUNCTION("""COMPUTED_VALUE"""),126.03)</f>
        <v>126.03</v>
      </c>
      <c r="AC396" s="1">
        <f ca="1">IFERROR(__xludf.DUMMYFUNCTION("""COMPUTED_VALUE"""),91.03)</f>
        <v>91.03</v>
      </c>
    </row>
    <row r="397" spans="1:29" x14ac:dyDescent="0.25">
      <c r="A397" s="2">
        <f ca="1">IFERROR(__xludf.DUMMYFUNCTION("""COMPUTED_VALUE"""),44405.6666666666)</f>
        <v>44405.666666666599</v>
      </c>
      <c r="B397" s="1">
        <f ca="1">IFERROR(__xludf.DUMMYFUNCTION("""COMPUTED_VALUE"""),144.98)</f>
        <v>144.97999999999999</v>
      </c>
      <c r="C397" s="1">
        <f ca="1">IFERROR(__xludf.DUMMYFUNCTION("""COMPUTED_VALUE"""),286.22)</f>
        <v>286.22000000000003</v>
      </c>
      <c r="D397" s="1">
        <f ca="1">IFERROR(__xludf.DUMMYFUNCTION("""COMPUTED_VALUE"""),181.52)</f>
        <v>181.52</v>
      </c>
      <c r="E397" s="1">
        <f ca="1">IFERROR(__xludf.DUMMYFUNCTION("""COMPUTED_VALUE"""),19.5)</f>
        <v>19.5</v>
      </c>
      <c r="F397" s="1">
        <f ca="1">IFERROR(__xludf.DUMMYFUNCTION("""COMPUTED_VALUE"""),373.28)</f>
        <v>373.28</v>
      </c>
      <c r="G397" s="1">
        <f ca="1">IFERROR(__xludf.DUMMYFUNCTION("""COMPUTED_VALUE"""),136.38)</f>
        <v>136.38</v>
      </c>
      <c r="H397" s="1">
        <f ca="1">IFERROR(__xludf.DUMMYFUNCTION("""COMPUTED_VALUE"""),215.66)</f>
        <v>215.66</v>
      </c>
      <c r="I397" s="1">
        <f ca="1">IFERROR(__xludf.DUMMYFUNCTION("""COMPUTED_VALUE"""),156.49)</f>
        <v>156.49</v>
      </c>
      <c r="J397" s="1">
        <f ca="1">IFERROR(__xludf.DUMMYFUNCTION("""COMPUTED_VALUE"""),422.22)</f>
        <v>422.22</v>
      </c>
      <c r="K397" s="1">
        <f ca="1">IFERROR(__xludf.DUMMYFUNCTION("""COMPUTED_VALUE"""),47.77)</f>
        <v>47.77</v>
      </c>
      <c r="L397" s="1">
        <f ca="1">IFERROR(__xludf.DUMMYFUNCTION("""COMPUTED_VALUE"""),620.92)</f>
        <v>620.91999999999996</v>
      </c>
      <c r="M397" s="1">
        <f ca="1">IFERROR(__xludf.DUMMYFUNCTION("""COMPUTED_VALUE"""),519.3)</f>
        <v>519.29999999999995</v>
      </c>
      <c r="N397" s="1">
        <f ca="1">IFERROR(__xludf.DUMMYFUNCTION("""COMPUTED_VALUE"""),151.7)</f>
        <v>151.69999999999999</v>
      </c>
      <c r="O397" s="1">
        <f ca="1">IFERROR(__xludf.DUMMYFUNCTION("""COMPUTED_VALUE"""),246.94)</f>
        <v>246.94</v>
      </c>
      <c r="P397" s="1">
        <f ca="1">IFERROR(__xludf.DUMMYFUNCTION("""COMPUTED_VALUE"""),172.18)</f>
        <v>172.18</v>
      </c>
      <c r="Q397" s="1">
        <f ca="1">IFERROR(__xludf.DUMMYFUNCTION("""COMPUTED_VALUE"""),409.17)</f>
        <v>409.17</v>
      </c>
      <c r="R397" s="1">
        <f ca="1">IFERROR(__xludf.DUMMYFUNCTION("""COMPUTED_VALUE"""),58.22)</f>
        <v>58.22</v>
      </c>
      <c r="S397" s="1">
        <f ca="1">IFERROR(__xludf.DUMMYFUNCTION("""COMPUTED_VALUE"""),77.85)</f>
        <v>77.849999999999994</v>
      </c>
      <c r="T397" s="1">
        <f ca="1">IFERROR(__xludf.DUMMYFUNCTION("""COMPUTED_VALUE"""),47.35)</f>
        <v>47.35</v>
      </c>
      <c r="U397" s="1">
        <f ca="1">IFERROR(__xludf.DUMMYFUNCTION("""COMPUTED_VALUE"""),165.46)</f>
        <v>165.46</v>
      </c>
      <c r="V397" s="1">
        <f ca="1">IFERROR(__xludf.DUMMYFUNCTION("""COMPUTED_VALUE"""),211.44)</f>
        <v>211.44</v>
      </c>
      <c r="W397" s="1">
        <f ca="1">IFERROR(__xludf.DUMMYFUNCTION("""COMPUTED_VALUE"""),372.81)</f>
        <v>372.81</v>
      </c>
      <c r="X397" s="1">
        <f ca="1">IFERROR(__xludf.DUMMYFUNCTION("""COMPUTED_VALUE"""),759.86)</f>
        <v>759.86</v>
      </c>
      <c r="Y397" s="1">
        <f ca="1">IFERROR(__xludf.DUMMYFUNCTION("""COMPUTED_VALUE"""),115.07)</f>
        <v>115.07</v>
      </c>
      <c r="Z397" s="1">
        <f ca="1">IFERROR(__xludf.DUMMYFUNCTION("""COMPUTED_VALUE"""),374.23)</f>
        <v>374.23</v>
      </c>
      <c r="AA397" s="1">
        <f ca="1">IFERROR(__xludf.DUMMYFUNCTION("""COMPUTED_VALUE"""),43.45)</f>
        <v>43.45</v>
      </c>
      <c r="AB397" s="1">
        <f ca="1">IFERROR(__xludf.DUMMYFUNCTION("""COMPUTED_VALUE"""),122.41)</f>
        <v>122.41</v>
      </c>
      <c r="AC397" s="1">
        <f ca="1">IFERROR(__xludf.DUMMYFUNCTION("""COMPUTED_VALUE"""),97.93)</f>
        <v>97.93</v>
      </c>
    </row>
    <row r="398" spans="1:29" x14ac:dyDescent="0.25">
      <c r="A398" s="2">
        <f ca="1">IFERROR(__xludf.DUMMYFUNCTION("""COMPUTED_VALUE"""),44406.6666666666)</f>
        <v>44406.666666666599</v>
      </c>
      <c r="B398" s="1">
        <f ca="1">IFERROR(__xludf.DUMMYFUNCTION("""COMPUTED_VALUE"""),145.64)</f>
        <v>145.63999999999999</v>
      </c>
      <c r="C398" s="1">
        <f ca="1">IFERROR(__xludf.DUMMYFUNCTION("""COMPUTED_VALUE"""),286.5)</f>
        <v>286.5</v>
      </c>
      <c r="D398" s="1">
        <f ca="1">IFERROR(__xludf.DUMMYFUNCTION("""COMPUTED_VALUE"""),180)</f>
        <v>180</v>
      </c>
      <c r="E398" s="1">
        <f ca="1">IFERROR(__xludf.DUMMYFUNCTION("""COMPUTED_VALUE"""),19.66)</f>
        <v>19.66</v>
      </c>
      <c r="F398" s="1">
        <f ca="1">IFERROR(__xludf.DUMMYFUNCTION("""COMPUTED_VALUE"""),358.32)</f>
        <v>358.32</v>
      </c>
      <c r="G398" s="1">
        <f ca="1">IFERROR(__xludf.DUMMYFUNCTION("""COMPUTED_VALUE"""),136.54)</f>
        <v>136.54</v>
      </c>
      <c r="H398" s="1">
        <f ca="1">IFERROR(__xludf.DUMMYFUNCTION("""COMPUTED_VALUE"""),225.78)</f>
        <v>225.78</v>
      </c>
      <c r="I398" s="1">
        <f ca="1">IFERROR(__xludf.DUMMYFUNCTION("""COMPUTED_VALUE"""),156.81)</f>
        <v>156.81</v>
      </c>
      <c r="J398" s="1">
        <f ca="1">IFERROR(__xludf.DUMMYFUNCTION("""COMPUTED_VALUE"""),425.28)</f>
        <v>425.28</v>
      </c>
      <c r="K398" s="1">
        <f ca="1">IFERROR(__xludf.DUMMYFUNCTION("""COMPUTED_VALUE"""),48.41)</f>
        <v>48.41</v>
      </c>
      <c r="L398" s="1">
        <f ca="1">IFERROR(__xludf.DUMMYFUNCTION("""COMPUTED_VALUE"""),621.7)</f>
        <v>621.70000000000005</v>
      </c>
      <c r="M398" s="1">
        <f ca="1">IFERROR(__xludf.DUMMYFUNCTION("""COMPUTED_VALUE"""),514.25)</f>
        <v>514.25</v>
      </c>
      <c r="N398" s="1">
        <f ca="1">IFERROR(__xludf.DUMMYFUNCTION("""COMPUTED_VALUE"""),153)</f>
        <v>153</v>
      </c>
      <c r="O398" s="1">
        <f ca="1">IFERROR(__xludf.DUMMYFUNCTION("""COMPUTED_VALUE"""),247.92)</f>
        <v>247.92</v>
      </c>
      <c r="P398" s="1">
        <f ca="1">IFERROR(__xludf.DUMMYFUNCTION("""COMPUTED_VALUE"""),172.18)</f>
        <v>172.18</v>
      </c>
      <c r="Q398" s="1">
        <f ca="1">IFERROR(__xludf.DUMMYFUNCTION("""COMPUTED_VALUE"""),412.08)</f>
        <v>412.08</v>
      </c>
      <c r="R398" s="1">
        <f ca="1">IFERROR(__xludf.DUMMYFUNCTION("""COMPUTED_VALUE"""),58.93)</f>
        <v>58.93</v>
      </c>
      <c r="S398" s="1">
        <f ca="1">IFERROR(__xludf.DUMMYFUNCTION("""COMPUTED_VALUE"""),78.16)</f>
        <v>78.16</v>
      </c>
      <c r="T398" s="1">
        <f ca="1">IFERROR(__xludf.DUMMYFUNCTION("""COMPUTED_VALUE"""),47.41)</f>
        <v>47.41</v>
      </c>
      <c r="U398" s="1">
        <f ca="1">IFERROR(__xludf.DUMMYFUNCTION("""COMPUTED_VALUE"""),166.99)</f>
        <v>166.99</v>
      </c>
      <c r="V398" s="1">
        <f ca="1">IFERROR(__xludf.DUMMYFUNCTION("""COMPUTED_VALUE"""),212.56)</f>
        <v>212.56</v>
      </c>
      <c r="W398" s="1">
        <f ca="1">IFERROR(__xludf.DUMMYFUNCTION("""COMPUTED_VALUE"""),372.6)</f>
        <v>372.6</v>
      </c>
      <c r="X398" s="1">
        <f ca="1">IFERROR(__xludf.DUMMYFUNCTION("""COMPUTED_VALUE"""),765.71)</f>
        <v>765.71</v>
      </c>
      <c r="Y398" s="1">
        <f ca="1">IFERROR(__xludf.DUMMYFUNCTION("""COMPUTED_VALUE"""),116.15)</f>
        <v>116.15</v>
      </c>
      <c r="Z398" s="1">
        <f ca="1">IFERROR(__xludf.DUMMYFUNCTION("""COMPUTED_VALUE"""),377.55)</f>
        <v>377.55</v>
      </c>
      <c r="AA398" s="1">
        <f ca="1">IFERROR(__xludf.DUMMYFUNCTION("""COMPUTED_VALUE"""),42.79)</f>
        <v>42.79</v>
      </c>
      <c r="AB398" s="1">
        <f ca="1">IFERROR(__xludf.DUMMYFUNCTION("""COMPUTED_VALUE"""),122.38)</f>
        <v>122.38</v>
      </c>
      <c r="AC398" s="1">
        <f ca="1">IFERROR(__xludf.DUMMYFUNCTION("""COMPUTED_VALUE"""),102.95)</f>
        <v>102.95</v>
      </c>
    </row>
    <row r="399" spans="1:29" x14ac:dyDescent="0.25">
      <c r="A399" s="2">
        <f ca="1">IFERROR(__xludf.DUMMYFUNCTION("""COMPUTED_VALUE"""),44407.6666666666)</f>
        <v>44407.666666666599</v>
      </c>
      <c r="B399" s="1">
        <f ca="1">IFERROR(__xludf.DUMMYFUNCTION("""COMPUTED_VALUE"""),145.86)</f>
        <v>145.86000000000001</v>
      </c>
      <c r="C399" s="1">
        <f ca="1">IFERROR(__xludf.DUMMYFUNCTION("""COMPUTED_VALUE"""),284.91)</f>
        <v>284.91000000000003</v>
      </c>
      <c r="D399" s="1">
        <f ca="1">IFERROR(__xludf.DUMMYFUNCTION("""COMPUTED_VALUE"""),166.38)</f>
        <v>166.38</v>
      </c>
      <c r="E399" s="1">
        <f ca="1">IFERROR(__xludf.DUMMYFUNCTION("""COMPUTED_VALUE"""),19.5)</f>
        <v>19.5</v>
      </c>
      <c r="F399" s="1">
        <f ca="1">IFERROR(__xludf.DUMMYFUNCTION("""COMPUTED_VALUE"""),356.3)</f>
        <v>356.3</v>
      </c>
      <c r="G399" s="1">
        <f ca="1">IFERROR(__xludf.DUMMYFUNCTION("""COMPUTED_VALUE"""),135.22)</f>
        <v>135.22</v>
      </c>
      <c r="H399" s="1">
        <f ca="1">IFERROR(__xludf.DUMMYFUNCTION("""COMPUTED_VALUE"""),229.07)</f>
        <v>229.07</v>
      </c>
      <c r="I399" s="1">
        <f ca="1">IFERROR(__xludf.DUMMYFUNCTION("""COMPUTED_VALUE"""),156.95)</f>
        <v>156.94999999999999</v>
      </c>
      <c r="J399" s="1">
        <f ca="1">IFERROR(__xludf.DUMMYFUNCTION("""COMPUTED_VALUE"""),429.72)</f>
        <v>429.72</v>
      </c>
      <c r="K399" s="1">
        <f ca="1">IFERROR(__xludf.DUMMYFUNCTION("""COMPUTED_VALUE"""),48.54)</f>
        <v>48.54</v>
      </c>
      <c r="L399" s="1">
        <f ca="1">IFERROR(__xludf.DUMMYFUNCTION("""COMPUTED_VALUE"""),621.63)</f>
        <v>621.63</v>
      </c>
      <c r="M399" s="1">
        <f ca="1">IFERROR(__xludf.DUMMYFUNCTION("""COMPUTED_VALUE"""),517.57)</f>
        <v>517.57000000000005</v>
      </c>
      <c r="N399" s="1">
        <f ca="1">IFERROR(__xludf.DUMMYFUNCTION("""COMPUTED_VALUE"""),151.78)</f>
        <v>151.78</v>
      </c>
      <c r="O399" s="1">
        <f ca="1">IFERROR(__xludf.DUMMYFUNCTION("""COMPUTED_VALUE"""),246.39)</f>
        <v>246.39</v>
      </c>
      <c r="P399" s="1">
        <f ca="1">IFERROR(__xludf.DUMMYFUNCTION("""COMPUTED_VALUE"""),172.2)</f>
        <v>172.2</v>
      </c>
      <c r="Q399" s="1">
        <f ca="1">IFERROR(__xludf.DUMMYFUNCTION("""COMPUTED_VALUE"""),412.22)</f>
        <v>412.22</v>
      </c>
      <c r="R399" s="1">
        <f ca="1">IFERROR(__xludf.DUMMYFUNCTION("""COMPUTED_VALUE"""),57.57)</f>
        <v>57.57</v>
      </c>
      <c r="S399" s="1">
        <f ca="1">IFERROR(__xludf.DUMMYFUNCTION("""COMPUTED_VALUE"""),77.9)</f>
        <v>77.900000000000006</v>
      </c>
      <c r="T399" s="1">
        <f ca="1">IFERROR(__xludf.DUMMYFUNCTION("""COMPUTED_VALUE"""),47.52)</f>
        <v>47.52</v>
      </c>
      <c r="U399" s="1">
        <f ca="1">IFERROR(__xludf.DUMMYFUNCTION("""COMPUTED_VALUE"""),167.51)</f>
        <v>167.51</v>
      </c>
      <c r="V399" s="1">
        <f ca="1">IFERROR(__xludf.DUMMYFUNCTION("""COMPUTED_VALUE"""),206.75)</f>
        <v>206.75</v>
      </c>
      <c r="W399" s="1">
        <f ca="1">IFERROR(__xludf.DUMMYFUNCTION("""COMPUTED_VALUE"""),371.67)</f>
        <v>371.67</v>
      </c>
      <c r="X399" s="1">
        <f ca="1">IFERROR(__xludf.DUMMYFUNCTION("""COMPUTED_VALUE"""),766.74)</f>
        <v>766.74</v>
      </c>
      <c r="Y399" s="1">
        <f ca="1">IFERROR(__xludf.DUMMYFUNCTION("""COMPUTED_VALUE"""),116.64)</f>
        <v>116.64</v>
      </c>
      <c r="Z399" s="1">
        <f ca="1">IFERROR(__xludf.DUMMYFUNCTION("""COMPUTED_VALUE"""),374.88)</f>
        <v>374.88</v>
      </c>
      <c r="AA399" s="1">
        <f ca="1">IFERROR(__xludf.DUMMYFUNCTION("""COMPUTED_VALUE"""),42.81)</f>
        <v>42.81</v>
      </c>
      <c r="AB399" s="1">
        <f ca="1">IFERROR(__xludf.DUMMYFUNCTION("""COMPUTED_VALUE"""),121.43)</f>
        <v>121.43</v>
      </c>
      <c r="AC399" s="1">
        <f ca="1">IFERROR(__xludf.DUMMYFUNCTION("""COMPUTED_VALUE"""),106.19)</f>
        <v>106.19</v>
      </c>
    </row>
    <row r="400" spans="1:29" x14ac:dyDescent="0.25">
      <c r="A400" s="2">
        <f ca="1">IFERROR(__xludf.DUMMYFUNCTION("""COMPUTED_VALUE"""),44410.6666666666)</f>
        <v>44410.666666666599</v>
      </c>
      <c r="B400" s="1">
        <f ca="1">IFERROR(__xludf.DUMMYFUNCTION("""COMPUTED_VALUE"""),145.52)</f>
        <v>145.52000000000001</v>
      </c>
      <c r="C400" s="1">
        <f ca="1">IFERROR(__xludf.DUMMYFUNCTION("""COMPUTED_VALUE"""),284.82)</f>
        <v>284.82</v>
      </c>
      <c r="D400" s="1">
        <f ca="1">IFERROR(__xludf.DUMMYFUNCTION("""COMPUTED_VALUE"""),166.57)</f>
        <v>166.57</v>
      </c>
      <c r="E400" s="1">
        <f ca="1">IFERROR(__xludf.DUMMYFUNCTION("""COMPUTED_VALUE"""),19.75)</f>
        <v>19.75</v>
      </c>
      <c r="F400" s="1">
        <f ca="1">IFERROR(__xludf.DUMMYFUNCTION("""COMPUTED_VALUE"""),351.95)</f>
        <v>351.95</v>
      </c>
      <c r="G400" s="1">
        <f ca="1">IFERROR(__xludf.DUMMYFUNCTION("""COMPUTED_VALUE"""),135.99)</f>
        <v>135.99</v>
      </c>
      <c r="H400" s="1">
        <f ca="1">IFERROR(__xludf.DUMMYFUNCTION("""COMPUTED_VALUE"""),236.56)</f>
        <v>236.56</v>
      </c>
      <c r="I400" s="1">
        <f ca="1">IFERROR(__xludf.DUMMYFUNCTION("""COMPUTED_VALUE"""),156.32)</f>
        <v>156.32</v>
      </c>
      <c r="J400" s="1">
        <f ca="1">IFERROR(__xludf.DUMMYFUNCTION("""COMPUTED_VALUE"""),428.92)</f>
        <v>428.92</v>
      </c>
      <c r="K400" s="1">
        <f ca="1">IFERROR(__xludf.DUMMYFUNCTION("""COMPUTED_VALUE"""),48.47)</f>
        <v>48.47</v>
      </c>
      <c r="L400" s="1">
        <f ca="1">IFERROR(__xludf.DUMMYFUNCTION("""COMPUTED_VALUE"""),618.75)</f>
        <v>618.75</v>
      </c>
      <c r="M400" s="1">
        <f ca="1">IFERROR(__xludf.DUMMYFUNCTION("""COMPUTED_VALUE"""),515.15)</f>
        <v>515.15</v>
      </c>
      <c r="N400" s="1">
        <f ca="1">IFERROR(__xludf.DUMMYFUNCTION("""COMPUTED_VALUE"""),151.17)</f>
        <v>151.16999999999999</v>
      </c>
      <c r="O400" s="1">
        <f ca="1">IFERROR(__xludf.DUMMYFUNCTION("""COMPUTED_VALUE"""),239.78)</f>
        <v>239.78</v>
      </c>
      <c r="P400" s="1">
        <f ca="1">IFERROR(__xludf.DUMMYFUNCTION("""COMPUTED_VALUE"""),172.27)</f>
        <v>172.27</v>
      </c>
      <c r="Q400" s="1">
        <f ca="1">IFERROR(__xludf.DUMMYFUNCTION("""COMPUTED_VALUE"""),415.57)</f>
        <v>415.57</v>
      </c>
      <c r="R400" s="1">
        <f ca="1">IFERROR(__xludf.DUMMYFUNCTION("""COMPUTED_VALUE"""),57.58)</f>
        <v>57.58</v>
      </c>
      <c r="S400" s="1">
        <f ca="1">IFERROR(__xludf.DUMMYFUNCTION("""COMPUTED_VALUE"""),78.81)</f>
        <v>78.81</v>
      </c>
      <c r="T400" s="1">
        <f ca="1">IFERROR(__xludf.DUMMYFUNCTION("""COMPUTED_VALUE"""),47.41)</f>
        <v>47.41</v>
      </c>
      <c r="U400" s="1">
        <f ca="1">IFERROR(__xludf.DUMMYFUNCTION("""COMPUTED_VALUE"""),168.75)</f>
        <v>168.75</v>
      </c>
      <c r="V400" s="1">
        <f ca="1">IFERROR(__xludf.DUMMYFUNCTION("""COMPUTED_VALUE"""),205.16)</f>
        <v>205.16</v>
      </c>
      <c r="W400" s="1">
        <f ca="1">IFERROR(__xludf.DUMMYFUNCTION("""COMPUTED_VALUE"""),368.3)</f>
        <v>368.3</v>
      </c>
      <c r="X400" s="1">
        <f ca="1">IFERROR(__xludf.DUMMYFUNCTION("""COMPUTED_VALUE"""),769.65)</f>
        <v>769.65</v>
      </c>
      <c r="Y400" s="1">
        <f ca="1">IFERROR(__xludf.DUMMYFUNCTION("""COMPUTED_VALUE"""),116.86)</f>
        <v>116.86</v>
      </c>
      <c r="Z400" s="1">
        <f ca="1">IFERROR(__xludf.DUMMYFUNCTION("""COMPUTED_VALUE"""),378.19)</f>
        <v>378.19</v>
      </c>
      <c r="AA400" s="1">
        <f ca="1">IFERROR(__xludf.DUMMYFUNCTION("""COMPUTED_VALUE"""),43.96)</f>
        <v>43.96</v>
      </c>
      <c r="AB400" s="1">
        <f ca="1">IFERROR(__xludf.DUMMYFUNCTION("""COMPUTED_VALUE"""),120.37)</f>
        <v>120.37</v>
      </c>
      <c r="AC400" s="1">
        <f ca="1">IFERROR(__xludf.DUMMYFUNCTION("""COMPUTED_VALUE"""),108.63)</f>
        <v>108.63</v>
      </c>
    </row>
    <row r="401" spans="1:29" x14ac:dyDescent="0.25">
      <c r="A401" s="2">
        <f ca="1">IFERROR(__xludf.DUMMYFUNCTION("""COMPUTED_VALUE"""),44411.6666666666)</f>
        <v>44411.666666666599</v>
      </c>
      <c r="B401" s="1">
        <f ca="1">IFERROR(__xludf.DUMMYFUNCTION("""COMPUTED_VALUE"""),147.36)</f>
        <v>147.36000000000001</v>
      </c>
      <c r="C401" s="1">
        <f ca="1">IFERROR(__xludf.DUMMYFUNCTION("""COMPUTED_VALUE"""),287.12)</f>
        <v>287.12</v>
      </c>
      <c r="D401" s="1">
        <f ca="1">IFERROR(__xludf.DUMMYFUNCTION("""COMPUTED_VALUE"""),168.31)</f>
        <v>168.31</v>
      </c>
      <c r="E401" s="1">
        <f ca="1">IFERROR(__xludf.DUMMYFUNCTION("""COMPUTED_VALUE"""),19.82)</f>
        <v>19.82</v>
      </c>
      <c r="F401" s="1">
        <f ca="1">IFERROR(__xludf.DUMMYFUNCTION("""COMPUTED_VALUE"""),351.24)</f>
        <v>351.24</v>
      </c>
      <c r="G401" s="1">
        <f ca="1">IFERROR(__xludf.DUMMYFUNCTION("""COMPUTED_VALUE"""),136.28)</f>
        <v>136.28</v>
      </c>
      <c r="H401" s="1">
        <f ca="1">IFERROR(__xludf.DUMMYFUNCTION("""COMPUTED_VALUE"""),236.58)</f>
        <v>236.58</v>
      </c>
      <c r="I401" s="1">
        <f ca="1">IFERROR(__xludf.DUMMYFUNCTION("""COMPUTED_VALUE"""),156.67)</f>
        <v>156.66999999999999</v>
      </c>
      <c r="J401" s="1">
        <f ca="1">IFERROR(__xludf.DUMMYFUNCTION("""COMPUTED_VALUE"""),435.07)</f>
        <v>435.07</v>
      </c>
      <c r="K401" s="1">
        <f ca="1">IFERROR(__xludf.DUMMYFUNCTION("""COMPUTED_VALUE"""),48.68)</f>
        <v>48.68</v>
      </c>
      <c r="L401" s="1">
        <f ca="1">IFERROR(__xludf.DUMMYFUNCTION("""COMPUTED_VALUE"""),621.28)</f>
        <v>621.28</v>
      </c>
      <c r="M401" s="1">
        <f ca="1">IFERROR(__xludf.DUMMYFUNCTION("""COMPUTED_VALUE"""),510.82)</f>
        <v>510.82</v>
      </c>
      <c r="N401" s="1">
        <f ca="1">IFERROR(__xludf.DUMMYFUNCTION("""COMPUTED_VALUE"""),152.89)</f>
        <v>152.88999999999999</v>
      </c>
      <c r="O401" s="1">
        <f ca="1">IFERROR(__xludf.DUMMYFUNCTION("""COMPUTED_VALUE"""),237.09)</f>
        <v>237.09</v>
      </c>
      <c r="P401" s="1">
        <f ca="1">IFERROR(__xludf.DUMMYFUNCTION("""COMPUTED_VALUE"""),174.39)</f>
        <v>174.39</v>
      </c>
      <c r="Q401" s="1">
        <f ca="1">IFERROR(__xludf.DUMMYFUNCTION("""COMPUTED_VALUE"""),421.9)</f>
        <v>421.9</v>
      </c>
      <c r="R401" s="1">
        <f ca="1">IFERROR(__xludf.DUMMYFUNCTION("""COMPUTED_VALUE"""),58.2)</f>
        <v>58.2</v>
      </c>
      <c r="S401" s="1">
        <f ca="1">IFERROR(__xludf.DUMMYFUNCTION("""COMPUTED_VALUE"""),79.42)</f>
        <v>79.42</v>
      </c>
      <c r="T401" s="1">
        <f ca="1">IFERROR(__xludf.DUMMYFUNCTION("""COMPUTED_VALUE"""),47.94)</f>
        <v>47.94</v>
      </c>
      <c r="U401" s="1">
        <f ca="1">IFERROR(__xludf.DUMMYFUNCTION("""COMPUTED_VALUE"""),171.23)</f>
        <v>171.23</v>
      </c>
      <c r="V401" s="1">
        <f ca="1">IFERROR(__xludf.DUMMYFUNCTION("""COMPUTED_VALUE"""),208.5)</f>
        <v>208.5</v>
      </c>
      <c r="W401" s="1">
        <f ca="1">IFERROR(__xludf.DUMMYFUNCTION("""COMPUTED_VALUE"""),369.45)</f>
        <v>369.45</v>
      </c>
      <c r="X401" s="1">
        <f ca="1">IFERROR(__xludf.DUMMYFUNCTION("""COMPUTED_VALUE"""),779.53)</f>
        <v>779.53</v>
      </c>
      <c r="Y401" s="1">
        <f ca="1">IFERROR(__xludf.DUMMYFUNCTION("""COMPUTED_VALUE"""),118.41)</f>
        <v>118.41</v>
      </c>
      <c r="Z401" s="1">
        <f ca="1">IFERROR(__xludf.DUMMYFUNCTION("""COMPUTED_VALUE"""),380.36)</f>
        <v>380.36</v>
      </c>
      <c r="AA401" s="1">
        <f ca="1">IFERROR(__xludf.DUMMYFUNCTION("""COMPUTED_VALUE"""),45.68)</f>
        <v>45.68</v>
      </c>
      <c r="AB401" s="1">
        <f ca="1">IFERROR(__xludf.DUMMYFUNCTION("""COMPUTED_VALUE"""),119.13)</f>
        <v>119.13</v>
      </c>
      <c r="AC401" s="1">
        <f ca="1">IFERROR(__xludf.DUMMYFUNCTION("""COMPUTED_VALUE"""),112.56)</f>
        <v>112.56</v>
      </c>
    </row>
    <row r="402" spans="1:29" x14ac:dyDescent="0.25">
      <c r="A402" s="2">
        <f ca="1">IFERROR(__xludf.DUMMYFUNCTION("""COMPUTED_VALUE"""),44412.6666666666)</f>
        <v>44412.666666666599</v>
      </c>
      <c r="B402" s="1">
        <f ca="1">IFERROR(__xludf.DUMMYFUNCTION("""COMPUTED_VALUE"""),146.95)</f>
        <v>146.94999999999999</v>
      </c>
      <c r="C402" s="1">
        <f ca="1">IFERROR(__xludf.DUMMYFUNCTION("""COMPUTED_VALUE"""),286.51)</f>
        <v>286.51</v>
      </c>
      <c r="D402" s="1">
        <f ca="1">IFERROR(__xludf.DUMMYFUNCTION("""COMPUTED_VALUE"""),167.74)</f>
        <v>167.74</v>
      </c>
      <c r="E402" s="1">
        <f ca="1">IFERROR(__xludf.DUMMYFUNCTION("""COMPUTED_VALUE"""),20.27)</f>
        <v>20.27</v>
      </c>
      <c r="F402" s="1">
        <f ca="1">IFERROR(__xludf.DUMMYFUNCTION("""COMPUTED_VALUE"""),358.92)</f>
        <v>358.92</v>
      </c>
      <c r="G402" s="1">
        <f ca="1">IFERROR(__xludf.DUMMYFUNCTION("""COMPUTED_VALUE"""),136.03)</f>
        <v>136.03</v>
      </c>
      <c r="H402" s="1">
        <f ca="1">IFERROR(__xludf.DUMMYFUNCTION("""COMPUTED_VALUE"""),236.97)</f>
        <v>236.97</v>
      </c>
      <c r="I402" s="1">
        <f ca="1">IFERROR(__xludf.DUMMYFUNCTION("""COMPUTED_VALUE"""),154.05)</f>
        <v>154.05000000000001</v>
      </c>
      <c r="J402" s="1">
        <f ca="1">IFERROR(__xludf.DUMMYFUNCTION("""COMPUTED_VALUE"""),435.04)</f>
        <v>435.04</v>
      </c>
      <c r="K402" s="1">
        <f ca="1">IFERROR(__xludf.DUMMYFUNCTION("""COMPUTED_VALUE"""),48.78)</f>
        <v>48.78</v>
      </c>
      <c r="L402" s="1">
        <f ca="1">IFERROR(__xludf.DUMMYFUNCTION("""COMPUTED_VALUE"""),625.68)</f>
        <v>625.67999999999995</v>
      </c>
      <c r="M402" s="1">
        <f ca="1">IFERROR(__xludf.DUMMYFUNCTION("""COMPUTED_VALUE"""),517.35)</f>
        <v>517.35</v>
      </c>
      <c r="N402" s="1">
        <f ca="1">IFERROR(__xludf.DUMMYFUNCTION("""COMPUTED_VALUE"""),151.24)</f>
        <v>151.24</v>
      </c>
      <c r="O402" s="1">
        <f ca="1">IFERROR(__xludf.DUMMYFUNCTION("""COMPUTED_VALUE"""),236.67)</f>
        <v>236.67</v>
      </c>
      <c r="P402" s="1">
        <f ca="1">IFERROR(__xludf.DUMMYFUNCTION("""COMPUTED_VALUE"""),173.36)</f>
        <v>173.36</v>
      </c>
      <c r="Q402" s="1">
        <f ca="1">IFERROR(__xludf.DUMMYFUNCTION("""COMPUTED_VALUE"""),421.54)</f>
        <v>421.54</v>
      </c>
      <c r="R402" s="1">
        <f ca="1">IFERROR(__xludf.DUMMYFUNCTION("""COMPUTED_VALUE"""),56.84)</f>
        <v>56.84</v>
      </c>
      <c r="S402" s="1">
        <f ca="1">IFERROR(__xludf.DUMMYFUNCTION("""COMPUTED_VALUE"""),79.87)</f>
        <v>79.87</v>
      </c>
      <c r="T402" s="1">
        <f ca="1">IFERROR(__xludf.DUMMYFUNCTION("""COMPUTED_VALUE"""),47.61)</f>
        <v>47.61</v>
      </c>
      <c r="U402" s="1">
        <f ca="1">IFERROR(__xludf.DUMMYFUNCTION("""COMPUTED_VALUE"""),171.91)</f>
        <v>171.91</v>
      </c>
      <c r="V402" s="1">
        <f ca="1">IFERROR(__xludf.DUMMYFUNCTION("""COMPUTED_VALUE"""),204.52)</f>
        <v>204.52</v>
      </c>
      <c r="W402" s="1">
        <f ca="1">IFERROR(__xludf.DUMMYFUNCTION("""COMPUTED_VALUE"""),361.64)</f>
        <v>361.64</v>
      </c>
      <c r="X402" s="1">
        <f ca="1">IFERROR(__xludf.DUMMYFUNCTION("""COMPUTED_VALUE"""),795.48)</f>
        <v>795.48</v>
      </c>
      <c r="Y402" s="1">
        <f ca="1">IFERROR(__xludf.DUMMYFUNCTION("""COMPUTED_VALUE"""),118.74)</f>
        <v>118.74</v>
      </c>
      <c r="Z402" s="1">
        <f ca="1">IFERROR(__xludf.DUMMYFUNCTION("""COMPUTED_VALUE"""),377.86)</f>
        <v>377.86</v>
      </c>
      <c r="AA402" s="1">
        <f ca="1">IFERROR(__xludf.DUMMYFUNCTION("""COMPUTED_VALUE"""),45.19)</f>
        <v>45.19</v>
      </c>
      <c r="AB402" s="1">
        <f ca="1">IFERROR(__xludf.DUMMYFUNCTION("""COMPUTED_VALUE"""),118.25)</f>
        <v>118.25</v>
      </c>
      <c r="AC402" s="1">
        <f ca="1">IFERROR(__xludf.DUMMYFUNCTION("""COMPUTED_VALUE"""),118.77)</f>
        <v>118.77</v>
      </c>
    </row>
    <row r="403" spans="1:29" x14ac:dyDescent="0.25">
      <c r="A403" s="2">
        <f ca="1">IFERROR(__xludf.DUMMYFUNCTION("""COMPUTED_VALUE"""),44413.6666666666)</f>
        <v>44413.666666666599</v>
      </c>
      <c r="B403" s="1">
        <f ca="1">IFERROR(__xludf.DUMMYFUNCTION("""COMPUTED_VALUE"""),147.06)</f>
        <v>147.06</v>
      </c>
      <c r="C403" s="1">
        <f ca="1">IFERROR(__xludf.DUMMYFUNCTION("""COMPUTED_VALUE"""),289.52)</f>
        <v>289.52</v>
      </c>
      <c r="D403" s="1">
        <f ca="1">IFERROR(__xludf.DUMMYFUNCTION("""COMPUTED_VALUE"""),168.8)</f>
        <v>168.8</v>
      </c>
      <c r="E403" s="1">
        <f ca="1">IFERROR(__xludf.DUMMYFUNCTION("""COMPUTED_VALUE"""),20.64)</f>
        <v>20.64</v>
      </c>
      <c r="F403" s="1">
        <f ca="1">IFERROR(__xludf.DUMMYFUNCTION("""COMPUTED_VALUE"""),362.97)</f>
        <v>362.97</v>
      </c>
      <c r="G403" s="1">
        <f ca="1">IFERROR(__xludf.DUMMYFUNCTION("""COMPUTED_VALUE"""),136.94)</f>
        <v>136.94</v>
      </c>
      <c r="H403" s="1">
        <f ca="1">IFERROR(__xludf.DUMMYFUNCTION("""COMPUTED_VALUE"""),238.21)</f>
        <v>238.21</v>
      </c>
      <c r="I403" s="1">
        <f ca="1">IFERROR(__xludf.DUMMYFUNCTION("""COMPUTED_VALUE"""),154.31)</f>
        <v>154.31</v>
      </c>
      <c r="J403" s="1">
        <f ca="1">IFERROR(__xludf.DUMMYFUNCTION("""COMPUTED_VALUE"""),443.19)</f>
        <v>443.19</v>
      </c>
      <c r="K403" s="1">
        <f ca="1">IFERROR(__xludf.DUMMYFUNCTION("""COMPUTED_VALUE"""),48.77)</f>
        <v>48.77</v>
      </c>
      <c r="L403" s="1">
        <f ca="1">IFERROR(__xludf.DUMMYFUNCTION("""COMPUTED_VALUE"""),632.08)</f>
        <v>632.08000000000004</v>
      </c>
      <c r="M403" s="1">
        <f ca="1">IFERROR(__xludf.DUMMYFUNCTION("""COMPUTED_VALUE"""),524.89)</f>
        <v>524.89</v>
      </c>
      <c r="N403" s="1">
        <f ca="1">IFERROR(__xludf.DUMMYFUNCTION("""COMPUTED_VALUE"""),153.15)</f>
        <v>153.15</v>
      </c>
      <c r="O403" s="1">
        <f ca="1">IFERROR(__xludf.DUMMYFUNCTION("""COMPUTED_VALUE"""),240.21)</f>
        <v>240.21</v>
      </c>
      <c r="P403" s="1">
        <f ca="1">IFERROR(__xludf.DUMMYFUNCTION("""COMPUTED_VALUE"""),173.69)</f>
        <v>173.69</v>
      </c>
      <c r="Q403" s="1">
        <f ca="1">IFERROR(__xludf.DUMMYFUNCTION("""COMPUTED_VALUE"""),411.19)</f>
        <v>411.19</v>
      </c>
      <c r="R403" s="1">
        <f ca="1">IFERROR(__xludf.DUMMYFUNCTION("""COMPUTED_VALUE"""),57.2)</f>
        <v>57.2</v>
      </c>
      <c r="S403" s="1">
        <f ca="1">IFERROR(__xludf.DUMMYFUNCTION("""COMPUTED_VALUE"""),80.49)</f>
        <v>80.489999999999995</v>
      </c>
      <c r="T403" s="1">
        <f ca="1">IFERROR(__xludf.DUMMYFUNCTION("""COMPUTED_VALUE"""),48.5)</f>
        <v>48.5</v>
      </c>
      <c r="U403" s="1">
        <f ca="1">IFERROR(__xludf.DUMMYFUNCTION("""COMPUTED_VALUE"""),173.85)</f>
        <v>173.85</v>
      </c>
      <c r="V403" s="1">
        <f ca="1">IFERROR(__xludf.DUMMYFUNCTION("""COMPUTED_VALUE"""),207.19)</f>
        <v>207.19</v>
      </c>
      <c r="W403" s="1">
        <f ca="1">IFERROR(__xludf.DUMMYFUNCTION("""COMPUTED_VALUE"""),360.78)</f>
        <v>360.78</v>
      </c>
      <c r="X403" s="1">
        <f ca="1">IFERROR(__xludf.DUMMYFUNCTION("""COMPUTED_VALUE"""),794.75)</f>
        <v>794.75</v>
      </c>
      <c r="Y403" s="1">
        <f ca="1">IFERROR(__xludf.DUMMYFUNCTION("""COMPUTED_VALUE"""),119.22)</f>
        <v>119.22</v>
      </c>
      <c r="Z403" s="1">
        <f ca="1">IFERROR(__xludf.DUMMYFUNCTION("""COMPUTED_VALUE"""),384.3)</f>
        <v>384.3</v>
      </c>
      <c r="AA403" s="1">
        <f ca="1">IFERROR(__xludf.DUMMYFUNCTION("""COMPUTED_VALUE"""),45.06)</f>
        <v>45.06</v>
      </c>
      <c r="AB403" s="1">
        <f ca="1">IFERROR(__xludf.DUMMYFUNCTION("""COMPUTED_VALUE"""),119.03)</f>
        <v>119.03</v>
      </c>
      <c r="AC403" s="1">
        <f ca="1">IFERROR(__xludf.DUMMYFUNCTION("""COMPUTED_VALUE"""),112.35)</f>
        <v>112.35</v>
      </c>
    </row>
    <row r="404" spans="1:29" x14ac:dyDescent="0.25">
      <c r="A404" s="2">
        <f ca="1">IFERROR(__xludf.DUMMYFUNCTION("""COMPUTED_VALUE"""),44414.6666666666)</f>
        <v>44414.666666666599</v>
      </c>
      <c r="B404" s="1">
        <f ca="1">IFERROR(__xludf.DUMMYFUNCTION("""COMPUTED_VALUE"""),146.14)</f>
        <v>146.13999999999999</v>
      </c>
      <c r="C404" s="1">
        <f ca="1">IFERROR(__xludf.DUMMYFUNCTION("""COMPUTED_VALUE"""),289.46)</f>
        <v>289.45999999999998</v>
      </c>
      <c r="D404" s="1">
        <f ca="1">IFERROR(__xludf.DUMMYFUNCTION("""COMPUTED_VALUE"""),167.25)</f>
        <v>167.25</v>
      </c>
      <c r="E404" s="1">
        <f ca="1">IFERROR(__xludf.DUMMYFUNCTION("""COMPUTED_VALUE"""),20.37)</f>
        <v>20.37</v>
      </c>
      <c r="F404" s="1">
        <f ca="1">IFERROR(__xludf.DUMMYFUNCTION("""COMPUTED_VALUE"""),363.51)</f>
        <v>363.51</v>
      </c>
      <c r="G404" s="1">
        <f ca="1">IFERROR(__xludf.DUMMYFUNCTION("""COMPUTED_VALUE"""),137.04)</f>
        <v>137.04</v>
      </c>
      <c r="H404" s="1">
        <f ca="1">IFERROR(__xludf.DUMMYFUNCTION("""COMPUTED_VALUE"""),233.03)</f>
        <v>233.03</v>
      </c>
      <c r="I404" s="1">
        <f ca="1">IFERROR(__xludf.DUMMYFUNCTION("""COMPUTED_VALUE"""),154.33)</f>
        <v>154.33000000000001</v>
      </c>
      <c r="J404" s="1">
        <f ca="1">IFERROR(__xludf.DUMMYFUNCTION("""COMPUTED_VALUE"""),439.63)</f>
        <v>439.63</v>
      </c>
      <c r="K404" s="1">
        <f ca="1">IFERROR(__xludf.DUMMYFUNCTION("""COMPUTED_VALUE"""),48.54)</f>
        <v>48.54</v>
      </c>
      <c r="L404" s="1">
        <f ca="1">IFERROR(__xludf.DUMMYFUNCTION("""COMPUTED_VALUE"""),631.38)</f>
        <v>631.38</v>
      </c>
      <c r="M404" s="1">
        <f ca="1">IFERROR(__xludf.DUMMYFUNCTION("""COMPUTED_VALUE"""),520.55)</f>
        <v>520.54999999999995</v>
      </c>
      <c r="N404" s="1">
        <f ca="1">IFERROR(__xludf.DUMMYFUNCTION("""COMPUTED_VALUE"""),157.5)</f>
        <v>157.5</v>
      </c>
      <c r="O404" s="1">
        <f ca="1">IFERROR(__xludf.DUMMYFUNCTION("""COMPUTED_VALUE"""),241.4)</f>
        <v>241.4</v>
      </c>
      <c r="P404" s="1">
        <f ca="1">IFERROR(__xludf.DUMMYFUNCTION("""COMPUTED_VALUE"""),173.11)</f>
        <v>173.11</v>
      </c>
      <c r="Q404" s="1">
        <f ca="1">IFERROR(__xludf.DUMMYFUNCTION("""COMPUTED_VALUE"""),415.12)</f>
        <v>415.12</v>
      </c>
      <c r="R404" s="1">
        <f ca="1">IFERROR(__xludf.DUMMYFUNCTION("""COMPUTED_VALUE"""),57.86)</f>
        <v>57.86</v>
      </c>
      <c r="S404" s="1">
        <f ca="1">IFERROR(__xludf.DUMMYFUNCTION("""COMPUTED_VALUE"""),80.61)</f>
        <v>80.61</v>
      </c>
      <c r="T404" s="1">
        <f ca="1">IFERROR(__xludf.DUMMYFUNCTION("""COMPUTED_VALUE"""),48.41)</f>
        <v>48.41</v>
      </c>
      <c r="U404" s="1">
        <f ca="1">IFERROR(__xludf.DUMMYFUNCTION("""COMPUTED_VALUE"""),172.8)</f>
        <v>172.8</v>
      </c>
      <c r="V404" s="1">
        <f ca="1">IFERROR(__xludf.DUMMYFUNCTION("""COMPUTED_VALUE"""),208.35)</f>
        <v>208.35</v>
      </c>
      <c r="W404" s="1">
        <f ca="1">IFERROR(__xludf.DUMMYFUNCTION("""COMPUTED_VALUE"""),362.05)</f>
        <v>362.05</v>
      </c>
      <c r="X404" s="1">
        <f ca="1">IFERROR(__xludf.DUMMYFUNCTION("""COMPUTED_VALUE"""),783.28)</f>
        <v>783.28</v>
      </c>
      <c r="Y404" s="1">
        <f ca="1">IFERROR(__xludf.DUMMYFUNCTION("""COMPUTED_VALUE"""),118.21)</f>
        <v>118.21</v>
      </c>
      <c r="Z404" s="1">
        <f ca="1">IFERROR(__xludf.DUMMYFUNCTION("""COMPUTED_VALUE"""),397.89)</f>
        <v>397.89</v>
      </c>
      <c r="AA404" s="1">
        <f ca="1">IFERROR(__xludf.DUMMYFUNCTION("""COMPUTED_VALUE"""),45.07)</f>
        <v>45.07</v>
      </c>
      <c r="AB404" s="1">
        <f ca="1">IFERROR(__xludf.DUMMYFUNCTION("""COMPUTED_VALUE"""),119.05)</f>
        <v>119.05</v>
      </c>
      <c r="AC404" s="1">
        <f ca="1">IFERROR(__xludf.DUMMYFUNCTION("""COMPUTED_VALUE"""),110.11)</f>
        <v>110.11</v>
      </c>
    </row>
    <row r="405" spans="1:29" x14ac:dyDescent="0.25">
      <c r="A405" s="2">
        <f ca="1">IFERROR(__xludf.DUMMYFUNCTION("""COMPUTED_VALUE"""),44417.6666666666)</f>
        <v>44417.666666666599</v>
      </c>
      <c r="B405" s="1">
        <f ca="1">IFERROR(__xludf.DUMMYFUNCTION("""COMPUTED_VALUE"""),146.09)</f>
        <v>146.09</v>
      </c>
      <c r="C405" s="1">
        <f ca="1">IFERROR(__xludf.DUMMYFUNCTION("""COMPUTED_VALUE"""),288.33)</f>
        <v>288.33</v>
      </c>
      <c r="D405" s="1">
        <f ca="1">IFERROR(__xludf.DUMMYFUNCTION("""COMPUTED_VALUE"""),167.09)</f>
        <v>167.09</v>
      </c>
      <c r="E405" s="1">
        <f ca="1">IFERROR(__xludf.DUMMYFUNCTION("""COMPUTED_VALUE"""),20.3)</f>
        <v>20.3</v>
      </c>
      <c r="F405" s="1">
        <f ca="1">IFERROR(__xludf.DUMMYFUNCTION("""COMPUTED_VALUE"""),361.61)</f>
        <v>361.61</v>
      </c>
      <c r="G405" s="1">
        <f ca="1">IFERROR(__xludf.DUMMYFUNCTION("""COMPUTED_VALUE"""),138)</f>
        <v>138</v>
      </c>
      <c r="H405" s="1">
        <f ca="1">IFERROR(__xludf.DUMMYFUNCTION("""COMPUTED_VALUE"""),237.92)</f>
        <v>237.92</v>
      </c>
      <c r="I405" s="1">
        <f ca="1">IFERROR(__xludf.DUMMYFUNCTION("""COMPUTED_VALUE"""),154.35)</f>
        <v>154.35</v>
      </c>
      <c r="J405" s="1">
        <f ca="1">IFERROR(__xludf.DUMMYFUNCTION("""COMPUTED_VALUE"""),440.47)</f>
        <v>440.47</v>
      </c>
      <c r="K405" s="1">
        <f ca="1">IFERROR(__xludf.DUMMYFUNCTION("""COMPUTED_VALUE"""),48.47)</f>
        <v>48.47</v>
      </c>
      <c r="L405" s="1">
        <f ca="1">IFERROR(__xludf.DUMMYFUNCTION("""COMPUTED_VALUE"""),629.22)</f>
        <v>629.22</v>
      </c>
      <c r="M405" s="1">
        <f ca="1">IFERROR(__xludf.DUMMYFUNCTION("""COMPUTED_VALUE"""),519.97)</f>
        <v>519.97</v>
      </c>
      <c r="N405" s="1">
        <f ca="1">IFERROR(__xludf.DUMMYFUNCTION("""COMPUTED_VALUE"""),157.33)</f>
        <v>157.33000000000001</v>
      </c>
      <c r="O405" s="1">
        <f ca="1">IFERROR(__xludf.DUMMYFUNCTION("""COMPUTED_VALUE"""),240)</f>
        <v>240</v>
      </c>
      <c r="P405" s="1">
        <f ca="1">IFERROR(__xludf.DUMMYFUNCTION("""COMPUTED_VALUE"""),173.71)</f>
        <v>173.71</v>
      </c>
      <c r="Q405" s="1">
        <f ca="1">IFERROR(__xludf.DUMMYFUNCTION("""COMPUTED_VALUE"""),410.87)</f>
        <v>410.87</v>
      </c>
      <c r="R405" s="1">
        <f ca="1">IFERROR(__xludf.DUMMYFUNCTION("""COMPUTED_VALUE"""),57.2)</f>
        <v>57.2</v>
      </c>
      <c r="S405" s="1">
        <f ca="1">IFERROR(__xludf.DUMMYFUNCTION("""COMPUTED_VALUE"""),80.56)</f>
        <v>80.56</v>
      </c>
      <c r="T405" s="1">
        <f ca="1">IFERROR(__xludf.DUMMYFUNCTION("""COMPUTED_VALUE"""),48.53)</f>
        <v>48.53</v>
      </c>
      <c r="U405" s="1">
        <f ca="1">IFERROR(__xludf.DUMMYFUNCTION("""COMPUTED_VALUE"""),171.77)</f>
        <v>171.77</v>
      </c>
      <c r="V405" s="1">
        <f ca="1">IFERROR(__xludf.DUMMYFUNCTION("""COMPUTED_VALUE"""),208.89)</f>
        <v>208.89</v>
      </c>
      <c r="W405" s="1">
        <f ca="1">IFERROR(__xludf.DUMMYFUNCTION("""COMPUTED_VALUE"""),361.04)</f>
        <v>361.04</v>
      </c>
      <c r="X405" s="1">
        <f ca="1">IFERROR(__xludf.DUMMYFUNCTION("""COMPUTED_VALUE"""),788.68)</f>
        <v>788.68</v>
      </c>
      <c r="Y405" s="1">
        <f ca="1">IFERROR(__xludf.DUMMYFUNCTION("""COMPUTED_VALUE"""),118.22)</f>
        <v>118.22</v>
      </c>
      <c r="Z405" s="1">
        <f ca="1">IFERROR(__xludf.DUMMYFUNCTION("""COMPUTED_VALUE"""),399.88)</f>
        <v>399.88</v>
      </c>
      <c r="AA405" s="1">
        <f ca="1">IFERROR(__xludf.DUMMYFUNCTION("""COMPUTED_VALUE"""),45.98)</f>
        <v>45.98</v>
      </c>
      <c r="AB405" s="1">
        <f ca="1">IFERROR(__xludf.DUMMYFUNCTION("""COMPUTED_VALUE"""),117.94)</f>
        <v>117.94</v>
      </c>
      <c r="AC405" s="1">
        <f ca="1">IFERROR(__xludf.DUMMYFUNCTION("""COMPUTED_VALUE"""),107.58)</f>
        <v>107.58</v>
      </c>
    </row>
    <row r="406" spans="1:29" x14ac:dyDescent="0.25">
      <c r="A406" s="2">
        <f ca="1">IFERROR(__xludf.DUMMYFUNCTION("""COMPUTED_VALUE"""),44418.6666666666)</f>
        <v>44418.666666666599</v>
      </c>
      <c r="B406" s="1">
        <f ca="1">IFERROR(__xludf.DUMMYFUNCTION("""COMPUTED_VALUE"""),145.6)</f>
        <v>145.6</v>
      </c>
      <c r="C406" s="1">
        <f ca="1">IFERROR(__xludf.DUMMYFUNCTION("""COMPUTED_VALUE"""),286.44)</f>
        <v>286.44</v>
      </c>
      <c r="D406" s="1">
        <f ca="1">IFERROR(__xludf.DUMMYFUNCTION("""COMPUTED_VALUE"""),166.03)</f>
        <v>166.03</v>
      </c>
      <c r="E406" s="1">
        <f ca="1">IFERROR(__xludf.DUMMYFUNCTION("""COMPUTED_VALUE"""),19.94)</f>
        <v>19.940000000000001</v>
      </c>
      <c r="F406" s="1">
        <f ca="1">IFERROR(__xludf.DUMMYFUNCTION("""COMPUTED_VALUE"""),361.13)</f>
        <v>361.13</v>
      </c>
      <c r="G406" s="1">
        <f ca="1">IFERROR(__xludf.DUMMYFUNCTION("""COMPUTED_VALUE"""),138.1)</f>
        <v>138.1</v>
      </c>
      <c r="H406" s="1">
        <f ca="1">IFERROR(__xludf.DUMMYFUNCTION("""COMPUTED_VALUE"""),236.66)</f>
        <v>236.66</v>
      </c>
      <c r="I406" s="1">
        <f ca="1">IFERROR(__xludf.DUMMYFUNCTION("""COMPUTED_VALUE"""),154.43)</f>
        <v>154.43</v>
      </c>
      <c r="J406" s="1">
        <f ca="1">IFERROR(__xludf.DUMMYFUNCTION("""COMPUTED_VALUE"""),443.03)</f>
        <v>443.03</v>
      </c>
      <c r="K406" s="1">
        <f ca="1">IFERROR(__xludf.DUMMYFUNCTION("""COMPUTED_VALUE"""),48.23)</f>
        <v>48.23</v>
      </c>
      <c r="L406" s="1">
        <f ca="1">IFERROR(__xludf.DUMMYFUNCTION("""COMPUTED_VALUE"""),621.74)</f>
        <v>621.74</v>
      </c>
      <c r="M406" s="1">
        <f ca="1">IFERROR(__xludf.DUMMYFUNCTION("""COMPUTED_VALUE"""),515.84)</f>
        <v>515.84</v>
      </c>
      <c r="N406" s="1">
        <f ca="1">IFERROR(__xludf.DUMMYFUNCTION("""COMPUTED_VALUE"""),159.26)</f>
        <v>159.26</v>
      </c>
      <c r="O406" s="1">
        <f ca="1">IFERROR(__xludf.DUMMYFUNCTION("""COMPUTED_VALUE"""),238.07)</f>
        <v>238.07</v>
      </c>
      <c r="P406" s="1">
        <f ca="1">IFERROR(__xludf.DUMMYFUNCTION("""COMPUTED_VALUE"""),173.77)</f>
        <v>173.77</v>
      </c>
      <c r="Q406" s="1">
        <f ca="1">IFERROR(__xludf.DUMMYFUNCTION("""COMPUTED_VALUE"""),411.78)</f>
        <v>411.78</v>
      </c>
      <c r="R406" s="1">
        <f ca="1">IFERROR(__xludf.DUMMYFUNCTION("""COMPUTED_VALUE"""),58.18)</f>
        <v>58.18</v>
      </c>
      <c r="S406" s="1">
        <f ca="1">IFERROR(__xludf.DUMMYFUNCTION("""COMPUTED_VALUE"""),80.53)</f>
        <v>80.53</v>
      </c>
      <c r="T406" s="1">
        <f ca="1">IFERROR(__xludf.DUMMYFUNCTION("""COMPUTED_VALUE"""),49.56)</f>
        <v>49.56</v>
      </c>
      <c r="U406" s="1">
        <f ca="1">IFERROR(__xludf.DUMMYFUNCTION("""COMPUTED_VALUE"""),172.27)</f>
        <v>172.27</v>
      </c>
      <c r="V406" s="1">
        <f ca="1">IFERROR(__xludf.DUMMYFUNCTION("""COMPUTED_VALUE"""),214.07)</f>
        <v>214.07</v>
      </c>
      <c r="W406" s="1">
        <f ca="1">IFERROR(__xludf.DUMMYFUNCTION("""COMPUTED_VALUE"""),362.24)</f>
        <v>362.24</v>
      </c>
      <c r="X406" s="1">
        <f ca="1">IFERROR(__xludf.DUMMYFUNCTION("""COMPUTED_VALUE"""),789.29)</f>
        <v>789.29</v>
      </c>
      <c r="Y406" s="1">
        <f ca="1">IFERROR(__xludf.DUMMYFUNCTION("""COMPUTED_VALUE"""),116.36)</f>
        <v>116.36</v>
      </c>
      <c r="Z406" s="1">
        <f ca="1">IFERROR(__xludf.DUMMYFUNCTION("""COMPUTED_VALUE"""),407.97)</f>
        <v>407.97</v>
      </c>
      <c r="AA406" s="1">
        <f ca="1">IFERROR(__xludf.DUMMYFUNCTION("""COMPUTED_VALUE"""),48.19)</f>
        <v>48.19</v>
      </c>
      <c r="AB406" s="1">
        <f ca="1">IFERROR(__xludf.DUMMYFUNCTION("""COMPUTED_VALUE"""),116.39)</f>
        <v>116.39</v>
      </c>
      <c r="AC406" s="1">
        <f ca="1">IFERROR(__xludf.DUMMYFUNCTION("""COMPUTED_VALUE"""),106.48)</f>
        <v>106.48</v>
      </c>
    </row>
    <row r="407" spans="1:29" x14ac:dyDescent="0.25">
      <c r="A407" s="2">
        <f ca="1">IFERROR(__xludf.DUMMYFUNCTION("""COMPUTED_VALUE"""),44419.6666666666)</f>
        <v>44419.666666666599</v>
      </c>
      <c r="B407" s="1">
        <f ca="1">IFERROR(__xludf.DUMMYFUNCTION("""COMPUTED_VALUE"""),145.86)</f>
        <v>145.86000000000001</v>
      </c>
      <c r="C407" s="1">
        <f ca="1">IFERROR(__xludf.DUMMYFUNCTION("""COMPUTED_VALUE"""),286.95)</f>
        <v>286.95</v>
      </c>
      <c r="D407" s="1">
        <f ca="1">IFERROR(__xludf.DUMMYFUNCTION("""COMPUTED_VALUE"""),164.61)</f>
        <v>164.61</v>
      </c>
      <c r="E407" s="1">
        <f ca="1">IFERROR(__xludf.DUMMYFUNCTION("""COMPUTED_VALUE"""),19.7)</f>
        <v>19.7</v>
      </c>
      <c r="F407" s="1">
        <f ca="1">IFERROR(__xludf.DUMMYFUNCTION("""COMPUTED_VALUE"""),359.96)</f>
        <v>359.96</v>
      </c>
      <c r="G407" s="1">
        <f ca="1">IFERROR(__xludf.DUMMYFUNCTION("""COMPUTED_VALUE"""),137.69)</f>
        <v>137.69</v>
      </c>
      <c r="H407" s="1">
        <f ca="1">IFERROR(__xludf.DUMMYFUNCTION("""COMPUTED_VALUE"""),235.94)</f>
        <v>235.94</v>
      </c>
      <c r="I407" s="1">
        <f ca="1">IFERROR(__xludf.DUMMYFUNCTION("""COMPUTED_VALUE"""),155.04)</f>
        <v>155.04</v>
      </c>
      <c r="J407" s="1">
        <f ca="1">IFERROR(__xludf.DUMMYFUNCTION("""COMPUTED_VALUE"""),444.3)</f>
        <v>444.3</v>
      </c>
      <c r="K407" s="1">
        <f ca="1">IFERROR(__xludf.DUMMYFUNCTION("""COMPUTED_VALUE"""),48.36)</f>
        <v>48.36</v>
      </c>
      <c r="L407" s="1">
        <f ca="1">IFERROR(__xludf.DUMMYFUNCTION("""COMPUTED_VALUE"""),626.03)</f>
        <v>626.03</v>
      </c>
      <c r="M407" s="1">
        <f ca="1">IFERROR(__xludf.DUMMYFUNCTION("""COMPUTED_VALUE"""),512.4)</f>
        <v>512.4</v>
      </c>
      <c r="N407" s="1">
        <f ca="1">IFERROR(__xludf.DUMMYFUNCTION("""COMPUTED_VALUE"""),161.16)</f>
        <v>161.16</v>
      </c>
      <c r="O407" s="1">
        <f ca="1">IFERROR(__xludf.DUMMYFUNCTION("""COMPUTED_VALUE"""),235.06)</f>
        <v>235.06</v>
      </c>
      <c r="P407" s="1">
        <f ca="1">IFERROR(__xludf.DUMMYFUNCTION("""COMPUTED_VALUE"""),173.8)</f>
        <v>173.8</v>
      </c>
      <c r="Q407" s="1">
        <f ca="1">IFERROR(__xludf.DUMMYFUNCTION("""COMPUTED_VALUE"""),407.74)</f>
        <v>407.74</v>
      </c>
      <c r="R407" s="1">
        <f ca="1">IFERROR(__xludf.DUMMYFUNCTION("""COMPUTED_VALUE"""),58.35)</f>
        <v>58.35</v>
      </c>
      <c r="S407" s="1">
        <f ca="1">IFERROR(__xludf.DUMMYFUNCTION("""COMPUTED_VALUE"""),82.37)</f>
        <v>82.37</v>
      </c>
      <c r="T407" s="1">
        <f ca="1">IFERROR(__xludf.DUMMYFUNCTION("""COMPUTED_VALUE"""),50)</f>
        <v>50</v>
      </c>
      <c r="U407" s="1">
        <f ca="1">IFERROR(__xludf.DUMMYFUNCTION("""COMPUTED_VALUE"""),171.27)</f>
        <v>171.27</v>
      </c>
      <c r="V407" s="1">
        <f ca="1">IFERROR(__xludf.DUMMYFUNCTION("""COMPUTED_VALUE"""),221.66)</f>
        <v>221.66</v>
      </c>
      <c r="W407" s="1">
        <f ca="1">IFERROR(__xludf.DUMMYFUNCTION("""COMPUTED_VALUE"""),363.3)</f>
        <v>363.3</v>
      </c>
      <c r="X407" s="1">
        <f ca="1">IFERROR(__xludf.DUMMYFUNCTION("""COMPUTED_VALUE"""),789.22)</f>
        <v>789.22</v>
      </c>
      <c r="Y407" s="1">
        <f ca="1">IFERROR(__xludf.DUMMYFUNCTION("""COMPUTED_VALUE"""),115.99)</f>
        <v>115.99</v>
      </c>
      <c r="Z407" s="1">
        <f ca="1">IFERROR(__xludf.DUMMYFUNCTION("""COMPUTED_VALUE"""),413.89)</f>
        <v>413.89</v>
      </c>
      <c r="AA407" s="1">
        <f ca="1">IFERROR(__xludf.DUMMYFUNCTION("""COMPUTED_VALUE"""),46.31)</f>
        <v>46.31</v>
      </c>
      <c r="AB407" s="1">
        <f ca="1">IFERROR(__xludf.DUMMYFUNCTION("""COMPUTED_VALUE"""),116.5)</f>
        <v>116.5</v>
      </c>
      <c r="AC407" s="1">
        <f ca="1">IFERROR(__xludf.DUMMYFUNCTION("""COMPUTED_VALUE"""),107.68)</f>
        <v>107.68</v>
      </c>
    </row>
    <row r="408" spans="1:29" x14ac:dyDescent="0.25">
      <c r="A408" s="2">
        <f ca="1">IFERROR(__xludf.DUMMYFUNCTION("""COMPUTED_VALUE"""),44420.6666666666)</f>
        <v>44420.666666666599</v>
      </c>
      <c r="B408" s="1">
        <f ca="1">IFERROR(__xludf.DUMMYFUNCTION("""COMPUTED_VALUE"""),148.89)</f>
        <v>148.88999999999999</v>
      </c>
      <c r="C408" s="1">
        <f ca="1">IFERROR(__xludf.DUMMYFUNCTION("""COMPUTED_VALUE"""),289.81)</f>
        <v>289.81</v>
      </c>
      <c r="D408" s="1">
        <f ca="1">IFERROR(__xludf.DUMMYFUNCTION("""COMPUTED_VALUE"""),165.18)</f>
        <v>165.18</v>
      </c>
      <c r="E408" s="1">
        <f ca="1">IFERROR(__xludf.DUMMYFUNCTION("""COMPUTED_VALUE"""),19.91)</f>
        <v>19.91</v>
      </c>
      <c r="F408" s="1">
        <f ca="1">IFERROR(__xludf.DUMMYFUNCTION("""COMPUTED_VALUE"""),362.65)</f>
        <v>362.65</v>
      </c>
      <c r="G408" s="1">
        <f ca="1">IFERROR(__xludf.DUMMYFUNCTION("""COMPUTED_VALUE"""),138.39)</f>
        <v>138.38999999999999</v>
      </c>
      <c r="H408" s="1">
        <f ca="1">IFERROR(__xludf.DUMMYFUNCTION("""COMPUTED_VALUE"""),240.75)</f>
        <v>240.75</v>
      </c>
      <c r="I408" s="1">
        <f ca="1">IFERROR(__xludf.DUMMYFUNCTION("""COMPUTED_VALUE"""),155.07)</f>
        <v>155.07</v>
      </c>
      <c r="J408" s="1">
        <f ca="1">IFERROR(__xludf.DUMMYFUNCTION("""COMPUTED_VALUE"""),445.36)</f>
        <v>445.36</v>
      </c>
      <c r="K408" s="1">
        <f ca="1">IFERROR(__xludf.DUMMYFUNCTION("""COMPUTED_VALUE"""),48.43)</f>
        <v>48.43</v>
      </c>
      <c r="L408" s="1">
        <f ca="1">IFERROR(__xludf.DUMMYFUNCTION("""COMPUTED_VALUE"""),634.35)</f>
        <v>634.35</v>
      </c>
      <c r="M408" s="1">
        <f ca="1">IFERROR(__xludf.DUMMYFUNCTION("""COMPUTED_VALUE"""),510.72)</f>
        <v>510.72</v>
      </c>
      <c r="N408" s="1">
        <f ca="1">IFERROR(__xludf.DUMMYFUNCTION("""COMPUTED_VALUE"""),161.79)</f>
        <v>161.79</v>
      </c>
      <c r="O408" s="1">
        <f ca="1">IFERROR(__xludf.DUMMYFUNCTION("""COMPUTED_VALUE"""),231.79)</f>
        <v>231.79</v>
      </c>
      <c r="P408" s="1">
        <f ca="1">IFERROR(__xludf.DUMMYFUNCTION("""COMPUTED_VALUE"""),175.2)</f>
        <v>175.2</v>
      </c>
      <c r="Q408" s="1">
        <f ca="1">IFERROR(__xludf.DUMMYFUNCTION("""COMPUTED_VALUE"""),405.96)</f>
        <v>405.96</v>
      </c>
      <c r="R408" s="1">
        <f ca="1">IFERROR(__xludf.DUMMYFUNCTION("""COMPUTED_VALUE"""),57.35)</f>
        <v>57.35</v>
      </c>
      <c r="S408" s="1">
        <f ca="1">IFERROR(__xludf.DUMMYFUNCTION("""COMPUTED_VALUE"""),83)</f>
        <v>83</v>
      </c>
      <c r="T408" s="1">
        <f ca="1">IFERROR(__xludf.DUMMYFUNCTION("""COMPUTED_VALUE"""),49.69)</f>
        <v>49.69</v>
      </c>
      <c r="U408" s="1">
        <f ca="1">IFERROR(__xludf.DUMMYFUNCTION("""COMPUTED_VALUE"""),170.64)</f>
        <v>170.64</v>
      </c>
      <c r="V408" s="1">
        <f ca="1">IFERROR(__xludf.DUMMYFUNCTION("""COMPUTED_VALUE"""),220.24)</f>
        <v>220.24</v>
      </c>
      <c r="W408" s="1">
        <f ca="1">IFERROR(__xludf.DUMMYFUNCTION("""COMPUTED_VALUE"""),359.75)</f>
        <v>359.75</v>
      </c>
      <c r="X408" s="1">
        <f ca="1">IFERROR(__xludf.DUMMYFUNCTION("""COMPUTED_VALUE"""),781.07)</f>
        <v>781.07</v>
      </c>
      <c r="Y408" s="1">
        <f ca="1">IFERROR(__xludf.DUMMYFUNCTION("""COMPUTED_VALUE"""),115.7)</f>
        <v>115.7</v>
      </c>
      <c r="Z408" s="1">
        <f ca="1">IFERROR(__xludf.DUMMYFUNCTION("""COMPUTED_VALUE"""),415)</f>
        <v>415</v>
      </c>
      <c r="AA408" s="1">
        <f ca="1">IFERROR(__xludf.DUMMYFUNCTION("""COMPUTED_VALUE"""),47.24)</f>
        <v>47.24</v>
      </c>
      <c r="AB408" s="1">
        <f ca="1">IFERROR(__xludf.DUMMYFUNCTION("""COMPUTED_VALUE"""),115.75)</f>
        <v>115.75</v>
      </c>
      <c r="AC408" s="1">
        <f ca="1">IFERROR(__xludf.DUMMYFUNCTION("""COMPUTED_VALUE"""),106.5)</f>
        <v>106.5</v>
      </c>
    </row>
    <row r="409" spans="1:29" x14ac:dyDescent="0.25">
      <c r="A409" s="2">
        <f ca="1">IFERROR(__xludf.DUMMYFUNCTION("""COMPUTED_VALUE"""),44421.6666666666)</f>
        <v>44421.666666666599</v>
      </c>
      <c r="B409" s="1">
        <f ca="1">IFERROR(__xludf.DUMMYFUNCTION("""COMPUTED_VALUE"""),149.1)</f>
        <v>149.1</v>
      </c>
      <c r="C409" s="1">
        <f ca="1">IFERROR(__xludf.DUMMYFUNCTION("""COMPUTED_VALUE"""),292.85)</f>
        <v>292.85000000000002</v>
      </c>
      <c r="D409" s="1">
        <f ca="1">IFERROR(__xludf.DUMMYFUNCTION("""COMPUTED_VALUE"""),164.7)</f>
        <v>164.7</v>
      </c>
      <c r="E409" s="1">
        <f ca="1">IFERROR(__xludf.DUMMYFUNCTION("""COMPUTED_VALUE"""),20.19)</f>
        <v>20.190000000000001</v>
      </c>
      <c r="F409" s="1">
        <f ca="1">IFERROR(__xludf.DUMMYFUNCTION("""COMPUTED_VALUE"""),363.18)</f>
        <v>363.18</v>
      </c>
      <c r="G409" s="1">
        <f ca="1">IFERROR(__xludf.DUMMYFUNCTION("""COMPUTED_VALUE"""),138.41)</f>
        <v>138.41</v>
      </c>
      <c r="H409" s="1">
        <f ca="1">IFERROR(__xludf.DUMMYFUNCTION("""COMPUTED_VALUE"""),239.06)</f>
        <v>239.06</v>
      </c>
      <c r="I409" s="1">
        <f ca="1">IFERROR(__xludf.DUMMYFUNCTION("""COMPUTED_VALUE"""),156.52)</f>
        <v>156.52000000000001</v>
      </c>
      <c r="J409" s="1">
        <f ca="1">IFERROR(__xludf.DUMMYFUNCTION("""COMPUTED_VALUE"""),447.82)</f>
        <v>447.82</v>
      </c>
      <c r="K409" s="1">
        <f ca="1">IFERROR(__xludf.DUMMYFUNCTION("""COMPUTED_VALUE"""),48.62)</f>
        <v>48.62</v>
      </c>
      <c r="L409" s="1">
        <f ca="1">IFERROR(__xludf.DUMMYFUNCTION("""COMPUTED_VALUE"""),637.31)</f>
        <v>637.30999999999995</v>
      </c>
      <c r="M409" s="1">
        <f ca="1">IFERROR(__xludf.DUMMYFUNCTION("""COMPUTED_VALUE"""),515.92)</f>
        <v>515.91999999999996</v>
      </c>
      <c r="N409" s="1">
        <f ca="1">IFERROR(__xludf.DUMMYFUNCTION("""COMPUTED_VALUE"""),159.98)</f>
        <v>159.97999999999999</v>
      </c>
      <c r="O409" s="1">
        <f ca="1">IFERROR(__xludf.DUMMYFUNCTION("""COMPUTED_VALUE"""),232.65)</f>
        <v>232.65</v>
      </c>
      <c r="P409" s="1">
        <f ca="1">IFERROR(__xludf.DUMMYFUNCTION("""COMPUTED_VALUE"""),176.25)</f>
        <v>176.25</v>
      </c>
      <c r="Q409" s="1">
        <f ca="1">IFERROR(__xludf.DUMMYFUNCTION("""COMPUTED_VALUE"""),409.67)</f>
        <v>409.67</v>
      </c>
      <c r="R409" s="1">
        <f ca="1">IFERROR(__xludf.DUMMYFUNCTION("""COMPUTED_VALUE"""),56.77)</f>
        <v>56.77</v>
      </c>
      <c r="S409" s="1">
        <f ca="1">IFERROR(__xludf.DUMMYFUNCTION("""COMPUTED_VALUE"""),83.45)</f>
        <v>83.45</v>
      </c>
      <c r="T409" s="1">
        <f ca="1">IFERROR(__xludf.DUMMYFUNCTION("""COMPUTED_VALUE"""),49.84)</f>
        <v>49.84</v>
      </c>
      <c r="U409" s="1">
        <f ca="1">IFERROR(__xludf.DUMMYFUNCTION("""COMPUTED_VALUE"""),171.69)</f>
        <v>171.69</v>
      </c>
      <c r="V409" s="1">
        <f ca="1">IFERROR(__xludf.DUMMYFUNCTION("""COMPUTED_VALUE"""),218.57)</f>
        <v>218.57</v>
      </c>
      <c r="W409" s="1">
        <f ca="1">IFERROR(__xludf.DUMMYFUNCTION("""COMPUTED_VALUE"""),357.98)</f>
        <v>357.98</v>
      </c>
      <c r="X409" s="1">
        <f ca="1">IFERROR(__xludf.DUMMYFUNCTION("""COMPUTED_VALUE"""),788.96)</f>
        <v>788.96</v>
      </c>
      <c r="Y409" s="1">
        <f ca="1">IFERROR(__xludf.DUMMYFUNCTION("""COMPUTED_VALUE"""),115.5)</f>
        <v>115.5</v>
      </c>
      <c r="Z409" s="1">
        <f ca="1">IFERROR(__xludf.DUMMYFUNCTION("""COMPUTED_VALUE"""),410.78)</f>
        <v>410.78</v>
      </c>
      <c r="AA409" s="1">
        <f ca="1">IFERROR(__xludf.DUMMYFUNCTION("""COMPUTED_VALUE"""),48.48)</f>
        <v>48.48</v>
      </c>
      <c r="AB409" s="1">
        <f ca="1">IFERROR(__xludf.DUMMYFUNCTION("""COMPUTED_VALUE"""),116.76)</f>
        <v>116.76</v>
      </c>
      <c r="AC409" s="1">
        <f ca="1">IFERROR(__xludf.DUMMYFUNCTION("""COMPUTED_VALUE"""),110.55)</f>
        <v>110.55</v>
      </c>
    </row>
    <row r="410" spans="1:29" x14ac:dyDescent="0.25">
      <c r="A410" s="2">
        <f ca="1">IFERROR(__xludf.DUMMYFUNCTION("""COMPUTED_VALUE"""),44424.6666666666)</f>
        <v>44424.666666666599</v>
      </c>
      <c r="B410" s="1">
        <f ca="1">IFERROR(__xludf.DUMMYFUNCTION("""COMPUTED_VALUE"""),151.12)</f>
        <v>151.12</v>
      </c>
      <c r="C410" s="1">
        <f ca="1">IFERROR(__xludf.DUMMYFUNCTION("""COMPUTED_VALUE"""),294.6)</f>
        <v>294.60000000000002</v>
      </c>
      <c r="D410" s="1">
        <f ca="1">IFERROR(__xludf.DUMMYFUNCTION("""COMPUTED_VALUE"""),164.95)</f>
        <v>164.95</v>
      </c>
      <c r="E410" s="1">
        <f ca="1">IFERROR(__xludf.DUMMYFUNCTION("""COMPUTED_VALUE"""),19.95)</f>
        <v>19.95</v>
      </c>
      <c r="F410" s="1">
        <f ca="1">IFERROR(__xludf.DUMMYFUNCTION("""COMPUTED_VALUE"""),366.56)</f>
        <v>366.56</v>
      </c>
      <c r="G410" s="1">
        <f ca="1">IFERROR(__xludf.DUMMYFUNCTION("""COMPUTED_VALUE"""),138.92)</f>
        <v>138.91999999999999</v>
      </c>
      <c r="H410" s="1">
        <f ca="1">IFERROR(__xludf.DUMMYFUNCTION("""COMPUTED_VALUE"""),228.72)</f>
        <v>228.72</v>
      </c>
      <c r="I410" s="1">
        <f ca="1">IFERROR(__xludf.DUMMYFUNCTION("""COMPUTED_VALUE"""),158.05)</f>
        <v>158.05000000000001</v>
      </c>
      <c r="J410" s="1">
        <f ca="1">IFERROR(__xludf.DUMMYFUNCTION("""COMPUTED_VALUE"""),452.86)</f>
        <v>452.86</v>
      </c>
      <c r="K410" s="1">
        <f ca="1">IFERROR(__xludf.DUMMYFUNCTION("""COMPUTED_VALUE"""),48.81)</f>
        <v>48.81</v>
      </c>
      <c r="L410" s="1">
        <f ca="1">IFERROR(__xludf.DUMMYFUNCTION("""COMPUTED_VALUE"""),636.94)</f>
        <v>636.94000000000005</v>
      </c>
      <c r="M410" s="1">
        <f ca="1">IFERROR(__xludf.DUMMYFUNCTION("""COMPUTED_VALUE"""),517.92)</f>
        <v>517.91999999999996</v>
      </c>
      <c r="N410" s="1">
        <f ca="1">IFERROR(__xludf.DUMMYFUNCTION("""COMPUTED_VALUE"""),158.93)</f>
        <v>158.93</v>
      </c>
      <c r="O410" s="1">
        <f ca="1">IFERROR(__xludf.DUMMYFUNCTION("""COMPUTED_VALUE"""),235.36)</f>
        <v>235.36</v>
      </c>
      <c r="P410" s="1">
        <f ca="1">IFERROR(__xludf.DUMMYFUNCTION("""COMPUTED_VALUE"""),177.84)</f>
        <v>177.84</v>
      </c>
      <c r="Q410" s="1">
        <f ca="1">IFERROR(__xludf.DUMMYFUNCTION("""COMPUTED_VALUE"""),417.21)</f>
        <v>417.21</v>
      </c>
      <c r="R410" s="1">
        <f ca="1">IFERROR(__xludf.DUMMYFUNCTION("""COMPUTED_VALUE"""),55.94)</f>
        <v>55.94</v>
      </c>
      <c r="S410" s="1">
        <f ca="1">IFERROR(__xludf.DUMMYFUNCTION("""COMPUTED_VALUE"""),83.95)</f>
        <v>83.95</v>
      </c>
      <c r="T410" s="1">
        <f ca="1">IFERROR(__xludf.DUMMYFUNCTION("""COMPUTED_VALUE"""),50.25)</f>
        <v>50.25</v>
      </c>
      <c r="U410" s="1">
        <f ca="1">IFERROR(__xludf.DUMMYFUNCTION("""COMPUTED_VALUE"""),172.36)</f>
        <v>172.36</v>
      </c>
      <c r="V410" s="1">
        <f ca="1">IFERROR(__xludf.DUMMYFUNCTION("""COMPUTED_VALUE"""),217.71)</f>
        <v>217.71</v>
      </c>
      <c r="W410" s="1">
        <f ca="1">IFERROR(__xludf.DUMMYFUNCTION("""COMPUTED_VALUE"""),360.25)</f>
        <v>360.25</v>
      </c>
      <c r="X410" s="1">
        <f ca="1">IFERROR(__xludf.DUMMYFUNCTION("""COMPUTED_VALUE"""),787.35)</f>
        <v>787.35</v>
      </c>
      <c r="Y410" s="1">
        <f ca="1">IFERROR(__xludf.DUMMYFUNCTION("""COMPUTED_VALUE"""),114.63)</f>
        <v>114.63</v>
      </c>
      <c r="Z410" s="1">
        <f ca="1">IFERROR(__xludf.DUMMYFUNCTION("""COMPUTED_VALUE"""),408.35)</f>
        <v>408.35</v>
      </c>
      <c r="AA410" s="1">
        <f ca="1">IFERROR(__xludf.DUMMYFUNCTION("""COMPUTED_VALUE"""),48.91)</f>
        <v>48.91</v>
      </c>
      <c r="AB410" s="1">
        <f ca="1">IFERROR(__xludf.DUMMYFUNCTION("""COMPUTED_VALUE"""),117.54)</f>
        <v>117.54</v>
      </c>
      <c r="AC410" s="1">
        <f ca="1">IFERROR(__xludf.DUMMYFUNCTION("""COMPUTED_VALUE"""),107.48)</f>
        <v>107.48</v>
      </c>
    </row>
    <row r="411" spans="1:29" x14ac:dyDescent="0.25">
      <c r="A411" s="2">
        <f ca="1">IFERROR(__xludf.DUMMYFUNCTION("""COMPUTED_VALUE"""),44425.6666666666)</f>
        <v>44425.666666666599</v>
      </c>
      <c r="B411" s="1">
        <f ca="1">IFERROR(__xludf.DUMMYFUNCTION("""COMPUTED_VALUE"""),150.19)</f>
        <v>150.19</v>
      </c>
      <c r="C411" s="1">
        <f ca="1">IFERROR(__xludf.DUMMYFUNCTION("""COMPUTED_VALUE"""),293.08)</f>
        <v>293.08</v>
      </c>
      <c r="D411" s="1">
        <f ca="1">IFERROR(__xludf.DUMMYFUNCTION("""COMPUTED_VALUE"""),162.1)</f>
        <v>162.1</v>
      </c>
      <c r="E411" s="1">
        <f ca="1">IFERROR(__xludf.DUMMYFUNCTION("""COMPUTED_VALUE"""),19.46)</f>
        <v>19.46</v>
      </c>
      <c r="F411" s="1">
        <f ca="1">IFERROR(__xludf.DUMMYFUNCTION("""COMPUTED_VALUE"""),358.45)</f>
        <v>358.45</v>
      </c>
      <c r="G411" s="1">
        <f ca="1">IFERROR(__xludf.DUMMYFUNCTION("""COMPUTED_VALUE"""),137.3)</f>
        <v>137.30000000000001</v>
      </c>
      <c r="H411" s="1">
        <f ca="1">IFERROR(__xludf.DUMMYFUNCTION("""COMPUTED_VALUE"""),221.9)</f>
        <v>221.9</v>
      </c>
      <c r="I411" s="1">
        <f ca="1">IFERROR(__xludf.DUMMYFUNCTION("""COMPUTED_VALUE"""),157.9)</f>
        <v>157.9</v>
      </c>
      <c r="J411" s="1">
        <f ca="1">IFERROR(__xludf.DUMMYFUNCTION("""COMPUTED_VALUE"""),452.34)</f>
        <v>452.34</v>
      </c>
      <c r="K411" s="1">
        <f ca="1">IFERROR(__xludf.DUMMYFUNCTION("""COMPUTED_VALUE"""),47.87)</f>
        <v>47.87</v>
      </c>
      <c r="L411" s="1">
        <f ca="1">IFERROR(__xludf.DUMMYFUNCTION("""COMPUTED_VALUE"""),635.01)</f>
        <v>635.01</v>
      </c>
      <c r="M411" s="1">
        <f ca="1">IFERROR(__xludf.DUMMYFUNCTION("""COMPUTED_VALUE"""),518.91)</f>
        <v>518.91</v>
      </c>
      <c r="N411" s="1">
        <f ca="1">IFERROR(__xludf.DUMMYFUNCTION("""COMPUTED_VALUE"""),157.01)</f>
        <v>157.01</v>
      </c>
      <c r="O411" s="1">
        <f ca="1">IFERROR(__xludf.DUMMYFUNCTION("""COMPUTED_VALUE"""),234.53)</f>
        <v>234.53</v>
      </c>
      <c r="P411" s="1">
        <f ca="1">IFERROR(__xludf.DUMMYFUNCTION("""COMPUTED_VALUE"""),179.47)</f>
        <v>179.47</v>
      </c>
      <c r="Q411" s="1">
        <f ca="1">IFERROR(__xludf.DUMMYFUNCTION("""COMPUTED_VALUE"""),421.78)</f>
        <v>421.78</v>
      </c>
      <c r="R411" s="1">
        <f ca="1">IFERROR(__xludf.DUMMYFUNCTION("""COMPUTED_VALUE"""),55.56)</f>
        <v>55.56</v>
      </c>
      <c r="S411" s="1">
        <f ca="1">IFERROR(__xludf.DUMMYFUNCTION("""COMPUTED_VALUE"""),83.96)</f>
        <v>83.96</v>
      </c>
      <c r="T411" s="1">
        <f ca="1">IFERROR(__xludf.DUMMYFUNCTION("""COMPUTED_VALUE"""),50.23)</f>
        <v>50.23</v>
      </c>
      <c r="U411" s="1">
        <f ca="1">IFERROR(__xludf.DUMMYFUNCTION("""COMPUTED_VALUE"""),170.66)</f>
        <v>170.66</v>
      </c>
      <c r="V411" s="1">
        <f ca="1">IFERROR(__xludf.DUMMYFUNCTION("""COMPUTED_VALUE"""),213.44)</f>
        <v>213.44</v>
      </c>
      <c r="W411" s="1">
        <f ca="1">IFERROR(__xludf.DUMMYFUNCTION("""COMPUTED_VALUE"""),361.6)</f>
        <v>361.6</v>
      </c>
      <c r="X411" s="1">
        <f ca="1">IFERROR(__xludf.DUMMYFUNCTION("""COMPUTED_VALUE"""),776.56)</f>
        <v>776.56</v>
      </c>
      <c r="Y411" s="1">
        <f ca="1">IFERROR(__xludf.DUMMYFUNCTION("""COMPUTED_VALUE"""),111.11)</f>
        <v>111.11</v>
      </c>
      <c r="Z411" s="1">
        <f ca="1">IFERROR(__xludf.DUMMYFUNCTION("""COMPUTED_VALUE"""),404.97)</f>
        <v>404.97</v>
      </c>
      <c r="AA411" s="1">
        <f ca="1">IFERROR(__xludf.DUMMYFUNCTION("""COMPUTED_VALUE"""),50.42)</f>
        <v>50.42</v>
      </c>
      <c r="AB411" s="1">
        <f ca="1">IFERROR(__xludf.DUMMYFUNCTION("""COMPUTED_VALUE"""),116.57)</f>
        <v>116.57</v>
      </c>
      <c r="AC411" s="1">
        <f ca="1">IFERROR(__xludf.DUMMYFUNCTION("""COMPUTED_VALUE"""),107.56)</f>
        <v>107.56</v>
      </c>
    </row>
    <row r="412" spans="1:29" x14ac:dyDescent="0.25">
      <c r="A412" s="2">
        <f ca="1">IFERROR(__xludf.DUMMYFUNCTION("""COMPUTED_VALUE"""),44426.6666666666)</f>
        <v>44426.666666666599</v>
      </c>
      <c r="B412" s="1">
        <f ca="1">IFERROR(__xludf.DUMMYFUNCTION("""COMPUTED_VALUE"""),146.36)</f>
        <v>146.36000000000001</v>
      </c>
      <c r="C412" s="1">
        <f ca="1">IFERROR(__xludf.DUMMYFUNCTION("""COMPUTED_VALUE"""),290.73)</f>
        <v>290.73</v>
      </c>
      <c r="D412" s="1">
        <f ca="1">IFERROR(__xludf.DUMMYFUNCTION("""COMPUTED_VALUE"""),160.06)</f>
        <v>160.06</v>
      </c>
      <c r="E412" s="1">
        <f ca="1">IFERROR(__xludf.DUMMYFUNCTION("""COMPUTED_VALUE"""),19.04)</f>
        <v>19.04</v>
      </c>
      <c r="F412" s="1">
        <f ca="1">IFERROR(__xludf.DUMMYFUNCTION("""COMPUTED_VALUE"""),355.45)</f>
        <v>355.45</v>
      </c>
      <c r="G412" s="1">
        <f ca="1">IFERROR(__xludf.DUMMYFUNCTION("""COMPUTED_VALUE"""),136.57)</f>
        <v>136.57</v>
      </c>
      <c r="H412" s="1">
        <f ca="1">IFERROR(__xludf.DUMMYFUNCTION("""COMPUTED_VALUE"""),229.66)</f>
        <v>229.66</v>
      </c>
      <c r="I412" s="1">
        <f ca="1">IFERROR(__xludf.DUMMYFUNCTION("""COMPUTED_VALUE"""),156.28)</f>
        <v>156.28</v>
      </c>
      <c r="J412" s="1">
        <f ca="1">IFERROR(__xludf.DUMMYFUNCTION("""COMPUTED_VALUE"""),446.21)</f>
        <v>446.21</v>
      </c>
      <c r="K412" s="1">
        <f ca="1">IFERROR(__xludf.DUMMYFUNCTION("""COMPUTED_VALUE"""),46.9)</f>
        <v>46.9</v>
      </c>
      <c r="L412" s="1">
        <f ca="1">IFERROR(__xludf.DUMMYFUNCTION("""COMPUTED_VALUE"""),626.77)</f>
        <v>626.77</v>
      </c>
      <c r="M412" s="1">
        <f ca="1">IFERROR(__xludf.DUMMYFUNCTION("""COMPUTED_VALUE"""),521.87)</f>
        <v>521.87</v>
      </c>
      <c r="N412" s="1">
        <f ca="1">IFERROR(__xludf.DUMMYFUNCTION("""COMPUTED_VALUE"""),155.58)</f>
        <v>155.58000000000001</v>
      </c>
      <c r="O412" s="1">
        <f ca="1">IFERROR(__xludf.DUMMYFUNCTION("""COMPUTED_VALUE"""),231.63)</f>
        <v>231.63</v>
      </c>
      <c r="P412" s="1">
        <f ca="1">IFERROR(__xludf.DUMMYFUNCTION("""COMPUTED_VALUE"""),177.19)</f>
        <v>177.19</v>
      </c>
      <c r="Q412" s="1">
        <f ca="1">IFERROR(__xludf.DUMMYFUNCTION("""COMPUTED_VALUE"""),417.32)</f>
        <v>417.32</v>
      </c>
      <c r="R412" s="1">
        <f ca="1">IFERROR(__xludf.DUMMYFUNCTION("""COMPUTED_VALUE"""),54.39)</f>
        <v>54.39</v>
      </c>
      <c r="S412" s="1">
        <f ca="1">IFERROR(__xludf.DUMMYFUNCTION("""COMPUTED_VALUE"""),84.42)</f>
        <v>84.42</v>
      </c>
      <c r="T412" s="1">
        <f ca="1">IFERROR(__xludf.DUMMYFUNCTION("""COMPUTED_VALUE"""),49.7)</f>
        <v>49.7</v>
      </c>
      <c r="U412" s="1">
        <f ca="1">IFERROR(__xludf.DUMMYFUNCTION("""COMPUTED_VALUE"""),168.81)</f>
        <v>168.81</v>
      </c>
      <c r="V412" s="1">
        <f ca="1">IFERROR(__xludf.DUMMYFUNCTION("""COMPUTED_VALUE"""),209.81)</f>
        <v>209.81</v>
      </c>
      <c r="W412" s="1">
        <f ca="1">IFERROR(__xludf.DUMMYFUNCTION("""COMPUTED_VALUE"""),356.6)</f>
        <v>356.6</v>
      </c>
      <c r="X412" s="1">
        <f ca="1">IFERROR(__xludf.DUMMYFUNCTION("""COMPUTED_VALUE"""),772.45)</f>
        <v>772.45</v>
      </c>
      <c r="Y412" s="1">
        <f ca="1">IFERROR(__xludf.DUMMYFUNCTION("""COMPUTED_VALUE"""),110.45)</f>
        <v>110.45</v>
      </c>
      <c r="Z412" s="1">
        <f ca="1">IFERROR(__xludf.DUMMYFUNCTION("""COMPUTED_VALUE"""),398.8)</f>
        <v>398.8</v>
      </c>
      <c r="AA412" s="1">
        <f ca="1">IFERROR(__xludf.DUMMYFUNCTION("""COMPUTED_VALUE"""),49.31)</f>
        <v>49.31</v>
      </c>
      <c r="AB412" s="1">
        <f ca="1">IFERROR(__xludf.DUMMYFUNCTION("""COMPUTED_VALUE"""),115.68)</f>
        <v>115.68</v>
      </c>
      <c r="AC412" s="1">
        <f ca="1">IFERROR(__xludf.DUMMYFUNCTION("""COMPUTED_VALUE"""),103.44)</f>
        <v>103.44</v>
      </c>
    </row>
    <row r="413" spans="1:29" x14ac:dyDescent="0.25">
      <c r="A413" s="2">
        <f ca="1">IFERROR(__xludf.DUMMYFUNCTION("""COMPUTED_VALUE"""),44427.6666666666)</f>
        <v>44427.666666666599</v>
      </c>
      <c r="B413" s="1">
        <f ca="1">IFERROR(__xludf.DUMMYFUNCTION("""COMPUTED_VALUE"""),146.7)</f>
        <v>146.69999999999999</v>
      </c>
      <c r="C413" s="1">
        <f ca="1">IFERROR(__xludf.DUMMYFUNCTION("""COMPUTED_VALUE"""),296.77)</f>
        <v>296.77</v>
      </c>
      <c r="D413" s="1">
        <f ca="1">IFERROR(__xludf.DUMMYFUNCTION("""COMPUTED_VALUE"""),159.39)</f>
        <v>159.38999999999999</v>
      </c>
      <c r="E413" s="1">
        <f ca="1">IFERROR(__xludf.DUMMYFUNCTION("""COMPUTED_VALUE"""),19.8)</f>
        <v>19.8</v>
      </c>
      <c r="F413" s="1">
        <f ca="1">IFERROR(__xludf.DUMMYFUNCTION("""COMPUTED_VALUE"""),355.12)</f>
        <v>355.12</v>
      </c>
      <c r="G413" s="1">
        <f ca="1">IFERROR(__xludf.DUMMYFUNCTION("""COMPUTED_VALUE"""),136.91)</f>
        <v>136.91</v>
      </c>
      <c r="H413" s="1">
        <f ca="1">IFERROR(__xludf.DUMMYFUNCTION("""COMPUTED_VALUE"""),224.49)</f>
        <v>224.49</v>
      </c>
      <c r="I413" s="1">
        <f ca="1">IFERROR(__xludf.DUMMYFUNCTION("""COMPUTED_VALUE"""),158.91)</f>
        <v>158.91</v>
      </c>
      <c r="J413" s="1">
        <f ca="1">IFERROR(__xludf.DUMMYFUNCTION("""COMPUTED_VALUE"""),454.26)</f>
        <v>454.26</v>
      </c>
      <c r="K413" s="1">
        <f ca="1">IFERROR(__xludf.DUMMYFUNCTION("""COMPUTED_VALUE"""),47.35)</f>
        <v>47.35</v>
      </c>
      <c r="L413" s="1">
        <f ca="1">IFERROR(__xludf.DUMMYFUNCTION("""COMPUTED_VALUE"""),637.66)</f>
        <v>637.66</v>
      </c>
      <c r="M413" s="1">
        <f ca="1">IFERROR(__xludf.DUMMYFUNCTION("""COMPUTED_VALUE"""),543.71)</f>
        <v>543.71</v>
      </c>
      <c r="N413" s="1">
        <f ca="1">IFERROR(__xludf.DUMMYFUNCTION("""COMPUTED_VALUE"""),154.28)</f>
        <v>154.28</v>
      </c>
      <c r="O413" s="1">
        <f ca="1">IFERROR(__xludf.DUMMYFUNCTION("""COMPUTED_VALUE"""),231.57)</f>
        <v>231.57</v>
      </c>
      <c r="P413" s="1">
        <f ca="1">IFERROR(__xludf.DUMMYFUNCTION("""COMPUTED_VALUE"""),178.57)</f>
        <v>178.57</v>
      </c>
      <c r="Q413" s="1">
        <f ca="1">IFERROR(__xludf.DUMMYFUNCTION("""COMPUTED_VALUE"""),427.89)</f>
        <v>427.89</v>
      </c>
      <c r="R413" s="1">
        <f ca="1">IFERROR(__xludf.DUMMYFUNCTION("""COMPUTED_VALUE"""),52.73)</f>
        <v>52.73</v>
      </c>
      <c r="S413" s="1">
        <f ca="1">IFERROR(__xludf.DUMMYFUNCTION("""COMPUTED_VALUE"""),84.55)</f>
        <v>84.55</v>
      </c>
      <c r="T413" s="1">
        <f ca="1">IFERROR(__xludf.DUMMYFUNCTION("""COMPUTED_VALUE"""),50.04)</f>
        <v>50.04</v>
      </c>
      <c r="U413" s="1">
        <f ca="1">IFERROR(__xludf.DUMMYFUNCTION("""COMPUTED_VALUE"""),165.59)</f>
        <v>165.59</v>
      </c>
      <c r="V413" s="1">
        <f ca="1">IFERROR(__xludf.DUMMYFUNCTION("""COMPUTED_VALUE"""),204.45)</f>
        <v>204.45</v>
      </c>
      <c r="W413" s="1">
        <f ca="1">IFERROR(__xludf.DUMMYFUNCTION("""COMPUTED_VALUE"""),354.03)</f>
        <v>354.03</v>
      </c>
      <c r="X413" s="1">
        <f ca="1">IFERROR(__xludf.DUMMYFUNCTION("""COMPUTED_VALUE"""),781.51)</f>
        <v>781.51</v>
      </c>
      <c r="Y413" s="1">
        <f ca="1">IFERROR(__xludf.DUMMYFUNCTION("""COMPUTED_VALUE"""),110.52)</f>
        <v>110.52</v>
      </c>
      <c r="Z413" s="1">
        <f ca="1">IFERROR(__xludf.DUMMYFUNCTION("""COMPUTED_VALUE"""),393.57)</f>
        <v>393.57</v>
      </c>
      <c r="AA413" s="1">
        <f ca="1">IFERROR(__xludf.DUMMYFUNCTION("""COMPUTED_VALUE"""),48.8)</f>
        <v>48.8</v>
      </c>
      <c r="AB413" s="1">
        <f ca="1">IFERROR(__xludf.DUMMYFUNCTION("""COMPUTED_VALUE"""),114.32)</f>
        <v>114.32</v>
      </c>
      <c r="AC413" s="1">
        <f ca="1">IFERROR(__xludf.DUMMYFUNCTION("""COMPUTED_VALUE"""),103.7)</f>
        <v>103.7</v>
      </c>
    </row>
    <row r="414" spans="1:29" x14ac:dyDescent="0.25">
      <c r="A414" s="2">
        <f ca="1">IFERROR(__xludf.DUMMYFUNCTION("""COMPUTED_VALUE"""),44428.6666666666)</f>
        <v>44428.666666666599</v>
      </c>
      <c r="B414" s="1">
        <f ca="1">IFERROR(__xludf.DUMMYFUNCTION("""COMPUTED_VALUE"""),148.19)</f>
        <v>148.19</v>
      </c>
      <c r="C414" s="1">
        <f ca="1">IFERROR(__xludf.DUMMYFUNCTION("""COMPUTED_VALUE"""),304.36)</f>
        <v>304.36</v>
      </c>
      <c r="D414" s="1">
        <f ca="1">IFERROR(__xludf.DUMMYFUNCTION("""COMPUTED_VALUE"""),160)</f>
        <v>160</v>
      </c>
      <c r="E414" s="1">
        <f ca="1">IFERROR(__xludf.DUMMYFUNCTION("""COMPUTED_VALUE"""),20.82)</f>
        <v>20.82</v>
      </c>
      <c r="F414" s="1">
        <f ca="1">IFERROR(__xludf.DUMMYFUNCTION("""COMPUTED_VALUE"""),359.37)</f>
        <v>359.37</v>
      </c>
      <c r="G414" s="1">
        <f ca="1">IFERROR(__xludf.DUMMYFUNCTION("""COMPUTED_VALUE"""),138.44)</f>
        <v>138.44</v>
      </c>
      <c r="H414" s="1">
        <f ca="1">IFERROR(__xludf.DUMMYFUNCTION("""COMPUTED_VALUE"""),226.75)</f>
        <v>226.75</v>
      </c>
      <c r="I414" s="1">
        <f ca="1">IFERROR(__xludf.DUMMYFUNCTION("""COMPUTED_VALUE"""),158.35)</f>
        <v>158.35</v>
      </c>
      <c r="J414" s="1">
        <f ca="1">IFERROR(__xludf.DUMMYFUNCTION("""COMPUTED_VALUE"""),458.99)</f>
        <v>458.99</v>
      </c>
      <c r="K414" s="1">
        <f ca="1">IFERROR(__xludf.DUMMYFUNCTION("""COMPUTED_VALUE"""),47.52)</f>
        <v>47.52</v>
      </c>
      <c r="L414" s="1">
        <f ca="1">IFERROR(__xludf.DUMMYFUNCTION("""COMPUTED_VALUE"""),647.34)</f>
        <v>647.34</v>
      </c>
      <c r="M414" s="1">
        <f ca="1">IFERROR(__xludf.DUMMYFUNCTION("""COMPUTED_VALUE"""),546.88)</f>
        <v>546.88</v>
      </c>
      <c r="N414" s="1">
        <f ca="1">IFERROR(__xludf.DUMMYFUNCTION("""COMPUTED_VALUE"""),154.72)</f>
        <v>154.72</v>
      </c>
      <c r="O414" s="1">
        <f ca="1">IFERROR(__xludf.DUMMYFUNCTION("""COMPUTED_VALUE"""),231.36)</f>
        <v>231.36</v>
      </c>
      <c r="P414" s="1">
        <f ca="1">IFERROR(__xludf.DUMMYFUNCTION("""COMPUTED_VALUE"""),179.44)</f>
        <v>179.44</v>
      </c>
      <c r="Q414" s="1">
        <f ca="1">IFERROR(__xludf.DUMMYFUNCTION("""COMPUTED_VALUE"""),429.71)</f>
        <v>429.71</v>
      </c>
      <c r="R414" s="1">
        <f ca="1">IFERROR(__xludf.DUMMYFUNCTION("""COMPUTED_VALUE"""),52.74)</f>
        <v>52.74</v>
      </c>
      <c r="S414" s="1">
        <f ca="1">IFERROR(__xludf.DUMMYFUNCTION("""COMPUTED_VALUE"""),86.28)</f>
        <v>86.28</v>
      </c>
      <c r="T414" s="1">
        <f ca="1">IFERROR(__xludf.DUMMYFUNCTION("""COMPUTED_VALUE"""),50.48)</f>
        <v>50.48</v>
      </c>
      <c r="U414" s="1">
        <f ca="1">IFERROR(__xludf.DUMMYFUNCTION("""COMPUTED_VALUE"""),167.79)</f>
        <v>167.79</v>
      </c>
      <c r="V414" s="1">
        <f ca="1">IFERROR(__xludf.DUMMYFUNCTION("""COMPUTED_VALUE"""),204.94)</f>
        <v>204.94</v>
      </c>
      <c r="W414" s="1">
        <f ca="1">IFERROR(__xludf.DUMMYFUNCTION("""COMPUTED_VALUE"""),357.17)</f>
        <v>357.17</v>
      </c>
      <c r="X414" s="1">
        <f ca="1">IFERROR(__xludf.DUMMYFUNCTION("""COMPUTED_VALUE"""),788.18)</f>
        <v>788.18</v>
      </c>
      <c r="Y414" s="1">
        <f ca="1">IFERROR(__xludf.DUMMYFUNCTION("""COMPUTED_VALUE"""),108.12)</f>
        <v>108.12</v>
      </c>
      <c r="Z414" s="1">
        <f ca="1">IFERROR(__xludf.DUMMYFUNCTION("""COMPUTED_VALUE"""),395.87)</f>
        <v>395.87</v>
      </c>
      <c r="AA414" s="1">
        <f ca="1">IFERROR(__xludf.DUMMYFUNCTION("""COMPUTED_VALUE"""),48.72)</f>
        <v>48.72</v>
      </c>
      <c r="AB414" s="1">
        <f ca="1">IFERROR(__xludf.DUMMYFUNCTION("""COMPUTED_VALUE"""),114.63)</f>
        <v>114.63</v>
      </c>
      <c r="AC414" s="1">
        <f ca="1">IFERROR(__xludf.DUMMYFUNCTION("""COMPUTED_VALUE"""),104.65)</f>
        <v>104.65</v>
      </c>
    </row>
    <row r="415" spans="1:29" x14ac:dyDescent="0.25">
      <c r="A415" s="2">
        <f ca="1">IFERROR(__xludf.DUMMYFUNCTION("""COMPUTED_VALUE"""),44431.6666666666)</f>
        <v>44431.666666666599</v>
      </c>
      <c r="B415" s="1">
        <f ca="1">IFERROR(__xludf.DUMMYFUNCTION("""COMPUTED_VALUE"""),149.71)</f>
        <v>149.71</v>
      </c>
      <c r="C415" s="1">
        <f ca="1">IFERROR(__xludf.DUMMYFUNCTION("""COMPUTED_VALUE"""),304.65)</f>
        <v>304.64999999999998</v>
      </c>
      <c r="D415" s="1">
        <f ca="1">IFERROR(__xludf.DUMMYFUNCTION("""COMPUTED_VALUE"""),163.29)</f>
        <v>163.29</v>
      </c>
      <c r="E415" s="1">
        <f ca="1">IFERROR(__xludf.DUMMYFUNCTION("""COMPUTED_VALUE"""),21.96)</f>
        <v>21.96</v>
      </c>
      <c r="F415" s="1">
        <f ca="1">IFERROR(__xludf.DUMMYFUNCTION("""COMPUTED_VALUE"""),363.35)</f>
        <v>363.35</v>
      </c>
      <c r="G415" s="1">
        <f ca="1">IFERROR(__xludf.DUMMYFUNCTION("""COMPUTED_VALUE"""),141.1)</f>
        <v>141.1</v>
      </c>
      <c r="H415" s="1">
        <f ca="1">IFERROR(__xludf.DUMMYFUNCTION("""COMPUTED_VALUE"""),235.43)</f>
        <v>235.43</v>
      </c>
      <c r="I415" s="1">
        <f ca="1">IFERROR(__xludf.DUMMYFUNCTION("""COMPUTED_VALUE"""),157.85)</f>
        <v>157.85</v>
      </c>
      <c r="J415" s="1">
        <f ca="1">IFERROR(__xludf.DUMMYFUNCTION("""COMPUTED_VALUE"""),454.93)</f>
        <v>454.93</v>
      </c>
      <c r="K415" s="1">
        <f ca="1">IFERROR(__xludf.DUMMYFUNCTION("""COMPUTED_VALUE"""),48.25)</f>
        <v>48.25</v>
      </c>
      <c r="L415" s="1">
        <f ca="1">IFERROR(__xludf.DUMMYFUNCTION("""COMPUTED_VALUE"""),656.86)</f>
        <v>656.86</v>
      </c>
      <c r="M415" s="1">
        <f ca="1">IFERROR(__xludf.DUMMYFUNCTION("""COMPUTED_VALUE"""),553.33)</f>
        <v>553.33000000000004</v>
      </c>
      <c r="N415" s="1">
        <f ca="1">IFERROR(__xludf.DUMMYFUNCTION("""COMPUTED_VALUE"""),156.7)</f>
        <v>156.69999999999999</v>
      </c>
      <c r="O415" s="1">
        <f ca="1">IFERROR(__xludf.DUMMYFUNCTION("""COMPUTED_VALUE"""),234.14)</f>
        <v>234.14</v>
      </c>
      <c r="P415" s="1">
        <f ca="1">IFERROR(__xludf.DUMMYFUNCTION("""COMPUTED_VALUE"""),177.61)</f>
        <v>177.61</v>
      </c>
      <c r="Q415" s="1">
        <f ca="1">IFERROR(__xludf.DUMMYFUNCTION("""COMPUTED_VALUE"""),425.36)</f>
        <v>425.36</v>
      </c>
      <c r="R415" s="1">
        <f ca="1">IFERROR(__xludf.DUMMYFUNCTION("""COMPUTED_VALUE"""),54.91)</f>
        <v>54.91</v>
      </c>
      <c r="S415" s="1">
        <f ca="1">IFERROR(__xludf.DUMMYFUNCTION("""COMPUTED_VALUE"""),84.4)</f>
        <v>84.4</v>
      </c>
      <c r="T415" s="1">
        <f ca="1">IFERROR(__xludf.DUMMYFUNCTION("""COMPUTED_VALUE"""),50.15)</f>
        <v>50.15</v>
      </c>
      <c r="U415" s="1">
        <f ca="1">IFERROR(__xludf.DUMMYFUNCTION("""COMPUTED_VALUE"""),169.72)</f>
        <v>169.72</v>
      </c>
      <c r="V415" s="1">
        <f ca="1">IFERROR(__xludf.DUMMYFUNCTION("""COMPUTED_VALUE"""),209.14)</f>
        <v>209.14</v>
      </c>
      <c r="W415" s="1">
        <f ca="1">IFERROR(__xludf.DUMMYFUNCTION("""COMPUTED_VALUE"""),357.35)</f>
        <v>357.35</v>
      </c>
      <c r="X415" s="1">
        <f ca="1">IFERROR(__xludf.DUMMYFUNCTION("""COMPUTED_VALUE"""),811.62)</f>
        <v>811.62</v>
      </c>
      <c r="Y415" s="1">
        <f ca="1">IFERROR(__xludf.DUMMYFUNCTION("""COMPUTED_VALUE"""),110.96)</f>
        <v>110.96</v>
      </c>
      <c r="Z415" s="1">
        <f ca="1">IFERROR(__xludf.DUMMYFUNCTION("""COMPUTED_VALUE"""),401.45)</f>
        <v>401.45</v>
      </c>
      <c r="AA415" s="1">
        <f ca="1">IFERROR(__xludf.DUMMYFUNCTION("""COMPUTED_VALUE"""),49.93)</f>
        <v>49.93</v>
      </c>
      <c r="AB415" s="1">
        <f ca="1">IFERROR(__xludf.DUMMYFUNCTION("""COMPUTED_VALUE"""),115.15)</f>
        <v>115.15</v>
      </c>
      <c r="AC415" s="1">
        <f ca="1">IFERROR(__xludf.DUMMYFUNCTION("""COMPUTED_VALUE"""),108.77)</f>
        <v>108.77</v>
      </c>
    </row>
    <row r="416" spans="1:29" x14ac:dyDescent="0.25">
      <c r="A416" s="2">
        <f ca="1">IFERROR(__xludf.DUMMYFUNCTION("""COMPUTED_VALUE"""),44432.6666666666)</f>
        <v>44432.666666666599</v>
      </c>
      <c r="B416" s="1">
        <f ca="1">IFERROR(__xludf.DUMMYFUNCTION("""COMPUTED_VALUE"""),149.62)</f>
        <v>149.62</v>
      </c>
      <c r="C416" s="1">
        <f ca="1">IFERROR(__xludf.DUMMYFUNCTION("""COMPUTED_VALUE"""),302.62)</f>
        <v>302.62</v>
      </c>
      <c r="D416" s="1">
        <f ca="1">IFERROR(__xludf.DUMMYFUNCTION("""COMPUTED_VALUE"""),165.29)</f>
        <v>165.29</v>
      </c>
      <c r="E416" s="1">
        <f ca="1">IFERROR(__xludf.DUMMYFUNCTION("""COMPUTED_VALUE"""),21.79)</f>
        <v>21.79</v>
      </c>
      <c r="F416" s="1">
        <f ca="1">IFERROR(__xludf.DUMMYFUNCTION("""COMPUTED_VALUE"""),365.51)</f>
        <v>365.51</v>
      </c>
      <c r="G416" s="1">
        <f ca="1">IFERROR(__xludf.DUMMYFUNCTION("""COMPUTED_VALUE"""),142.4)</f>
        <v>142.4</v>
      </c>
      <c r="H416" s="1">
        <f ca="1">IFERROR(__xludf.DUMMYFUNCTION("""COMPUTED_VALUE"""),236.16)</f>
        <v>236.16</v>
      </c>
      <c r="I416" s="1">
        <f ca="1">IFERROR(__xludf.DUMMYFUNCTION("""COMPUTED_VALUE"""),155.89)</f>
        <v>155.88999999999999</v>
      </c>
      <c r="J416" s="1">
        <f ca="1">IFERROR(__xludf.DUMMYFUNCTION("""COMPUTED_VALUE"""),451.79)</f>
        <v>451.79</v>
      </c>
      <c r="K416" s="1">
        <f ca="1">IFERROR(__xludf.DUMMYFUNCTION("""COMPUTED_VALUE"""),48.14)</f>
        <v>48.14</v>
      </c>
      <c r="L416" s="1">
        <f ca="1">IFERROR(__xludf.DUMMYFUNCTION("""COMPUTED_VALUE"""),657.24)</f>
        <v>657.24</v>
      </c>
      <c r="M416" s="1">
        <f ca="1">IFERROR(__xludf.DUMMYFUNCTION("""COMPUTED_VALUE"""),553.41)</f>
        <v>553.41</v>
      </c>
      <c r="N416" s="1">
        <f ca="1">IFERROR(__xludf.DUMMYFUNCTION("""COMPUTED_VALUE"""),157.67)</f>
        <v>157.66999999999999</v>
      </c>
      <c r="O416" s="1">
        <f ca="1">IFERROR(__xludf.DUMMYFUNCTION("""COMPUTED_VALUE"""),234.24)</f>
        <v>234.24</v>
      </c>
      <c r="P416" s="1">
        <f ca="1">IFERROR(__xludf.DUMMYFUNCTION("""COMPUTED_VALUE"""),175.39)</f>
        <v>175.39</v>
      </c>
      <c r="Q416" s="1">
        <f ca="1">IFERROR(__xludf.DUMMYFUNCTION("""COMPUTED_VALUE"""),423.41)</f>
        <v>423.41</v>
      </c>
      <c r="R416" s="1">
        <f ca="1">IFERROR(__xludf.DUMMYFUNCTION("""COMPUTED_VALUE"""),55.36)</f>
        <v>55.36</v>
      </c>
      <c r="S416" s="1">
        <f ca="1">IFERROR(__xludf.DUMMYFUNCTION("""COMPUTED_VALUE"""),84.14)</f>
        <v>84.14</v>
      </c>
      <c r="T416" s="1">
        <f ca="1">IFERROR(__xludf.DUMMYFUNCTION("""COMPUTED_VALUE"""),49.63)</f>
        <v>49.63</v>
      </c>
      <c r="U416" s="1">
        <f ca="1">IFERROR(__xludf.DUMMYFUNCTION("""COMPUTED_VALUE"""),169.98)</f>
        <v>169.98</v>
      </c>
      <c r="V416" s="1">
        <f ca="1">IFERROR(__xludf.DUMMYFUNCTION("""COMPUTED_VALUE"""),212.59)</f>
        <v>212.59</v>
      </c>
      <c r="W416" s="1">
        <f ca="1">IFERROR(__xludf.DUMMYFUNCTION("""COMPUTED_VALUE"""),359)</f>
        <v>359</v>
      </c>
      <c r="X416" s="1">
        <f ca="1">IFERROR(__xludf.DUMMYFUNCTION("""COMPUTED_VALUE"""),805.61)</f>
        <v>805.61</v>
      </c>
      <c r="Y416" s="1">
        <f ca="1">IFERROR(__xludf.DUMMYFUNCTION("""COMPUTED_VALUE"""),112.11)</f>
        <v>112.11</v>
      </c>
      <c r="Z416" s="1">
        <f ca="1">IFERROR(__xludf.DUMMYFUNCTION("""COMPUTED_VALUE"""),408.56)</f>
        <v>408.56</v>
      </c>
      <c r="AA416" s="1">
        <f ca="1">IFERROR(__xludf.DUMMYFUNCTION("""COMPUTED_VALUE"""),48.38)</f>
        <v>48.38</v>
      </c>
      <c r="AB416" s="1">
        <f ca="1">IFERROR(__xludf.DUMMYFUNCTION("""COMPUTED_VALUE"""),115.08)</f>
        <v>115.08</v>
      </c>
      <c r="AC416" s="1">
        <f ca="1">IFERROR(__xludf.DUMMYFUNCTION("""COMPUTED_VALUE"""),107.65)</f>
        <v>107.65</v>
      </c>
    </row>
    <row r="417" spans="1:29" x14ac:dyDescent="0.25">
      <c r="A417" s="2">
        <f ca="1">IFERROR(__xludf.DUMMYFUNCTION("""COMPUTED_VALUE"""),44433.6666666666)</f>
        <v>44433.666666666599</v>
      </c>
      <c r="B417" s="1">
        <f ca="1">IFERROR(__xludf.DUMMYFUNCTION("""COMPUTED_VALUE"""),148.36)</f>
        <v>148.36000000000001</v>
      </c>
      <c r="C417" s="1">
        <f ca="1">IFERROR(__xludf.DUMMYFUNCTION("""COMPUTED_VALUE"""),302.01)</f>
        <v>302.01</v>
      </c>
      <c r="D417" s="1">
        <f ca="1">IFERROR(__xludf.DUMMYFUNCTION("""COMPUTED_VALUE"""),164.96)</f>
        <v>164.96</v>
      </c>
      <c r="E417" s="1">
        <f ca="1">IFERROR(__xludf.DUMMYFUNCTION("""COMPUTED_VALUE"""),22.21)</f>
        <v>22.21</v>
      </c>
      <c r="F417" s="1">
        <f ca="1">IFERROR(__xludf.DUMMYFUNCTION("""COMPUTED_VALUE"""),368.39)</f>
        <v>368.39</v>
      </c>
      <c r="G417" s="1">
        <f ca="1">IFERROR(__xludf.DUMMYFUNCTION("""COMPUTED_VALUE"""),142.95)</f>
        <v>142.94999999999999</v>
      </c>
      <c r="H417" s="1">
        <f ca="1">IFERROR(__xludf.DUMMYFUNCTION("""COMPUTED_VALUE"""),237.07)</f>
        <v>237.07</v>
      </c>
      <c r="I417" s="1">
        <f ca="1">IFERROR(__xludf.DUMMYFUNCTION("""COMPUTED_VALUE"""),155.2)</f>
        <v>155.19999999999999</v>
      </c>
      <c r="J417" s="1">
        <f ca="1">IFERROR(__xludf.DUMMYFUNCTION("""COMPUTED_VALUE"""),451.23)</f>
        <v>451.23</v>
      </c>
      <c r="K417" s="1">
        <f ca="1">IFERROR(__xludf.DUMMYFUNCTION("""COMPUTED_VALUE"""),48.34)</f>
        <v>48.34</v>
      </c>
      <c r="L417" s="1">
        <f ca="1">IFERROR(__xludf.DUMMYFUNCTION("""COMPUTED_VALUE"""),656.8)</f>
        <v>656.8</v>
      </c>
      <c r="M417" s="1">
        <f ca="1">IFERROR(__xludf.DUMMYFUNCTION("""COMPUTED_VALUE"""),547.58)</f>
        <v>547.58000000000004</v>
      </c>
      <c r="N417" s="1">
        <f ca="1">IFERROR(__xludf.DUMMYFUNCTION("""COMPUTED_VALUE"""),160.92)</f>
        <v>160.91999999999999</v>
      </c>
      <c r="O417" s="1">
        <f ca="1">IFERROR(__xludf.DUMMYFUNCTION("""COMPUTED_VALUE"""),232.59)</f>
        <v>232.59</v>
      </c>
      <c r="P417" s="1">
        <f ca="1">IFERROR(__xludf.DUMMYFUNCTION("""COMPUTED_VALUE"""),174.23)</f>
        <v>174.23</v>
      </c>
      <c r="Q417" s="1">
        <f ca="1">IFERROR(__xludf.DUMMYFUNCTION("""COMPUTED_VALUE"""),419.74)</f>
        <v>419.74</v>
      </c>
      <c r="R417" s="1">
        <f ca="1">IFERROR(__xludf.DUMMYFUNCTION("""COMPUTED_VALUE"""),55.46)</f>
        <v>55.46</v>
      </c>
      <c r="S417" s="1">
        <f ca="1">IFERROR(__xludf.DUMMYFUNCTION("""COMPUTED_VALUE"""),84.53)</f>
        <v>84.53</v>
      </c>
      <c r="T417" s="1">
        <f ca="1">IFERROR(__xludf.DUMMYFUNCTION("""COMPUTED_VALUE"""),49.65)</f>
        <v>49.65</v>
      </c>
      <c r="U417" s="1">
        <f ca="1">IFERROR(__xludf.DUMMYFUNCTION("""COMPUTED_VALUE"""),169.84)</f>
        <v>169.84</v>
      </c>
      <c r="V417" s="1">
        <f ca="1">IFERROR(__xludf.DUMMYFUNCTION("""COMPUTED_VALUE"""),214.76)</f>
        <v>214.76</v>
      </c>
      <c r="W417" s="1">
        <f ca="1">IFERROR(__xludf.DUMMYFUNCTION("""COMPUTED_VALUE"""),358.75)</f>
        <v>358.75</v>
      </c>
      <c r="X417" s="1">
        <f ca="1">IFERROR(__xludf.DUMMYFUNCTION("""COMPUTED_VALUE"""),807.87)</f>
        <v>807.87</v>
      </c>
      <c r="Y417" s="1">
        <f ca="1">IFERROR(__xludf.DUMMYFUNCTION("""COMPUTED_VALUE"""),117.03)</f>
        <v>117.03</v>
      </c>
      <c r="Z417" s="1">
        <f ca="1">IFERROR(__xludf.DUMMYFUNCTION("""COMPUTED_VALUE"""),413.12)</f>
        <v>413.12</v>
      </c>
      <c r="AA417" s="1">
        <f ca="1">IFERROR(__xludf.DUMMYFUNCTION("""COMPUTED_VALUE"""),47.51)</f>
        <v>47.51</v>
      </c>
      <c r="AB417" s="1">
        <f ca="1">IFERROR(__xludf.DUMMYFUNCTION("""COMPUTED_VALUE"""),115.57)</f>
        <v>115.57</v>
      </c>
      <c r="AC417" s="1">
        <f ca="1">IFERROR(__xludf.DUMMYFUNCTION("""COMPUTED_VALUE"""),108.3)</f>
        <v>108.3</v>
      </c>
    </row>
    <row r="418" spans="1:29" x14ac:dyDescent="0.25">
      <c r="A418" s="2">
        <f ca="1">IFERROR(__xludf.DUMMYFUNCTION("""COMPUTED_VALUE"""),44434.6666666666)</f>
        <v>44434.666666666599</v>
      </c>
      <c r="B418" s="1">
        <f ca="1">IFERROR(__xludf.DUMMYFUNCTION("""COMPUTED_VALUE"""),147.54)</f>
        <v>147.54</v>
      </c>
      <c r="C418" s="1">
        <f ca="1">IFERROR(__xludf.DUMMYFUNCTION("""COMPUTED_VALUE"""),299.09)</f>
        <v>299.08999999999997</v>
      </c>
      <c r="D418" s="1">
        <f ca="1">IFERROR(__xludf.DUMMYFUNCTION("""COMPUTED_VALUE"""),165.8)</f>
        <v>165.8</v>
      </c>
      <c r="E418" s="1">
        <f ca="1">IFERROR(__xludf.DUMMYFUNCTION("""COMPUTED_VALUE"""),22.07)</f>
        <v>22.07</v>
      </c>
      <c r="F418" s="1">
        <f ca="1">IFERROR(__xludf.DUMMYFUNCTION("""COMPUTED_VALUE"""),364.38)</f>
        <v>364.38</v>
      </c>
      <c r="G418" s="1">
        <f ca="1">IFERROR(__xludf.DUMMYFUNCTION("""COMPUTED_VALUE"""),142.12)</f>
        <v>142.12</v>
      </c>
      <c r="H418" s="1">
        <f ca="1">IFERROR(__xludf.DUMMYFUNCTION("""COMPUTED_VALUE"""),233.72)</f>
        <v>233.72</v>
      </c>
      <c r="I418" s="1">
        <f ca="1">IFERROR(__xludf.DUMMYFUNCTION("""COMPUTED_VALUE"""),154.63)</f>
        <v>154.63</v>
      </c>
      <c r="J418" s="1">
        <f ca="1">IFERROR(__xludf.DUMMYFUNCTION("""COMPUTED_VALUE"""),449.31)</f>
        <v>449.31</v>
      </c>
      <c r="K418" s="1">
        <f ca="1">IFERROR(__xludf.DUMMYFUNCTION("""COMPUTED_VALUE"""),48.57)</f>
        <v>48.57</v>
      </c>
      <c r="L418" s="1">
        <f ca="1">IFERROR(__xludf.DUMMYFUNCTION("""COMPUTED_VALUE"""),652.39)</f>
        <v>652.39</v>
      </c>
      <c r="M418" s="1">
        <f ca="1">IFERROR(__xludf.DUMMYFUNCTION("""COMPUTED_VALUE"""),550.12)</f>
        <v>550.12</v>
      </c>
      <c r="N418" s="1">
        <f ca="1">IFERROR(__xludf.DUMMYFUNCTION("""COMPUTED_VALUE"""),161.75)</f>
        <v>161.75</v>
      </c>
      <c r="O418" s="1">
        <f ca="1">IFERROR(__xludf.DUMMYFUNCTION("""COMPUTED_VALUE"""),230.52)</f>
        <v>230.52</v>
      </c>
      <c r="P418" s="1">
        <f ca="1">IFERROR(__xludf.DUMMYFUNCTION("""COMPUTED_VALUE"""),173.3)</f>
        <v>173.3</v>
      </c>
      <c r="Q418" s="1">
        <f ca="1">IFERROR(__xludf.DUMMYFUNCTION("""COMPUTED_VALUE"""),416.85)</f>
        <v>416.85</v>
      </c>
      <c r="R418" s="1">
        <f ca="1">IFERROR(__xludf.DUMMYFUNCTION("""COMPUTED_VALUE"""),54.71)</f>
        <v>54.71</v>
      </c>
      <c r="S418" s="1">
        <f ca="1">IFERROR(__xludf.DUMMYFUNCTION("""COMPUTED_VALUE"""),83.81)</f>
        <v>83.81</v>
      </c>
      <c r="T418" s="1">
        <f ca="1">IFERROR(__xludf.DUMMYFUNCTION("""COMPUTED_VALUE"""),49.12)</f>
        <v>49.12</v>
      </c>
      <c r="U418" s="1">
        <f ca="1">IFERROR(__xludf.DUMMYFUNCTION("""COMPUTED_VALUE"""),166.92)</f>
        <v>166.92</v>
      </c>
      <c r="V418" s="1">
        <f ca="1">IFERROR(__xludf.DUMMYFUNCTION("""COMPUTED_VALUE"""),211.24)</f>
        <v>211.24</v>
      </c>
      <c r="W418" s="1">
        <f ca="1">IFERROR(__xludf.DUMMYFUNCTION("""COMPUTED_VALUE"""),361.62)</f>
        <v>361.62</v>
      </c>
      <c r="X418" s="1">
        <f ca="1">IFERROR(__xludf.DUMMYFUNCTION("""COMPUTED_VALUE"""),810.94)</f>
        <v>810.94</v>
      </c>
      <c r="Y418" s="1">
        <f ca="1">IFERROR(__xludf.DUMMYFUNCTION("""COMPUTED_VALUE"""),118.1)</f>
        <v>118.1</v>
      </c>
      <c r="Z418" s="1">
        <f ca="1">IFERROR(__xludf.DUMMYFUNCTION("""COMPUTED_VALUE"""),412.41)</f>
        <v>412.41</v>
      </c>
      <c r="AA418" s="1">
        <f ca="1">IFERROR(__xludf.DUMMYFUNCTION("""COMPUTED_VALUE"""),47.38)</f>
        <v>47.38</v>
      </c>
      <c r="AB418" s="1">
        <f ca="1">IFERROR(__xludf.DUMMYFUNCTION("""COMPUTED_VALUE"""),114.32)</f>
        <v>114.32</v>
      </c>
      <c r="AC418" s="1">
        <f ca="1">IFERROR(__xludf.DUMMYFUNCTION("""COMPUTED_VALUE"""),107.27)</f>
        <v>107.27</v>
      </c>
    </row>
    <row r="419" spans="1:29" x14ac:dyDescent="0.25">
      <c r="A419" s="2">
        <f ca="1">IFERROR(__xludf.DUMMYFUNCTION("""COMPUTED_VALUE"""),44435.6666666666)</f>
        <v>44435.666666666599</v>
      </c>
      <c r="B419" s="1">
        <f ca="1">IFERROR(__xludf.DUMMYFUNCTION("""COMPUTED_VALUE"""),148.6)</f>
        <v>148.6</v>
      </c>
      <c r="C419" s="1">
        <f ca="1">IFERROR(__xludf.DUMMYFUNCTION("""COMPUTED_VALUE"""),299.72)</f>
        <v>299.72000000000003</v>
      </c>
      <c r="D419" s="1">
        <f ca="1">IFERROR(__xludf.DUMMYFUNCTION("""COMPUTED_VALUE"""),167.48)</f>
        <v>167.48</v>
      </c>
      <c r="E419" s="1">
        <f ca="1">IFERROR(__xludf.DUMMYFUNCTION("""COMPUTED_VALUE"""),22.64)</f>
        <v>22.64</v>
      </c>
      <c r="F419" s="1">
        <f ca="1">IFERROR(__xludf.DUMMYFUNCTION("""COMPUTED_VALUE"""),372.63)</f>
        <v>372.63</v>
      </c>
      <c r="G419" s="1">
        <f ca="1">IFERROR(__xludf.DUMMYFUNCTION("""COMPUTED_VALUE"""),144.55)</f>
        <v>144.55000000000001</v>
      </c>
      <c r="H419" s="1">
        <f ca="1">IFERROR(__xludf.DUMMYFUNCTION("""COMPUTED_VALUE"""),237.31)</f>
        <v>237.31</v>
      </c>
      <c r="I419" s="1">
        <f ca="1">IFERROR(__xludf.DUMMYFUNCTION("""COMPUTED_VALUE"""),154.94)</f>
        <v>154.94</v>
      </c>
      <c r="J419" s="1">
        <f ca="1">IFERROR(__xludf.DUMMYFUNCTION("""COMPUTED_VALUE"""),450.34)</f>
        <v>450.34</v>
      </c>
      <c r="K419" s="1">
        <f ca="1">IFERROR(__xludf.DUMMYFUNCTION("""COMPUTED_VALUE"""),49.59)</f>
        <v>49.59</v>
      </c>
      <c r="L419" s="1">
        <f ca="1">IFERROR(__xludf.DUMMYFUNCTION("""COMPUTED_VALUE"""),658.52)</f>
        <v>658.52</v>
      </c>
      <c r="M419" s="1">
        <f ca="1">IFERROR(__xludf.DUMMYFUNCTION("""COMPUTED_VALUE"""),558.92)</f>
        <v>558.91999999999996</v>
      </c>
      <c r="N419" s="1">
        <f ca="1">IFERROR(__xludf.DUMMYFUNCTION("""COMPUTED_VALUE"""),163.05)</f>
        <v>163.05000000000001</v>
      </c>
      <c r="O419" s="1">
        <f ca="1">IFERROR(__xludf.DUMMYFUNCTION("""COMPUTED_VALUE"""),232.69)</f>
        <v>232.69</v>
      </c>
      <c r="P419" s="1">
        <f ca="1">IFERROR(__xludf.DUMMYFUNCTION("""COMPUTED_VALUE"""),172.93)</f>
        <v>172.93</v>
      </c>
      <c r="Q419" s="1">
        <f ca="1">IFERROR(__xludf.DUMMYFUNCTION("""COMPUTED_VALUE"""),418.76)</f>
        <v>418.76</v>
      </c>
      <c r="R419" s="1">
        <f ca="1">IFERROR(__xludf.DUMMYFUNCTION("""COMPUTED_VALUE"""),55.77)</f>
        <v>55.77</v>
      </c>
      <c r="S419" s="1">
        <f ca="1">IFERROR(__xludf.DUMMYFUNCTION("""COMPUTED_VALUE"""),83.41)</f>
        <v>83.41</v>
      </c>
      <c r="T419" s="1">
        <f ca="1">IFERROR(__xludf.DUMMYFUNCTION("""COMPUTED_VALUE"""),48.84)</f>
        <v>48.84</v>
      </c>
      <c r="U419" s="1">
        <f ca="1">IFERROR(__xludf.DUMMYFUNCTION("""COMPUTED_VALUE"""),167.58)</f>
        <v>167.58</v>
      </c>
      <c r="V419" s="1">
        <f ca="1">IFERROR(__xludf.DUMMYFUNCTION("""COMPUTED_VALUE"""),212.83)</f>
        <v>212.83</v>
      </c>
      <c r="W419" s="1">
        <f ca="1">IFERROR(__xludf.DUMMYFUNCTION("""COMPUTED_VALUE"""),361.99)</f>
        <v>361.99</v>
      </c>
      <c r="X419" s="1">
        <f ca="1">IFERROR(__xludf.DUMMYFUNCTION("""COMPUTED_VALUE"""),832.92)</f>
        <v>832.92</v>
      </c>
      <c r="Y419" s="1">
        <f ca="1">IFERROR(__xludf.DUMMYFUNCTION("""COMPUTED_VALUE"""),118.49)</f>
        <v>118.49</v>
      </c>
      <c r="Z419" s="1">
        <f ca="1">IFERROR(__xludf.DUMMYFUNCTION("""COMPUTED_VALUE"""),419.69)</f>
        <v>419.69</v>
      </c>
      <c r="AA419" s="1">
        <f ca="1">IFERROR(__xludf.DUMMYFUNCTION("""COMPUTED_VALUE"""),46.6)</f>
        <v>46.6</v>
      </c>
      <c r="AB419" s="1">
        <f ca="1">IFERROR(__xludf.DUMMYFUNCTION("""COMPUTED_VALUE"""),115.12)</f>
        <v>115.12</v>
      </c>
      <c r="AC419" s="1">
        <f ca="1">IFERROR(__xludf.DUMMYFUNCTION("""COMPUTED_VALUE"""),111.4)</f>
        <v>111.4</v>
      </c>
    </row>
    <row r="420" spans="1:29" x14ac:dyDescent="0.25">
      <c r="A420" s="2">
        <f ca="1">IFERROR(__xludf.DUMMYFUNCTION("""COMPUTED_VALUE"""),44438.6666666666)</f>
        <v>44438.666666666599</v>
      </c>
      <c r="B420" s="1">
        <f ca="1">IFERROR(__xludf.DUMMYFUNCTION("""COMPUTED_VALUE"""),153.12)</f>
        <v>153.12</v>
      </c>
      <c r="C420" s="1">
        <f ca="1">IFERROR(__xludf.DUMMYFUNCTION("""COMPUTED_VALUE"""),303.59)</f>
        <v>303.58999999999997</v>
      </c>
      <c r="D420" s="1">
        <f ca="1">IFERROR(__xludf.DUMMYFUNCTION("""COMPUTED_VALUE"""),171.08)</f>
        <v>171.08</v>
      </c>
      <c r="E420" s="1">
        <f ca="1">IFERROR(__xludf.DUMMYFUNCTION("""COMPUTED_VALUE"""),22.69)</f>
        <v>22.69</v>
      </c>
      <c r="F420" s="1">
        <f ca="1">IFERROR(__xludf.DUMMYFUNCTION("""COMPUTED_VALUE"""),380.66)</f>
        <v>380.66</v>
      </c>
      <c r="G420" s="1">
        <f ca="1">IFERROR(__xludf.DUMMYFUNCTION("""COMPUTED_VALUE"""),145.47)</f>
        <v>145.47</v>
      </c>
      <c r="H420" s="1">
        <f ca="1">IFERROR(__xludf.DUMMYFUNCTION("""COMPUTED_VALUE"""),243.64)</f>
        <v>243.64</v>
      </c>
      <c r="I420" s="1">
        <f ca="1">IFERROR(__xludf.DUMMYFUNCTION("""COMPUTED_VALUE"""),156)</f>
        <v>156</v>
      </c>
      <c r="J420" s="1">
        <f ca="1">IFERROR(__xludf.DUMMYFUNCTION("""COMPUTED_VALUE"""),455.93)</f>
        <v>455.93</v>
      </c>
      <c r="K420" s="1">
        <f ca="1">IFERROR(__xludf.DUMMYFUNCTION("""COMPUTED_VALUE"""),49.89)</f>
        <v>49.89</v>
      </c>
      <c r="L420" s="1">
        <f ca="1">IFERROR(__xludf.DUMMYFUNCTION("""COMPUTED_VALUE"""),665.99)</f>
        <v>665.99</v>
      </c>
      <c r="M420" s="1">
        <f ca="1">IFERROR(__xludf.DUMMYFUNCTION("""COMPUTED_VALUE"""),566.18)</f>
        <v>566.17999999999995</v>
      </c>
      <c r="N420" s="1">
        <f ca="1">IFERROR(__xludf.DUMMYFUNCTION("""COMPUTED_VALUE"""),160.44)</f>
        <v>160.44</v>
      </c>
      <c r="O420" s="1">
        <f ca="1">IFERROR(__xludf.DUMMYFUNCTION("""COMPUTED_VALUE"""),231.23)</f>
        <v>231.23</v>
      </c>
      <c r="P420" s="1">
        <f ca="1">IFERROR(__xludf.DUMMYFUNCTION("""COMPUTED_VALUE"""),173.66)</f>
        <v>173.66</v>
      </c>
      <c r="Q420" s="1">
        <f ca="1">IFERROR(__xludf.DUMMYFUNCTION("""COMPUTED_VALUE"""),418.3)</f>
        <v>418.3</v>
      </c>
      <c r="R420" s="1">
        <f ca="1">IFERROR(__xludf.DUMMYFUNCTION("""COMPUTED_VALUE"""),55.16)</f>
        <v>55.16</v>
      </c>
      <c r="S420" s="1">
        <f ca="1">IFERROR(__xludf.DUMMYFUNCTION("""COMPUTED_VALUE"""),83.95)</f>
        <v>83.95</v>
      </c>
      <c r="T420" s="1">
        <f ca="1">IFERROR(__xludf.DUMMYFUNCTION("""COMPUTED_VALUE"""),49.23)</f>
        <v>49.23</v>
      </c>
      <c r="U420" s="1">
        <f ca="1">IFERROR(__xludf.DUMMYFUNCTION("""COMPUTED_VALUE"""),168.03)</f>
        <v>168.03</v>
      </c>
      <c r="V420" s="1">
        <f ca="1">IFERROR(__xludf.DUMMYFUNCTION("""COMPUTED_VALUE"""),211.45)</f>
        <v>211.45</v>
      </c>
      <c r="W420" s="1">
        <f ca="1">IFERROR(__xludf.DUMMYFUNCTION("""COMPUTED_VALUE"""),362.05)</f>
        <v>362.05</v>
      </c>
      <c r="X420" s="1">
        <f ca="1">IFERROR(__xludf.DUMMYFUNCTION("""COMPUTED_VALUE"""),839.59)</f>
        <v>839.59</v>
      </c>
      <c r="Y420" s="1">
        <f ca="1">IFERROR(__xludf.DUMMYFUNCTION("""COMPUTED_VALUE"""),118.99)</f>
        <v>118.99</v>
      </c>
      <c r="Z420" s="1">
        <f ca="1">IFERROR(__xludf.DUMMYFUNCTION("""COMPUTED_VALUE"""),413.6)</f>
        <v>413.6</v>
      </c>
      <c r="AA420" s="1">
        <f ca="1">IFERROR(__xludf.DUMMYFUNCTION("""COMPUTED_VALUE"""),46.76)</f>
        <v>46.76</v>
      </c>
      <c r="AB420" s="1">
        <f ca="1">IFERROR(__xludf.DUMMYFUNCTION("""COMPUTED_VALUE"""),115.61)</f>
        <v>115.61</v>
      </c>
      <c r="AC420" s="1">
        <f ca="1">IFERROR(__xludf.DUMMYFUNCTION("""COMPUTED_VALUE"""),111.32)</f>
        <v>111.32</v>
      </c>
    </row>
    <row r="421" spans="1:29" x14ac:dyDescent="0.25">
      <c r="A421" s="2">
        <f ca="1">IFERROR(__xludf.DUMMYFUNCTION("""COMPUTED_VALUE"""),44439.6666666666)</f>
        <v>44439.666666666599</v>
      </c>
      <c r="B421" s="1">
        <f ca="1">IFERROR(__xludf.DUMMYFUNCTION("""COMPUTED_VALUE"""),151.83)</f>
        <v>151.83000000000001</v>
      </c>
      <c r="C421" s="1">
        <f ca="1">IFERROR(__xludf.DUMMYFUNCTION("""COMPUTED_VALUE"""),301.88)</f>
        <v>301.88</v>
      </c>
      <c r="D421" s="1">
        <f ca="1">IFERROR(__xludf.DUMMYFUNCTION("""COMPUTED_VALUE"""),173.54)</f>
        <v>173.54</v>
      </c>
      <c r="E421" s="1">
        <f ca="1">IFERROR(__xludf.DUMMYFUNCTION("""COMPUTED_VALUE"""),22.39)</f>
        <v>22.39</v>
      </c>
      <c r="F421" s="1">
        <f ca="1">IFERROR(__xludf.DUMMYFUNCTION("""COMPUTED_VALUE"""),379.38)</f>
        <v>379.38</v>
      </c>
      <c r="G421" s="1">
        <f ca="1">IFERROR(__xludf.DUMMYFUNCTION("""COMPUTED_VALUE"""),145.46)</f>
        <v>145.46</v>
      </c>
      <c r="H421" s="1">
        <f ca="1">IFERROR(__xludf.DUMMYFUNCTION("""COMPUTED_VALUE"""),245.24)</f>
        <v>245.24</v>
      </c>
      <c r="I421" s="1">
        <f ca="1">IFERROR(__xludf.DUMMYFUNCTION("""COMPUTED_VALUE"""),156.39)</f>
        <v>156.38999999999999</v>
      </c>
      <c r="J421" s="1">
        <f ca="1">IFERROR(__xludf.DUMMYFUNCTION("""COMPUTED_VALUE"""),455.49)</f>
        <v>455.49</v>
      </c>
      <c r="K421" s="1">
        <f ca="1">IFERROR(__xludf.DUMMYFUNCTION("""COMPUTED_VALUE"""),49.72)</f>
        <v>49.72</v>
      </c>
      <c r="L421" s="1">
        <f ca="1">IFERROR(__xludf.DUMMYFUNCTION("""COMPUTED_VALUE"""),663.7)</f>
        <v>663.7</v>
      </c>
      <c r="M421" s="1">
        <f ca="1">IFERROR(__xludf.DUMMYFUNCTION("""COMPUTED_VALUE"""),569.19)</f>
        <v>569.19000000000005</v>
      </c>
      <c r="N421" s="1">
        <f ca="1">IFERROR(__xludf.DUMMYFUNCTION("""COMPUTED_VALUE"""),159.95)</f>
        <v>159.94999999999999</v>
      </c>
      <c r="O421" s="1">
        <f ca="1">IFERROR(__xludf.DUMMYFUNCTION("""COMPUTED_VALUE"""),229.1)</f>
        <v>229.1</v>
      </c>
      <c r="P421" s="1">
        <f ca="1">IFERROR(__xludf.DUMMYFUNCTION("""COMPUTED_VALUE"""),173.13)</f>
        <v>173.13</v>
      </c>
      <c r="Q421" s="1">
        <f ca="1">IFERROR(__xludf.DUMMYFUNCTION("""COMPUTED_VALUE"""),416.27)</f>
        <v>416.27</v>
      </c>
      <c r="R421" s="1">
        <f ca="1">IFERROR(__xludf.DUMMYFUNCTION("""COMPUTED_VALUE"""),54.52)</f>
        <v>54.52</v>
      </c>
      <c r="S421" s="1">
        <f ca="1">IFERROR(__xludf.DUMMYFUNCTION("""COMPUTED_VALUE"""),83.99)</f>
        <v>83.99</v>
      </c>
      <c r="T421" s="1">
        <f ca="1">IFERROR(__xludf.DUMMYFUNCTION("""COMPUTED_VALUE"""),49.37)</f>
        <v>49.37</v>
      </c>
      <c r="U421" s="1">
        <f ca="1">IFERROR(__xludf.DUMMYFUNCTION("""COMPUTED_VALUE"""),164.74)</f>
        <v>164.74</v>
      </c>
      <c r="V421" s="1">
        <f ca="1">IFERROR(__xludf.DUMMYFUNCTION("""COMPUTED_VALUE"""),210.87)</f>
        <v>210.87</v>
      </c>
      <c r="W421" s="1">
        <f ca="1">IFERROR(__xludf.DUMMYFUNCTION("""COMPUTED_VALUE"""),359.8)</f>
        <v>359.8</v>
      </c>
      <c r="X421" s="1">
        <f ca="1">IFERROR(__xludf.DUMMYFUNCTION("""COMPUTED_VALUE"""),833.04)</f>
        <v>833.04</v>
      </c>
      <c r="Y421" s="1">
        <f ca="1">IFERROR(__xludf.DUMMYFUNCTION("""COMPUTED_VALUE"""),119.01)</f>
        <v>119.01</v>
      </c>
      <c r="Z421" s="1">
        <f ca="1">IFERROR(__xludf.DUMMYFUNCTION("""COMPUTED_VALUE"""),413.51)</f>
        <v>413.51</v>
      </c>
      <c r="AA421" s="1">
        <f ca="1">IFERROR(__xludf.DUMMYFUNCTION("""COMPUTED_VALUE"""),46.07)</f>
        <v>46.07</v>
      </c>
      <c r="AB421" s="1">
        <f ca="1">IFERROR(__xludf.DUMMYFUNCTION("""COMPUTED_VALUE"""),117.49)</f>
        <v>117.49</v>
      </c>
      <c r="AC421" s="1">
        <f ca="1">IFERROR(__xludf.DUMMYFUNCTION("""COMPUTED_VALUE"""),110.72)</f>
        <v>110.72</v>
      </c>
    </row>
    <row r="422" spans="1:29" x14ac:dyDescent="0.25">
      <c r="A422" s="2">
        <f ca="1">IFERROR(__xludf.DUMMYFUNCTION("""COMPUTED_VALUE"""),44440.6666666666)</f>
        <v>44440.666666666599</v>
      </c>
      <c r="B422" s="1">
        <f ca="1">IFERROR(__xludf.DUMMYFUNCTION("""COMPUTED_VALUE"""),152.51)</f>
        <v>152.51</v>
      </c>
      <c r="C422" s="1">
        <f ca="1">IFERROR(__xludf.DUMMYFUNCTION("""COMPUTED_VALUE"""),301.83)</f>
        <v>301.83</v>
      </c>
      <c r="D422" s="1">
        <f ca="1">IFERROR(__xludf.DUMMYFUNCTION("""COMPUTED_VALUE"""),173.95)</f>
        <v>173.95</v>
      </c>
      <c r="E422" s="1">
        <f ca="1">IFERROR(__xludf.DUMMYFUNCTION("""COMPUTED_VALUE"""),22.44)</f>
        <v>22.44</v>
      </c>
      <c r="F422" s="1">
        <f ca="1">IFERROR(__xludf.DUMMYFUNCTION("""COMPUTED_VALUE"""),382.05)</f>
        <v>382.05</v>
      </c>
      <c r="G422" s="1">
        <f ca="1">IFERROR(__xludf.DUMMYFUNCTION("""COMPUTED_VALUE"""),145.84)</f>
        <v>145.84</v>
      </c>
      <c r="H422" s="1">
        <f ca="1">IFERROR(__xludf.DUMMYFUNCTION("""COMPUTED_VALUE"""),244.7)</f>
        <v>244.7</v>
      </c>
      <c r="I422" s="1">
        <f ca="1">IFERROR(__xludf.DUMMYFUNCTION("""COMPUTED_VALUE"""),157.91)</f>
        <v>157.91</v>
      </c>
      <c r="J422" s="1">
        <f ca="1">IFERROR(__xludf.DUMMYFUNCTION("""COMPUTED_VALUE"""),456.52)</f>
        <v>456.52</v>
      </c>
      <c r="K422" s="1">
        <f ca="1">IFERROR(__xludf.DUMMYFUNCTION("""COMPUTED_VALUE"""),49.32)</f>
        <v>49.32</v>
      </c>
      <c r="L422" s="1">
        <f ca="1">IFERROR(__xludf.DUMMYFUNCTION("""COMPUTED_VALUE"""),665.89)</f>
        <v>665.89</v>
      </c>
      <c r="M422" s="1">
        <f ca="1">IFERROR(__xludf.DUMMYFUNCTION("""COMPUTED_VALUE"""),582.07)</f>
        <v>582.07000000000005</v>
      </c>
      <c r="N422" s="1">
        <f ca="1">IFERROR(__xludf.DUMMYFUNCTION("""COMPUTED_VALUE"""),159.72)</f>
        <v>159.72</v>
      </c>
      <c r="O422" s="1">
        <f ca="1">IFERROR(__xludf.DUMMYFUNCTION("""COMPUTED_VALUE"""),230.12)</f>
        <v>230.12</v>
      </c>
      <c r="P422" s="1">
        <f ca="1">IFERROR(__xludf.DUMMYFUNCTION("""COMPUTED_VALUE"""),173.74)</f>
        <v>173.74</v>
      </c>
      <c r="Q422" s="1">
        <f ca="1">IFERROR(__xludf.DUMMYFUNCTION("""COMPUTED_VALUE"""),417.35)</f>
        <v>417.35</v>
      </c>
      <c r="R422" s="1">
        <f ca="1">IFERROR(__xludf.DUMMYFUNCTION("""COMPUTED_VALUE"""),53.77)</f>
        <v>53.77</v>
      </c>
      <c r="S422" s="1">
        <f ca="1">IFERROR(__xludf.DUMMYFUNCTION("""COMPUTED_VALUE"""),85.34)</f>
        <v>85.34</v>
      </c>
      <c r="T422" s="1">
        <f ca="1">IFERROR(__xludf.DUMMYFUNCTION("""COMPUTED_VALUE"""),49.26)</f>
        <v>49.26</v>
      </c>
      <c r="U422" s="1">
        <f ca="1">IFERROR(__xludf.DUMMYFUNCTION("""COMPUTED_VALUE"""),164.56)</f>
        <v>164.56</v>
      </c>
      <c r="V422" s="1">
        <f ca="1">IFERROR(__xludf.DUMMYFUNCTION("""COMPUTED_VALUE"""),207.96)</f>
        <v>207.96</v>
      </c>
      <c r="W422" s="1">
        <f ca="1">IFERROR(__xludf.DUMMYFUNCTION("""COMPUTED_VALUE"""),356.66)</f>
        <v>356.66</v>
      </c>
      <c r="X422" s="1">
        <f ca="1">IFERROR(__xludf.DUMMYFUNCTION("""COMPUTED_VALUE"""),842.17)</f>
        <v>842.17</v>
      </c>
      <c r="Y422" s="1">
        <f ca="1">IFERROR(__xludf.DUMMYFUNCTION("""COMPUTED_VALUE"""),120.46)</f>
        <v>120.46</v>
      </c>
      <c r="Z422" s="1">
        <f ca="1">IFERROR(__xludf.DUMMYFUNCTION("""COMPUTED_VALUE"""),413.66)</f>
        <v>413.66</v>
      </c>
      <c r="AA422" s="1">
        <f ca="1">IFERROR(__xludf.DUMMYFUNCTION("""COMPUTED_VALUE"""),46.04)</f>
        <v>46.04</v>
      </c>
      <c r="AB422" s="1">
        <f ca="1">IFERROR(__xludf.DUMMYFUNCTION("""COMPUTED_VALUE"""),117.45)</f>
        <v>117.45</v>
      </c>
      <c r="AC422" s="1">
        <f ca="1">IFERROR(__xludf.DUMMYFUNCTION("""COMPUTED_VALUE"""),109.99)</f>
        <v>109.99</v>
      </c>
    </row>
    <row r="423" spans="1:29" x14ac:dyDescent="0.25">
      <c r="A423" s="2">
        <f ca="1">IFERROR(__xludf.DUMMYFUNCTION("""COMPUTED_VALUE"""),44441.6666666666)</f>
        <v>44441.666666666599</v>
      </c>
      <c r="B423" s="1">
        <f ca="1">IFERROR(__xludf.DUMMYFUNCTION("""COMPUTED_VALUE"""),153.65)</f>
        <v>153.65</v>
      </c>
      <c r="C423" s="1">
        <f ca="1">IFERROR(__xludf.DUMMYFUNCTION("""COMPUTED_VALUE"""),301.15)</f>
        <v>301.14999999999998</v>
      </c>
      <c r="D423" s="1">
        <f ca="1">IFERROR(__xludf.DUMMYFUNCTION("""COMPUTED_VALUE"""),173.16)</f>
        <v>173.16</v>
      </c>
      <c r="E423" s="1">
        <f ca="1">IFERROR(__xludf.DUMMYFUNCTION("""COMPUTED_VALUE"""),22.4)</f>
        <v>22.4</v>
      </c>
      <c r="F423" s="1">
        <f ca="1">IFERROR(__xludf.DUMMYFUNCTION("""COMPUTED_VALUE"""),375.28)</f>
        <v>375.28</v>
      </c>
      <c r="G423" s="1">
        <f ca="1">IFERROR(__xludf.DUMMYFUNCTION("""COMPUTED_VALUE"""),144.22)</f>
        <v>144.22</v>
      </c>
      <c r="H423" s="1">
        <f ca="1">IFERROR(__xludf.DUMMYFUNCTION("""COMPUTED_VALUE"""),244.13)</f>
        <v>244.13</v>
      </c>
      <c r="I423" s="1">
        <f ca="1">IFERROR(__xludf.DUMMYFUNCTION("""COMPUTED_VALUE"""),156.95)</f>
        <v>156.94999999999999</v>
      </c>
      <c r="J423" s="1">
        <f ca="1">IFERROR(__xludf.DUMMYFUNCTION("""COMPUTED_VALUE"""),460.97)</f>
        <v>460.97</v>
      </c>
      <c r="K423" s="1">
        <f ca="1">IFERROR(__xludf.DUMMYFUNCTION("""COMPUTED_VALUE"""),49.19)</f>
        <v>49.19</v>
      </c>
      <c r="L423" s="1">
        <f ca="1">IFERROR(__xludf.DUMMYFUNCTION("""COMPUTED_VALUE"""),664.64)</f>
        <v>664.64</v>
      </c>
      <c r="M423" s="1">
        <f ca="1">IFERROR(__xludf.DUMMYFUNCTION("""COMPUTED_VALUE"""),588.55)</f>
        <v>588.54999999999995</v>
      </c>
      <c r="N423" s="1">
        <f ca="1">IFERROR(__xludf.DUMMYFUNCTION("""COMPUTED_VALUE"""),160.46)</f>
        <v>160.46</v>
      </c>
      <c r="O423" s="1">
        <f ca="1">IFERROR(__xludf.DUMMYFUNCTION("""COMPUTED_VALUE"""),224.18)</f>
        <v>224.18</v>
      </c>
      <c r="P423" s="1">
        <f ca="1">IFERROR(__xludf.DUMMYFUNCTION("""COMPUTED_VALUE"""),174.93)</f>
        <v>174.93</v>
      </c>
      <c r="Q423" s="1">
        <f ca="1">IFERROR(__xludf.DUMMYFUNCTION("""COMPUTED_VALUE"""),423.71)</f>
        <v>423.71</v>
      </c>
      <c r="R423" s="1">
        <f ca="1">IFERROR(__xludf.DUMMYFUNCTION("""COMPUTED_VALUE"""),55.08)</f>
        <v>55.08</v>
      </c>
      <c r="S423" s="1">
        <f ca="1">IFERROR(__xludf.DUMMYFUNCTION("""COMPUTED_VALUE"""),86.48)</f>
        <v>86.48</v>
      </c>
      <c r="T423" s="1">
        <f ca="1">IFERROR(__xludf.DUMMYFUNCTION("""COMPUTED_VALUE"""),49.52)</f>
        <v>49.52</v>
      </c>
      <c r="U423" s="1">
        <f ca="1">IFERROR(__xludf.DUMMYFUNCTION("""COMPUTED_VALUE"""),163.67)</f>
        <v>163.66999999999999</v>
      </c>
      <c r="V423" s="1">
        <f ca="1">IFERROR(__xludf.DUMMYFUNCTION("""COMPUTED_VALUE"""),211.78)</f>
        <v>211.78</v>
      </c>
      <c r="W423" s="1">
        <f ca="1">IFERROR(__xludf.DUMMYFUNCTION("""COMPUTED_VALUE"""),358.05)</f>
        <v>358.05</v>
      </c>
      <c r="X423" s="1">
        <f ca="1">IFERROR(__xludf.DUMMYFUNCTION("""COMPUTED_VALUE"""),861.28)</f>
        <v>861.28</v>
      </c>
      <c r="Y423" s="1">
        <f ca="1">IFERROR(__xludf.DUMMYFUNCTION("""COMPUTED_VALUE"""),120.79)</f>
        <v>120.79</v>
      </c>
      <c r="Z423" s="1">
        <f ca="1">IFERROR(__xludf.DUMMYFUNCTION("""COMPUTED_VALUE"""),414.5)</f>
        <v>414.5</v>
      </c>
      <c r="AA423" s="1">
        <f ca="1">IFERROR(__xludf.DUMMYFUNCTION("""COMPUTED_VALUE"""),46.84)</f>
        <v>46.84</v>
      </c>
      <c r="AB423" s="1">
        <f ca="1">IFERROR(__xludf.DUMMYFUNCTION("""COMPUTED_VALUE"""),117.37)</f>
        <v>117.37</v>
      </c>
      <c r="AC423" s="1">
        <f ca="1">IFERROR(__xludf.DUMMYFUNCTION("""COMPUTED_VALUE"""),109.2)</f>
        <v>109.2</v>
      </c>
    </row>
    <row r="424" spans="1:29" x14ac:dyDescent="0.25">
      <c r="A424" s="2">
        <f ca="1">IFERROR(__xludf.DUMMYFUNCTION("""COMPUTED_VALUE"""),44442.6666666666)</f>
        <v>44442.666666666599</v>
      </c>
      <c r="B424" s="1">
        <f ca="1">IFERROR(__xludf.DUMMYFUNCTION("""COMPUTED_VALUE"""),154.3)</f>
        <v>154.30000000000001</v>
      </c>
      <c r="C424" s="1">
        <f ca="1">IFERROR(__xludf.DUMMYFUNCTION("""COMPUTED_VALUE"""),301.14)</f>
        <v>301.14</v>
      </c>
      <c r="D424" s="1">
        <f ca="1">IFERROR(__xludf.DUMMYFUNCTION("""COMPUTED_VALUE"""),173.9)</f>
        <v>173.9</v>
      </c>
      <c r="E424" s="1">
        <f ca="1">IFERROR(__xludf.DUMMYFUNCTION("""COMPUTED_VALUE"""),22.84)</f>
        <v>22.84</v>
      </c>
      <c r="F424" s="1">
        <f ca="1">IFERROR(__xludf.DUMMYFUNCTION("""COMPUTED_VALUE"""),376.26)</f>
        <v>376.26</v>
      </c>
      <c r="G424" s="1">
        <f ca="1">IFERROR(__xludf.DUMMYFUNCTION("""COMPUTED_VALUE"""),144.78)</f>
        <v>144.78</v>
      </c>
      <c r="H424" s="1">
        <f ca="1">IFERROR(__xludf.DUMMYFUNCTION("""COMPUTED_VALUE"""),244.52)</f>
        <v>244.52</v>
      </c>
      <c r="I424" s="1">
        <f ca="1">IFERROR(__xludf.DUMMYFUNCTION("""COMPUTED_VALUE"""),157.09)</f>
        <v>157.09</v>
      </c>
      <c r="J424" s="1">
        <f ca="1">IFERROR(__xludf.DUMMYFUNCTION("""COMPUTED_VALUE"""),462.55)</f>
        <v>462.55</v>
      </c>
      <c r="K424" s="1">
        <f ca="1">IFERROR(__xludf.DUMMYFUNCTION("""COMPUTED_VALUE"""),49.77)</f>
        <v>49.77</v>
      </c>
      <c r="L424" s="1">
        <f ca="1">IFERROR(__xludf.DUMMYFUNCTION("""COMPUTED_VALUE"""),666.59)</f>
        <v>666.59</v>
      </c>
      <c r="M424" s="1">
        <f ca="1">IFERROR(__xludf.DUMMYFUNCTION("""COMPUTED_VALUE"""),590.53)</f>
        <v>590.53</v>
      </c>
      <c r="N424" s="1">
        <f ca="1">IFERROR(__xludf.DUMMYFUNCTION("""COMPUTED_VALUE"""),159.49)</f>
        <v>159.49</v>
      </c>
      <c r="O424" s="1">
        <f ca="1">IFERROR(__xludf.DUMMYFUNCTION("""COMPUTED_VALUE"""),225.11)</f>
        <v>225.11</v>
      </c>
      <c r="P424" s="1">
        <f ca="1">IFERROR(__xludf.DUMMYFUNCTION("""COMPUTED_VALUE"""),175.04)</f>
        <v>175.04</v>
      </c>
      <c r="Q424" s="1">
        <f ca="1">IFERROR(__xludf.DUMMYFUNCTION("""COMPUTED_VALUE"""),422.86)</f>
        <v>422.86</v>
      </c>
      <c r="R424" s="1">
        <f ca="1">IFERROR(__xludf.DUMMYFUNCTION("""COMPUTED_VALUE"""),54.87)</f>
        <v>54.87</v>
      </c>
      <c r="S424" s="1">
        <f ca="1">IFERROR(__xludf.DUMMYFUNCTION("""COMPUTED_VALUE"""),85.69)</f>
        <v>85.69</v>
      </c>
      <c r="T424" s="1">
        <f ca="1">IFERROR(__xludf.DUMMYFUNCTION("""COMPUTED_VALUE"""),49.75)</f>
        <v>49.75</v>
      </c>
      <c r="U424" s="1">
        <f ca="1">IFERROR(__xludf.DUMMYFUNCTION("""COMPUTED_VALUE"""),163.29)</f>
        <v>163.29</v>
      </c>
      <c r="V424" s="1">
        <f ca="1">IFERROR(__xludf.DUMMYFUNCTION("""COMPUTED_VALUE"""),210.37)</f>
        <v>210.37</v>
      </c>
      <c r="W424" s="1">
        <f ca="1">IFERROR(__xludf.DUMMYFUNCTION("""COMPUTED_VALUE"""),356)</f>
        <v>356</v>
      </c>
      <c r="X424" s="1">
        <f ca="1">IFERROR(__xludf.DUMMYFUNCTION("""COMPUTED_VALUE"""),858.11)</f>
        <v>858.11</v>
      </c>
      <c r="Y424" s="1">
        <f ca="1">IFERROR(__xludf.DUMMYFUNCTION("""COMPUTED_VALUE"""),123.97)</f>
        <v>123.97</v>
      </c>
      <c r="Z424" s="1">
        <f ca="1">IFERROR(__xludf.DUMMYFUNCTION("""COMPUTED_VALUE"""),411.31)</f>
        <v>411.31</v>
      </c>
      <c r="AA424" s="1">
        <f ca="1">IFERROR(__xludf.DUMMYFUNCTION("""COMPUTED_VALUE"""),46.84)</f>
        <v>46.84</v>
      </c>
      <c r="AB424" s="1">
        <f ca="1">IFERROR(__xludf.DUMMYFUNCTION("""COMPUTED_VALUE"""),117.19)</f>
        <v>117.19</v>
      </c>
      <c r="AC424" s="1">
        <f ca="1">IFERROR(__xludf.DUMMYFUNCTION("""COMPUTED_VALUE"""),109.92)</f>
        <v>109.92</v>
      </c>
    </row>
    <row r="425" spans="1:29" x14ac:dyDescent="0.25">
      <c r="A425" s="2">
        <f ca="1">IFERROR(__xludf.DUMMYFUNCTION("""COMPUTED_VALUE"""),44446.6666666666)</f>
        <v>44446.666666666599</v>
      </c>
      <c r="B425" s="1">
        <f ca="1">IFERROR(__xludf.DUMMYFUNCTION("""COMPUTED_VALUE"""),156.69)</f>
        <v>156.69</v>
      </c>
      <c r="C425" s="1">
        <f ca="1">IFERROR(__xludf.DUMMYFUNCTION("""COMPUTED_VALUE"""),300.18)</f>
        <v>300.18</v>
      </c>
      <c r="D425" s="1">
        <f ca="1">IFERROR(__xludf.DUMMYFUNCTION("""COMPUTED_VALUE"""),175.46)</f>
        <v>175.46</v>
      </c>
      <c r="E425" s="1">
        <f ca="1">IFERROR(__xludf.DUMMYFUNCTION("""COMPUTED_VALUE"""),22.66)</f>
        <v>22.66</v>
      </c>
      <c r="F425" s="1">
        <f ca="1">IFERROR(__xludf.DUMMYFUNCTION("""COMPUTED_VALUE"""),382.18)</f>
        <v>382.18</v>
      </c>
      <c r="G425" s="1">
        <f ca="1">IFERROR(__xludf.DUMMYFUNCTION("""COMPUTED_VALUE"""),145.52)</f>
        <v>145.52000000000001</v>
      </c>
      <c r="H425" s="1">
        <f ca="1">IFERROR(__xludf.DUMMYFUNCTION("""COMPUTED_VALUE"""),250.97)</f>
        <v>250.97</v>
      </c>
      <c r="I425" s="1">
        <f ca="1">IFERROR(__xludf.DUMMYFUNCTION("""COMPUTED_VALUE"""),154.53)</f>
        <v>154.53</v>
      </c>
      <c r="J425" s="1">
        <f ca="1">IFERROR(__xludf.DUMMYFUNCTION("""COMPUTED_VALUE"""),459.6)</f>
        <v>459.6</v>
      </c>
      <c r="K425" s="1">
        <f ca="1">IFERROR(__xludf.DUMMYFUNCTION("""COMPUTED_VALUE"""),49.66)</f>
        <v>49.66</v>
      </c>
      <c r="L425" s="1">
        <f ca="1">IFERROR(__xludf.DUMMYFUNCTION("""COMPUTED_VALUE"""),661.39)</f>
        <v>661.39</v>
      </c>
      <c r="M425" s="1">
        <f ca="1">IFERROR(__xludf.DUMMYFUNCTION("""COMPUTED_VALUE"""),606.71)</f>
        <v>606.71</v>
      </c>
      <c r="N425" s="1">
        <f ca="1">IFERROR(__xludf.DUMMYFUNCTION("""COMPUTED_VALUE"""),159.21)</f>
        <v>159.21</v>
      </c>
      <c r="O425" s="1">
        <f ca="1">IFERROR(__xludf.DUMMYFUNCTION("""COMPUTED_VALUE"""),226.27)</f>
        <v>226.27</v>
      </c>
      <c r="P425" s="1">
        <f ca="1">IFERROR(__xludf.DUMMYFUNCTION("""COMPUTED_VALUE"""),172.32)</f>
        <v>172.32</v>
      </c>
      <c r="Q425" s="1">
        <f ca="1">IFERROR(__xludf.DUMMYFUNCTION("""COMPUTED_VALUE"""),421.24)</f>
        <v>421.24</v>
      </c>
      <c r="R425" s="1">
        <f ca="1">IFERROR(__xludf.DUMMYFUNCTION("""COMPUTED_VALUE"""),54.55)</f>
        <v>54.55</v>
      </c>
      <c r="S425" s="1">
        <f ca="1">IFERROR(__xludf.DUMMYFUNCTION("""COMPUTED_VALUE"""),85.03)</f>
        <v>85.03</v>
      </c>
      <c r="T425" s="1">
        <f ca="1">IFERROR(__xludf.DUMMYFUNCTION("""COMPUTED_VALUE"""),49.09)</f>
        <v>49.09</v>
      </c>
      <c r="U425" s="1">
        <f ca="1">IFERROR(__xludf.DUMMYFUNCTION("""COMPUTED_VALUE"""),162.64)</f>
        <v>162.63999999999999</v>
      </c>
      <c r="V425" s="1">
        <f ca="1">IFERROR(__xludf.DUMMYFUNCTION("""COMPUTED_VALUE"""),208.23)</f>
        <v>208.23</v>
      </c>
      <c r="W425" s="1">
        <f ca="1">IFERROR(__xludf.DUMMYFUNCTION("""COMPUTED_VALUE"""),349.2)</f>
        <v>349.2</v>
      </c>
      <c r="X425" s="1">
        <f ca="1">IFERROR(__xludf.DUMMYFUNCTION("""COMPUTED_VALUE"""),861.77)</f>
        <v>861.77</v>
      </c>
      <c r="Y425" s="1">
        <f ca="1">IFERROR(__xludf.DUMMYFUNCTION("""COMPUTED_VALUE"""),124.7)</f>
        <v>124.7</v>
      </c>
      <c r="Z425" s="1">
        <f ca="1">IFERROR(__xludf.DUMMYFUNCTION("""COMPUTED_VALUE"""),410.32)</f>
        <v>410.32</v>
      </c>
      <c r="AA425" s="1">
        <f ca="1">IFERROR(__xludf.DUMMYFUNCTION("""COMPUTED_VALUE"""),46.75)</f>
        <v>46.75</v>
      </c>
      <c r="AB425" s="1">
        <f ca="1">IFERROR(__xludf.DUMMYFUNCTION("""COMPUTED_VALUE"""),115.79)</f>
        <v>115.79</v>
      </c>
      <c r="AC425" s="1">
        <f ca="1">IFERROR(__xludf.DUMMYFUNCTION("""COMPUTED_VALUE"""),109.15)</f>
        <v>109.15</v>
      </c>
    </row>
    <row r="426" spans="1:29" x14ac:dyDescent="0.25">
      <c r="A426" s="2">
        <f ca="1">IFERROR(__xludf.DUMMYFUNCTION("""COMPUTED_VALUE"""),44447.6666666666)</f>
        <v>44447.666666666599</v>
      </c>
      <c r="B426" s="1">
        <f ca="1">IFERROR(__xludf.DUMMYFUNCTION("""COMPUTED_VALUE"""),155.11)</f>
        <v>155.11000000000001</v>
      </c>
      <c r="C426" s="1">
        <f ca="1">IFERROR(__xludf.DUMMYFUNCTION("""COMPUTED_VALUE"""),300.21)</f>
        <v>300.20999999999998</v>
      </c>
      <c r="D426" s="1">
        <f ca="1">IFERROR(__xludf.DUMMYFUNCTION("""COMPUTED_VALUE"""),176.28)</f>
        <v>176.28</v>
      </c>
      <c r="E426" s="1">
        <f ca="1">IFERROR(__xludf.DUMMYFUNCTION("""COMPUTED_VALUE"""),22.34)</f>
        <v>22.34</v>
      </c>
      <c r="F426" s="1">
        <f ca="1">IFERROR(__xludf.DUMMYFUNCTION("""COMPUTED_VALUE"""),377.57)</f>
        <v>377.57</v>
      </c>
      <c r="G426" s="1">
        <f ca="1">IFERROR(__xludf.DUMMYFUNCTION("""COMPUTED_VALUE"""),144.88)</f>
        <v>144.88</v>
      </c>
      <c r="H426" s="1">
        <f ca="1">IFERROR(__xludf.DUMMYFUNCTION("""COMPUTED_VALUE"""),251.29)</f>
        <v>251.29</v>
      </c>
      <c r="I426" s="1">
        <f ca="1">IFERROR(__xludf.DUMMYFUNCTION("""COMPUTED_VALUE"""),156.72)</f>
        <v>156.72</v>
      </c>
      <c r="J426" s="1">
        <f ca="1">IFERROR(__xludf.DUMMYFUNCTION("""COMPUTED_VALUE"""),465.7)</f>
        <v>465.7</v>
      </c>
      <c r="K426" s="1">
        <f ca="1">IFERROR(__xludf.DUMMYFUNCTION("""COMPUTED_VALUE"""),49.44)</f>
        <v>49.44</v>
      </c>
      <c r="L426" s="1">
        <f ca="1">IFERROR(__xludf.DUMMYFUNCTION("""COMPUTED_VALUE"""),663.22)</f>
        <v>663.22</v>
      </c>
      <c r="M426" s="1">
        <f ca="1">IFERROR(__xludf.DUMMYFUNCTION("""COMPUTED_VALUE"""),606.05)</f>
        <v>606.04999999999995</v>
      </c>
      <c r="N426" s="1">
        <f ca="1">IFERROR(__xludf.DUMMYFUNCTION("""COMPUTED_VALUE"""),158.5)</f>
        <v>158.5</v>
      </c>
      <c r="O426" s="1">
        <f ca="1">IFERROR(__xludf.DUMMYFUNCTION("""COMPUTED_VALUE"""),229.09)</f>
        <v>229.09</v>
      </c>
      <c r="P426" s="1">
        <f ca="1">IFERROR(__xludf.DUMMYFUNCTION("""COMPUTED_VALUE"""),171.9)</f>
        <v>171.9</v>
      </c>
      <c r="Q426" s="1">
        <f ca="1">IFERROR(__xludf.DUMMYFUNCTION("""COMPUTED_VALUE"""),415.39)</f>
        <v>415.39</v>
      </c>
      <c r="R426" s="1">
        <f ca="1">IFERROR(__xludf.DUMMYFUNCTION("""COMPUTED_VALUE"""),54.05)</f>
        <v>54.05</v>
      </c>
      <c r="S426" s="1">
        <f ca="1">IFERROR(__xludf.DUMMYFUNCTION("""COMPUTED_VALUE"""),86.44)</f>
        <v>86.44</v>
      </c>
      <c r="T426" s="1">
        <f ca="1">IFERROR(__xludf.DUMMYFUNCTION("""COMPUTED_VALUE"""),49.15)</f>
        <v>49.15</v>
      </c>
      <c r="U426" s="1">
        <f ca="1">IFERROR(__xludf.DUMMYFUNCTION("""COMPUTED_VALUE"""),160.71)</f>
        <v>160.71</v>
      </c>
      <c r="V426" s="1">
        <f ca="1">IFERROR(__xludf.DUMMYFUNCTION("""COMPUTED_VALUE"""),206.77)</f>
        <v>206.77</v>
      </c>
      <c r="W426" s="1">
        <f ca="1">IFERROR(__xludf.DUMMYFUNCTION("""COMPUTED_VALUE"""),351.46)</f>
        <v>351.46</v>
      </c>
      <c r="X426" s="1">
        <f ca="1">IFERROR(__xludf.DUMMYFUNCTION("""COMPUTED_VALUE"""),857.99)</f>
        <v>857.99</v>
      </c>
      <c r="Y426" s="1">
        <f ca="1">IFERROR(__xludf.DUMMYFUNCTION("""COMPUTED_VALUE"""),121.89)</f>
        <v>121.89</v>
      </c>
      <c r="Z426" s="1">
        <f ca="1">IFERROR(__xludf.DUMMYFUNCTION("""COMPUTED_VALUE"""),405)</f>
        <v>405</v>
      </c>
      <c r="AA426" s="1">
        <f ca="1">IFERROR(__xludf.DUMMYFUNCTION("""COMPUTED_VALUE"""),46.51)</f>
        <v>46.51</v>
      </c>
      <c r="AB426" s="1">
        <f ca="1">IFERROR(__xludf.DUMMYFUNCTION("""COMPUTED_VALUE"""),118.04)</f>
        <v>118.04</v>
      </c>
      <c r="AC426" s="1">
        <f ca="1">IFERROR(__xludf.DUMMYFUNCTION("""COMPUTED_VALUE"""),106.17)</f>
        <v>106.17</v>
      </c>
    </row>
    <row r="427" spans="1:29" x14ac:dyDescent="0.25">
      <c r="A427" s="2">
        <f ca="1">IFERROR(__xludf.DUMMYFUNCTION("""COMPUTED_VALUE"""),44448.6666666666)</f>
        <v>44448.666666666599</v>
      </c>
      <c r="B427" s="1">
        <f ca="1">IFERROR(__xludf.DUMMYFUNCTION("""COMPUTED_VALUE"""),154.07)</f>
        <v>154.07</v>
      </c>
      <c r="C427" s="1">
        <f ca="1">IFERROR(__xludf.DUMMYFUNCTION("""COMPUTED_VALUE"""),297.25)</f>
        <v>297.25</v>
      </c>
      <c r="D427" s="1">
        <f ca="1">IFERROR(__xludf.DUMMYFUNCTION("""COMPUTED_VALUE"""),174.21)</f>
        <v>174.21</v>
      </c>
      <c r="E427" s="1">
        <f ca="1">IFERROR(__xludf.DUMMYFUNCTION("""COMPUTED_VALUE"""),22.18)</f>
        <v>22.18</v>
      </c>
      <c r="F427" s="1">
        <f ca="1">IFERROR(__xludf.DUMMYFUNCTION("""COMPUTED_VALUE"""),378)</f>
        <v>378</v>
      </c>
      <c r="G427" s="1">
        <f ca="1">IFERROR(__xludf.DUMMYFUNCTION("""COMPUTED_VALUE"""),144.91)</f>
        <v>144.91</v>
      </c>
      <c r="H427" s="1">
        <f ca="1">IFERROR(__xludf.DUMMYFUNCTION("""COMPUTED_VALUE"""),251.62)</f>
        <v>251.62</v>
      </c>
      <c r="I427" s="1">
        <f ca="1">IFERROR(__xludf.DUMMYFUNCTION("""COMPUTED_VALUE"""),155.73)</f>
        <v>155.72999999999999</v>
      </c>
      <c r="J427" s="1">
        <f ca="1">IFERROR(__xludf.DUMMYFUNCTION("""COMPUTED_VALUE"""),465.94)</f>
        <v>465.94</v>
      </c>
      <c r="K427" s="1">
        <f ca="1">IFERROR(__xludf.DUMMYFUNCTION("""COMPUTED_VALUE"""),49.35)</f>
        <v>49.35</v>
      </c>
      <c r="L427" s="1">
        <f ca="1">IFERROR(__xludf.DUMMYFUNCTION("""COMPUTED_VALUE"""),661.68)</f>
        <v>661.68</v>
      </c>
      <c r="M427" s="1">
        <f ca="1">IFERROR(__xludf.DUMMYFUNCTION("""COMPUTED_VALUE"""),597.54)</f>
        <v>597.54</v>
      </c>
      <c r="N427" s="1">
        <f ca="1">IFERROR(__xludf.DUMMYFUNCTION("""COMPUTED_VALUE"""),159.19)</f>
        <v>159.19</v>
      </c>
      <c r="O427" s="1">
        <f ca="1">IFERROR(__xludf.DUMMYFUNCTION("""COMPUTED_VALUE"""),227.49)</f>
        <v>227.49</v>
      </c>
      <c r="P427" s="1">
        <f ca="1">IFERROR(__xludf.DUMMYFUNCTION("""COMPUTED_VALUE"""),168.07)</f>
        <v>168.07</v>
      </c>
      <c r="Q427" s="1">
        <f ca="1">IFERROR(__xludf.DUMMYFUNCTION("""COMPUTED_VALUE"""),414.55)</f>
        <v>414.55</v>
      </c>
      <c r="R427" s="1">
        <f ca="1">IFERROR(__xludf.DUMMYFUNCTION("""COMPUTED_VALUE"""),54.09)</f>
        <v>54.09</v>
      </c>
      <c r="S427" s="1">
        <f ca="1">IFERROR(__xludf.DUMMYFUNCTION("""COMPUTED_VALUE"""),85.84)</f>
        <v>85.84</v>
      </c>
      <c r="T427" s="1">
        <f ca="1">IFERROR(__xludf.DUMMYFUNCTION("""COMPUTED_VALUE"""),48.81)</f>
        <v>48.81</v>
      </c>
      <c r="U427" s="1">
        <f ca="1">IFERROR(__xludf.DUMMYFUNCTION("""COMPUTED_VALUE"""),163.34)</f>
        <v>163.34</v>
      </c>
      <c r="V427" s="1">
        <f ca="1">IFERROR(__xludf.DUMMYFUNCTION("""COMPUTED_VALUE"""),205.42)</f>
        <v>205.42</v>
      </c>
      <c r="W427" s="1">
        <f ca="1">IFERROR(__xludf.DUMMYFUNCTION("""COMPUTED_VALUE"""),348.93)</f>
        <v>348.93</v>
      </c>
      <c r="X427" s="1">
        <f ca="1">IFERROR(__xludf.DUMMYFUNCTION("""COMPUTED_VALUE"""),853.5)</f>
        <v>853.5</v>
      </c>
      <c r="Y427" s="1">
        <f ca="1">IFERROR(__xludf.DUMMYFUNCTION("""COMPUTED_VALUE"""),122.68)</f>
        <v>122.68</v>
      </c>
      <c r="Z427" s="1">
        <f ca="1">IFERROR(__xludf.DUMMYFUNCTION("""COMPUTED_VALUE"""),404.58)</f>
        <v>404.58</v>
      </c>
      <c r="AA427" s="1">
        <f ca="1">IFERROR(__xludf.DUMMYFUNCTION("""COMPUTED_VALUE"""),46.03)</f>
        <v>46.03</v>
      </c>
      <c r="AB427" s="1">
        <f ca="1">IFERROR(__xludf.DUMMYFUNCTION("""COMPUTED_VALUE"""),118.79)</f>
        <v>118.79</v>
      </c>
      <c r="AC427" s="1">
        <f ca="1">IFERROR(__xludf.DUMMYFUNCTION("""COMPUTED_VALUE"""),106.15)</f>
        <v>106.15</v>
      </c>
    </row>
    <row r="428" spans="1:29" x14ac:dyDescent="0.25">
      <c r="A428" s="2">
        <f ca="1">IFERROR(__xludf.DUMMYFUNCTION("""COMPUTED_VALUE"""),44449.6666666666)</f>
        <v>44449.666666666599</v>
      </c>
      <c r="B428" s="1">
        <f ca="1">IFERROR(__xludf.DUMMYFUNCTION("""COMPUTED_VALUE"""),148.97)</f>
        <v>148.97</v>
      </c>
      <c r="C428" s="1">
        <f ca="1">IFERROR(__xludf.DUMMYFUNCTION("""COMPUTED_VALUE"""),295.71)</f>
        <v>295.70999999999998</v>
      </c>
      <c r="D428" s="1">
        <f ca="1">IFERROR(__xludf.DUMMYFUNCTION("""COMPUTED_VALUE"""),173.46)</f>
        <v>173.46</v>
      </c>
      <c r="E428" s="1">
        <f ca="1">IFERROR(__xludf.DUMMYFUNCTION("""COMPUTED_VALUE"""),22.48)</f>
        <v>22.48</v>
      </c>
      <c r="F428" s="1">
        <f ca="1">IFERROR(__xludf.DUMMYFUNCTION("""COMPUTED_VALUE"""),378.69)</f>
        <v>378.69</v>
      </c>
      <c r="G428" s="1">
        <f ca="1">IFERROR(__xludf.DUMMYFUNCTION("""COMPUTED_VALUE"""),141.92)</f>
        <v>141.91999999999999</v>
      </c>
      <c r="H428" s="1">
        <f ca="1">IFERROR(__xludf.DUMMYFUNCTION("""COMPUTED_VALUE"""),245.42)</f>
        <v>245.42</v>
      </c>
      <c r="I428" s="1">
        <f ca="1">IFERROR(__xludf.DUMMYFUNCTION("""COMPUTED_VALUE"""),155.46)</f>
        <v>155.46</v>
      </c>
      <c r="J428" s="1">
        <f ca="1">IFERROR(__xludf.DUMMYFUNCTION("""COMPUTED_VALUE"""),465.16)</f>
        <v>465.16</v>
      </c>
      <c r="K428" s="1">
        <f ca="1">IFERROR(__xludf.DUMMYFUNCTION("""COMPUTED_VALUE"""),49.82)</f>
        <v>49.82</v>
      </c>
      <c r="L428" s="1">
        <f ca="1">IFERROR(__xludf.DUMMYFUNCTION("""COMPUTED_VALUE"""),658.94)</f>
        <v>658.94</v>
      </c>
      <c r="M428" s="1">
        <f ca="1">IFERROR(__xludf.DUMMYFUNCTION("""COMPUTED_VALUE"""),598.72)</f>
        <v>598.72</v>
      </c>
      <c r="N428" s="1">
        <f ca="1">IFERROR(__xludf.DUMMYFUNCTION("""COMPUTED_VALUE"""),157.36)</f>
        <v>157.36000000000001</v>
      </c>
      <c r="O428" s="1">
        <f ca="1">IFERROR(__xludf.DUMMYFUNCTION("""COMPUTED_VALUE"""),224.91)</f>
        <v>224.91</v>
      </c>
      <c r="P428" s="1">
        <f ca="1">IFERROR(__xludf.DUMMYFUNCTION("""COMPUTED_VALUE"""),166.97)</f>
        <v>166.97</v>
      </c>
      <c r="Q428" s="1">
        <f ca="1">IFERROR(__xludf.DUMMYFUNCTION("""COMPUTED_VALUE"""),403.91)</f>
        <v>403.91</v>
      </c>
      <c r="R428" s="1">
        <f ca="1">IFERROR(__xludf.DUMMYFUNCTION("""COMPUTED_VALUE"""),53.98)</f>
        <v>53.98</v>
      </c>
      <c r="S428" s="1">
        <f ca="1">IFERROR(__xludf.DUMMYFUNCTION("""COMPUTED_VALUE"""),84.93)</f>
        <v>84.93</v>
      </c>
      <c r="T428" s="1">
        <f ca="1">IFERROR(__xludf.DUMMYFUNCTION("""COMPUTED_VALUE"""),48.63)</f>
        <v>48.63</v>
      </c>
      <c r="U428" s="1">
        <f ca="1">IFERROR(__xludf.DUMMYFUNCTION("""COMPUTED_VALUE"""),163.59)</f>
        <v>163.59</v>
      </c>
      <c r="V428" s="1">
        <f ca="1">IFERROR(__xludf.DUMMYFUNCTION("""COMPUTED_VALUE"""),205.01)</f>
        <v>205.01</v>
      </c>
      <c r="W428" s="1">
        <f ca="1">IFERROR(__xludf.DUMMYFUNCTION("""COMPUTED_VALUE"""),345.88)</f>
        <v>345.88</v>
      </c>
      <c r="X428" s="1">
        <f ca="1">IFERROR(__xludf.DUMMYFUNCTION("""COMPUTED_VALUE"""),858.87)</f>
        <v>858.87</v>
      </c>
      <c r="Y428" s="1">
        <f ca="1">IFERROR(__xludf.DUMMYFUNCTION("""COMPUTED_VALUE"""),122.97)</f>
        <v>122.97</v>
      </c>
      <c r="Z428" s="1">
        <f ca="1">IFERROR(__xludf.DUMMYFUNCTION("""COMPUTED_VALUE"""),403.48)</f>
        <v>403.48</v>
      </c>
      <c r="AA428" s="1">
        <f ca="1">IFERROR(__xludf.DUMMYFUNCTION("""COMPUTED_VALUE"""),45.59)</f>
        <v>45.59</v>
      </c>
      <c r="AB428" s="1">
        <f ca="1">IFERROR(__xludf.DUMMYFUNCTION("""COMPUTED_VALUE"""),119.34)</f>
        <v>119.34</v>
      </c>
      <c r="AC428" s="1">
        <f ca="1">IFERROR(__xludf.DUMMYFUNCTION("""COMPUTED_VALUE"""),105.2)</f>
        <v>105.2</v>
      </c>
    </row>
    <row r="429" spans="1:29" x14ac:dyDescent="0.25">
      <c r="A429" s="2">
        <f ca="1">IFERROR(__xludf.DUMMYFUNCTION("""COMPUTED_VALUE"""),44452.6666666666)</f>
        <v>44452.666666666599</v>
      </c>
      <c r="B429" s="1">
        <f ca="1">IFERROR(__xludf.DUMMYFUNCTION("""COMPUTED_VALUE"""),149.55)</f>
        <v>149.55000000000001</v>
      </c>
      <c r="C429" s="1">
        <f ca="1">IFERROR(__xludf.DUMMYFUNCTION("""COMPUTED_VALUE"""),296.99)</f>
        <v>296.99</v>
      </c>
      <c r="D429" s="1">
        <f ca="1">IFERROR(__xludf.DUMMYFUNCTION("""COMPUTED_VALUE"""),172.86)</f>
        <v>172.86</v>
      </c>
      <c r="E429" s="1">
        <f ca="1">IFERROR(__xludf.DUMMYFUNCTION("""COMPUTED_VALUE"""),22.15)</f>
        <v>22.15</v>
      </c>
      <c r="F429" s="1">
        <f ca="1">IFERROR(__xludf.DUMMYFUNCTION("""COMPUTED_VALUE"""),376.51)</f>
        <v>376.51</v>
      </c>
      <c r="G429" s="1">
        <f ca="1">IFERROR(__xludf.DUMMYFUNCTION("""COMPUTED_VALUE"""),143.47)</f>
        <v>143.47</v>
      </c>
      <c r="H429" s="1">
        <f ca="1">IFERROR(__xludf.DUMMYFUNCTION("""COMPUTED_VALUE"""),247.67)</f>
        <v>247.67</v>
      </c>
      <c r="I429" s="1">
        <f ca="1">IFERROR(__xludf.DUMMYFUNCTION("""COMPUTED_VALUE"""),155.76)</f>
        <v>155.76</v>
      </c>
      <c r="J429" s="1">
        <f ca="1">IFERROR(__xludf.DUMMYFUNCTION("""COMPUTED_VALUE"""),459.66)</f>
        <v>459.66</v>
      </c>
      <c r="K429" s="1">
        <f ca="1">IFERROR(__xludf.DUMMYFUNCTION("""COMPUTED_VALUE"""),49.9)</f>
        <v>49.9</v>
      </c>
      <c r="L429" s="1">
        <f ca="1">IFERROR(__xludf.DUMMYFUNCTION("""COMPUTED_VALUE"""),645.15)</f>
        <v>645.15</v>
      </c>
      <c r="M429" s="1">
        <f ca="1">IFERROR(__xludf.DUMMYFUNCTION("""COMPUTED_VALUE"""),589.29)</f>
        <v>589.29</v>
      </c>
      <c r="N429" s="1">
        <f ca="1">IFERROR(__xludf.DUMMYFUNCTION("""COMPUTED_VALUE"""),159.86)</f>
        <v>159.86000000000001</v>
      </c>
      <c r="O429" s="1">
        <f ca="1">IFERROR(__xludf.DUMMYFUNCTION("""COMPUTED_VALUE"""),224.63)</f>
        <v>224.63</v>
      </c>
      <c r="P429" s="1">
        <f ca="1">IFERROR(__xludf.DUMMYFUNCTION("""COMPUTED_VALUE"""),165.8)</f>
        <v>165.8</v>
      </c>
      <c r="Q429" s="1">
        <f ca="1">IFERROR(__xludf.DUMMYFUNCTION("""COMPUTED_VALUE"""),414.52)</f>
        <v>414.52</v>
      </c>
      <c r="R429" s="1">
        <f ca="1">IFERROR(__xludf.DUMMYFUNCTION("""COMPUTED_VALUE"""),55.37)</f>
        <v>55.37</v>
      </c>
      <c r="S429" s="1">
        <f ca="1">IFERROR(__xludf.DUMMYFUNCTION("""COMPUTED_VALUE"""),84.58)</f>
        <v>84.58</v>
      </c>
      <c r="T429" s="1">
        <f ca="1">IFERROR(__xludf.DUMMYFUNCTION("""COMPUTED_VALUE"""),48.35)</f>
        <v>48.35</v>
      </c>
      <c r="U429" s="1">
        <f ca="1">IFERROR(__xludf.DUMMYFUNCTION("""COMPUTED_VALUE"""),159.52)</f>
        <v>159.52000000000001</v>
      </c>
      <c r="V429" s="1">
        <f ca="1">IFERROR(__xludf.DUMMYFUNCTION("""COMPUTED_VALUE"""),206.2)</f>
        <v>206.2</v>
      </c>
      <c r="W429" s="1">
        <f ca="1">IFERROR(__xludf.DUMMYFUNCTION("""COMPUTED_VALUE"""),346.31)</f>
        <v>346.31</v>
      </c>
      <c r="X429" s="1">
        <f ca="1">IFERROR(__xludf.DUMMYFUNCTION("""COMPUTED_VALUE"""),871.24)</f>
        <v>871.24</v>
      </c>
      <c r="Y429" s="1">
        <f ca="1">IFERROR(__xludf.DUMMYFUNCTION("""COMPUTED_VALUE"""),123.62)</f>
        <v>123.62</v>
      </c>
      <c r="Z429" s="1">
        <f ca="1">IFERROR(__xludf.DUMMYFUNCTION("""COMPUTED_VALUE"""),409.26)</f>
        <v>409.26</v>
      </c>
      <c r="AA429" s="1">
        <f ca="1">IFERROR(__xludf.DUMMYFUNCTION("""COMPUTED_VALUE"""),44.58)</f>
        <v>44.58</v>
      </c>
      <c r="AB429" s="1">
        <f ca="1">IFERROR(__xludf.DUMMYFUNCTION("""COMPUTED_VALUE"""),119.18)</f>
        <v>119.18</v>
      </c>
      <c r="AC429" s="1">
        <f ca="1">IFERROR(__xludf.DUMMYFUNCTION("""COMPUTED_VALUE"""),104.8)</f>
        <v>104.8</v>
      </c>
    </row>
    <row r="430" spans="1:29" x14ac:dyDescent="0.25">
      <c r="A430" s="2">
        <f ca="1">IFERROR(__xludf.DUMMYFUNCTION("""COMPUTED_VALUE"""),44453.6666666666)</f>
        <v>44453.666666666599</v>
      </c>
      <c r="B430" s="1">
        <f ca="1">IFERROR(__xludf.DUMMYFUNCTION("""COMPUTED_VALUE"""),148.12)</f>
        <v>148.12</v>
      </c>
      <c r="C430" s="1">
        <f ca="1">IFERROR(__xludf.DUMMYFUNCTION("""COMPUTED_VALUE"""),299.79)</f>
        <v>299.79000000000002</v>
      </c>
      <c r="D430" s="1">
        <f ca="1">IFERROR(__xludf.DUMMYFUNCTION("""COMPUTED_VALUE"""),172.5)</f>
        <v>172.5</v>
      </c>
      <c r="E430" s="1">
        <f ca="1">IFERROR(__xludf.DUMMYFUNCTION("""COMPUTED_VALUE"""),22.24)</f>
        <v>22.24</v>
      </c>
      <c r="F430" s="1">
        <f ca="1">IFERROR(__xludf.DUMMYFUNCTION("""COMPUTED_VALUE"""),376.53)</f>
        <v>376.53</v>
      </c>
      <c r="G430" s="1">
        <f ca="1">IFERROR(__xludf.DUMMYFUNCTION("""COMPUTED_VALUE"""),143.41)</f>
        <v>143.41</v>
      </c>
      <c r="H430" s="1">
        <f ca="1">IFERROR(__xludf.DUMMYFUNCTION("""COMPUTED_VALUE"""),248.16)</f>
        <v>248.16</v>
      </c>
      <c r="I430" s="1">
        <f ca="1">IFERROR(__xludf.DUMMYFUNCTION("""COMPUTED_VALUE"""),155.15)</f>
        <v>155.15</v>
      </c>
      <c r="J430" s="1">
        <f ca="1">IFERROR(__xludf.DUMMYFUNCTION("""COMPUTED_VALUE"""),458.41)</f>
        <v>458.41</v>
      </c>
      <c r="K430" s="1">
        <f ca="1">IFERROR(__xludf.DUMMYFUNCTION("""COMPUTED_VALUE"""),50.19)</f>
        <v>50.19</v>
      </c>
      <c r="L430" s="1">
        <f ca="1">IFERROR(__xludf.DUMMYFUNCTION("""COMPUTED_VALUE"""),645.01)</f>
        <v>645.01</v>
      </c>
      <c r="M430" s="1">
        <f ca="1">IFERROR(__xludf.DUMMYFUNCTION("""COMPUTED_VALUE"""),577.76)</f>
        <v>577.76</v>
      </c>
      <c r="N430" s="1">
        <f ca="1">IFERROR(__xludf.DUMMYFUNCTION("""COMPUTED_VALUE"""),157.07)</f>
        <v>157.07</v>
      </c>
      <c r="O430" s="1">
        <f ca="1">IFERROR(__xludf.DUMMYFUNCTION("""COMPUTED_VALUE"""),223.03)</f>
        <v>223.03</v>
      </c>
      <c r="P430" s="1">
        <f ca="1">IFERROR(__xludf.DUMMYFUNCTION("""COMPUTED_VALUE"""),164.8)</f>
        <v>164.8</v>
      </c>
      <c r="Q430" s="1">
        <f ca="1">IFERROR(__xludf.DUMMYFUNCTION("""COMPUTED_VALUE"""),412.54)</f>
        <v>412.54</v>
      </c>
      <c r="R430" s="1">
        <f ca="1">IFERROR(__xludf.DUMMYFUNCTION("""COMPUTED_VALUE"""),54.58)</f>
        <v>54.58</v>
      </c>
      <c r="S430" s="1">
        <f ca="1">IFERROR(__xludf.DUMMYFUNCTION("""COMPUTED_VALUE"""),84.64)</f>
        <v>84.64</v>
      </c>
      <c r="T430" s="1">
        <f ca="1">IFERROR(__xludf.DUMMYFUNCTION("""COMPUTED_VALUE"""),48.1)</f>
        <v>48.1</v>
      </c>
      <c r="U430" s="1">
        <f ca="1">IFERROR(__xludf.DUMMYFUNCTION("""COMPUTED_VALUE"""),158.76)</f>
        <v>158.76</v>
      </c>
      <c r="V430" s="1">
        <f ca="1">IFERROR(__xludf.DUMMYFUNCTION("""COMPUTED_VALUE"""),202.33)</f>
        <v>202.33</v>
      </c>
      <c r="W430" s="1">
        <f ca="1">IFERROR(__xludf.DUMMYFUNCTION("""COMPUTED_VALUE"""),344.34)</f>
        <v>344.34</v>
      </c>
      <c r="X430" s="1">
        <f ca="1">IFERROR(__xludf.DUMMYFUNCTION("""COMPUTED_VALUE"""),888.07)</f>
        <v>888.07</v>
      </c>
      <c r="Y430" s="1">
        <f ca="1">IFERROR(__xludf.DUMMYFUNCTION("""COMPUTED_VALUE"""),123.09)</f>
        <v>123.09</v>
      </c>
      <c r="Z430" s="1">
        <f ca="1">IFERROR(__xludf.DUMMYFUNCTION("""COMPUTED_VALUE"""),403.69)</f>
        <v>403.69</v>
      </c>
      <c r="AA430" s="1">
        <f ca="1">IFERROR(__xludf.DUMMYFUNCTION("""COMPUTED_VALUE"""),44.71)</f>
        <v>44.71</v>
      </c>
      <c r="AB430" s="1">
        <f ca="1">IFERROR(__xludf.DUMMYFUNCTION("""COMPUTED_VALUE"""),118.86)</f>
        <v>118.86</v>
      </c>
      <c r="AC430" s="1">
        <f ca="1">IFERROR(__xludf.DUMMYFUNCTION("""COMPUTED_VALUE"""),105.73)</f>
        <v>105.73</v>
      </c>
    </row>
    <row r="431" spans="1:29" x14ac:dyDescent="0.25">
      <c r="A431" s="2">
        <f ca="1">IFERROR(__xludf.DUMMYFUNCTION("""COMPUTED_VALUE"""),44454.6666666666)</f>
        <v>44454.666666666599</v>
      </c>
      <c r="B431" s="1">
        <f ca="1">IFERROR(__xludf.DUMMYFUNCTION("""COMPUTED_VALUE"""),149.03)</f>
        <v>149.03</v>
      </c>
      <c r="C431" s="1">
        <f ca="1">IFERROR(__xludf.DUMMYFUNCTION("""COMPUTED_VALUE"""),304.82)</f>
        <v>304.82</v>
      </c>
      <c r="D431" s="1">
        <f ca="1">IFERROR(__xludf.DUMMYFUNCTION("""COMPUTED_VALUE"""),173.79)</f>
        <v>173.79</v>
      </c>
      <c r="E431" s="1">
        <f ca="1">IFERROR(__xludf.DUMMYFUNCTION("""COMPUTED_VALUE"""),22.34)</f>
        <v>22.34</v>
      </c>
      <c r="F431" s="1">
        <f ca="1">IFERROR(__xludf.DUMMYFUNCTION("""COMPUTED_VALUE"""),373.92)</f>
        <v>373.92</v>
      </c>
      <c r="G431" s="1">
        <f ca="1">IFERROR(__xludf.DUMMYFUNCTION("""COMPUTED_VALUE"""),145.21)</f>
        <v>145.21</v>
      </c>
      <c r="H431" s="1">
        <f ca="1">IFERROR(__xludf.DUMMYFUNCTION("""COMPUTED_VALUE"""),251.94)</f>
        <v>251.94</v>
      </c>
      <c r="I431" s="1">
        <f ca="1">IFERROR(__xludf.DUMMYFUNCTION("""COMPUTED_VALUE"""),156.02)</f>
        <v>156.02000000000001</v>
      </c>
      <c r="J431" s="1">
        <f ca="1">IFERROR(__xludf.DUMMYFUNCTION("""COMPUTED_VALUE"""),460.73)</f>
        <v>460.73</v>
      </c>
      <c r="K431" s="1">
        <f ca="1">IFERROR(__xludf.DUMMYFUNCTION("""COMPUTED_VALUE"""),50.97)</f>
        <v>50.97</v>
      </c>
      <c r="L431" s="1">
        <f ca="1">IFERROR(__xludf.DUMMYFUNCTION("""COMPUTED_VALUE"""),661.08)</f>
        <v>661.08</v>
      </c>
      <c r="M431" s="1">
        <f ca="1">IFERROR(__xludf.DUMMYFUNCTION("""COMPUTED_VALUE"""),582.87)</f>
        <v>582.87</v>
      </c>
      <c r="N431" s="1">
        <f ca="1">IFERROR(__xludf.DUMMYFUNCTION("""COMPUTED_VALUE"""),158.16)</f>
        <v>158.16</v>
      </c>
      <c r="O431" s="1">
        <f ca="1">IFERROR(__xludf.DUMMYFUNCTION("""COMPUTED_VALUE"""),223.81)</f>
        <v>223.81</v>
      </c>
      <c r="P431" s="1">
        <f ca="1">IFERROR(__xludf.DUMMYFUNCTION("""COMPUTED_VALUE"""),165.42)</f>
        <v>165.42</v>
      </c>
      <c r="Q431" s="1">
        <f ca="1">IFERROR(__xludf.DUMMYFUNCTION("""COMPUTED_VALUE"""),417.52)</f>
        <v>417.52</v>
      </c>
      <c r="R431" s="1">
        <f ca="1">IFERROR(__xludf.DUMMYFUNCTION("""COMPUTED_VALUE"""),56.42)</f>
        <v>56.42</v>
      </c>
      <c r="S431" s="1">
        <f ca="1">IFERROR(__xludf.DUMMYFUNCTION("""COMPUTED_VALUE"""),84.61)</f>
        <v>84.61</v>
      </c>
      <c r="T431" s="1">
        <f ca="1">IFERROR(__xludf.DUMMYFUNCTION("""COMPUTED_VALUE"""),48.18)</f>
        <v>48.18</v>
      </c>
      <c r="U431" s="1">
        <f ca="1">IFERROR(__xludf.DUMMYFUNCTION("""COMPUTED_VALUE"""),157.91)</f>
        <v>157.91</v>
      </c>
      <c r="V431" s="1">
        <f ca="1">IFERROR(__xludf.DUMMYFUNCTION("""COMPUTED_VALUE"""),205.73)</f>
        <v>205.73</v>
      </c>
      <c r="W431" s="1">
        <f ca="1">IFERROR(__xludf.DUMMYFUNCTION("""COMPUTED_VALUE"""),345.07)</f>
        <v>345.07</v>
      </c>
      <c r="X431" s="1">
        <f ca="1">IFERROR(__xludf.DUMMYFUNCTION("""COMPUTED_VALUE"""),889.33)</f>
        <v>889.33</v>
      </c>
      <c r="Y431" s="1">
        <f ca="1">IFERROR(__xludf.DUMMYFUNCTION("""COMPUTED_VALUE"""),121.5)</f>
        <v>121.5</v>
      </c>
      <c r="Z431" s="1">
        <f ca="1">IFERROR(__xludf.DUMMYFUNCTION("""COMPUTED_VALUE"""),401.95)</f>
        <v>401.95</v>
      </c>
      <c r="AA431" s="1">
        <f ca="1">IFERROR(__xludf.DUMMYFUNCTION("""COMPUTED_VALUE"""),44.77)</f>
        <v>44.77</v>
      </c>
      <c r="AB431" s="1">
        <f ca="1">IFERROR(__xludf.DUMMYFUNCTION("""COMPUTED_VALUE"""),114.64)</f>
        <v>114.64</v>
      </c>
      <c r="AC431" s="1">
        <f ca="1">IFERROR(__xludf.DUMMYFUNCTION("""COMPUTED_VALUE"""),105.6)</f>
        <v>105.6</v>
      </c>
    </row>
    <row r="432" spans="1:29" x14ac:dyDescent="0.25">
      <c r="A432" s="2">
        <f ca="1">IFERROR(__xludf.DUMMYFUNCTION("""COMPUTED_VALUE"""),44455.6666666666)</f>
        <v>44455.666666666599</v>
      </c>
      <c r="B432" s="1">
        <f ca="1">IFERROR(__xludf.DUMMYFUNCTION("""COMPUTED_VALUE"""),148.79)</f>
        <v>148.79</v>
      </c>
      <c r="C432" s="1">
        <f ca="1">IFERROR(__xludf.DUMMYFUNCTION("""COMPUTED_VALUE"""),305.22)</f>
        <v>305.22000000000003</v>
      </c>
      <c r="D432" s="1">
        <f ca="1">IFERROR(__xludf.DUMMYFUNCTION("""COMPUTED_VALUE"""),174.41)</f>
        <v>174.41</v>
      </c>
      <c r="E432" s="1">
        <f ca="1">IFERROR(__xludf.DUMMYFUNCTION("""COMPUTED_VALUE"""),22.24)</f>
        <v>22.24</v>
      </c>
      <c r="F432" s="1">
        <f ca="1">IFERROR(__xludf.DUMMYFUNCTION("""COMPUTED_VALUE"""),373.06)</f>
        <v>373.06</v>
      </c>
      <c r="G432" s="1">
        <f ca="1">IFERROR(__xludf.DUMMYFUNCTION("""COMPUTED_VALUE"""),144.37)</f>
        <v>144.37</v>
      </c>
      <c r="H432" s="1">
        <f ca="1">IFERROR(__xludf.DUMMYFUNCTION("""COMPUTED_VALUE"""),252.33)</f>
        <v>252.33</v>
      </c>
      <c r="I432" s="1">
        <f ca="1">IFERROR(__xludf.DUMMYFUNCTION("""COMPUTED_VALUE"""),155.56)</f>
        <v>155.56</v>
      </c>
      <c r="J432" s="1">
        <f ca="1">IFERROR(__xludf.DUMMYFUNCTION("""COMPUTED_VALUE"""),463.31)</f>
        <v>463.31</v>
      </c>
      <c r="K432" s="1">
        <f ca="1">IFERROR(__xludf.DUMMYFUNCTION("""COMPUTED_VALUE"""),50.74)</f>
        <v>50.74</v>
      </c>
      <c r="L432" s="1">
        <f ca="1">IFERROR(__xludf.DUMMYFUNCTION("""COMPUTED_VALUE"""),665.11)</f>
        <v>665.11</v>
      </c>
      <c r="M432" s="1">
        <f ca="1">IFERROR(__xludf.DUMMYFUNCTION("""COMPUTED_VALUE"""),586.5)</f>
        <v>586.5</v>
      </c>
      <c r="N432" s="1">
        <f ca="1">IFERROR(__xludf.DUMMYFUNCTION("""COMPUTED_VALUE"""),158.09)</f>
        <v>158.09</v>
      </c>
      <c r="O432" s="1">
        <f ca="1">IFERROR(__xludf.DUMMYFUNCTION("""COMPUTED_VALUE"""),224.33)</f>
        <v>224.33</v>
      </c>
      <c r="P432" s="1">
        <f ca="1">IFERROR(__xludf.DUMMYFUNCTION("""COMPUTED_VALUE"""),165.22)</f>
        <v>165.22</v>
      </c>
      <c r="Q432" s="1">
        <f ca="1">IFERROR(__xludf.DUMMYFUNCTION("""COMPUTED_VALUE"""),416.84)</f>
        <v>416.84</v>
      </c>
      <c r="R432" s="1">
        <f ca="1">IFERROR(__xludf.DUMMYFUNCTION("""COMPUTED_VALUE"""),55.82)</f>
        <v>55.82</v>
      </c>
      <c r="S432" s="1">
        <f ca="1">IFERROR(__xludf.DUMMYFUNCTION("""COMPUTED_VALUE"""),84)</f>
        <v>84</v>
      </c>
      <c r="T432" s="1">
        <f ca="1">IFERROR(__xludf.DUMMYFUNCTION("""COMPUTED_VALUE"""),48.34)</f>
        <v>48.34</v>
      </c>
      <c r="U432" s="1">
        <f ca="1">IFERROR(__xludf.DUMMYFUNCTION("""COMPUTED_VALUE"""),157.6)</f>
        <v>157.6</v>
      </c>
      <c r="V432" s="1">
        <f ca="1">IFERROR(__xludf.DUMMYFUNCTION("""COMPUTED_VALUE"""),203.6)</f>
        <v>203.6</v>
      </c>
      <c r="W432" s="1">
        <f ca="1">IFERROR(__xludf.DUMMYFUNCTION("""COMPUTED_VALUE"""),341.5)</f>
        <v>341.5</v>
      </c>
      <c r="X432" s="1">
        <f ca="1">IFERROR(__xludf.DUMMYFUNCTION("""COMPUTED_VALUE"""),887.31)</f>
        <v>887.31</v>
      </c>
      <c r="Y432" s="1">
        <f ca="1">IFERROR(__xludf.DUMMYFUNCTION("""COMPUTED_VALUE"""),120.79)</f>
        <v>120.79</v>
      </c>
      <c r="Z432" s="1">
        <f ca="1">IFERROR(__xludf.DUMMYFUNCTION("""COMPUTED_VALUE"""),396.68)</f>
        <v>396.68</v>
      </c>
      <c r="AA432" s="1">
        <f ca="1">IFERROR(__xludf.DUMMYFUNCTION("""COMPUTED_VALUE"""),44.47)</f>
        <v>44.47</v>
      </c>
      <c r="AB432" s="1">
        <f ca="1">IFERROR(__xludf.DUMMYFUNCTION("""COMPUTED_VALUE"""),114.67)</f>
        <v>114.67</v>
      </c>
      <c r="AC432" s="1">
        <f ca="1">IFERROR(__xludf.DUMMYFUNCTION("""COMPUTED_VALUE"""),106.22)</f>
        <v>106.22</v>
      </c>
    </row>
    <row r="433" spans="1:29" x14ac:dyDescent="0.25">
      <c r="A433" s="2">
        <f ca="1">IFERROR(__xludf.DUMMYFUNCTION("""COMPUTED_VALUE"""),44456.6666666666)</f>
        <v>44456.666666666599</v>
      </c>
      <c r="B433" s="1">
        <f ca="1">IFERROR(__xludf.DUMMYFUNCTION("""COMPUTED_VALUE"""),146.06)</f>
        <v>146.06</v>
      </c>
      <c r="C433" s="1">
        <f ca="1">IFERROR(__xludf.DUMMYFUNCTION("""COMPUTED_VALUE"""),299.87)</f>
        <v>299.87</v>
      </c>
      <c r="D433" s="1">
        <f ca="1">IFERROR(__xludf.DUMMYFUNCTION("""COMPUTED_VALUE"""),173.13)</f>
        <v>173.13</v>
      </c>
      <c r="E433" s="1">
        <f ca="1">IFERROR(__xludf.DUMMYFUNCTION("""COMPUTED_VALUE"""),21.9)</f>
        <v>21.9</v>
      </c>
      <c r="F433" s="1">
        <f ca="1">IFERROR(__xludf.DUMMYFUNCTION("""COMPUTED_VALUE"""),364.72)</f>
        <v>364.72</v>
      </c>
      <c r="G433" s="1">
        <f ca="1">IFERROR(__xludf.DUMMYFUNCTION("""COMPUTED_VALUE"""),141.46)</f>
        <v>141.46</v>
      </c>
      <c r="H433" s="1">
        <f ca="1">IFERROR(__xludf.DUMMYFUNCTION("""COMPUTED_VALUE"""),253.16)</f>
        <v>253.16</v>
      </c>
      <c r="I433" s="1">
        <f ca="1">IFERROR(__xludf.DUMMYFUNCTION("""COMPUTED_VALUE"""),154.13)</f>
        <v>154.13</v>
      </c>
      <c r="J433" s="1">
        <f ca="1">IFERROR(__xludf.DUMMYFUNCTION("""COMPUTED_VALUE"""),459.51)</f>
        <v>459.51</v>
      </c>
      <c r="K433" s="1">
        <f ca="1">IFERROR(__xludf.DUMMYFUNCTION("""COMPUTED_VALUE"""),50.6)</f>
        <v>50.6</v>
      </c>
      <c r="L433" s="1">
        <f ca="1">IFERROR(__xludf.DUMMYFUNCTION("""COMPUTED_VALUE"""),654.48)</f>
        <v>654.48</v>
      </c>
      <c r="M433" s="1">
        <f ca="1">IFERROR(__xludf.DUMMYFUNCTION("""COMPUTED_VALUE"""),589.35)</f>
        <v>589.35</v>
      </c>
      <c r="N433" s="1">
        <f ca="1">IFERROR(__xludf.DUMMYFUNCTION("""COMPUTED_VALUE"""),157.68)</f>
        <v>157.68</v>
      </c>
      <c r="O433" s="1">
        <f ca="1">IFERROR(__xludf.DUMMYFUNCTION("""COMPUTED_VALUE"""),221.75)</f>
        <v>221.75</v>
      </c>
      <c r="P433" s="1">
        <f ca="1">IFERROR(__xludf.DUMMYFUNCTION("""COMPUTED_VALUE"""),164.75)</f>
        <v>164.75</v>
      </c>
      <c r="Q433" s="1">
        <f ca="1">IFERROR(__xludf.DUMMYFUNCTION("""COMPUTED_VALUE"""),420.16)</f>
        <v>420.16</v>
      </c>
      <c r="R433" s="1">
        <f ca="1">IFERROR(__xludf.DUMMYFUNCTION("""COMPUTED_VALUE"""),55.16)</f>
        <v>55.16</v>
      </c>
      <c r="S433" s="1">
        <f ca="1">IFERROR(__xludf.DUMMYFUNCTION("""COMPUTED_VALUE"""),81.64)</f>
        <v>81.64</v>
      </c>
      <c r="T433" s="1">
        <f ca="1">IFERROR(__xludf.DUMMYFUNCTION("""COMPUTED_VALUE"""),48.24)</f>
        <v>48.24</v>
      </c>
      <c r="U433" s="1">
        <f ca="1">IFERROR(__xludf.DUMMYFUNCTION("""COMPUTED_VALUE"""),156.42)</f>
        <v>156.41999999999999</v>
      </c>
      <c r="V433" s="1">
        <f ca="1">IFERROR(__xludf.DUMMYFUNCTION("""COMPUTED_VALUE"""),199.75)</f>
        <v>199.75</v>
      </c>
      <c r="W433" s="1">
        <f ca="1">IFERROR(__xludf.DUMMYFUNCTION("""COMPUTED_VALUE"""),340.98)</f>
        <v>340.98</v>
      </c>
      <c r="X433" s="1">
        <f ca="1">IFERROR(__xludf.DUMMYFUNCTION("""COMPUTED_VALUE"""),859.85)</f>
        <v>859.85</v>
      </c>
      <c r="Y433" s="1">
        <f ca="1">IFERROR(__xludf.DUMMYFUNCTION("""COMPUTED_VALUE"""),117.75)</f>
        <v>117.75</v>
      </c>
      <c r="Z433" s="1">
        <f ca="1">IFERROR(__xludf.DUMMYFUNCTION("""COMPUTED_VALUE"""),391.46)</f>
        <v>391.46</v>
      </c>
      <c r="AA433" s="1">
        <f ca="1">IFERROR(__xludf.DUMMYFUNCTION("""COMPUTED_VALUE"""),43.89)</f>
        <v>43.89</v>
      </c>
      <c r="AB433" s="1">
        <f ca="1">IFERROR(__xludf.DUMMYFUNCTION("""COMPUTED_VALUE"""),113.41)</f>
        <v>113.41</v>
      </c>
      <c r="AC433" s="1">
        <f ca="1">IFERROR(__xludf.DUMMYFUNCTION("""COMPUTED_VALUE"""),103.88)</f>
        <v>103.88</v>
      </c>
    </row>
    <row r="434" spans="1:29" x14ac:dyDescent="0.25">
      <c r="A434" s="2">
        <f ca="1">IFERROR(__xludf.DUMMYFUNCTION("""COMPUTED_VALUE"""),44459.6666666666)</f>
        <v>44459.666666666599</v>
      </c>
      <c r="B434" s="1">
        <f ca="1">IFERROR(__xludf.DUMMYFUNCTION("""COMPUTED_VALUE"""),142.94)</f>
        <v>142.94</v>
      </c>
      <c r="C434" s="1">
        <f ca="1">IFERROR(__xludf.DUMMYFUNCTION("""COMPUTED_VALUE"""),294.3)</f>
        <v>294.3</v>
      </c>
      <c r="D434" s="1">
        <f ca="1">IFERROR(__xludf.DUMMYFUNCTION("""COMPUTED_VALUE"""),167.79)</f>
        <v>167.79</v>
      </c>
      <c r="E434" s="1">
        <f ca="1">IFERROR(__xludf.DUMMYFUNCTION("""COMPUTED_VALUE"""),21.11)</f>
        <v>21.11</v>
      </c>
      <c r="F434" s="1">
        <f ca="1">IFERROR(__xludf.DUMMYFUNCTION("""COMPUTED_VALUE"""),355.7)</f>
        <v>355.7</v>
      </c>
      <c r="G434" s="1">
        <f ca="1">IFERROR(__xludf.DUMMYFUNCTION("""COMPUTED_VALUE"""),139.02)</f>
        <v>139.02000000000001</v>
      </c>
      <c r="H434" s="1">
        <f ca="1">IFERROR(__xludf.DUMMYFUNCTION("""COMPUTED_VALUE"""),243.39)</f>
        <v>243.39</v>
      </c>
      <c r="I434" s="1">
        <f ca="1">IFERROR(__xludf.DUMMYFUNCTION("""COMPUTED_VALUE"""),153.61)</f>
        <v>153.61000000000001</v>
      </c>
      <c r="J434" s="1">
        <f ca="1">IFERROR(__xludf.DUMMYFUNCTION("""COMPUTED_VALUE"""),451.14)</f>
        <v>451.14</v>
      </c>
      <c r="K434" s="1">
        <f ca="1">IFERROR(__xludf.DUMMYFUNCTION("""COMPUTED_VALUE"""),49.48)</f>
        <v>49.48</v>
      </c>
      <c r="L434" s="1">
        <f ca="1">IFERROR(__xludf.DUMMYFUNCTION("""COMPUTED_VALUE"""),641.29)</f>
        <v>641.29</v>
      </c>
      <c r="M434" s="1">
        <f ca="1">IFERROR(__xludf.DUMMYFUNCTION("""COMPUTED_VALUE"""),575.43)</f>
        <v>575.42999999999995</v>
      </c>
      <c r="N434" s="1">
        <f ca="1">IFERROR(__xludf.DUMMYFUNCTION("""COMPUTED_VALUE"""),152.96)</f>
        <v>152.96</v>
      </c>
      <c r="O434" s="1">
        <f ca="1">IFERROR(__xludf.DUMMYFUNCTION("""COMPUTED_VALUE"""),220.05)</f>
        <v>220.05</v>
      </c>
      <c r="P434" s="1">
        <f ca="1">IFERROR(__xludf.DUMMYFUNCTION("""COMPUTED_VALUE"""),163.81)</f>
        <v>163.81</v>
      </c>
      <c r="Q434" s="1">
        <f ca="1">IFERROR(__xludf.DUMMYFUNCTION("""COMPUTED_VALUE"""),412.7)</f>
        <v>412.7</v>
      </c>
      <c r="R434" s="1">
        <f ca="1">IFERROR(__xludf.DUMMYFUNCTION("""COMPUTED_VALUE"""),53.69)</f>
        <v>53.69</v>
      </c>
      <c r="S434" s="1">
        <f ca="1">IFERROR(__xludf.DUMMYFUNCTION("""COMPUTED_VALUE"""),81.69)</f>
        <v>81.69</v>
      </c>
      <c r="T434" s="1">
        <f ca="1">IFERROR(__xludf.DUMMYFUNCTION("""COMPUTED_VALUE"""),47.58)</f>
        <v>47.58</v>
      </c>
      <c r="U434" s="1">
        <f ca="1">IFERROR(__xludf.DUMMYFUNCTION("""COMPUTED_VALUE"""),154.25)</f>
        <v>154.25</v>
      </c>
      <c r="V434" s="1">
        <f ca="1">IFERROR(__xludf.DUMMYFUNCTION("""COMPUTED_VALUE"""),190.82)</f>
        <v>190.82</v>
      </c>
      <c r="W434" s="1">
        <f ca="1">IFERROR(__xludf.DUMMYFUNCTION("""COMPUTED_VALUE"""),338.46)</f>
        <v>338.46</v>
      </c>
      <c r="X434" s="1">
        <f ca="1">IFERROR(__xludf.DUMMYFUNCTION("""COMPUTED_VALUE"""),840.74)</f>
        <v>840.74</v>
      </c>
      <c r="Y434" s="1">
        <f ca="1">IFERROR(__xludf.DUMMYFUNCTION("""COMPUTED_VALUE"""),114.7)</f>
        <v>114.7</v>
      </c>
      <c r="Z434" s="1">
        <f ca="1">IFERROR(__xludf.DUMMYFUNCTION("""COMPUTED_VALUE"""),378.13)</f>
        <v>378.13</v>
      </c>
      <c r="AA434" s="1">
        <f ca="1">IFERROR(__xludf.DUMMYFUNCTION("""COMPUTED_VALUE"""),44.2)</f>
        <v>44.2</v>
      </c>
      <c r="AB434" s="1">
        <f ca="1">IFERROR(__xludf.DUMMYFUNCTION("""COMPUTED_VALUE"""),111.82)</f>
        <v>111.82</v>
      </c>
      <c r="AC434" s="1">
        <f ca="1">IFERROR(__xludf.DUMMYFUNCTION("""COMPUTED_VALUE"""),101.55)</f>
        <v>101.55</v>
      </c>
    </row>
    <row r="435" spans="1:29" x14ac:dyDescent="0.25">
      <c r="A435" s="2">
        <f ca="1">IFERROR(__xludf.DUMMYFUNCTION("""COMPUTED_VALUE"""),44460.6666666666)</f>
        <v>44460.666666666599</v>
      </c>
      <c r="B435" s="1">
        <f ca="1">IFERROR(__xludf.DUMMYFUNCTION("""COMPUTED_VALUE"""),143.43)</f>
        <v>143.43</v>
      </c>
      <c r="C435" s="1">
        <f ca="1">IFERROR(__xludf.DUMMYFUNCTION("""COMPUTED_VALUE"""),294.8)</f>
        <v>294.8</v>
      </c>
      <c r="D435" s="1">
        <f ca="1">IFERROR(__xludf.DUMMYFUNCTION("""COMPUTED_VALUE"""),167.18)</f>
        <v>167.18</v>
      </c>
      <c r="E435" s="1">
        <f ca="1">IFERROR(__xludf.DUMMYFUNCTION("""COMPUTED_VALUE"""),21.25)</f>
        <v>21.25</v>
      </c>
      <c r="F435" s="1">
        <f ca="1">IFERROR(__xludf.DUMMYFUNCTION("""COMPUTED_VALUE"""),357.48)</f>
        <v>357.48</v>
      </c>
      <c r="G435" s="1">
        <f ca="1">IFERROR(__xludf.DUMMYFUNCTION("""COMPUTED_VALUE"""),139.65)</f>
        <v>139.65</v>
      </c>
      <c r="H435" s="1">
        <f ca="1">IFERROR(__xludf.DUMMYFUNCTION("""COMPUTED_VALUE"""),246.46)</f>
        <v>246.46</v>
      </c>
      <c r="I435" s="1">
        <f ca="1">IFERROR(__xludf.DUMMYFUNCTION("""COMPUTED_VALUE"""),153.54)</f>
        <v>153.54</v>
      </c>
      <c r="J435" s="1">
        <f ca="1">IFERROR(__xludf.DUMMYFUNCTION("""COMPUTED_VALUE"""),452.11)</f>
        <v>452.11</v>
      </c>
      <c r="K435" s="1">
        <f ca="1">IFERROR(__xludf.DUMMYFUNCTION("""COMPUTED_VALUE"""),49.1)</f>
        <v>49.1</v>
      </c>
      <c r="L435" s="1">
        <f ca="1">IFERROR(__xludf.DUMMYFUNCTION("""COMPUTED_VALUE"""),645.89)</f>
        <v>645.89</v>
      </c>
      <c r="M435" s="1">
        <f ca="1">IFERROR(__xludf.DUMMYFUNCTION("""COMPUTED_VALUE"""),573.14)</f>
        <v>573.14</v>
      </c>
      <c r="N435" s="1">
        <f ca="1">IFERROR(__xludf.DUMMYFUNCTION("""COMPUTED_VALUE"""),152.98)</f>
        <v>152.97999999999999</v>
      </c>
      <c r="O435" s="1">
        <f ca="1">IFERROR(__xludf.DUMMYFUNCTION("""COMPUTED_VALUE"""),220.17)</f>
        <v>220.17</v>
      </c>
      <c r="P435" s="1">
        <f ca="1">IFERROR(__xludf.DUMMYFUNCTION("""COMPUTED_VALUE"""),164.53)</f>
        <v>164.53</v>
      </c>
      <c r="Q435" s="1">
        <f ca="1">IFERROR(__xludf.DUMMYFUNCTION("""COMPUTED_VALUE"""),412.34)</f>
        <v>412.34</v>
      </c>
      <c r="R435" s="1">
        <f ca="1">IFERROR(__xludf.DUMMYFUNCTION("""COMPUTED_VALUE"""),53.64)</f>
        <v>53.64</v>
      </c>
      <c r="S435" s="1">
        <f ca="1">IFERROR(__xludf.DUMMYFUNCTION("""COMPUTED_VALUE"""),81.92)</f>
        <v>81.92</v>
      </c>
      <c r="T435" s="1">
        <f ca="1">IFERROR(__xludf.DUMMYFUNCTION("""COMPUTED_VALUE"""),47.67)</f>
        <v>47.67</v>
      </c>
      <c r="U435" s="1">
        <f ca="1">IFERROR(__xludf.DUMMYFUNCTION("""COMPUTED_VALUE"""),155.02)</f>
        <v>155.02000000000001</v>
      </c>
      <c r="V435" s="1">
        <f ca="1">IFERROR(__xludf.DUMMYFUNCTION("""COMPUTED_VALUE"""),189.84)</f>
        <v>189.84</v>
      </c>
      <c r="W435" s="1">
        <f ca="1">IFERROR(__xludf.DUMMYFUNCTION("""COMPUTED_VALUE"""),336.05)</f>
        <v>336.05</v>
      </c>
      <c r="X435" s="1">
        <f ca="1">IFERROR(__xludf.DUMMYFUNCTION("""COMPUTED_VALUE"""),854.73)</f>
        <v>854.73</v>
      </c>
      <c r="Y435" s="1">
        <f ca="1">IFERROR(__xludf.DUMMYFUNCTION("""COMPUTED_VALUE"""),114.96)</f>
        <v>114.96</v>
      </c>
      <c r="Z435" s="1">
        <f ca="1">IFERROR(__xludf.DUMMYFUNCTION("""COMPUTED_VALUE"""),375.84)</f>
        <v>375.84</v>
      </c>
      <c r="AA435" s="1">
        <f ca="1">IFERROR(__xludf.DUMMYFUNCTION("""COMPUTED_VALUE"""),43.92)</f>
        <v>43.92</v>
      </c>
      <c r="AB435" s="1">
        <f ca="1">IFERROR(__xludf.DUMMYFUNCTION("""COMPUTED_VALUE"""),112.22)</f>
        <v>112.22</v>
      </c>
      <c r="AC435" s="1">
        <f ca="1">IFERROR(__xludf.DUMMYFUNCTION("""COMPUTED_VALUE"""),102.82)</f>
        <v>102.82</v>
      </c>
    </row>
    <row r="436" spans="1:29" x14ac:dyDescent="0.25">
      <c r="A436" s="2">
        <f ca="1">IFERROR(__xludf.DUMMYFUNCTION("""COMPUTED_VALUE"""),44461.6666666666)</f>
        <v>44461.666666666599</v>
      </c>
      <c r="B436" s="1">
        <f ca="1">IFERROR(__xludf.DUMMYFUNCTION("""COMPUTED_VALUE"""),145.85)</f>
        <v>145.85</v>
      </c>
      <c r="C436" s="1">
        <f ca="1">IFERROR(__xludf.DUMMYFUNCTION("""COMPUTED_VALUE"""),298.58)</f>
        <v>298.58</v>
      </c>
      <c r="D436" s="1">
        <f ca="1">IFERROR(__xludf.DUMMYFUNCTION("""COMPUTED_VALUE"""),169)</f>
        <v>169</v>
      </c>
      <c r="E436" s="1">
        <f ca="1">IFERROR(__xludf.DUMMYFUNCTION("""COMPUTED_VALUE"""),21.94)</f>
        <v>21.94</v>
      </c>
      <c r="F436" s="1">
        <f ca="1">IFERROR(__xludf.DUMMYFUNCTION("""COMPUTED_VALUE"""),343.21)</f>
        <v>343.21</v>
      </c>
      <c r="G436" s="1">
        <f ca="1">IFERROR(__xludf.DUMMYFUNCTION("""COMPUTED_VALUE"""),140.94)</f>
        <v>140.94</v>
      </c>
      <c r="H436" s="1">
        <f ca="1">IFERROR(__xludf.DUMMYFUNCTION("""COMPUTED_VALUE"""),250.65)</f>
        <v>250.65</v>
      </c>
      <c r="I436" s="1">
        <f ca="1">IFERROR(__xludf.DUMMYFUNCTION("""COMPUTED_VALUE"""),154.01)</f>
        <v>154.01</v>
      </c>
      <c r="J436" s="1">
        <f ca="1">IFERROR(__xludf.DUMMYFUNCTION("""COMPUTED_VALUE"""),452.33)</f>
        <v>452.33</v>
      </c>
      <c r="K436" s="1">
        <f ca="1">IFERROR(__xludf.DUMMYFUNCTION("""COMPUTED_VALUE"""),50.06)</f>
        <v>50.06</v>
      </c>
      <c r="L436" s="1">
        <f ca="1">IFERROR(__xludf.DUMMYFUNCTION("""COMPUTED_VALUE"""),626.08)</f>
        <v>626.08000000000004</v>
      </c>
      <c r="M436" s="1">
        <f ca="1">IFERROR(__xludf.DUMMYFUNCTION("""COMPUTED_VALUE"""),590.65)</f>
        <v>590.65</v>
      </c>
      <c r="N436" s="1">
        <f ca="1">IFERROR(__xludf.DUMMYFUNCTION("""COMPUTED_VALUE"""),155.91)</f>
        <v>155.91</v>
      </c>
      <c r="O436" s="1">
        <f ca="1">IFERROR(__xludf.DUMMYFUNCTION("""COMPUTED_VALUE"""),222.75)</f>
        <v>222.75</v>
      </c>
      <c r="P436" s="1">
        <f ca="1">IFERROR(__xludf.DUMMYFUNCTION("""COMPUTED_VALUE"""),163.93)</f>
        <v>163.93</v>
      </c>
      <c r="Q436" s="1">
        <f ca="1">IFERROR(__xludf.DUMMYFUNCTION("""COMPUTED_VALUE"""),408.7)</f>
        <v>408.7</v>
      </c>
      <c r="R436" s="1">
        <f ca="1">IFERROR(__xludf.DUMMYFUNCTION("""COMPUTED_VALUE"""),55.21)</f>
        <v>55.21</v>
      </c>
      <c r="S436" s="1">
        <f ca="1">IFERROR(__xludf.DUMMYFUNCTION("""COMPUTED_VALUE"""),81.9)</f>
        <v>81.900000000000006</v>
      </c>
      <c r="T436" s="1">
        <f ca="1">IFERROR(__xludf.DUMMYFUNCTION("""COMPUTED_VALUE"""),47.56)</f>
        <v>47.56</v>
      </c>
      <c r="U436" s="1">
        <f ca="1">IFERROR(__xludf.DUMMYFUNCTION("""COMPUTED_VALUE"""),157.44)</f>
        <v>157.44</v>
      </c>
      <c r="V436" s="1">
        <f ca="1">IFERROR(__xludf.DUMMYFUNCTION("""COMPUTED_VALUE"""),191.35)</f>
        <v>191.35</v>
      </c>
      <c r="W436" s="1">
        <f ca="1">IFERROR(__xludf.DUMMYFUNCTION("""COMPUTED_VALUE"""),341.73)</f>
        <v>341.73</v>
      </c>
      <c r="X436" s="1">
        <f ca="1">IFERROR(__xludf.DUMMYFUNCTION("""COMPUTED_VALUE"""),864.74)</f>
        <v>864.74</v>
      </c>
      <c r="Y436" s="1">
        <f ca="1">IFERROR(__xludf.DUMMYFUNCTION("""COMPUTED_VALUE"""),115.87)</f>
        <v>115.87</v>
      </c>
      <c r="Z436" s="1">
        <f ca="1">IFERROR(__xludf.DUMMYFUNCTION("""COMPUTED_VALUE"""),385.47)</f>
        <v>385.47</v>
      </c>
      <c r="AA436" s="1">
        <f ca="1">IFERROR(__xludf.DUMMYFUNCTION("""COMPUTED_VALUE"""),43.95)</f>
        <v>43.95</v>
      </c>
      <c r="AB436" s="1">
        <f ca="1">IFERROR(__xludf.DUMMYFUNCTION("""COMPUTED_VALUE"""),113.07)</f>
        <v>113.07</v>
      </c>
      <c r="AC436" s="1">
        <f ca="1">IFERROR(__xludf.DUMMYFUNCTION("""COMPUTED_VALUE"""),104.38)</f>
        <v>104.38</v>
      </c>
    </row>
    <row r="437" spans="1:29" x14ac:dyDescent="0.25">
      <c r="A437" s="2">
        <f ca="1">IFERROR(__xludf.DUMMYFUNCTION("""COMPUTED_VALUE"""),44462.6666666666)</f>
        <v>44462.666666666599</v>
      </c>
      <c r="B437" s="1">
        <f ca="1">IFERROR(__xludf.DUMMYFUNCTION("""COMPUTED_VALUE"""),146.83)</f>
        <v>146.83000000000001</v>
      </c>
      <c r="C437" s="1">
        <f ca="1">IFERROR(__xludf.DUMMYFUNCTION("""COMPUTED_VALUE"""),299.56)</f>
        <v>299.56</v>
      </c>
      <c r="D437" s="1">
        <f ca="1">IFERROR(__xludf.DUMMYFUNCTION("""COMPUTED_VALUE"""),170.8)</f>
        <v>170.8</v>
      </c>
      <c r="E437" s="1">
        <f ca="1">IFERROR(__xludf.DUMMYFUNCTION("""COMPUTED_VALUE"""),22.48)</f>
        <v>22.48</v>
      </c>
      <c r="F437" s="1">
        <f ca="1">IFERROR(__xludf.DUMMYFUNCTION("""COMPUTED_VALUE"""),345.96)</f>
        <v>345.96</v>
      </c>
      <c r="G437" s="1">
        <f ca="1">IFERROR(__xludf.DUMMYFUNCTION("""COMPUTED_VALUE"""),141.83)</f>
        <v>141.83000000000001</v>
      </c>
      <c r="H437" s="1">
        <f ca="1">IFERROR(__xludf.DUMMYFUNCTION("""COMPUTED_VALUE"""),251.21)</f>
        <v>251.21</v>
      </c>
      <c r="I437" s="1">
        <f ca="1">IFERROR(__xludf.DUMMYFUNCTION("""COMPUTED_VALUE"""),154.13)</f>
        <v>154.13</v>
      </c>
      <c r="J437" s="1">
        <f ca="1">IFERROR(__xludf.DUMMYFUNCTION("""COMPUTED_VALUE"""),452.78)</f>
        <v>452.78</v>
      </c>
      <c r="K437" s="1">
        <f ca="1">IFERROR(__xludf.DUMMYFUNCTION("""COMPUTED_VALUE"""),50.43)</f>
        <v>50.43</v>
      </c>
      <c r="L437" s="1">
        <f ca="1">IFERROR(__xludf.DUMMYFUNCTION("""COMPUTED_VALUE"""),630.84)</f>
        <v>630.84</v>
      </c>
      <c r="M437" s="1">
        <f ca="1">IFERROR(__xludf.DUMMYFUNCTION("""COMPUTED_VALUE"""),593.26)</f>
        <v>593.26</v>
      </c>
      <c r="N437" s="1">
        <f ca="1">IFERROR(__xludf.DUMMYFUNCTION("""COMPUTED_VALUE"""),161.18)</f>
        <v>161.18</v>
      </c>
      <c r="O437" s="1">
        <f ca="1">IFERROR(__xludf.DUMMYFUNCTION("""COMPUTED_VALUE"""),228.31)</f>
        <v>228.31</v>
      </c>
      <c r="P437" s="1">
        <f ca="1">IFERROR(__xludf.DUMMYFUNCTION("""COMPUTED_VALUE"""),164.86)</f>
        <v>164.86</v>
      </c>
      <c r="Q437" s="1">
        <f ca="1">IFERROR(__xludf.DUMMYFUNCTION("""COMPUTED_VALUE"""),408.03)</f>
        <v>408.03</v>
      </c>
      <c r="R437" s="1">
        <f ca="1">IFERROR(__xludf.DUMMYFUNCTION("""COMPUTED_VALUE"""),57.08)</f>
        <v>57.08</v>
      </c>
      <c r="S437" s="1">
        <f ca="1">IFERROR(__xludf.DUMMYFUNCTION("""COMPUTED_VALUE"""),81.27)</f>
        <v>81.27</v>
      </c>
      <c r="T437" s="1">
        <f ca="1">IFERROR(__xludf.DUMMYFUNCTION("""COMPUTED_VALUE"""),47.59)</f>
        <v>47.59</v>
      </c>
      <c r="U437" s="1">
        <f ca="1">IFERROR(__xludf.DUMMYFUNCTION("""COMPUTED_VALUE"""),159.58)</f>
        <v>159.58000000000001</v>
      </c>
      <c r="V437" s="1">
        <f ca="1">IFERROR(__xludf.DUMMYFUNCTION("""COMPUTED_VALUE"""),196.62)</f>
        <v>196.62</v>
      </c>
      <c r="W437" s="1">
        <f ca="1">IFERROR(__xludf.DUMMYFUNCTION("""COMPUTED_VALUE"""),344.2)</f>
        <v>344.2</v>
      </c>
      <c r="X437" s="1">
        <f ca="1">IFERROR(__xludf.DUMMYFUNCTION("""COMPUTED_VALUE"""),879.78)</f>
        <v>879.78</v>
      </c>
      <c r="Y437" s="1">
        <f ca="1">IFERROR(__xludf.DUMMYFUNCTION("""COMPUTED_VALUE"""),116.19)</f>
        <v>116.19</v>
      </c>
      <c r="Z437" s="1">
        <f ca="1">IFERROR(__xludf.DUMMYFUNCTION("""COMPUTED_VALUE"""),391.86)</f>
        <v>391.86</v>
      </c>
      <c r="AA437" s="1">
        <f ca="1">IFERROR(__xludf.DUMMYFUNCTION("""COMPUTED_VALUE"""),44.19)</f>
        <v>44.19</v>
      </c>
      <c r="AB437" s="1">
        <f ca="1">IFERROR(__xludf.DUMMYFUNCTION("""COMPUTED_VALUE"""),114.14)</f>
        <v>114.14</v>
      </c>
      <c r="AC437" s="1">
        <f ca="1">IFERROR(__xludf.DUMMYFUNCTION("""COMPUTED_VALUE"""),106.15)</f>
        <v>106.15</v>
      </c>
    </row>
    <row r="438" spans="1:29" x14ac:dyDescent="0.25">
      <c r="A438" s="2">
        <f ca="1">IFERROR(__xludf.DUMMYFUNCTION("""COMPUTED_VALUE"""),44463.6666666666)</f>
        <v>44463.666666666599</v>
      </c>
      <c r="B438" s="1">
        <f ca="1">IFERROR(__xludf.DUMMYFUNCTION("""COMPUTED_VALUE"""),146.92)</f>
        <v>146.91999999999999</v>
      </c>
      <c r="C438" s="1">
        <f ca="1">IFERROR(__xludf.DUMMYFUNCTION("""COMPUTED_VALUE"""),299.35)</f>
        <v>299.35000000000002</v>
      </c>
      <c r="D438" s="1">
        <f ca="1">IFERROR(__xludf.DUMMYFUNCTION("""COMPUTED_VALUE"""),171.28)</f>
        <v>171.28</v>
      </c>
      <c r="E438" s="1">
        <f ca="1">IFERROR(__xludf.DUMMYFUNCTION("""COMPUTED_VALUE"""),22.08)</f>
        <v>22.08</v>
      </c>
      <c r="F438" s="1">
        <f ca="1">IFERROR(__xludf.DUMMYFUNCTION("""COMPUTED_VALUE"""),352.96)</f>
        <v>352.96</v>
      </c>
      <c r="G438" s="1">
        <f ca="1">IFERROR(__xludf.DUMMYFUNCTION("""COMPUTED_VALUE"""),142.63)</f>
        <v>142.63</v>
      </c>
      <c r="H438" s="1">
        <f ca="1">IFERROR(__xludf.DUMMYFUNCTION("""COMPUTED_VALUE"""),258.13)</f>
        <v>258.13</v>
      </c>
      <c r="I438" s="1">
        <f ca="1">IFERROR(__xludf.DUMMYFUNCTION("""COMPUTED_VALUE"""),154.2)</f>
        <v>154.19999999999999</v>
      </c>
      <c r="J438" s="1">
        <f ca="1">IFERROR(__xludf.DUMMYFUNCTION("""COMPUTED_VALUE"""),467.75)</f>
        <v>467.75</v>
      </c>
      <c r="K438" s="1">
        <f ca="1">IFERROR(__xludf.DUMMYFUNCTION("""COMPUTED_VALUE"""),50.49)</f>
        <v>50.49</v>
      </c>
      <c r="L438" s="1">
        <f ca="1">IFERROR(__xludf.DUMMYFUNCTION("""COMPUTED_VALUE"""),622.71)</f>
        <v>622.71</v>
      </c>
      <c r="M438" s="1">
        <f ca="1">IFERROR(__xludf.DUMMYFUNCTION("""COMPUTED_VALUE"""),592.39)</f>
        <v>592.39</v>
      </c>
      <c r="N438" s="1">
        <f ca="1">IFERROR(__xludf.DUMMYFUNCTION("""COMPUTED_VALUE"""),163.04)</f>
        <v>163.04</v>
      </c>
      <c r="O438" s="1">
        <f ca="1">IFERROR(__xludf.DUMMYFUNCTION("""COMPUTED_VALUE"""),231.59)</f>
        <v>231.59</v>
      </c>
      <c r="P438" s="1">
        <f ca="1">IFERROR(__xludf.DUMMYFUNCTION("""COMPUTED_VALUE"""),164.36)</f>
        <v>164.36</v>
      </c>
      <c r="Q438" s="1">
        <f ca="1">IFERROR(__xludf.DUMMYFUNCTION("""COMPUTED_VALUE"""),407.08)</f>
        <v>407.08</v>
      </c>
      <c r="R438" s="1">
        <f ca="1">IFERROR(__xludf.DUMMYFUNCTION("""COMPUTED_VALUE"""),57.59)</f>
        <v>57.59</v>
      </c>
      <c r="S438" s="1">
        <f ca="1">IFERROR(__xludf.DUMMYFUNCTION("""COMPUTED_VALUE"""),80.7)</f>
        <v>80.7</v>
      </c>
      <c r="T438" s="1">
        <f ca="1">IFERROR(__xludf.DUMMYFUNCTION("""COMPUTED_VALUE"""),47.72)</f>
        <v>47.72</v>
      </c>
      <c r="U438" s="1">
        <f ca="1">IFERROR(__xludf.DUMMYFUNCTION("""COMPUTED_VALUE"""),149.59)</f>
        <v>149.59</v>
      </c>
      <c r="V438" s="1">
        <f ca="1">IFERROR(__xludf.DUMMYFUNCTION("""COMPUTED_VALUE"""),196.82)</f>
        <v>196.82</v>
      </c>
      <c r="W438" s="1">
        <f ca="1">IFERROR(__xludf.DUMMYFUNCTION("""COMPUTED_VALUE"""),349.52)</f>
        <v>349.52</v>
      </c>
      <c r="X438" s="1">
        <f ca="1">IFERROR(__xludf.DUMMYFUNCTION("""COMPUTED_VALUE"""),868.82)</f>
        <v>868.82</v>
      </c>
      <c r="Y438" s="1">
        <f ca="1">IFERROR(__xludf.DUMMYFUNCTION("""COMPUTED_VALUE"""),115.64)</f>
        <v>115.64</v>
      </c>
      <c r="Z438" s="1">
        <f ca="1">IFERROR(__xludf.DUMMYFUNCTION("""COMPUTED_VALUE"""),390.85)</f>
        <v>390.85</v>
      </c>
      <c r="AA438" s="1">
        <f ca="1">IFERROR(__xludf.DUMMYFUNCTION("""COMPUTED_VALUE"""),43.94)</f>
        <v>43.94</v>
      </c>
      <c r="AB438" s="1">
        <f ca="1">IFERROR(__xludf.DUMMYFUNCTION("""COMPUTED_VALUE"""),114.11)</f>
        <v>114.11</v>
      </c>
      <c r="AC438" s="1">
        <f ca="1">IFERROR(__xludf.DUMMYFUNCTION("""COMPUTED_VALUE"""),105.8)</f>
        <v>105.8</v>
      </c>
    </row>
    <row r="439" spans="1:29" x14ac:dyDescent="0.25">
      <c r="A439" s="2">
        <f ca="1">IFERROR(__xludf.DUMMYFUNCTION("""COMPUTED_VALUE"""),44466.6666666666)</f>
        <v>44466.666666666599</v>
      </c>
      <c r="B439" s="1">
        <f ca="1">IFERROR(__xludf.DUMMYFUNCTION("""COMPUTED_VALUE"""),145.37)</f>
        <v>145.37</v>
      </c>
      <c r="C439" s="1">
        <f ca="1">IFERROR(__xludf.DUMMYFUNCTION("""COMPUTED_VALUE"""),294.17)</f>
        <v>294.17</v>
      </c>
      <c r="D439" s="1">
        <f ca="1">IFERROR(__xludf.DUMMYFUNCTION("""COMPUTED_VALUE"""),170.29)</f>
        <v>170.29</v>
      </c>
      <c r="E439" s="1">
        <f ca="1">IFERROR(__xludf.DUMMYFUNCTION("""COMPUTED_VALUE"""),21.66)</f>
        <v>21.66</v>
      </c>
      <c r="F439" s="1">
        <f ca="1">IFERROR(__xludf.DUMMYFUNCTION("""COMPUTED_VALUE"""),353.58)</f>
        <v>353.58</v>
      </c>
      <c r="G439" s="1">
        <f ca="1">IFERROR(__xludf.DUMMYFUNCTION("""COMPUTED_VALUE"""),141.5)</f>
        <v>141.5</v>
      </c>
      <c r="H439" s="1">
        <f ca="1">IFERROR(__xludf.DUMMYFUNCTION("""COMPUTED_VALUE"""),263.79)</f>
        <v>263.79000000000002</v>
      </c>
      <c r="I439" s="1">
        <f ca="1">IFERROR(__xludf.DUMMYFUNCTION("""COMPUTED_VALUE"""),152.72)</f>
        <v>152.72</v>
      </c>
      <c r="J439" s="1">
        <f ca="1">IFERROR(__xludf.DUMMYFUNCTION("""COMPUTED_VALUE"""),460.56)</f>
        <v>460.56</v>
      </c>
      <c r="K439" s="1">
        <f ca="1">IFERROR(__xludf.DUMMYFUNCTION("""COMPUTED_VALUE"""),50.49)</f>
        <v>50.49</v>
      </c>
      <c r="L439" s="1">
        <f ca="1">IFERROR(__xludf.DUMMYFUNCTION("""COMPUTED_VALUE"""),603.65)</f>
        <v>603.65</v>
      </c>
      <c r="M439" s="1">
        <f ca="1">IFERROR(__xludf.DUMMYFUNCTION("""COMPUTED_VALUE"""),592.64)</f>
        <v>592.64</v>
      </c>
      <c r="N439" s="1">
        <f ca="1">IFERROR(__xludf.DUMMYFUNCTION("""COMPUTED_VALUE"""),166.98)</f>
        <v>166.98</v>
      </c>
      <c r="O439" s="1">
        <f ca="1">IFERROR(__xludf.DUMMYFUNCTION("""COMPUTED_VALUE"""),229.6)</f>
        <v>229.6</v>
      </c>
      <c r="P439" s="1">
        <f ca="1">IFERROR(__xludf.DUMMYFUNCTION("""COMPUTED_VALUE"""),163.17)</f>
        <v>163.16999999999999</v>
      </c>
      <c r="Q439" s="1">
        <f ca="1">IFERROR(__xludf.DUMMYFUNCTION("""COMPUTED_VALUE"""),405.27)</f>
        <v>405.27</v>
      </c>
      <c r="R439" s="1">
        <f ca="1">IFERROR(__xludf.DUMMYFUNCTION("""COMPUTED_VALUE"""),59.3)</f>
        <v>59.3</v>
      </c>
      <c r="S439" s="1">
        <f ca="1">IFERROR(__xludf.DUMMYFUNCTION("""COMPUTED_VALUE"""),78.76)</f>
        <v>78.760000000000005</v>
      </c>
      <c r="T439" s="1">
        <f ca="1">IFERROR(__xludf.DUMMYFUNCTION("""COMPUTED_VALUE"""),47.42)</f>
        <v>47.42</v>
      </c>
      <c r="U439" s="1">
        <f ca="1">IFERROR(__xludf.DUMMYFUNCTION("""COMPUTED_VALUE"""),148.04)</f>
        <v>148.04</v>
      </c>
      <c r="V439" s="1">
        <f ca="1">IFERROR(__xludf.DUMMYFUNCTION("""COMPUTED_VALUE"""),200)</f>
        <v>200</v>
      </c>
      <c r="W439" s="1">
        <f ca="1">IFERROR(__xludf.DUMMYFUNCTION("""COMPUTED_VALUE"""),353.36)</f>
        <v>353.36</v>
      </c>
      <c r="X439" s="1">
        <f ca="1">IFERROR(__xludf.DUMMYFUNCTION("""COMPUTED_VALUE"""),835.31)</f>
        <v>835.31</v>
      </c>
      <c r="Y439" s="1">
        <f ca="1">IFERROR(__xludf.DUMMYFUNCTION("""COMPUTED_VALUE"""),116.15)</f>
        <v>116.15</v>
      </c>
      <c r="Z439" s="1">
        <f ca="1">IFERROR(__xludf.DUMMYFUNCTION("""COMPUTED_VALUE"""),399.81)</f>
        <v>399.81</v>
      </c>
      <c r="AA439" s="1">
        <f ca="1">IFERROR(__xludf.DUMMYFUNCTION("""COMPUTED_VALUE"""),43.57)</f>
        <v>43.57</v>
      </c>
      <c r="AB439" s="1">
        <f ca="1">IFERROR(__xludf.DUMMYFUNCTION("""COMPUTED_VALUE"""),113.68)</f>
        <v>113.68</v>
      </c>
      <c r="AC439" s="1">
        <f ca="1">IFERROR(__xludf.DUMMYFUNCTION("""COMPUTED_VALUE"""),108.16)</f>
        <v>108.16</v>
      </c>
    </row>
    <row r="440" spans="1:29" x14ac:dyDescent="0.25">
      <c r="A440" s="2">
        <f ca="1">IFERROR(__xludf.DUMMYFUNCTION("""COMPUTED_VALUE"""),44467.6666666666)</f>
        <v>44467.666666666599</v>
      </c>
      <c r="B440" s="1">
        <f ca="1">IFERROR(__xludf.DUMMYFUNCTION("""COMPUTED_VALUE"""),141.91)</f>
        <v>141.91</v>
      </c>
      <c r="C440" s="1">
        <f ca="1">IFERROR(__xludf.DUMMYFUNCTION("""COMPUTED_VALUE"""),283.52)</f>
        <v>283.52</v>
      </c>
      <c r="D440" s="1">
        <f ca="1">IFERROR(__xludf.DUMMYFUNCTION("""COMPUTED_VALUE"""),165.8)</f>
        <v>165.8</v>
      </c>
      <c r="E440" s="1">
        <f ca="1">IFERROR(__xludf.DUMMYFUNCTION("""COMPUTED_VALUE"""),20.7)</f>
        <v>20.7</v>
      </c>
      <c r="F440" s="1">
        <f ca="1">IFERROR(__xludf.DUMMYFUNCTION("""COMPUTED_VALUE"""),340.65)</f>
        <v>340.65</v>
      </c>
      <c r="G440" s="1">
        <f ca="1">IFERROR(__xludf.DUMMYFUNCTION("""COMPUTED_VALUE"""),136.18)</f>
        <v>136.18</v>
      </c>
      <c r="H440" s="1">
        <f ca="1">IFERROR(__xludf.DUMMYFUNCTION("""COMPUTED_VALUE"""),259.19)</f>
        <v>259.19</v>
      </c>
      <c r="I440" s="1">
        <f ca="1">IFERROR(__xludf.DUMMYFUNCTION("""COMPUTED_VALUE"""),151.05)</f>
        <v>151.05000000000001</v>
      </c>
      <c r="J440" s="1">
        <f ca="1">IFERROR(__xludf.DUMMYFUNCTION("""COMPUTED_VALUE"""),447.35)</f>
        <v>447.35</v>
      </c>
      <c r="K440" s="1">
        <f ca="1">IFERROR(__xludf.DUMMYFUNCTION("""COMPUTED_VALUE"""),49.1)</f>
        <v>49.1</v>
      </c>
      <c r="L440" s="1">
        <f ca="1">IFERROR(__xludf.DUMMYFUNCTION("""COMPUTED_VALUE"""),578.77)</f>
        <v>578.77</v>
      </c>
      <c r="M440" s="1">
        <f ca="1">IFERROR(__xludf.DUMMYFUNCTION("""COMPUTED_VALUE"""),583.85)</f>
        <v>583.85</v>
      </c>
      <c r="N440" s="1">
        <f ca="1">IFERROR(__xludf.DUMMYFUNCTION("""COMPUTED_VALUE"""),166.08)</f>
        <v>166.08</v>
      </c>
      <c r="O440" s="1">
        <f ca="1">IFERROR(__xludf.DUMMYFUNCTION("""COMPUTED_VALUE"""),225.56)</f>
        <v>225.56</v>
      </c>
      <c r="P440" s="1">
        <f ca="1">IFERROR(__xludf.DUMMYFUNCTION("""COMPUTED_VALUE"""),162.81)</f>
        <v>162.81</v>
      </c>
      <c r="Q440" s="1">
        <f ca="1">IFERROR(__xludf.DUMMYFUNCTION("""COMPUTED_VALUE"""),398.62)</f>
        <v>398.62</v>
      </c>
      <c r="R440" s="1">
        <f ca="1">IFERROR(__xludf.DUMMYFUNCTION("""COMPUTED_VALUE"""),59.92)</f>
        <v>59.92</v>
      </c>
      <c r="S440" s="1">
        <f ca="1">IFERROR(__xludf.DUMMYFUNCTION("""COMPUTED_VALUE"""),77.27)</f>
        <v>77.27</v>
      </c>
      <c r="T440" s="1">
        <f ca="1">IFERROR(__xludf.DUMMYFUNCTION("""COMPUTED_VALUE"""),46.83)</f>
        <v>46.83</v>
      </c>
      <c r="U440" s="1">
        <f ca="1">IFERROR(__xludf.DUMMYFUNCTION("""COMPUTED_VALUE"""),145.3)</f>
        <v>145.30000000000001</v>
      </c>
      <c r="V440" s="1">
        <f ca="1">IFERROR(__xludf.DUMMYFUNCTION("""COMPUTED_VALUE"""),200.55)</f>
        <v>200.55</v>
      </c>
      <c r="W440" s="1">
        <f ca="1">IFERROR(__xludf.DUMMYFUNCTION("""COMPUTED_VALUE"""),352.15)</f>
        <v>352.15</v>
      </c>
      <c r="X440" s="1">
        <f ca="1">IFERROR(__xludf.DUMMYFUNCTION("""COMPUTED_VALUE"""),780.17)</f>
        <v>780.17</v>
      </c>
      <c r="Y440" s="1">
        <f ca="1">IFERROR(__xludf.DUMMYFUNCTION("""COMPUTED_VALUE"""),111.9)</f>
        <v>111.9</v>
      </c>
      <c r="Z440" s="1">
        <f ca="1">IFERROR(__xludf.DUMMYFUNCTION("""COMPUTED_VALUE"""),389.5)</f>
        <v>389.5</v>
      </c>
      <c r="AA440" s="1">
        <f ca="1">IFERROR(__xludf.DUMMYFUNCTION("""COMPUTED_VALUE"""),43.04)</f>
        <v>43.04</v>
      </c>
      <c r="AB440" s="1">
        <f ca="1">IFERROR(__xludf.DUMMYFUNCTION("""COMPUTED_VALUE"""),111.71)</f>
        <v>111.71</v>
      </c>
      <c r="AC440" s="1">
        <f ca="1">IFERROR(__xludf.DUMMYFUNCTION("""COMPUTED_VALUE"""),101.52)</f>
        <v>101.52</v>
      </c>
    </row>
    <row r="441" spans="1:29" x14ac:dyDescent="0.25">
      <c r="A441" s="2">
        <f ca="1">IFERROR(__xludf.DUMMYFUNCTION("""COMPUTED_VALUE"""),44468.6666666666)</f>
        <v>44468.666666666599</v>
      </c>
      <c r="B441" s="1">
        <f ca="1">IFERROR(__xludf.DUMMYFUNCTION("""COMPUTED_VALUE"""),142.83)</f>
        <v>142.83000000000001</v>
      </c>
      <c r="C441" s="1">
        <f ca="1">IFERROR(__xludf.DUMMYFUNCTION("""COMPUTED_VALUE"""),284)</f>
        <v>284</v>
      </c>
      <c r="D441" s="1">
        <f ca="1">IFERROR(__xludf.DUMMYFUNCTION("""COMPUTED_VALUE"""),165.06)</f>
        <v>165.06</v>
      </c>
      <c r="E441" s="1">
        <f ca="1">IFERROR(__xludf.DUMMYFUNCTION("""COMPUTED_VALUE"""),20.52)</f>
        <v>20.52</v>
      </c>
      <c r="F441" s="1">
        <f ca="1">IFERROR(__xludf.DUMMYFUNCTION("""COMPUTED_VALUE"""),339.61)</f>
        <v>339.61</v>
      </c>
      <c r="G441" s="1">
        <f ca="1">IFERROR(__xludf.DUMMYFUNCTION("""COMPUTED_VALUE"""),134.52)</f>
        <v>134.52000000000001</v>
      </c>
      <c r="H441" s="1">
        <f ca="1">IFERROR(__xludf.DUMMYFUNCTION("""COMPUTED_VALUE"""),260.44)</f>
        <v>260.44</v>
      </c>
      <c r="I441" s="1">
        <f ca="1">IFERROR(__xludf.DUMMYFUNCTION("""COMPUTED_VALUE"""),152.3)</f>
        <v>152.30000000000001</v>
      </c>
      <c r="J441" s="1">
        <f ca="1">IFERROR(__xludf.DUMMYFUNCTION("""COMPUTED_VALUE"""),451.79)</f>
        <v>451.79</v>
      </c>
      <c r="K441" s="1">
        <f ca="1">IFERROR(__xludf.DUMMYFUNCTION("""COMPUTED_VALUE"""),48.95)</f>
        <v>48.95</v>
      </c>
      <c r="L441" s="1">
        <f ca="1">IFERROR(__xludf.DUMMYFUNCTION("""COMPUTED_VALUE"""),577.7)</f>
        <v>577.70000000000005</v>
      </c>
      <c r="M441" s="1">
        <f ca="1">IFERROR(__xludf.DUMMYFUNCTION("""COMPUTED_VALUE"""),599.06)</f>
        <v>599.05999999999995</v>
      </c>
      <c r="N441" s="1">
        <f ca="1">IFERROR(__xludf.DUMMYFUNCTION("""COMPUTED_VALUE"""),165.95)</f>
        <v>165.95</v>
      </c>
      <c r="O441" s="1">
        <f ca="1">IFERROR(__xludf.DUMMYFUNCTION("""COMPUTED_VALUE"""),226.68)</f>
        <v>226.68</v>
      </c>
      <c r="P441" s="1">
        <f ca="1">IFERROR(__xludf.DUMMYFUNCTION("""COMPUTED_VALUE"""),164.02)</f>
        <v>164.02</v>
      </c>
      <c r="Q441" s="1">
        <f ca="1">IFERROR(__xludf.DUMMYFUNCTION("""COMPUTED_VALUE"""),400.41)</f>
        <v>400.41</v>
      </c>
      <c r="R441" s="1">
        <f ca="1">IFERROR(__xludf.DUMMYFUNCTION("""COMPUTED_VALUE"""),59.88)</f>
        <v>59.88</v>
      </c>
      <c r="S441" s="1">
        <f ca="1">IFERROR(__xludf.DUMMYFUNCTION("""COMPUTED_VALUE"""),78.35)</f>
        <v>78.349999999999994</v>
      </c>
      <c r="T441" s="1">
        <f ca="1">IFERROR(__xludf.DUMMYFUNCTION("""COMPUTED_VALUE"""),46.81)</f>
        <v>46.81</v>
      </c>
      <c r="U441" s="1">
        <f ca="1">IFERROR(__xludf.DUMMYFUNCTION("""COMPUTED_VALUE"""),146.02)</f>
        <v>146.02000000000001</v>
      </c>
      <c r="V441" s="1">
        <f ca="1">IFERROR(__xludf.DUMMYFUNCTION("""COMPUTED_VALUE"""),197.87)</f>
        <v>197.87</v>
      </c>
      <c r="W441" s="1">
        <f ca="1">IFERROR(__xludf.DUMMYFUNCTION("""COMPUTED_VALUE"""),350.29)</f>
        <v>350.29</v>
      </c>
      <c r="X441" s="1">
        <f ca="1">IFERROR(__xludf.DUMMYFUNCTION("""COMPUTED_VALUE"""),750.42)</f>
        <v>750.42</v>
      </c>
      <c r="Y441" s="1">
        <f ca="1">IFERROR(__xludf.DUMMYFUNCTION("""COMPUTED_VALUE"""),111.62)</f>
        <v>111.62</v>
      </c>
      <c r="Z441" s="1">
        <f ca="1">IFERROR(__xludf.DUMMYFUNCTION("""COMPUTED_VALUE"""),384.89)</f>
        <v>384.89</v>
      </c>
      <c r="AA441" s="1">
        <f ca="1">IFERROR(__xludf.DUMMYFUNCTION("""COMPUTED_VALUE"""),43.53)</f>
        <v>43.53</v>
      </c>
      <c r="AB441" s="1">
        <f ca="1">IFERROR(__xludf.DUMMYFUNCTION("""COMPUTED_VALUE"""),112.17)</f>
        <v>112.17</v>
      </c>
      <c r="AC441" s="1">
        <f ca="1">IFERROR(__xludf.DUMMYFUNCTION("""COMPUTED_VALUE"""),100.35)</f>
        <v>100.35</v>
      </c>
    </row>
    <row r="442" spans="1:29" x14ac:dyDescent="0.25">
      <c r="A442" s="2">
        <f ca="1">IFERROR(__xludf.DUMMYFUNCTION("""COMPUTED_VALUE"""),44469.6666666666)</f>
        <v>44469.666666666599</v>
      </c>
      <c r="B442" s="1">
        <f ca="1">IFERROR(__xludf.DUMMYFUNCTION("""COMPUTED_VALUE"""),141.5)</f>
        <v>141.5</v>
      </c>
      <c r="C442" s="1">
        <f ca="1">IFERROR(__xludf.DUMMYFUNCTION("""COMPUTED_VALUE"""),281.92)</f>
        <v>281.92</v>
      </c>
      <c r="D442" s="1">
        <f ca="1">IFERROR(__xludf.DUMMYFUNCTION("""COMPUTED_VALUE"""),164.25)</f>
        <v>164.25</v>
      </c>
      <c r="E442" s="1">
        <f ca="1">IFERROR(__xludf.DUMMYFUNCTION("""COMPUTED_VALUE"""),20.72)</f>
        <v>20.72</v>
      </c>
      <c r="F442" s="1">
        <f ca="1">IFERROR(__xludf.DUMMYFUNCTION("""COMPUTED_VALUE"""),339.39)</f>
        <v>339.39</v>
      </c>
      <c r="G442" s="1">
        <f ca="1">IFERROR(__xludf.DUMMYFUNCTION("""COMPUTED_VALUE"""),133.27)</f>
        <v>133.27000000000001</v>
      </c>
      <c r="H442" s="1">
        <f ca="1">IFERROR(__xludf.DUMMYFUNCTION("""COMPUTED_VALUE"""),258.49)</f>
        <v>258.49</v>
      </c>
      <c r="I442" s="1">
        <f ca="1">IFERROR(__xludf.DUMMYFUNCTION("""COMPUTED_VALUE"""),150.41)</f>
        <v>150.41</v>
      </c>
      <c r="J442" s="1">
        <f ca="1">IFERROR(__xludf.DUMMYFUNCTION("""COMPUTED_VALUE"""),449.35)</f>
        <v>449.35</v>
      </c>
      <c r="K442" s="1">
        <f ca="1">IFERROR(__xludf.DUMMYFUNCTION("""COMPUTED_VALUE"""),48.49)</f>
        <v>48.49</v>
      </c>
      <c r="L442" s="1">
        <f ca="1">IFERROR(__xludf.DUMMYFUNCTION("""COMPUTED_VALUE"""),575.72)</f>
        <v>575.72</v>
      </c>
      <c r="M442" s="1">
        <f ca="1">IFERROR(__xludf.DUMMYFUNCTION("""COMPUTED_VALUE"""),610.34)</f>
        <v>610.34</v>
      </c>
      <c r="N442" s="1">
        <f ca="1">IFERROR(__xludf.DUMMYFUNCTION("""COMPUTED_VALUE"""),163.69)</f>
        <v>163.69</v>
      </c>
      <c r="O442" s="1">
        <f ca="1">IFERROR(__xludf.DUMMYFUNCTION("""COMPUTED_VALUE"""),222.75)</f>
        <v>222.75</v>
      </c>
      <c r="P442" s="1">
        <f ca="1">IFERROR(__xludf.DUMMYFUNCTION("""COMPUTED_VALUE"""),161.5)</f>
        <v>161.5</v>
      </c>
      <c r="Q442" s="1">
        <f ca="1">IFERROR(__xludf.DUMMYFUNCTION("""COMPUTED_VALUE"""),390.74)</f>
        <v>390.74</v>
      </c>
      <c r="R442" s="1">
        <f ca="1">IFERROR(__xludf.DUMMYFUNCTION("""COMPUTED_VALUE"""),58.82)</f>
        <v>58.82</v>
      </c>
      <c r="S442" s="1">
        <f ca="1">IFERROR(__xludf.DUMMYFUNCTION("""COMPUTED_VALUE"""),78.52)</f>
        <v>78.52</v>
      </c>
      <c r="T442" s="1">
        <f ca="1">IFERROR(__xludf.DUMMYFUNCTION("""COMPUTED_VALUE"""),46.46)</f>
        <v>46.46</v>
      </c>
      <c r="U442" s="1">
        <f ca="1">IFERROR(__xludf.DUMMYFUNCTION("""COMPUTED_VALUE"""),145.23)</f>
        <v>145.22999999999999</v>
      </c>
      <c r="V442" s="1">
        <f ca="1">IFERROR(__xludf.DUMMYFUNCTION("""COMPUTED_VALUE"""),191.97)</f>
        <v>191.97</v>
      </c>
      <c r="W442" s="1">
        <f ca="1">IFERROR(__xludf.DUMMYFUNCTION("""COMPUTED_VALUE"""),345.1)</f>
        <v>345.1</v>
      </c>
      <c r="X442" s="1">
        <f ca="1">IFERROR(__xludf.DUMMYFUNCTION("""COMPUTED_VALUE"""),745.11)</f>
        <v>745.11</v>
      </c>
      <c r="Y442" s="1">
        <f ca="1">IFERROR(__xludf.DUMMYFUNCTION("""COMPUTED_VALUE"""),111.65)</f>
        <v>111.65</v>
      </c>
      <c r="Z442" s="1">
        <f ca="1">IFERROR(__xludf.DUMMYFUNCTION("""COMPUTED_VALUE"""),378.03)</f>
        <v>378.03</v>
      </c>
      <c r="AA442" s="1">
        <f ca="1">IFERROR(__xludf.DUMMYFUNCTION("""COMPUTED_VALUE"""),43.01)</f>
        <v>43.01</v>
      </c>
      <c r="AB442" s="1">
        <f ca="1">IFERROR(__xludf.DUMMYFUNCTION("""COMPUTED_VALUE"""),110.31)</f>
        <v>110.31</v>
      </c>
      <c r="AC442" s="1">
        <f ca="1">IFERROR(__xludf.DUMMYFUNCTION("""COMPUTED_VALUE"""),102.9)</f>
        <v>102.9</v>
      </c>
    </row>
    <row r="443" spans="1:29" x14ac:dyDescent="0.25">
      <c r="A443" s="2">
        <f ca="1">IFERROR(__xludf.DUMMYFUNCTION("""COMPUTED_VALUE"""),44470.6666666666)</f>
        <v>44470.666666666599</v>
      </c>
      <c r="B443" s="1">
        <f ca="1">IFERROR(__xludf.DUMMYFUNCTION("""COMPUTED_VALUE"""),142.65)</f>
        <v>142.65</v>
      </c>
      <c r="C443" s="1">
        <f ca="1">IFERROR(__xludf.DUMMYFUNCTION("""COMPUTED_VALUE"""),289.1)</f>
        <v>289.10000000000002</v>
      </c>
      <c r="D443" s="1">
        <f ca="1">IFERROR(__xludf.DUMMYFUNCTION("""COMPUTED_VALUE"""),164.16)</f>
        <v>164.16</v>
      </c>
      <c r="E443" s="1">
        <f ca="1">IFERROR(__xludf.DUMMYFUNCTION("""COMPUTED_VALUE"""),20.74)</f>
        <v>20.74</v>
      </c>
      <c r="F443" s="1">
        <f ca="1">IFERROR(__xludf.DUMMYFUNCTION("""COMPUTED_VALUE"""),343.01)</f>
        <v>343.01</v>
      </c>
      <c r="G443" s="1">
        <f ca="1">IFERROR(__xludf.DUMMYFUNCTION("""COMPUTED_VALUE"""),136.46)</f>
        <v>136.46</v>
      </c>
      <c r="H443" s="1">
        <f ca="1">IFERROR(__xludf.DUMMYFUNCTION("""COMPUTED_VALUE"""),258.41)</f>
        <v>258.41000000000003</v>
      </c>
      <c r="I443" s="1">
        <f ca="1">IFERROR(__xludf.DUMMYFUNCTION("""COMPUTED_VALUE"""),150.95)</f>
        <v>150.94999999999999</v>
      </c>
      <c r="J443" s="1">
        <f ca="1">IFERROR(__xludf.DUMMYFUNCTION("""COMPUTED_VALUE"""),448.33)</f>
        <v>448.33</v>
      </c>
      <c r="K443" s="1">
        <f ca="1">IFERROR(__xludf.DUMMYFUNCTION("""COMPUTED_VALUE"""),48.74)</f>
        <v>48.74</v>
      </c>
      <c r="L443" s="1">
        <f ca="1">IFERROR(__xludf.DUMMYFUNCTION("""COMPUTED_VALUE"""),577.47)</f>
        <v>577.47</v>
      </c>
      <c r="M443" s="1">
        <f ca="1">IFERROR(__xludf.DUMMYFUNCTION("""COMPUTED_VALUE"""),613.15)</f>
        <v>613.15</v>
      </c>
      <c r="N443" s="1">
        <f ca="1">IFERROR(__xludf.DUMMYFUNCTION("""COMPUTED_VALUE"""),167.13)</f>
        <v>167.13</v>
      </c>
      <c r="O443" s="1">
        <f ca="1">IFERROR(__xludf.DUMMYFUNCTION("""COMPUTED_VALUE"""),230.46)</f>
        <v>230.46</v>
      </c>
      <c r="P443" s="1">
        <f ca="1">IFERROR(__xludf.DUMMYFUNCTION("""COMPUTED_VALUE"""),160.47)</f>
        <v>160.47</v>
      </c>
      <c r="Q443" s="1">
        <f ca="1">IFERROR(__xludf.DUMMYFUNCTION("""COMPUTED_VALUE"""),392.43)</f>
        <v>392.43</v>
      </c>
      <c r="R443" s="1">
        <f ca="1">IFERROR(__xludf.DUMMYFUNCTION("""COMPUTED_VALUE"""),60.93)</f>
        <v>60.93</v>
      </c>
      <c r="S443" s="1">
        <f ca="1">IFERROR(__xludf.DUMMYFUNCTION("""COMPUTED_VALUE"""),79.21)</f>
        <v>79.209999999999994</v>
      </c>
      <c r="T443" s="1">
        <f ca="1">IFERROR(__xludf.DUMMYFUNCTION("""COMPUTED_VALUE"""),45.68)</f>
        <v>45.68</v>
      </c>
      <c r="U443" s="1">
        <f ca="1">IFERROR(__xludf.DUMMYFUNCTION("""COMPUTED_VALUE"""),147.06)</f>
        <v>147.06</v>
      </c>
      <c r="V443" s="1">
        <f ca="1">IFERROR(__xludf.DUMMYFUNCTION("""COMPUTED_VALUE"""),194.33)</f>
        <v>194.33</v>
      </c>
      <c r="W443" s="1">
        <f ca="1">IFERROR(__xludf.DUMMYFUNCTION("""COMPUTED_VALUE"""),347.8)</f>
        <v>347.8</v>
      </c>
      <c r="X443" s="1">
        <f ca="1">IFERROR(__xludf.DUMMYFUNCTION("""COMPUTED_VALUE"""),741.81)</f>
        <v>741.81</v>
      </c>
      <c r="Y443" s="1">
        <f ca="1">IFERROR(__xludf.DUMMYFUNCTION("""COMPUTED_VALUE"""),111.56)</f>
        <v>111.56</v>
      </c>
      <c r="Z443" s="1">
        <f ca="1">IFERROR(__xludf.DUMMYFUNCTION("""COMPUTED_VALUE"""),380)</f>
        <v>380</v>
      </c>
      <c r="AA443" s="1">
        <f ca="1">IFERROR(__xludf.DUMMYFUNCTION("""COMPUTED_VALUE"""),42.93)</f>
        <v>42.93</v>
      </c>
      <c r="AB443" s="1">
        <f ca="1">IFERROR(__xludf.DUMMYFUNCTION("""COMPUTED_VALUE"""),112.92)</f>
        <v>112.92</v>
      </c>
      <c r="AC443" s="1">
        <f ca="1">IFERROR(__xludf.DUMMYFUNCTION("""COMPUTED_VALUE"""),102.45)</f>
        <v>102.45</v>
      </c>
    </row>
    <row r="444" spans="1:29" x14ac:dyDescent="0.25">
      <c r="A444" s="2">
        <f ca="1">IFERROR(__xludf.DUMMYFUNCTION("""COMPUTED_VALUE"""),44473.6666666666)</f>
        <v>44473.666666666599</v>
      </c>
      <c r="B444" s="1">
        <f ca="1">IFERROR(__xludf.DUMMYFUNCTION("""COMPUTED_VALUE"""),139.14)</f>
        <v>139.13999999999999</v>
      </c>
      <c r="C444" s="1">
        <f ca="1">IFERROR(__xludf.DUMMYFUNCTION("""COMPUTED_VALUE"""),283.11)</f>
        <v>283.11</v>
      </c>
      <c r="D444" s="1">
        <f ca="1">IFERROR(__xludf.DUMMYFUNCTION("""COMPUTED_VALUE"""),159.49)</f>
        <v>159.49</v>
      </c>
      <c r="E444" s="1">
        <f ca="1">IFERROR(__xludf.DUMMYFUNCTION("""COMPUTED_VALUE"""),19.73)</f>
        <v>19.73</v>
      </c>
      <c r="F444" s="1">
        <f ca="1">IFERROR(__xludf.DUMMYFUNCTION("""COMPUTED_VALUE"""),326.23)</f>
        <v>326.23</v>
      </c>
      <c r="G444" s="1">
        <f ca="1">IFERROR(__xludf.DUMMYFUNCTION("""COMPUTED_VALUE"""),133.76)</f>
        <v>133.76</v>
      </c>
      <c r="H444" s="1">
        <f ca="1">IFERROR(__xludf.DUMMYFUNCTION("""COMPUTED_VALUE"""),260.51)</f>
        <v>260.51</v>
      </c>
      <c r="I444" s="1">
        <f ca="1">IFERROR(__xludf.DUMMYFUNCTION("""COMPUTED_VALUE"""),150.2)</f>
        <v>150.19999999999999</v>
      </c>
      <c r="J444" s="1">
        <f ca="1">IFERROR(__xludf.DUMMYFUNCTION("""COMPUTED_VALUE"""),440.14)</f>
        <v>440.14</v>
      </c>
      <c r="K444" s="1">
        <f ca="1">IFERROR(__xludf.DUMMYFUNCTION("""COMPUTED_VALUE"""),47.6)</f>
        <v>47.6</v>
      </c>
      <c r="L444" s="1">
        <f ca="1">IFERROR(__xludf.DUMMYFUNCTION("""COMPUTED_VALUE"""),558.49)</f>
        <v>558.49</v>
      </c>
      <c r="M444" s="1">
        <f ca="1">IFERROR(__xludf.DUMMYFUNCTION("""COMPUTED_VALUE"""),603.35)</f>
        <v>603.35</v>
      </c>
      <c r="N444" s="1">
        <f ca="1">IFERROR(__xludf.DUMMYFUNCTION("""COMPUTED_VALUE"""),166.95)</f>
        <v>166.95</v>
      </c>
      <c r="O444" s="1">
        <f ca="1">IFERROR(__xludf.DUMMYFUNCTION("""COMPUTED_VALUE"""),224.73)</f>
        <v>224.73</v>
      </c>
      <c r="P444" s="1">
        <f ca="1">IFERROR(__xludf.DUMMYFUNCTION("""COMPUTED_VALUE"""),159.22)</f>
        <v>159.22</v>
      </c>
      <c r="Q444" s="1">
        <f ca="1">IFERROR(__xludf.DUMMYFUNCTION("""COMPUTED_VALUE"""),387.01)</f>
        <v>387.01</v>
      </c>
      <c r="R444" s="1">
        <f ca="1">IFERROR(__xludf.DUMMYFUNCTION("""COMPUTED_VALUE"""),61.72)</f>
        <v>61.72</v>
      </c>
      <c r="S444" s="1">
        <f ca="1">IFERROR(__xludf.DUMMYFUNCTION("""COMPUTED_VALUE"""),79.36)</f>
        <v>79.36</v>
      </c>
      <c r="T444" s="1">
        <f ca="1">IFERROR(__xludf.DUMMYFUNCTION("""COMPUTED_VALUE"""),45.24)</f>
        <v>45.24</v>
      </c>
      <c r="U444" s="1">
        <f ca="1">IFERROR(__xludf.DUMMYFUNCTION("""COMPUTED_VALUE"""),147.14)</f>
        <v>147.13999999999999</v>
      </c>
      <c r="V444" s="1">
        <f ca="1">IFERROR(__xludf.DUMMYFUNCTION("""COMPUTED_VALUE"""),193.13)</f>
        <v>193.13</v>
      </c>
      <c r="W444" s="1">
        <f ca="1">IFERROR(__xludf.DUMMYFUNCTION("""COMPUTED_VALUE"""),345.99)</f>
        <v>345.99</v>
      </c>
      <c r="X444" s="1">
        <f ca="1">IFERROR(__xludf.DUMMYFUNCTION("""COMPUTED_VALUE"""),712.94)</f>
        <v>712.94</v>
      </c>
      <c r="Y444" s="1">
        <f ca="1">IFERROR(__xludf.DUMMYFUNCTION("""COMPUTED_VALUE"""),109.02)</f>
        <v>109.02</v>
      </c>
      <c r="Z444" s="1">
        <f ca="1">IFERROR(__xludf.DUMMYFUNCTION("""COMPUTED_VALUE"""),374.15)</f>
        <v>374.15</v>
      </c>
      <c r="AA444" s="1">
        <f ca="1">IFERROR(__xludf.DUMMYFUNCTION("""COMPUTED_VALUE"""),42.42)</f>
        <v>42.42</v>
      </c>
      <c r="AB444" s="1">
        <f ca="1">IFERROR(__xludf.DUMMYFUNCTION("""COMPUTED_VALUE"""),111.46)</f>
        <v>111.46</v>
      </c>
      <c r="AC444" s="1">
        <f ca="1">IFERROR(__xludf.DUMMYFUNCTION("""COMPUTED_VALUE"""),100.34)</f>
        <v>100.34</v>
      </c>
    </row>
    <row r="445" spans="1:29" x14ac:dyDescent="0.25">
      <c r="A445" s="2">
        <f ca="1">IFERROR(__xludf.DUMMYFUNCTION("""COMPUTED_VALUE"""),44474.6666666666)</f>
        <v>44474.666666666599</v>
      </c>
      <c r="B445" s="1">
        <f ca="1">IFERROR(__xludf.DUMMYFUNCTION("""COMPUTED_VALUE"""),141.11)</f>
        <v>141.11000000000001</v>
      </c>
      <c r="C445" s="1">
        <f ca="1">IFERROR(__xludf.DUMMYFUNCTION("""COMPUTED_VALUE"""),288.76)</f>
        <v>288.76</v>
      </c>
      <c r="D445" s="1">
        <f ca="1">IFERROR(__xludf.DUMMYFUNCTION("""COMPUTED_VALUE"""),161.05)</f>
        <v>161.05000000000001</v>
      </c>
      <c r="E445" s="1">
        <f ca="1">IFERROR(__xludf.DUMMYFUNCTION("""COMPUTED_VALUE"""),20.45)</f>
        <v>20.45</v>
      </c>
      <c r="F445" s="1">
        <f ca="1">IFERROR(__xludf.DUMMYFUNCTION("""COMPUTED_VALUE"""),332.96)</f>
        <v>332.96</v>
      </c>
      <c r="G445" s="1">
        <f ca="1">IFERROR(__xludf.DUMMYFUNCTION("""COMPUTED_VALUE"""),136.18)</f>
        <v>136.18</v>
      </c>
      <c r="H445" s="1">
        <f ca="1">IFERROR(__xludf.DUMMYFUNCTION("""COMPUTED_VALUE"""),260.2)</f>
        <v>260.2</v>
      </c>
      <c r="I445" s="1">
        <f ca="1">IFERROR(__xludf.DUMMYFUNCTION("""COMPUTED_VALUE"""),151.09)</f>
        <v>151.09</v>
      </c>
      <c r="J445" s="1">
        <f ca="1">IFERROR(__xludf.DUMMYFUNCTION("""COMPUTED_VALUE"""),446.24)</f>
        <v>446.24</v>
      </c>
      <c r="K445" s="1">
        <f ca="1">IFERROR(__xludf.DUMMYFUNCTION("""COMPUTED_VALUE"""),48.54)</f>
        <v>48.54</v>
      </c>
      <c r="L445" s="1">
        <f ca="1">IFERROR(__xludf.DUMMYFUNCTION("""COMPUTED_VALUE"""),566.7)</f>
        <v>566.70000000000005</v>
      </c>
      <c r="M445" s="1">
        <f ca="1">IFERROR(__xludf.DUMMYFUNCTION("""COMPUTED_VALUE"""),634.81)</f>
        <v>634.80999999999995</v>
      </c>
      <c r="N445" s="1">
        <f ca="1">IFERROR(__xludf.DUMMYFUNCTION("""COMPUTED_VALUE"""),168.66)</f>
        <v>168.66</v>
      </c>
      <c r="O445" s="1">
        <f ca="1">IFERROR(__xludf.DUMMYFUNCTION("""COMPUTED_VALUE"""),224.28)</f>
        <v>224.28</v>
      </c>
      <c r="P445" s="1">
        <f ca="1">IFERROR(__xludf.DUMMYFUNCTION("""COMPUTED_VALUE"""),159.58)</f>
        <v>159.58000000000001</v>
      </c>
      <c r="Q445" s="1">
        <f ca="1">IFERROR(__xludf.DUMMYFUNCTION("""COMPUTED_VALUE"""),393.43)</f>
        <v>393.43</v>
      </c>
      <c r="R445" s="1">
        <f ca="1">IFERROR(__xludf.DUMMYFUNCTION("""COMPUTED_VALUE"""),61.62)</f>
        <v>61.62</v>
      </c>
      <c r="S445" s="1">
        <f ca="1">IFERROR(__xludf.DUMMYFUNCTION("""COMPUTED_VALUE"""),79.48)</f>
        <v>79.48</v>
      </c>
      <c r="T445" s="1">
        <f ca="1">IFERROR(__xludf.DUMMYFUNCTION("""COMPUTED_VALUE"""),45.54)</f>
        <v>45.54</v>
      </c>
      <c r="U445" s="1">
        <f ca="1">IFERROR(__xludf.DUMMYFUNCTION("""COMPUTED_VALUE"""),149.46)</f>
        <v>149.46</v>
      </c>
      <c r="V445" s="1">
        <f ca="1">IFERROR(__xludf.DUMMYFUNCTION("""COMPUTED_VALUE"""),192.5)</f>
        <v>192.5</v>
      </c>
      <c r="W445" s="1">
        <f ca="1">IFERROR(__xludf.DUMMYFUNCTION("""COMPUTED_VALUE"""),347.75)</f>
        <v>347.75</v>
      </c>
      <c r="X445" s="1">
        <f ca="1">IFERROR(__xludf.DUMMYFUNCTION("""COMPUTED_VALUE"""),732.87)</f>
        <v>732.87</v>
      </c>
      <c r="Y445" s="1">
        <f ca="1">IFERROR(__xludf.DUMMYFUNCTION("""COMPUTED_VALUE"""),109.26)</f>
        <v>109.26</v>
      </c>
      <c r="Z445" s="1">
        <f ca="1">IFERROR(__xludf.DUMMYFUNCTION("""COMPUTED_VALUE"""),385.81)</f>
        <v>385.81</v>
      </c>
      <c r="AA445" s="1">
        <f ca="1">IFERROR(__xludf.DUMMYFUNCTION("""COMPUTED_VALUE"""),42.32)</f>
        <v>42.32</v>
      </c>
      <c r="AB445" s="1">
        <f ca="1">IFERROR(__xludf.DUMMYFUNCTION("""COMPUTED_VALUE"""),110.85)</f>
        <v>110.85</v>
      </c>
      <c r="AC445" s="1">
        <f ca="1">IFERROR(__xludf.DUMMYFUNCTION("""COMPUTED_VALUE"""),101.81)</f>
        <v>101.81</v>
      </c>
    </row>
    <row r="446" spans="1:29" x14ac:dyDescent="0.25">
      <c r="A446" s="2">
        <f ca="1">IFERROR(__xludf.DUMMYFUNCTION("""COMPUTED_VALUE"""),44475.6666666666)</f>
        <v>44475.666666666599</v>
      </c>
      <c r="B446" s="1">
        <f ca="1">IFERROR(__xludf.DUMMYFUNCTION("""COMPUTED_VALUE"""),142)</f>
        <v>142</v>
      </c>
      <c r="C446" s="1">
        <f ca="1">IFERROR(__xludf.DUMMYFUNCTION("""COMPUTED_VALUE"""),293.11)</f>
        <v>293.11</v>
      </c>
      <c r="D446" s="1">
        <f ca="1">IFERROR(__xludf.DUMMYFUNCTION("""COMPUTED_VALUE"""),163.1)</f>
        <v>163.1</v>
      </c>
      <c r="E446" s="1">
        <f ca="1">IFERROR(__xludf.DUMMYFUNCTION("""COMPUTED_VALUE"""),20.7)</f>
        <v>20.7</v>
      </c>
      <c r="F446" s="1">
        <f ca="1">IFERROR(__xludf.DUMMYFUNCTION("""COMPUTED_VALUE"""),333.64)</f>
        <v>333.64</v>
      </c>
      <c r="G446" s="1">
        <f ca="1">IFERROR(__xludf.DUMMYFUNCTION("""COMPUTED_VALUE"""),137.35)</f>
        <v>137.35</v>
      </c>
      <c r="H446" s="1">
        <f ca="1">IFERROR(__xludf.DUMMYFUNCTION("""COMPUTED_VALUE"""),260.92)</f>
        <v>260.92</v>
      </c>
      <c r="I446" s="1">
        <f ca="1">IFERROR(__xludf.DUMMYFUNCTION("""COMPUTED_VALUE"""),154.96)</f>
        <v>154.96</v>
      </c>
      <c r="J446" s="1">
        <f ca="1">IFERROR(__xludf.DUMMYFUNCTION("""COMPUTED_VALUE"""),449.34)</f>
        <v>449.34</v>
      </c>
      <c r="K446" s="1">
        <f ca="1">IFERROR(__xludf.DUMMYFUNCTION("""COMPUTED_VALUE"""),48.88)</f>
        <v>48.88</v>
      </c>
      <c r="L446" s="1">
        <f ca="1">IFERROR(__xludf.DUMMYFUNCTION("""COMPUTED_VALUE"""),570.31)</f>
        <v>570.30999999999995</v>
      </c>
      <c r="M446" s="1">
        <f ca="1">IFERROR(__xludf.DUMMYFUNCTION("""COMPUTED_VALUE"""),639.1)</f>
        <v>639.1</v>
      </c>
      <c r="N446" s="1">
        <f ca="1">IFERROR(__xludf.DUMMYFUNCTION("""COMPUTED_VALUE"""),169.02)</f>
        <v>169.02</v>
      </c>
      <c r="O446" s="1">
        <f ca="1">IFERROR(__xludf.DUMMYFUNCTION("""COMPUTED_VALUE"""),226.51)</f>
        <v>226.51</v>
      </c>
      <c r="P446" s="1">
        <f ca="1">IFERROR(__xludf.DUMMYFUNCTION("""COMPUTED_VALUE"""),159.91)</f>
        <v>159.91</v>
      </c>
      <c r="Q446" s="1">
        <f ca="1">IFERROR(__xludf.DUMMYFUNCTION("""COMPUTED_VALUE"""),394.25)</f>
        <v>394.25</v>
      </c>
      <c r="R446" s="1">
        <f ca="1">IFERROR(__xludf.DUMMYFUNCTION("""COMPUTED_VALUE"""),60.49)</f>
        <v>60.49</v>
      </c>
      <c r="S446" s="1">
        <f ca="1">IFERROR(__xludf.DUMMYFUNCTION("""COMPUTED_VALUE"""),81.18)</f>
        <v>81.180000000000007</v>
      </c>
      <c r="T446" s="1">
        <f ca="1">IFERROR(__xludf.DUMMYFUNCTION("""COMPUTED_VALUE"""),45.87)</f>
        <v>45.87</v>
      </c>
      <c r="U446" s="1">
        <f ca="1">IFERROR(__xludf.DUMMYFUNCTION("""COMPUTED_VALUE"""),148.8)</f>
        <v>148.80000000000001</v>
      </c>
      <c r="V446" s="1">
        <f ca="1">IFERROR(__xludf.DUMMYFUNCTION("""COMPUTED_VALUE"""),191.86)</f>
        <v>191.86</v>
      </c>
      <c r="W446" s="1">
        <f ca="1">IFERROR(__xludf.DUMMYFUNCTION("""COMPUTED_VALUE"""),349.99)</f>
        <v>349.99</v>
      </c>
      <c r="X446" s="1">
        <f ca="1">IFERROR(__xludf.DUMMYFUNCTION("""COMPUTED_VALUE"""),732.5)</f>
        <v>732.5</v>
      </c>
      <c r="Y446" s="1">
        <f ca="1">IFERROR(__xludf.DUMMYFUNCTION("""COMPUTED_VALUE"""),109.34)</f>
        <v>109.34</v>
      </c>
      <c r="Z446" s="1">
        <f ca="1">IFERROR(__xludf.DUMMYFUNCTION("""COMPUTED_VALUE"""),388.05)</f>
        <v>388.05</v>
      </c>
      <c r="AA446" s="1">
        <f ca="1">IFERROR(__xludf.DUMMYFUNCTION("""COMPUTED_VALUE"""),42.02)</f>
        <v>42.02</v>
      </c>
      <c r="AB446" s="1">
        <f ca="1">IFERROR(__xludf.DUMMYFUNCTION("""COMPUTED_VALUE"""),111.64)</f>
        <v>111.64</v>
      </c>
      <c r="AC446" s="1">
        <f ca="1">IFERROR(__xludf.DUMMYFUNCTION("""COMPUTED_VALUE"""),103.64)</f>
        <v>103.64</v>
      </c>
    </row>
    <row r="447" spans="1:29" x14ac:dyDescent="0.25">
      <c r="A447" s="2">
        <f ca="1">IFERROR(__xludf.DUMMYFUNCTION("""COMPUTED_VALUE"""),44476.6666666666)</f>
        <v>44476.666666666599</v>
      </c>
      <c r="B447" s="1">
        <f ca="1">IFERROR(__xludf.DUMMYFUNCTION("""COMPUTED_VALUE"""),143.29)</f>
        <v>143.29</v>
      </c>
      <c r="C447" s="1">
        <f ca="1">IFERROR(__xludf.DUMMYFUNCTION("""COMPUTED_VALUE"""),294.85)</f>
        <v>294.85000000000002</v>
      </c>
      <c r="D447" s="1">
        <f ca="1">IFERROR(__xludf.DUMMYFUNCTION("""COMPUTED_VALUE"""),165.12)</f>
        <v>165.12</v>
      </c>
      <c r="E447" s="1">
        <f ca="1">IFERROR(__xludf.DUMMYFUNCTION("""COMPUTED_VALUE"""),21.08)</f>
        <v>21.08</v>
      </c>
      <c r="F447" s="1">
        <f ca="1">IFERROR(__xludf.DUMMYFUNCTION("""COMPUTED_VALUE"""),329.22)</f>
        <v>329.22</v>
      </c>
      <c r="G447" s="1">
        <f ca="1">IFERROR(__xludf.DUMMYFUNCTION("""COMPUTED_VALUE"""),139.19)</f>
        <v>139.19</v>
      </c>
      <c r="H447" s="1">
        <f ca="1">IFERROR(__xludf.DUMMYFUNCTION("""COMPUTED_VALUE"""),264.54)</f>
        <v>264.54000000000002</v>
      </c>
      <c r="I447" s="1">
        <f ca="1">IFERROR(__xludf.DUMMYFUNCTION("""COMPUTED_VALUE"""),156.39)</f>
        <v>156.38999999999999</v>
      </c>
      <c r="J447" s="1">
        <f ca="1">IFERROR(__xludf.DUMMYFUNCTION("""COMPUTED_VALUE"""),452.87)</f>
        <v>452.87</v>
      </c>
      <c r="K447" s="1">
        <f ca="1">IFERROR(__xludf.DUMMYFUNCTION("""COMPUTED_VALUE"""),49.39)</f>
        <v>49.39</v>
      </c>
      <c r="L447" s="1">
        <f ca="1">IFERROR(__xludf.DUMMYFUNCTION("""COMPUTED_VALUE"""),578.96)</f>
        <v>578.96</v>
      </c>
      <c r="M447" s="1">
        <f ca="1">IFERROR(__xludf.DUMMYFUNCTION("""COMPUTED_VALUE"""),631.85)</f>
        <v>631.85</v>
      </c>
      <c r="N447" s="1">
        <f ca="1">IFERROR(__xludf.DUMMYFUNCTION("""COMPUTED_VALUE"""),170.09)</f>
        <v>170.09</v>
      </c>
      <c r="O447" s="1">
        <f ca="1">IFERROR(__xludf.DUMMYFUNCTION("""COMPUTED_VALUE"""),230.55)</f>
        <v>230.55</v>
      </c>
      <c r="P447" s="1">
        <f ca="1">IFERROR(__xludf.DUMMYFUNCTION("""COMPUTED_VALUE"""),161.34)</f>
        <v>161.34</v>
      </c>
      <c r="Q447" s="1">
        <f ca="1">IFERROR(__xludf.DUMMYFUNCTION("""COMPUTED_VALUE"""),404.7)</f>
        <v>404.7</v>
      </c>
      <c r="R447" s="1">
        <f ca="1">IFERROR(__xludf.DUMMYFUNCTION("""COMPUTED_VALUE"""),60.66)</f>
        <v>60.66</v>
      </c>
      <c r="S447" s="1">
        <f ca="1">IFERROR(__xludf.DUMMYFUNCTION("""COMPUTED_VALUE"""),80.92)</f>
        <v>80.92</v>
      </c>
      <c r="T447" s="1">
        <f ca="1">IFERROR(__xludf.DUMMYFUNCTION("""COMPUTED_VALUE"""),46.41)</f>
        <v>46.41</v>
      </c>
      <c r="U447" s="1">
        <f ca="1">IFERROR(__xludf.DUMMYFUNCTION("""COMPUTED_VALUE"""),151.85)</f>
        <v>151.85</v>
      </c>
      <c r="V447" s="1">
        <f ca="1">IFERROR(__xludf.DUMMYFUNCTION("""COMPUTED_VALUE"""),195.75)</f>
        <v>195.75</v>
      </c>
      <c r="W447" s="1">
        <f ca="1">IFERROR(__xludf.DUMMYFUNCTION("""COMPUTED_VALUE"""),351.78)</f>
        <v>351.78</v>
      </c>
      <c r="X447" s="1">
        <f ca="1">IFERROR(__xludf.DUMMYFUNCTION("""COMPUTED_VALUE"""),746.82)</f>
        <v>746.82</v>
      </c>
      <c r="Y447" s="1">
        <f ca="1">IFERROR(__xludf.DUMMYFUNCTION("""COMPUTED_VALUE"""),110.83)</f>
        <v>110.83</v>
      </c>
      <c r="Z447" s="1">
        <f ca="1">IFERROR(__xludf.DUMMYFUNCTION("""COMPUTED_VALUE"""),390.62)</f>
        <v>390.62</v>
      </c>
      <c r="AA447" s="1">
        <f ca="1">IFERROR(__xludf.DUMMYFUNCTION("""COMPUTED_VALUE"""),42.74)</f>
        <v>42.74</v>
      </c>
      <c r="AB447" s="1">
        <f ca="1">IFERROR(__xludf.DUMMYFUNCTION("""COMPUTED_VALUE"""),112.21)</f>
        <v>112.21</v>
      </c>
      <c r="AC447" s="1">
        <f ca="1">IFERROR(__xludf.DUMMYFUNCTION("""COMPUTED_VALUE"""),106.45)</f>
        <v>106.45</v>
      </c>
    </row>
    <row r="448" spans="1:29" x14ac:dyDescent="0.25">
      <c r="A448" s="2">
        <f ca="1">IFERROR(__xludf.DUMMYFUNCTION("""COMPUTED_VALUE"""),44477.6666666666)</f>
        <v>44477.666666666599</v>
      </c>
      <c r="B448" s="1">
        <f ca="1">IFERROR(__xludf.DUMMYFUNCTION("""COMPUTED_VALUE"""),142.9)</f>
        <v>142.9</v>
      </c>
      <c r="C448" s="1">
        <f ca="1">IFERROR(__xludf.DUMMYFUNCTION("""COMPUTED_VALUE"""),294.85)</f>
        <v>294.85000000000002</v>
      </c>
      <c r="D448" s="1">
        <f ca="1">IFERROR(__xludf.DUMMYFUNCTION("""COMPUTED_VALUE"""),164.43)</f>
        <v>164.43</v>
      </c>
      <c r="E448" s="1">
        <f ca="1">IFERROR(__xludf.DUMMYFUNCTION("""COMPUTED_VALUE"""),20.83)</f>
        <v>20.83</v>
      </c>
      <c r="F448" s="1">
        <f ca="1">IFERROR(__xludf.DUMMYFUNCTION("""COMPUTED_VALUE"""),330.05)</f>
        <v>330.05</v>
      </c>
      <c r="G448" s="1">
        <f ca="1">IFERROR(__xludf.DUMMYFUNCTION("""COMPUTED_VALUE"""),140.06)</f>
        <v>140.06</v>
      </c>
      <c r="H448" s="1">
        <f ca="1">IFERROR(__xludf.DUMMYFUNCTION("""COMPUTED_VALUE"""),261.83)</f>
        <v>261.83</v>
      </c>
      <c r="I448" s="1">
        <f ca="1">IFERROR(__xludf.DUMMYFUNCTION("""COMPUTED_VALUE"""),156.03)</f>
        <v>156.03</v>
      </c>
      <c r="J448" s="1">
        <f ca="1">IFERROR(__xludf.DUMMYFUNCTION("""COMPUTED_VALUE"""),451.85)</f>
        <v>451.85</v>
      </c>
      <c r="K448" s="1">
        <f ca="1">IFERROR(__xludf.DUMMYFUNCTION("""COMPUTED_VALUE"""),49.29)</f>
        <v>49.29</v>
      </c>
      <c r="L448" s="1">
        <f ca="1">IFERROR(__xludf.DUMMYFUNCTION("""COMPUTED_VALUE"""),576.86)</f>
        <v>576.86</v>
      </c>
      <c r="M448" s="1">
        <f ca="1">IFERROR(__xludf.DUMMYFUNCTION("""COMPUTED_VALUE"""),632.66)</f>
        <v>632.66</v>
      </c>
      <c r="N448" s="1">
        <f ca="1">IFERROR(__xludf.DUMMYFUNCTION("""COMPUTED_VALUE"""),170.22)</f>
        <v>170.22</v>
      </c>
      <c r="O448" s="1">
        <f ca="1">IFERROR(__xludf.DUMMYFUNCTION("""COMPUTED_VALUE"""),230.27)</f>
        <v>230.27</v>
      </c>
      <c r="P448" s="1">
        <f ca="1">IFERROR(__xludf.DUMMYFUNCTION("""COMPUTED_VALUE"""),160.93)</f>
        <v>160.93</v>
      </c>
      <c r="Q448" s="1">
        <f ca="1">IFERROR(__xludf.DUMMYFUNCTION("""COMPUTED_VALUE"""),408.46)</f>
        <v>408.46</v>
      </c>
      <c r="R448" s="1">
        <f ca="1">IFERROR(__xludf.DUMMYFUNCTION("""COMPUTED_VALUE"""),62.18)</f>
        <v>62.18</v>
      </c>
      <c r="S448" s="1">
        <f ca="1">IFERROR(__xludf.DUMMYFUNCTION("""COMPUTED_VALUE"""),80.21)</f>
        <v>80.209999999999994</v>
      </c>
      <c r="T448" s="1">
        <f ca="1">IFERROR(__xludf.DUMMYFUNCTION("""COMPUTED_VALUE"""),46.55)</f>
        <v>46.55</v>
      </c>
      <c r="U448" s="1">
        <f ca="1">IFERROR(__xludf.DUMMYFUNCTION("""COMPUTED_VALUE"""),152.48)</f>
        <v>152.47999999999999</v>
      </c>
      <c r="V448" s="1">
        <f ca="1">IFERROR(__xludf.DUMMYFUNCTION("""COMPUTED_VALUE"""),195.16)</f>
        <v>195.16</v>
      </c>
      <c r="W448" s="1">
        <f ca="1">IFERROR(__xludf.DUMMYFUNCTION("""COMPUTED_VALUE"""),353.75)</f>
        <v>353.75</v>
      </c>
      <c r="X448" s="1">
        <f ca="1">IFERROR(__xludf.DUMMYFUNCTION("""COMPUTED_VALUE"""),730.27)</f>
        <v>730.27</v>
      </c>
      <c r="Y448" s="1">
        <f ca="1">IFERROR(__xludf.DUMMYFUNCTION("""COMPUTED_VALUE"""),110.04)</f>
        <v>110.04</v>
      </c>
      <c r="Z448" s="1">
        <f ca="1">IFERROR(__xludf.DUMMYFUNCTION("""COMPUTED_VALUE"""),392.81)</f>
        <v>392.81</v>
      </c>
      <c r="AA448" s="1">
        <f ca="1">IFERROR(__xludf.DUMMYFUNCTION("""COMPUTED_VALUE"""),42.45)</f>
        <v>42.45</v>
      </c>
      <c r="AB448" s="1">
        <f ca="1">IFERROR(__xludf.DUMMYFUNCTION("""COMPUTED_VALUE"""),111.22)</f>
        <v>111.22</v>
      </c>
      <c r="AC448" s="1">
        <f ca="1">IFERROR(__xludf.DUMMYFUNCTION("""COMPUTED_VALUE"""),105.06)</f>
        <v>105.06</v>
      </c>
    </row>
    <row r="449" spans="1:29" x14ac:dyDescent="0.25">
      <c r="A449" s="2">
        <f ca="1">IFERROR(__xludf.DUMMYFUNCTION("""COMPUTED_VALUE"""),44480.6666666666)</f>
        <v>44480.666666666599</v>
      </c>
      <c r="B449" s="1">
        <f ca="1">IFERROR(__xludf.DUMMYFUNCTION("""COMPUTED_VALUE"""),142.81)</f>
        <v>142.81</v>
      </c>
      <c r="C449" s="1">
        <f ca="1">IFERROR(__xludf.DUMMYFUNCTION("""COMPUTED_VALUE"""),294.23)</f>
        <v>294.23</v>
      </c>
      <c r="D449" s="1">
        <f ca="1">IFERROR(__xludf.DUMMYFUNCTION("""COMPUTED_VALUE"""),162.32)</f>
        <v>162.32</v>
      </c>
      <c r="E449" s="1">
        <f ca="1">IFERROR(__xludf.DUMMYFUNCTION("""COMPUTED_VALUE"""),20.7)</f>
        <v>20.7</v>
      </c>
      <c r="F449" s="1">
        <f ca="1">IFERROR(__xludf.DUMMYFUNCTION("""COMPUTED_VALUE"""),325.45)</f>
        <v>325.45</v>
      </c>
      <c r="G449" s="1">
        <f ca="1">IFERROR(__xludf.DUMMYFUNCTION("""COMPUTED_VALUE"""),138.85)</f>
        <v>138.85</v>
      </c>
      <c r="H449" s="1">
        <f ca="1">IFERROR(__xludf.DUMMYFUNCTION("""COMPUTED_VALUE"""),263.98)</f>
        <v>263.98</v>
      </c>
      <c r="I449" s="1">
        <f ca="1">IFERROR(__xludf.DUMMYFUNCTION("""COMPUTED_VALUE"""),156.24)</f>
        <v>156.24</v>
      </c>
      <c r="J449" s="1">
        <f ca="1">IFERROR(__xludf.DUMMYFUNCTION("""COMPUTED_VALUE"""),449.7)</f>
        <v>449.7</v>
      </c>
      <c r="K449" s="1">
        <f ca="1">IFERROR(__xludf.DUMMYFUNCTION("""COMPUTED_VALUE"""),49.23)</f>
        <v>49.23</v>
      </c>
      <c r="L449" s="1">
        <f ca="1">IFERROR(__xludf.DUMMYFUNCTION("""COMPUTED_VALUE"""),573.07)</f>
        <v>573.07000000000005</v>
      </c>
      <c r="M449" s="1">
        <f ca="1">IFERROR(__xludf.DUMMYFUNCTION("""COMPUTED_VALUE"""),627.04)</f>
        <v>627.04</v>
      </c>
      <c r="N449" s="1">
        <f ca="1">IFERROR(__xludf.DUMMYFUNCTION("""COMPUTED_VALUE"""),166.64)</f>
        <v>166.64</v>
      </c>
      <c r="O449" s="1">
        <f ca="1">IFERROR(__xludf.DUMMYFUNCTION("""COMPUTED_VALUE"""),225.11)</f>
        <v>225.11</v>
      </c>
      <c r="P449" s="1">
        <f ca="1">IFERROR(__xludf.DUMMYFUNCTION("""COMPUTED_VALUE"""),160.25)</f>
        <v>160.25</v>
      </c>
      <c r="Q449" s="1">
        <f ca="1">IFERROR(__xludf.DUMMYFUNCTION("""COMPUTED_VALUE"""),404.99)</f>
        <v>404.99</v>
      </c>
      <c r="R449" s="1">
        <f ca="1">IFERROR(__xludf.DUMMYFUNCTION("""COMPUTED_VALUE"""),61.56)</f>
        <v>61.56</v>
      </c>
      <c r="S449" s="1">
        <f ca="1">IFERROR(__xludf.DUMMYFUNCTION("""COMPUTED_VALUE"""),77.83)</f>
        <v>77.83</v>
      </c>
      <c r="T449" s="1">
        <f ca="1">IFERROR(__xludf.DUMMYFUNCTION("""COMPUTED_VALUE"""),46.51)</f>
        <v>46.51</v>
      </c>
      <c r="U449" s="1">
        <f ca="1">IFERROR(__xludf.DUMMYFUNCTION("""COMPUTED_VALUE"""),150.28)</f>
        <v>150.28</v>
      </c>
      <c r="V449" s="1">
        <f ca="1">IFERROR(__xludf.DUMMYFUNCTION("""COMPUTED_VALUE"""),192.89)</f>
        <v>192.89</v>
      </c>
      <c r="W449" s="1">
        <f ca="1">IFERROR(__xludf.DUMMYFUNCTION("""COMPUTED_VALUE"""),357.08)</f>
        <v>357.08</v>
      </c>
      <c r="X449" s="1">
        <f ca="1">IFERROR(__xludf.DUMMYFUNCTION("""COMPUTED_VALUE"""),721.89)</f>
        <v>721.89</v>
      </c>
      <c r="Y449" s="1">
        <f ca="1">IFERROR(__xludf.DUMMYFUNCTION("""COMPUTED_VALUE"""),110.26)</f>
        <v>110.26</v>
      </c>
      <c r="Z449" s="1">
        <f ca="1">IFERROR(__xludf.DUMMYFUNCTION("""COMPUTED_VALUE"""),385.24)</f>
        <v>385.24</v>
      </c>
      <c r="AA449" s="1">
        <f ca="1">IFERROR(__xludf.DUMMYFUNCTION("""COMPUTED_VALUE"""),42.06)</f>
        <v>42.06</v>
      </c>
      <c r="AB449" s="1">
        <f ca="1">IFERROR(__xludf.DUMMYFUNCTION("""COMPUTED_VALUE"""),110.94)</f>
        <v>110.94</v>
      </c>
      <c r="AC449" s="1">
        <f ca="1">IFERROR(__xludf.DUMMYFUNCTION("""COMPUTED_VALUE"""),104.68)</f>
        <v>104.68</v>
      </c>
    </row>
    <row r="450" spans="1:29" x14ac:dyDescent="0.25">
      <c r="A450" s="2">
        <f ca="1">IFERROR(__xludf.DUMMYFUNCTION("""COMPUTED_VALUE"""),44481.6666666666)</f>
        <v>44481.666666666599</v>
      </c>
      <c r="B450" s="1">
        <f ca="1">IFERROR(__xludf.DUMMYFUNCTION("""COMPUTED_VALUE"""),141.51)</f>
        <v>141.51</v>
      </c>
      <c r="C450" s="1">
        <f ca="1">IFERROR(__xludf.DUMMYFUNCTION("""COMPUTED_VALUE"""),292.88)</f>
        <v>292.88</v>
      </c>
      <c r="D450" s="1">
        <f ca="1">IFERROR(__xludf.DUMMYFUNCTION("""COMPUTED_VALUE"""),162.37)</f>
        <v>162.37</v>
      </c>
      <c r="E450" s="1">
        <f ca="1">IFERROR(__xludf.DUMMYFUNCTION("""COMPUTED_VALUE"""),20.67)</f>
        <v>20.67</v>
      </c>
      <c r="F450" s="1">
        <f ca="1">IFERROR(__xludf.DUMMYFUNCTION("""COMPUTED_VALUE"""),323.77)</f>
        <v>323.77</v>
      </c>
      <c r="G450" s="1">
        <f ca="1">IFERROR(__xludf.DUMMYFUNCTION("""COMPUTED_VALUE"""),136.71)</f>
        <v>136.71</v>
      </c>
      <c r="H450" s="1">
        <f ca="1">IFERROR(__xludf.DUMMYFUNCTION("""COMPUTED_VALUE"""),268.57)</f>
        <v>268.57</v>
      </c>
      <c r="I450" s="1">
        <f ca="1">IFERROR(__xludf.DUMMYFUNCTION("""COMPUTED_VALUE"""),156.93)</f>
        <v>156.93</v>
      </c>
      <c r="J450" s="1">
        <f ca="1">IFERROR(__xludf.DUMMYFUNCTION("""COMPUTED_VALUE"""),446.87)</f>
        <v>446.87</v>
      </c>
      <c r="K450" s="1">
        <f ca="1">IFERROR(__xludf.DUMMYFUNCTION("""COMPUTED_VALUE"""),48.53)</f>
        <v>48.53</v>
      </c>
      <c r="L450" s="1">
        <f ca="1">IFERROR(__xludf.DUMMYFUNCTION("""COMPUTED_VALUE"""),580.69)</f>
        <v>580.69000000000005</v>
      </c>
      <c r="M450" s="1">
        <f ca="1">IFERROR(__xludf.DUMMYFUNCTION("""COMPUTED_VALUE"""),624.94)</f>
        <v>624.94000000000005</v>
      </c>
      <c r="N450" s="1">
        <f ca="1">IFERROR(__xludf.DUMMYFUNCTION("""COMPUTED_VALUE"""),165.36)</f>
        <v>165.36</v>
      </c>
      <c r="O450" s="1">
        <f ca="1">IFERROR(__xludf.DUMMYFUNCTION("""COMPUTED_VALUE"""),224.05)</f>
        <v>224.05</v>
      </c>
      <c r="P450" s="1">
        <f ca="1">IFERROR(__xludf.DUMMYFUNCTION("""COMPUTED_VALUE"""),157.69)</f>
        <v>157.69</v>
      </c>
      <c r="Q450" s="1">
        <f ca="1">IFERROR(__xludf.DUMMYFUNCTION("""COMPUTED_VALUE"""),403.24)</f>
        <v>403.24</v>
      </c>
      <c r="R450" s="1">
        <f ca="1">IFERROR(__xludf.DUMMYFUNCTION("""COMPUTED_VALUE"""),61.24)</f>
        <v>61.24</v>
      </c>
      <c r="S450" s="1">
        <f ca="1">IFERROR(__xludf.DUMMYFUNCTION("""COMPUTED_VALUE"""),78.87)</f>
        <v>78.87</v>
      </c>
      <c r="T450" s="1">
        <f ca="1">IFERROR(__xludf.DUMMYFUNCTION("""COMPUTED_VALUE"""),46.46)</f>
        <v>46.46</v>
      </c>
      <c r="U450" s="1">
        <f ca="1">IFERROR(__xludf.DUMMYFUNCTION("""COMPUTED_VALUE"""),153.35)</f>
        <v>153.35</v>
      </c>
      <c r="V450" s="1">
        <f ca="1">IFERROR(__xludf.DUMMYFUNCTION("""COMPUTED_VALUE"""),189.92)</f>
        <v>189.92</v>
      </c>
      <c r="W450" s="1">
        <f ca="1">IFERROR(__xludf.DUMMYFUNCTION("""COMPUTED_VALUE"""),358.12)</f>
        <v>358.12</v>
      </c>
      <c r="X450" s="1">
        <f ca="1">IFERROR(__xludf.DUMMYFUNCTION("""COMPUTED_VALUE"""),725.05)</f>
        <v>725.05</v>
      </c>
      <c r="Y450" s="1">
        <f ca="1">IFERROR(__xludf.DUMMYFUNCTION("""COMPUTED_VALUE"""),109.2)</f>
        <v>109.2</v>
      </c>
      <c r="Z450" s="1">
        <f ca="1">IFERROR(__xludf.DUMMYFUNCTION("""COMPUTED_VALUE"""),386.53)</f>
        <v>386.53</v>
      </c>
      <c r="AA450" s="1">
        <f ca="1">IFERROR(__xludf.DUMMYFUNCTION("""COMPUTED_VALUE"""),41.85)</f>
        <v>41.85</v>
      </c>
      <c r="AB450" s="1">
        <f ca="1">IFERROR(__xludf.DUMMYFUNCTION("""COMPUTED_VALUE"""),111)</f>
        <v>111</v>
      </c>
      <c r="AC450" s="1">
        <f ca="1">IFERROR(__xludf.DUMMYFUNCTION("""COMPUTED_VALUE"""),105.04)</f>
        <v>105.04</v>
      </c>
    </row>
    <row r="451" spans="1:29" x14ac:dyDescent="0.25">
      <c r="A451" s="2">
        <f ca="1">IFERROR(__xludf.DUMMYFUNCTION("""COMPUTED_VALUE"""),44482.6666666666)</f>
        <v>44482.666666666599</v>
      </c>
      <c r="B451" s="1">
        <f ca="1">IFERROR(__xludf.DUMMYFUNCTION("""COMPUTED_VALUE"""),140.91)</f>
        <v>140.91</v>
      </c>
      <c r="C451" s="1">
        <f ca="1">IFERROR(__xludf.DUMMYFUNCTION("""COMPUTED_VALUE"""),296.31)</f>
        <v>296.31</v>
      </c>
      <c r="D451" s="1">
        <f ca="1">IFERROR(__xludf.DUMMYFUNCTION("""COMPUTED_VALUE"""),164.21)</f>
        <v>164.21</v>
      </c>
      <c r="E451" s="1">
        <f ca="1">IFERROR(__xludf.DUMMYFUNCTION("""COMPUTED_VALUE"""),20.94)</f>
        <v>20.94</v>
      </c>
      <c r="F451" s="1">
        <f ca="1">IFERROR(__xludf.DUMMYFUNCTION("""COMPUTED_VALUE"""),324.54)</f>
        <v>324.54000000000002</v>
      </c>
      <c r="G451" s="1">
        <f ca="1">IFERROR(__xludf.DUMMYFUNCTION("""COMPUTED_VALUE"""),137.9)</f>
        <v>137.9</v>
      </c>
      <c r="H451" s="1">
        <f ca="1">IFERROR(__xludf.DUMMYFUNCTION("""COMPUTED_VALUE"""),270.36)</f>
        <v>270.36</v>
      </c>
      <c r="I451" s="1">
        <f ca="1">IFERROR(__xludf.DUMMYFUNCTION("""COMPUTED_VALUE"""),157.99)</f>
        <v>157.99</v>
      </c>
      <c r="J451" s="1">
        <f ca="1">IFERROR(__xludf.DUMMYFUNCTION("""COMPUTED_VALUE"""),445.3)</f>
        <v>445.3</v>
      </c>
      <c r="K451" s="1">
        <f ca="1">IFERROR(__xludf.DUMMYFUNCTION("""COMPUTED_VALUE"""),48.5)</f>
        <v>48.5</v>
      </c>
      <c r="L451" s="1">
        <f ca="1">IFERROR(__xludf.DUMMYFUNCTION("""COMPUTED_VALUE"""),591.12)</f>
        <v>591.12</v>
      </c>
      <c r="M451" s="1">
        <f ca="1">IFERROR(__xludf.DUMMYFUNCTION("""COMPUTED_VALUE"""),629.76)</f>
        <v>629.76</v>
      </c>
      <c r="N451" s="1">
        <f ca="1">IFERROR(__xludf.DUMMYFUNCTION("""COMPUTED_VALUE"""),161)</f>
        <v>161</v>
      </c>
      <c r="O451" s="1">
        <f ca="1">IFERROR(__xludf.DUMMYFUNCTION("""COMPUTED_VALUE"""),222.46)</f>
        <v>222.46</v>
      </c>
      <c r="P451" s="1">
        <f ca="1">IFERROR(__xludf.DUMMYFUNCTION("""COMPUTED_VALUE"""),159.2)</f>
        <v>159.19999999999999</v>
      </c>
      <c r="Q451" s="1">
        <f ca="1">IFERROR(__xludf.DUMMYFUNCTION("""COMPUTED_VALUE"""),403.55)</f>
        <v>403.55</v>
      </c>
      <c r="R451" s="1">
        <f ca="1">IFERROR(__xludf.DUMMYFUNCTION("""COMPUTED_VALUE"""),61.07)</f>
        <v>61.07</v>
      </c>
      <c r="S451" s="1">
        <f ca="1">IFERROR(__xludf.DUMMYFUNCTION("""COMPUTED_VALUE"""),80.19)</f>
        <v>80.19</v>
      </c>
      <c r="T451" s="1">
        <f ca="1">IFERROR(__xludf.DUMMYFUNCTION("""COMPUTED_VALUE"""),46.12)</f>
        <v>46.12</v>
      </c>
      <c r="U451" s="1">
        <f ca="1">IFERROR(__xludf.DUMMYFUNCTION("""COMPUTED_VALUE"""),156.3)</f>
        <v>156.30000000000001</v>
      </c>
      <c r="V451" s="1">
        <f ca="1">IFERROR(__xludf.DUMMYFUNCTION("""COMPUTED_VALUE"""),188.94)</f>
        <v>188.94</v>
      </c>
      <c r="W451" s="1">
        <f ca="1">IFERROR(__xludf.DUMMYFUNCTION("""COMPUTED_VALUE"""),361.76)</f>
        <v>361.76</v>
      </c>
      <c r="X451" s="1">
        <f ca="1">IFERROR(__xludf.DUMMYFUNCTION("""COMPUTED_VALUE"""),744.42)</f>
        <v>744.42</v>
      </c>
      <c r="Y451" s="1">
        <f ca="1">IFERROR(__xludf.DUMMYFUNCTION("""COMPUTED_VALUE"""),109.98)</f>
        <v>109.98</v>
      </c>
      <c r="Z451" s="1">
        <f ca="1">IFERROR(__xludf.DUMMYFUNCTION("""COMPUTED_VALUE"""),386.31)</f>
        <v>386.31</v>
      </c>
      <c r="AA451" s="1">
        <f ca="1">IFERROR(__xludf.DUMMYFUNCTION("""COMPUTED_VALUE"""),41.42)</f>
        <v>41.42</v>
      </c>
      <c r="AB451" s="1">
        <f ca="1">IFERROR(__xludf.DUMMYFUNCTION("""COMPUTED_VALUE"""),110.76)</f>
        <v>110.76</v>
      </c>
      <c r="AC451" s="1">
        <f ca="1">IFERROR(__xludf.DUMMYFUNCTION("""COMPUTED_VALUE"""),109.16)</f>
        <v>109.16</v>
      </c>
    </row>
    <row r="452" spans="1:29" x14ac:dyDescent="0.25">
      <c r="A452" s="2">
        <f ca="1">IFERROR(__xludf.DUMMYFUNCTION("""COMPUTED_VALUE"""),44483.6666666666)</f>
        <v>44483.666666666599</v>
      </c>
      <c r="B452" s="1">
        <f ca="1">IFERROR(__xludf.DUMMYFUNCTION("""COMPUTED_VALUE"""),143.76)</f>
        <v>143.76</v>
      </c>
      <c r="C452" s="1">
        <f ca="1">IFERROR(__xludf.DUMMYFUNCTION("""COMPUTED_VALUE"""),302.75)</f>
        <v>302.75</v>
      </c>
      <c r="D452" s="1">
        <f ca="1">IFERROR(__xludf.DUMMYFUNCTION("""COMPUTED_VALUE"""),164.99)</f>
        <v>164.99</v>
      </c>
      <c r="E452" s="1">
        <f ca="1">IFERROR(__xludf.DUMMYFUNCTION("""COMPUTED_VALUE"""),21.75)</f>
        <v>21.75</v>
      </c>
      <c r="F452" s="1">
        <f ca="1">IFERROR(__xludf.DUMMYFUNCTION("""COMPUTED_VALUE"""),328.53)</f>
        <v>328.53</v>
      </c>
      <c r="G452" s="1">
        <f ca="1">IFERROR(__xludf.DUMMYFUNCTION("""COMPUTED_VALUE"""),141.41)</f>
        <v>141.41</v>
      </c>
      <c r="H452" s="1">
        <f ca="1">IFERROR(__xludf.DUMMYFUNCTION("""COMPUTED_VALUE"""),272.77)</f>
        <v>272.77</v>
      </c>
      <c r="I452" s="1">
        <f ca="1">IFERROR(__xludf.DUMMYFUNCTION("""COMPUTED_VALUE"""),159.26)</f>
        <v>159.26</v>
      </c>
      <c r="J452" s="1">
        <f ca="1">IFERROR(__xludf.DUMMYFUNCTION("""COMPUTED_VALUE"""),450.66)</f>
        <v>450.66</v>
      </c>
      <c r="K452" s="1">
        <f ca="1">IFERROR(__xludf.DUMMYFUNCTION("""COMPUTED_VALUE"""),49.76)</f>
        <v>49.76</v>
      </c>
      <c r="L452" s="1">
        <f ca="1">IFERROR(__xludf.DUMMYFUNCTION("""COMPUTED_VALUE"""),607.51)</f>
        <v>607.51</v>
      </c>
      <c r="M452" s="1">
        <f ca="1">IFERROR(__xludf.DUMMYFUNCTION("""COMPUTED_VALUE"""),633.8)</f>
        <v>633.79999999999995</v>
      </c>
      <c r="N452" s="1">
        <f ca="1">IFERROR(__xludf.DUMMYFUNCTION("""COMPUTED_VALUE"""),163.47)</f>
        <v>163.47</v>
      </c>
      <c r="O452" s="1">
        <f ca="1">IFERROR(__xludf.DUMMYFUNCTION("""COMPUTED_VALUE"""),225.18)</f>
        <v>225.18</v>
      </c>
      <c r="P452" s="1">
        <f ca="1">IFERROR(__xludf.DUMMYFUNCTION("""COMPUTED_VALUE"""),160.11)</f>
        <v>160.11000000000001</v>
      </c>
      <c r="Q452" s="1">
        <f ca="1">IFERROR(__xludf.DUMMYFUNCTION("""COMPUTED_VALUE"""),420.36)</f>
        <v>420.36</v>
      </c>
      <c r="R452" s="1">
        <f ca="1">IFERROR(__xludf.DUMMYFUNCTION("""COMPUTED_VALUE"""),62)</f>
        <v>62</v>
      </c>
      <c r="S452" s="1">
        <f ca="1">IFERROR(__xludf.DUMMYFUNCTION("""COMPUTED_VALUE"""),81.46)</f>
        <v>81.459999999999994</v>
      </c>
      <c r="T452" s="1">
        <f ca="1">IFERROR(__xludf.DUMMYFUNCTION("""COMPUTED_VALUE"""),46.62)</f>
        <v>46.62</v>
      </c>
      <c r="U452" s="1">
        <f ca="1">IFERROR(__xludf.DUMMYFUNCTION("""COMPUTED_VALUE"""),157.14)</f>
        <v>157.13999999999999</v>
      </c>
      <c r="V452" s="1">
        <f ca="1">IFERROR(__xludf.DUMMYFUNCTION("""COMPUTED_VALUE"""),194.33)</f>
        <v>194.33</v>
      </c>
      <c r="W452" s="1">
        <f ca="1">IFERROR(__xludf.DUMMYFUNCTION("""COMPUTED_VALUE"""),362.07)</f>
        <v>362.07</v>
      </c>
      <c r="X452" s="1">
        <f ca="1">IFERROR(__xludf.DUMMYFUNCTION("""COMPUTED_VALUE"""),778.29)</f>
        <v>778.29</v>
      </c>
      <c r="Y452" s="1">
        <f ca="1">IFERROR(__xludf.DUMMYFUNCTION("""COMPUTED_VALUE"""),112.56)</f>
        <v>112.56</v>
      </c>
      <c r="Z452" s="1">
        <f ca="1">IFERROR(__xludf.DUMMYFUNCTION("""COMPUTED_VALUE"""),391.2)</f>
        <v>391.2</v>
      </c>
      <c r="AA452" s="1">
        <f ca="1">IFERROR(__xludf.DUMMYFUNCTION("""COMPUTED_VALUE"""),41.67)</f>
        <v>41.67</v>
      </c>
      <c r="AB452" s="1">
        <f ca="1">IFERROR(__xludf.DUMMYFUNCTION("""COMPUTED_VALUE"""),111.87)</f>
        <v>111.87</v>
      </c>
      <c r="AC452" s="1">
        <f ca="1">IFERROR(__xludf.DUMMYFUNCTION("""COMPUTED_VALUE"""),111.99)</f>
        <v>111.99</v>
      </c>
    </row>
    <row r="453" spans="1:29" x14ac:dyDescent="0.25">
      <c r="A453" s="2">
        <f ca="1">IFERROR(__xludf.DUMMYFUNCTION("""COMPUTED_VALUE"""),44484.6666666666)</f>
        <v>44484.666666666599</v>
      </c>
      <c r="B453" s="1">
        <f ca="1">IFERROR(__xludf.DUMMYFUNCTION("""COMPUTED_VALUE"""),144.84)</f>
        <v>144.84</v>
      </c>
      <c r="C453" s="1">
        <f ca="1">IFERROR(__xludf.DUMMYFUNCTION("""COMPUTED_VALUE"""),304.21)</f>
        <v>304.20999999999998</v>
      </c>
      <c r="D453" s="1">
        <f ca="1">IFERROR(__xludf.DUMMYFUNCTION("""COMPUTED_VALUE"""),170.45)</f>
        <v>170.45</v>
      </c>
      <c r="E453" s="1">
        <f ca="1">IFERROR(__xludf.DUMMYFUNCTION("""COMPUTED_VALUE"""),21.86)</f>
        <v>21.86</v>
      </c>
      <c r="F453" s="1">
        <f ca="1">IFERROR(__xludf.DUMMYFUNCTION("""COMPUTED_VALUE"""),324.76)</f>
        <v>324.76</v>
      </c>
      <c r="G453" s="1">
        <f ca="1">IFERROR(__xludf.DUMMYFUNCTION("""COMPUTED_VALUE"""),141.68)</f>
        <v>141.68</v>
      </c>
      <c r="H453" s="1">
        <f ca="1">IFERROR(__xludf.DUMMYFUNCTION("""COMPUTED_VALUE"""),281.01)</f>
        <v>281.01</v>
      </c>
      <c r="I453" s="1">
        <f ca="1">IFERROR(__xludf.DUMMYFUNCTION("""COMPUTED_VALUE"""),158.81)</f>
        <v>158.81</v>
      </c>
      <c r="J453" s="1">
        <f ca="1">IFERROR(__xludf.DUMMYFUNCTION("""COMPUTED_VALUE"""),452.39)</f>
        <v>452.39</v>
      </c>
      <c r="K453" s="1">
        <f ca="1">IFERROR(__xludf.DUMMYFUNCTION("""COMPUTED_VALUE"""),50.33)</f>
        <v>50.33</v>
      </c>
      <c r="L453" s="1">
        <f ca="1">IFERROR(__xludf.DUMMYFUNCTION("""COMPUTED_VALUE"""),610.09)</f>
        <v>610.09</v>
      </c>
      <c r="M453" s="1">
        <f ca="1">IFERROR(__xludf.DUMMYFUNCTION("""COMPUTED_VALUE"""),628.29)</f>
        <v>628.29</v>
      </c>
      <c r="N453" s="1">
        <f ca="1">IFERROR(__xludf.DUMMYFUNCTION("""COMPUTED_VALUE"""),166.61)</f>
        <v>166.61</v>
      </c>
      <c r="O453" s="1">
        <f ca="1">IFERROR(__xludf.DUMMYFUNCTION("""COMPUTED_VALUE"""),230.99)</f>
        <v>230.99</v>
      </c>
      <c r="P453" s="1">
        <f ca="1">IFERROR(__xludf.DUMMYFUNCTION("""COMPUTED_VALUE"""),161.3)</f>
        <v>161.30000000000001</v>
      </c>
      <c r="Q453" s="1">
        <f ca="1">IFERROR(__xludf.DUMMYFUNCTION("""COMPUTED_VALUE"""),428.07)</f>
        <v>428.07</v>
      </c>
      <c r="R453" s="1">
        <f ca="1">IFERROR(__xludf.DUMMYFUNCTION("""COMPUTED_VALUE"""),62.59)</f>
        <v>62.59</v>
      </c>
      <c r="S453" s="1">
        <f ca="1">IFERROR(__xludf.DUMMYFUNCTION("""COMPUTED_VALUE"""),81.67)</f>
        <v>81.67</v>
      </c>
      <c r="T453" s="1">
        <f ca="1">IFERROR(__xludf.DUMMYFUNCTION("""COMPUTED_VALUE"""),46.85)</f>
        <v>46.85</v>
      </c>
      <c r="U453" s="1">
        <f ca="1">IFERROR(__xludf.DUMMYFUNCTION("""COMPUTED_VALUE"""),158.01)</f>
        <v>158.01</v>
      </c>
      <c r="V453" s="1">
        <f ca="1">IFERROR(__xludf.DUMMYFUNCTION("""COMPUTED_VALUE"""),199.02)</f>
        <v>199.02</v>
      </c>
      <c r="W453" s="1">
        <f ca="1">IFERROR(__xludf.DUMMYFUNCTION("""COMPUTED_VALUE"""),365.62)</f>
        <v>365.62</v>
      </c>
      <c r="X453" s="1">
        <f ca="1">IFERROR(__xludf.DUMMYFUNCTION("""COMPUTED_VALUE"""),789.4)</f>
        <v>789.4</v>
      </c>
      <c r="Y453" s="1">
        <f ca="1">IFERROR(__xludf.DUMMYFUNCTION("""COMPUTED_VALUE"""),114.86)</f>
        <v>114.86</v>
      </c>
      <c r="Z453" s="1">
        <f ca="1">IFERROR(__xludf.DUMMYFUNCTION("""COMPUTED_VALUE"""),406.07)</f>
        <v>406.07</v>
      </c>
      <c r="AA453" s="1">
        <f ca="1">IFERROR(__xludf.DUMMYFUNCTION("""COMPUTED_VALUE"""),41.49)</f>
        <v>41.49</v>
      </c>
      <c r="AB453" s="1">
        <f ca="1">IFERROR(__xludf.DUMMYFUNCTION("""COMPUTED_VALUE"""),111.45)</f>
        <v>111.45</v>
      </c>
      <c r="AC453" s="1">
        <f ca="1">IFERROR(__xludf.DUMMYFUNCTION("""COMPUTED_VALUE"""),112.12)</f>
        <v>112.12</v>
      </c>
    </row>
    <row r="454" spans="1:29" x14ac:dyDescent="0.25">
      <c r="A454" s="2">
        <f ca="1">IFERROR(__xludf.DUMMYFUNCTION("""COMPUTED_VALUE"""),44487.6666666666)</f>
        <v>44487.666666666599</v>
      </c>
      <c r="B454" s="1">
        <f ca="1">IFERROR(__xludf.DUMMYFUNCTION("""COMPUTED_VALUE"""),146.55)</f>
        <v>146.55000000000001</v>
      </c>
      <c r="C454" s="1">
        <f ca="1">IFERROR(__xludf.DUMMYFUNCTION("""COMPUTED_VALUE"""),307.29)</f>
        <v>307.29000000000002</v>
      </c>
      <c r="D454" s="1">
        <f ca="1">IFERROR(__xludf.DUMMYFUNCTION("""COMPUTED_VALUE"""),172.34)</f>
        <v>172.34</v>
      </c>
      <c r="E454" s="1">
        <f ca="1">IFERROR(__xludf.DUMMYFUNCTION("""COMPUTED_VALUE"""),22.22)</f>
        <v>22.22</v>
      </c>
      <c r="F454" s="1">
        <f ca="1">IFERROR(__xludf.DUMMYFUNCTION("""COMPUTED_VALUE"""),335.34)</f>
        <v>335.34</v>
      </c>
      <c r="G454" s="1">
        <f ca="1">IFERROR(__xludf.DUMMYFUNCTION("""COMPUTED_VALUE"""),142.96)</f>
        <v>142.96</v>
      </c>
      <c r="H454" s="1">
        <f ca="1">IFERROR(__xludf.DUMMYFUNCTION("""COMPUTED_VALUE"""),290.04)</f>
        <v>290.04000000000002</v>
      </c>
      <c r="I454" s="1">
        <f ca="1">IFERROR(__xludf.DUMMYFUNCTION("""COMPUTED_VALUE"""),158.09)</f>
        <v>158.09</v>
      </c>
      <c r="J454" s="1">
        <f ca="1">IFERROR(__xludf.DUMMYFUNCTION("""COMPUTED_VALUE"""),461.95)</f>
        <v>461.95</v>
      </c>
      <c r="K454" s="1">
        <f ca="1">IFERROR(__xludf.DUMMYFUNCTION("""COMPUTED_VALUE"""),50.34)</f>
        <v>50.34</v>
      </c>
      <c r="L454" s="1">
        <f ca="1">IFERROR(__xludf.DUMMYFUNCTION("""COMPUTED_VALUE"""),622.83)</f>
        <v>622.83000000000004</v>
      </c>
      <c r="M454" s="1">
        <f ca="1">IFERROR(__xludf.DUMMYFUNCTION("""COMPUTED_VALUE"""),637.97)</f>
        <v>637.97</v>
      </c>
      <c r="N454" s="1">
        <f ca="1">IFERROR(__xludf.DUMMYFUNCTION("""COMPUTED_VALUE"""),166.55)</f>
        <v>166.55</v>
      </c>
      <c r="O454" s="1">
        <f ca="1">IFERROR(__xludf.DUMMYFUNCTION("""COMPUTED_VALUE"""),230.65)</f>
        <v>230.65</v>
      </c>
      <c r="P454" s="1">
        <f ca="1">IFERROR(__xludf.DUMMYFUNCTION("""COMPUTED_VALUE"""),160.12)</f>
        <v>160.12</v>
      </c>
      <c r="Q454" s="1">
        <f ca="1">IFERROR(__xludf.DUMMYFUNCTION("""COMPUTED_VALUE"""),424.62)</f>
        <v>424.62</v>
      </c>
      <c r="R454" s="1">
        <f ca="1">IFERROR(__xludf.DUMMYFUNCTION("""COMPUTED_VALUE"""),62.56)</f>
        <v>62.56</v>
      </c>
      <c r="S454" s="1">
        <f ca="1">IFERROR(__xludf.DUMMYFUNCTION("""COMPUTED_VALUE"""),80.99)</f>
        <v>80.989999999999995</v>
      </c>
      <c r="T454" s="1">
        <f ca="1">IFERROR(__xludf.DUMMYFUNCTION("""COMPUTED_VALUE"""),47.23)</f>
        <v>47.23</v>
      </c>
      <c r="U454" s="1">
        <f ca="1">IFERROR(__xludf.DUMMYFUNCTION("""COMPUTED_VALUE"""),159.43)</f>
        <v>159.43</v>
      </c>
      <c r="V454" s="1">
        <f ca="1">IFERROR(__xludf.DUMMYFUNCTION("""COMPUTED_VALUE"""),198.18)</f>
        <v>198.18</v>
      </c>
      <c r="W454" s="1">
        <f ca="1">IFERROR(__xludf.DUMMYFUNCTION("""COMPUTED_VALUE"""),365)</f>
        <v>365</v>
      </c>
      <c r="X454" s="1">
        <f ca="1">IFERROR(__xludf.DUMMYFUNCTION("""COMPUTED_VALUE"""),788.22)</f>
        <v>788.22</v>
      </c>
      <c r="Y454" s="1">
        <f ca="1">IFERROR(__xludf.DUMMYFUNCTION("""COMPUTED_VALUE"""),115.34)</f>
        <v>115.34</v>
      </c>
      <c r="Z454" s="1">
        <f ca="1">IFERROR(__xludf.DUMMYFUNCTION("""COMPUTED_VALUE"""),413.69)</f>
        <v>413.69</v>
      </c>
      <c r="AA454" s="1">
        <f ca="1">IFERROR(__xludf.DUMMYFUNCTION("""COMPUTED_VALUE"""),41.32)</f>
        <v>41.32</v>
      </c>
      <c r="AB454" s="1">
        <f ca="1">IFERROR(__xludf.DUMMYFUNCTION("""COMPUTED_VALUE"""),113.37)</f>
        <v>113.37</v>
      </c>
      <c r="AC454" s="1">
        <f ca="1">IFERROR(__xludf.DUMMYFUNCTION("""COMPUTED_VALUE"""),116.43)</f>
        <v>116.43</v>
      </c>
    </row>
    <row r="455" spans="1:29" x14ac:dyDescent="0.25">
      <c r="A455" s="2">
        <f ca="1">IFERROR(__xludf.DUMMYFUNCTION("""COMPUTED_VALUE"""),44488.6666666666)</f>
        <v>44488.666666666599</v>
      </c>
      <c r="B455" s="1">
        <f ca="1">IFERROR(__xludf.DUMMYFUNCTION("""COMPUTED_VALUE"""),148.76)</f>
        <v>148.76</v>
      </c>
      <c r="C455" s="1">
        <f ca="1">IFERROR(__xludf.DUMMYFUNCTION("""COMPUTED_VALUE"""),308.23)</f>
        <v>308.23</v>
      </c>
      <c r="D455" s="1">
        <f ca="1">IFERROR(__xludf.DUMMYFUNCTION("""COMPUTED_VALUE"""),172.21)</f>
        <v>172.21</v>
      </c>
      <c r="E455" s="1">
        <f ca="1">IFERROR(__xludf.DUMMYFUNCTION("""COMPUTED_VALUE"""),22.29)</f>
        <v>22.29</v>
      </c>
      <c r="F455" s="1">
        <f ca="1">IFERROR(__xludf.DUMMYFUNCTION("""COMPUTED_VALUE"""),339.99)</f>
        <v>339.99</v>
      </c>
      <c r="G455" s="1">
        <f ca="1">IFERROR(__xludf.DUMMYFUNCTION("""COMPUTED_VALUE"""),143.82)</f>
        <v>143.82</v>
      </c>
      <c r="H455" s="1">
        <f ca="1">IFERROR(__xludf.DUMMYFUNCTION("""COMPUTED_VALUE"""),288.09)</f>
        <v>288.08999999999997</v>
      </c>
      <c r="I455" s="1">
        <f ca="1">IFERROR(__xludf.DUMMYFUNCTION("""COMPUTED_VALUE"""),160.1)</f>
        <v>160.1</v>
      </c>
      <c r="J455" s="1">
        <f ca="1">IFERROR(__xludf.DUMMYFUNCTION("""COMPUTED_VALUE"""),467.08)</f>
        <v>467.08</v>
      </c>
      <c r="K455" s="1">
        <f ca="1">IFERROR(__xludf.DUMMYFUNCTION("""COMPUTED_VALUE"""),51.04)</f>
        <v>51.04</v>
      </c>
      <c r="L455" s="1">
        <f ca="1">IFERROR(__xludf.DUMMYFUNCTION("""COMPUTED_VALUE"""),636.07)</f>
        <v>636.07000000000005</v>
      </c>
      <c r="M455" s="1">
        <f ca="1">IFERROR(__xludf.DUMMYFUNCTION("""COMPUTED_VALUE"""),639)</f>
        <v>639</v>
      </c>
      <c r="N455" s="1">
        <f ca="1">IFERROR(__xludf.DUMMYFUNCTION("""COMPUTED_VALUE"""),168.57)</f>
        <v>168.57</v>
      </c>
      <c r="O455" s="1">
        <f ca="1">IFERROR(__xludf.DUMMYFUNCTION("""COMPUTED_VALUE"""),233.52)</f>
        <v>233.52</v>
      </c>
      <c r="P455" s="1">
        <f ca="1">IFERROR(__xludf.DUMMYFUNCTION("""COMPUTED_VALUE"""),163.87)</f>
        <v>163.87</v>
      </c>
      <c r="Q455" s="1">
        <f ca="1">IFERROR(__xludf.DUMMYFUNCTION("""COMPUTED_VALUE"""),424.38)</f>
        <v>424.38</v>
      </c>
      <c r="R455" s="1">
        <f ca="1">IFERROR(__xludf.DUMMYFUNCTION("""COMPUTED_VALUE"""),63.5)</f>
        <v>63.5</v>
      </c>
      <c r="S455" s="1">
        <f ca="1">IFERROR(__xludf.DUMMYFUNCTION("""COMPUTED_VALUE"""),82.03)</f>
        <v>82.03</v>
      </c>
      <c r="T455" s="1">
        <f ca="1">IFERROR(__xludf.DUMMYFUNCTION("""COMPUTED_VALUE"""),48.23)</f>
        <v>48.23</v>
      </c>
      <c r="U455" s="1">
        <f ca="1">IFERROR(__xludf.DUMMYFUNCTION("""COMPUTED_VALUE"""),157.82)</f>
        <v>157.82</v>
      </c>
      <c r="V455" s="1">
        <f ca="1">IFERROR(__xludf.DUMMYFUNCTION("""COMPUTED_VALUE"""),201.14)</f>
        <v>201.14</v>
      </c>
      <c r="W455" s="1">
        <f ca="1">IFERROR(__xludf.DUMMYFUNCTION("""COMPUTED_VALUE"""),371.07)</f>
        <v>371.07</v>
      </c>
      <c r="X455" s="1">
        <f ca="1">IFERROR(__xludf.DUMMYFUNCTION("""COMPUTED_VALUE"""),800.96)</f>
        <v>800.96</v>
      </c>
      <c r="Y455" s="1">
        <f ca="1">IFERROR(__xludf.DUMMYFUNCTION("""COMPUTED_VALUE"""),116.96)</f>
        <v>116.96</v>
      </c>
      <c r="Z455" s="1">
        <f ca="1">IFERROR(__xludf.DUMMYFUNCTION("""COMPUTED_VALUE"""),412.16)</f>
        <v>412.16</v>
      </c>
      <c r="AA455" s="1">
        <f ca="1">IFERROR(__xludf.DUMMYFUNCTION("""COMPUTED_VALUE"""),42.09)</f>
        <v>42.09</v>
      </c>
      <c r="AB455" s="1">
        <f ca="1">IFERROR(__xludf.DUMMYFUNCTION("""COMPUTED_VALUE"""),113.49)</f>
        <v>113.49</v>
      </c>
      <c r="AC455" s="1">
        <f ca="1">IFERROR(__xludf.DUMMYFUNCTION("""COMPUTED_VALUE"""),116.33)</f>
        <v>116.33</v>
      </c>
    </row>
    <row r="456" spans="1:29" x14ac:dyDescent="0.25">
      <c r="A456" s="2">
        <f ca="1">IFERROR(__xludf.DUMMYFUNCTION("""COMPUTED_VALUE"""),44489.6666666666)</f>
        <v>44489.666666666599</v>
      </c>
      <c r="B456" s="1">
        <f ca="1">IFERROR(__xludf.DUMMYFUNCTION("""COMPUTED_VALUE"""),149.26)</f>
        <v>149.26</v>
      </c>
      <c r="C456" s="1">
        <f ca="1">IFERROR(__xludf.DUMMYFUNCTION("""COMPUTED_VALUE"""),307.41)</f>
        <v>307.41000000000003</v>
      </c>
      <c r="D456" s="1">
        <f ca="1">IFERROR(__xludf.DUMMYFUNCTION("""COMPUTED_VALUE"""),170.75)</f>
        <v>170.75</v>
      </c>
      <c r="E456" s="1">
        <f ca="1">IFERROR(__xludf.DUMMYFUNCTION("""COMPUTED_VALUE"""),22.1)</f>
        <v>22.1</v>
      </c>
      <c r="F456" s="1">
        <f ca="1">IFERROR(__xludf.DUMMYFUNCTION("""COMPUTED_VALUE"""),340.78)</f>
        <v>340.78</v>
      </c>
      <c r="G456" s="1">
        <f ca="1">IFERROR(__xludf.DUMMYFUNCTION("""COMPUTED_VALUE"""),142.42)</f>
        <v>142.41999999999999</v>
      </c>
      <c r="H456" s="1">
        <f ca="1">IFERROR(__xludf.DUMMYFUNCTION("""COMPUTED_VALUE"""),288.6)</f>
        <v>288.60000000000002</v>
      </c>
      <c r="I456" s="1">
        <f ca="1">IFERROR(__xludf.DUMMYFUNCTION("""COMPUTED_VALUE"""),161.31)</f>
        <v>161.31</v>
      </c>
      <c r="J456" s="1">
        <f ca="1">IFERROR(__xludf.DUMMYFUNCTION("""COMPUTED_VALUE"""),469.77)</f>
        <v>469.77</v>
      </c>
      <c r="K456" s="1">
        <f ca="1">IFERROR(__xludf.DUMMYFUNCTION("""COMPUTED_VALUE"""),50.94)</f>
        <v>50.94</v>
      </c>
      <c r="L456" s="1">
        <f ca="1">IFERROR(__xludf.DUMMYFUNCTION("""COMPUTED_VALUE"""),632.37)</f>
        <v>632.37</v>
      </c>
      <c r="M456" s="1">
        <f ca="1">IFERROR(__xludf.DUMMYFUNCTION("""COMPUTED_VALUE"""),625.14)</f>
        <v>625.14</v>
      </c>
      <c r="N456" s="1">
        <f ca="1">IFERROR(__xludf.DUMMYFUNCTION("""COMPUTED_VALUE"""),170.84)</f>
        <v>170.84</v>
      </c>
      <c r="O456" s="1">
        <f ca="1">IFERROR(__xludf.DUMMYFUNCTION("""COMPUTED_VALUE"""),231.42)</f>
        <v>231.42</v>
      </c>
      <c r="P456" s="1">
        <f ca="1">IFERROR(__xludf.DUMMYFUNCTION("""COMPUTED_VALUE"""),163.78)</f>
        <v>163.78</v>
      </c>
      <c r="Q456" s="1">
        <f ca="1">IFERROR(__xludf.DUMMYFUNCTION("""COMPUTED_VALUE"""),435.09)</f>
        <v>435.09</v>
      </c>
      <c r="R456" s="1">
        <f ca="1">IFERROR(__xludf.DUMMYFUNCTION("""COMPUTED_VALUE"""),63.85)</f>
        <v>63.85</v>
      </c>
      <c r="S456" s="1">
        <f ca="1">IFERROR(__xludf.DUMMYFUNCTION("""COMPUTED_VALUE"""),83.92)</f>
        <v>83.92</v>
      </c>
      <c r="T456" s="1">
        <f ca="1">IFERROR(__xludf.DUMMYFUNCTION("""COMPUTED_VALUE"""),48.67)</f>
        <v>48.67</v>
      </c>
      <c r="U456" s="1">
        <f ca="1">IFERROR(__xludf.DUMMYFUNCTION("""COMPUTED_VALUE"""),158.45)</f>
        <v>158.44999999999999</v>
      </c>
      <c r="V456" s="1">
        <f ca="1">IFERROR(__xludf.DUMMYFUNCTION("""COMPUTED_VALUE"""),204.19)</f>
        <v>204.19</v>
      </c>
      <c r="W456" s="1">
        <f ca="1">IFERROR(__xludf.DUMMYFUNCTION("""COMPUTED_VALUE"""),371.13)</f>
        <v>371.13</v>
      </c>
      <c r="X456" s="1">
        <f ca="1">IFERROR(__xludf.DUMMYFUNCTION("""COMPUTED_VALUE"""),767.7)</f>
        <v>767.7</v>
      </c>
      <c r="Y456" s="1">
        <f ca="1">IFERROR(__xludf.DUMMYFUNCTION("""COMPUTED_VALUE"""),115.59)</f>
        <v>115.59</v>
      </c>
      <c r="Z456" s="1">
        <f ca="1">IFERROR(__xludf.DUMMYFUNCTION("""COMPUTED_VALUE"""),407.89)</f>
        <v>407.89</v>
      </c>
      <c r="AA456" s="1">
        <f ca="1">IFERROR(__xludf.DUMMYFUNCTION("""COMPUTED_VALUE"""),42.8)</f>
        <v>42.8</v>
      </c>
      <c r="AB456" s="1">
        <f ca="1">IFERROR(__xludf.DUMMYFUNCTION("""COMPUTED_VALUE"""),113.86)</f>
        <v>113.86</v>
      </c>
      <c r="AC456" s="1">
        <f ca="1">IFERROR(__xludf.DUMMYFUNCTION("""COMPUTED_VALUE"""),116.39)</f>
        <v>116.39</v>
      </c>
    </row>
    <row r="457" spans="1:29" x14ac:dyDescent="0.25">
      <c r="A457" s="2">
        <f ca="1">IFERROR(__xludf.DUMMYFUNCTION("""COMPUTED_VALUE"""),44490.6666666666)</f>
        <v>44490.666666666599</v>
      </c>
      <c r="B457" s="1">
        <f ca="1">IFERROR(__xludf.DUMMYFUNCTION("""COMPUTED_VALUE"""),149.48)</f>
        <v>149.47999999999999</v>
      </c>
      <c r="C457" s="1">
        <f ca="1">IFERROR(__xludf.DUMMYFUNCTION("""COMPUTED_VALUE"""),310.76)</f>
        <v>310.76</v>
      </c>
      <c r="D457" s="1">
        <f ca="1">IFERROR(__xludf.DUMMYFUNCTION("""COMPUTED_VALUE"""),171.75)</f>
        <v>171.75</v>
      </c>
      <c r="E457" s="1">
        <f ca="1">IFERROR(__xludf.DUMMYFUNCTION("""COMPUTED_VALUE"""),22.69)</f>
        <v>22.69</v>
      </c>
      <c r="F457" s="1">
        <f ca="1">IFERROR(__xludf.DUMMYFUNCTION("""COMPUTED_VALUE"""),341.88)</f>
        <v>341.88</v>
      </c>
      <c r="G457" s="1">
        <f ca="1">IFERROR(__xludf.DUMMYFUNCTION("""COMPUTED_VALUE"""),142.78)</f>
        <v>142.78</v>
      </c>
      <c r="H457" s="1">
        <f ca="1">IFERROR(__xludf.DUMMYFUNCTION("""COMPUTED_VALUE"""),298)</f>
        <v>298</v>
      </c>
      <c r="I457" s="1">
        <f ca="1">IFERROR(__xludf.DUMMYFUNCTION("""COMPUTED_VALUE"""),159.18)</f>
        <v>159.18</v>
      </c>
      <c r="J457" s="1">
        <f ca="1">IFERROR(__xludf.DUMMYFUNCTION("""COMPUTED_VALUE"""),477.23)</f>
        <v>477.23</v>
      </c>
      <c r="K457" s="1">
        <f ca="1">IFERROR(__xludf.DUMMYFUNCTION("""COMPUTED_VALUE"""),51.42)</f>
        <v>51.42</v>
      </c>
      <c r="L457" s="1">
        <f ca="1">IFERROR(__xludf.DUMMYFUNCTION("""COMPUTED_VALUE"""),638.66)</f>
        <v>638.66</v>
      </c>
      <c r="M457" s="1">
        <f ca="1">IFERROR(__xludf.DUMMYFUNCTION("""COMPUTED_VALUE"""),653.16)</f>
        <v>653.16</v>
      </c>
      <c r="N457" s="1">
        <f ca="1">IFERROR(__xludf.DUMMYFUNCTION("""COMPUTED_VALUE"""),169.5)</f>
        <v>169.5</v>
      </c>
      <c r="O457" s="1">
        <f ca="1">IFERROR(__xludf.DUMMYFUNCTION("""COMPUTED_VALUE"""),230.24)</f>
        <v>230.24</v>
      </c>
      <c r="P457" s="1">
        <f ca="1">IFERROR(__xludf.DUMMYFUNCTION("""COMPUTED_VALUE"""),163.4)</f>
        <v>163.4</v>
      </c>
      <c r="Q457" s="1">
        <f ca="1">IFERROR(__xludf.DUMMYFUNCTION("""COMPUTED_VALUE"""),442.28)</f>
        <v>442.28</v>
      </c>
      <c r="R457" s="1">
        <f ca="1">IFERROR(__xludf.DUMMYFUNCTION("""COMPUTED_VALUE"""),62.69)</f>
        <v>62.69</v>
      </c>
      <c r="S457" s="1">
        <f ca="1">IFERROR(__xludf.DUMMYFUNCTION("""COMPUTED_VALUE"""),83.81)</f>
        <v>83.81</v>
      </c>
      <c r="T457" s="1">
        <f ca="1">IFERROR(__xludf.DUMMYFUNCTION("""COMPUTED_VALUE"""),48.94)</f>
        <v>48.94</v>
      </c>
      <c r="U457" s="1">
        <f ca="1">IFERROR(__xludf.DUMMYFUNCTION("""COMPUTED_VALUE"""),162.18)</f>
        <v>162.18</v>
      </c>
      <c r="V457" s="1">
        <f ca="1">IFERROR(__xludf.DUMMYFUNCTION("""COMPUTED_VALUE"""),202.14)</f>
        <v>202.14</v>
      </c>
      <c r="W457" s="1">
        <f ca="1">IFERROR(__xludf.DUMMYFUNCTION("""COMPUTED_VALUE"""),373.14)</f>
        <v>373.14</v>
      </c>
      <c r="X457" s="1">
        <f ca="1">IFERROR(__xludf.DUMMYFUNCTION("""COMPUTED_VALUE"""),787.56)</f>
        <v>787.56</v>
      </c>
      <c r="Y457" s="1">
        <f ca="1">IFERROR(__xludf.DUMMYFUNCTION("""COMPUTED_VALUE"""),116.29)</f>
        <v>116.29</v>
      </c>
      <c r="Z457" s="1">
        <f ca="1">IFERROR(__xludf.DUMMYFUNCTION("""COMPUTED_VALUE"""),407.59)</f>
        <v>407.59</v>
      </c>
      <c r="AA457" s="1">
        <f ca="1">IFERROR(__xludf.DUMMYFUNCTION("""COMPUTED_VALUE"""),42.86)</f>
        <v>42.86</v>
      </c>
      <c r="AB457" s="1">
        <f ca="1">IFERROR(__xludf.DUMMYFUNCTION("""COMPUTED_VALUE"""),114.44)</f>
        <v>114.44</v>
      </c>
      <c r="AC457" s="1">
        <f ca="1">IFERROR(__xludf.DUMMYFUNCTION("""COMPUTED_VALUE"""),119.33)</f>
        <v>119.33</v>
      </c>
    </row>
    <row r="458" spans="1:29" x14ac:dyDescent="0.25">
      <c r="A458" s="2">
        <f ca="1">IFERROR(__xludf.DUMMYFUNCTION("""COMPUTED_VALUE"""),44491.6666666666)</f>
        <v>44491.666666666599</v>
      </c>
      <c r="B458" s="1">
        <f ca="1">IFERROR(__xludf.DUMMYFUNCTION("""COMPUTED_VALUE"""),148.69)</f>
        <v>148.69</v>
      </c>
      <c r="C458" s="1">
        <f ca="1">IFERROR(__xludf.DUMMYFUNCTION("""COMPUTED_VALUE"""),309.16)</f>
        <v>309.16000000000003</v>
      </c>
      <c r="D458" s="1">
        <f ca="1">IFERROR(__xludf.DUMMYFUNCTION("""COMPUTED_VALUE"""),166.78)</f>
        <v>166.78</v>
      </c>
      <c r="E458" s="1">
        <f ca="1">IFERROR(__xludf.DUMMYFUNCTION("""COMPUTED_VALUE"""),22.73)</f>
        <v>22.73</v>
      </c>
      <c r="F458" s="1">
        <f ca="1">IFERROR(__xludf.DUMMYFUNCTION("""COMPUTED_VALUE"""),324.61)</f>
        <v>324.61</v>
      </c>
      <c r="G458" s="1">
        <f ca="1">IFERROR(__xludf.DUMMYFUNCTION("""COMPUTED_VALUE"""),138.63)</f>
        <v>138.63</v>
      </c>
      <c r="H458" s="1">
        <f ca="1">IFERROR(__xludf.DUMMYFUNCTION("""COMPUTED_VALUE"""),303.23)</f>
        <v>303.23</v>
      </c>
      <c r="I458" s="1">
        <f ca="1">IFERROR(__xludf.DUMMYFUNCTION("""COMPUTED_VALUE"""),159.97)</f>
        <v>159.97</v>
      </c>
      <c r="J458" s="1">
        <f ca="1">IFERROR(__xludf.DUMMYFUNCTION("""COMPUTED_VALUE"""),481.99)</f>
        <v>481.99</v>
      </c>
      <c r="K458" s="1">
        <f ca="1">IFERROR(__xludf.DUMMYFUNCTION("""COMPUTED_VALUE"""),51.54)</f>
        <v>51.54</v>
      </c>
      <c r="L458" s="1">
        <f ca="1">IFERROR(__xludf.DUMMYFUNCTION("""COMPUTED_VALUE"""),643.58)</f>
        <v>643.58000000000004</v>
      </c>
      <c r="M458" s="1">
        <f ca="1">IFERROR(__xludf.DUMMYFUNCTION("""COMPUTED_VALUE"""),664.78)</f>
        <v>664.78</v>
      </c>
      <c r="N458" s="1">
        <f ca="1">IFERROR(__xludf.DUMMYFUNCTION("""COMPUTED_VALUE"""),171.78)</f>
        <v>171.78</v>
      </c>
      <c r="O458" s="1">
        <f ca="1">IFERROR(__xludf.DUMMYFUNCTION("""COMPUTED_VALUE"""),231.23)</f>
        <v>231.23</v>
      </c>
      <c r="P458" s="1">
        <f ca="1">IFERROR(__xludf.DUMMYFUNCTION("""COMPUTED_VALUE"""),163.72)</f>
        <v>163.72</v>
      </c>
      <c r="Q458" s="1">
        <f ca="1">IFERROR(__xludf.DUMMYFUNCTION("""COMPUTED_VALUE"""),449.16)</f>
        <v>449.16</v>
      </c>
      <c r="R458" s="1">
        <f ca="1">IFERROR(__xludf.DUMMYFUNCTION("""COMPUTED_VALUE"""),63.12)</f>
        <v>63.12</v>
      </c>
      <c r="S458" s="1">
        <f ca="1">IFERROR(__xludf.DUMMYFUNCTION("""COMPUTED_VALUE"""),84.42)</f>
        <v>84.42</v>
      </c>
      <c r="T458" s="1">
        <f ca="1">IFERROR(__xludf.DUMMYFUNCTION("""COMPUTED_VALUE"""),49.45)</f>
        <v>49.45</v>
      </c>
      <c r="U458" s="1">
        <f ca="1">IFERROR(__xludf.DUMMYFUNCTION("""COMPUTED_VALUE"""),163.48)</f>
        <v>163.47999999999999</v>
      </c>
      <c r="V458" s="1">
        <f ca="1">IFERROR(__xludf.DUMMYFUNCTION("""COMPUTED_VALUE"""),200.65)</f>
        <v>200.65</v>
      </c>
      <c r="W458" s="1">
        <f ca="1">IFERROR(__xludf.DUMMYFUNCTION("""COMPUTED_VALUE"""),374.6)</f>
        <v>374.6</v>
      </c>
      <c r="X458" s="1">
        <f ca="1">IFERROR(__xludf.DUMMYFUNCTION("""COMPUTED_VALUE"""),800.97)</f>
        <v>800.97</v>
      </c>
      <c r="Y458" s="1">
        <f ca="1">IFERROR(__xludf.DUMMYFUNCTION("""COMPUTED_VALUE"""),114.23)</f>
        <v>114.23</v>
      </c>
      <c r="Z458" s="1">
        <f ca="1">IFERROR(__xludf.DUMMYFUNCTION("""COMPUTED_VALUE"""),414.32)</f>
        <v>414.32</v>
      </c>
      <c r="AA458" s="1">
        <f ca="1">IFERROR(__xludf.DUMMYFUNCTION("""COMPUTED_VALUE"""),43.16)</f>
        <v>43.16</v>
      </c>
      <c r="AB458" s="1">
        <f ca="1">IFERROR(__xludf.DUMMYFUNCTION("""COMPUTED_VALUE"""),114.55)</f>
        <v>114.55</v>
      </c>
      <c r="AC458" s="1">
        <f ca="1">IFERROR(__xludf.DUMMYFUNCTION("""COMPUTED_VALUE"""),119.82)</f>
        <v>119.82</v>
      </c>
    </row>
    <row r="459" spans="1:29" x14ac:dyDescent="0.25">
      <c r="A459" s="2">
        <f ca="1">IFERROR(__xludf.DUMMYFUNCTION("""COMPUTED_VALUE"""),44494.6666666666)</f>
        <v>44494.666666666599</v>
      </c>
      <c r="B459" s="1">
        <f ca="1">IFERROR(__xludf.DUMMYFUNCTION("""COMPUTED_VALUE"""),148.64)</f>
        <v>148.63999999999999</v>
      </c>
      <c r="C459" s="1">
        <f ca="1">IFERROR(__xludf.DUMMYFUNCTION("""COMPUTED_VALUE"""),308.13)</f>
        <v>308.13</v>
      </c>
      <c r="D459" s="1">
        <f ca="1">IFERROR(__xludf.DUMMYFUNCTION("""COMPUTED_VALUE"""),166.02)</f>
        <v>166.02</v>
      </c>
      <c r="E459" s="1">
        <f ca="1">IFERROR(__xludf.DUMMYFUNCTION("""COMPUTED_VALUE"""),23.17)</f>
        <v>23.17</v>
      </c>
      <c r="F459" s="1">
        <f ca="1">IFERROR(__xludf.DUMMYFUNCTION("""COMPUTED_VALUE"""),328.69)</f>
        <v>328.69</v>
      </c>
      <c r="G459" s="1">
        <f ca="1">IFERROR(__xludf.DUMMYFUNCTION("""COMPUTED_VALUE"""),138.77)</f>
        <v>138.77000000000001</v>
      </c>
      <c r="H459" s="1">
        <f ca="1">IFERROR(__xludf.DUMMYFUNCTION("""COMPUTED_VALUE"""),341.62)</f>
        <v>341.62</v>
      </c>
      <c r="I459" s="1">
        <f ca="1">IFERROR(__xludf.DUMMYFUNCTION("""COMPUTED_VALUE"""),159.22)</f>
        <v>159.22</v>
      </c>
      <c r="J459" s="1">
        <f ca="1">IFERROR(__xludf.DUMMYFUNCTION("""COMPUTED_VALUE"""),490.1)</f>
        <v>490.1</v>
      </c>
      <c r="K459" s="1">
        <f ca="1">IFERROR(__xludf.DUMMYFUNCTION("""COMPUTED_VALUE"""),52.21)</f>
        <v>52.21</v>
      </c>
      <c r="L459" s="1">
        <f ca="1">IFERROR(__xludf.DUMMYFUNCTION("""COMPUTED_VALUE"""),646.97)</f>
        <v>646.97</v>
      </c>
      <c r="M459" s="1">
        <f ca="1">IFERROR(__xludf.DUMMYFUNCTION("""COMPUTED_VALUE"""),671.66)</f>
        <v>671.66</v>
      </c>
      <c r="N459" s="1">
        <f ca="1">IFERROR(__xludf.DUMMYFUNCTION("""COMPUTED_VALUE"""),170.94)</f>
        <v>170.94</v>
      </c>
      <c r="O459" s="1">
        <f ca="1">IFERROR(__xludf.DUMMYFUNCTION("""COMPUTED_VALUE"""),233.88)</f>
        <v>233.88</v>
      </c>
      <c r="P459" s="1">
        <f ca="1">IFERROR(__xludf.DUMMYFUNCTION("""COMPUTED_VALUE"""),164.08)</f>
        <v>164.08</v>
      </c>
      <c r="Q459" s="1">
        <f ca="1">IFERROR(__xludf.DUMMYFUNCTION("""COMPUTED_VALUE"""),449.49)</f>
        <v>449.49</v>
      </c>
      <c r="R459" s="1">
        <f ca="1">IFERROR(__xludf.DUMMYFUNCTION("""COMPUTED_VALUE"""),64.35)</f>
        <v>64.349999999999994</v>
      </c>
      <c r="S459" s="1">
        <f ca="1">IFERROR(__xludf.DUMMYFUNCTION("""COMPUTED_VALUE"""),84.29)</f>
        <v>84.29</v>
      </c>
      <c r="T459" s="1">
        <f ca="1">IFERROR(__xludf.DUMMYFUNCTION("""COMPUTED_VALUE"""),50.02)</f>
        <v>50.02</v>
      </c>
      <c r="U459" s="1">
        <f ca="1">IFERROR(__xludf.DUMMYFUNCTION("""COMPUTED_VALUE"""),164.22)</f>
        <v>164.22</v>
      </c>
      <c r="V459" s="1">
        <f ca="1">IFERROR(__xludf.DUMMYFUNCTION("""COMPUTED_VALUE"""),202.21)</f>
        <v>202.21</v>
      </c>
      <c r="W459" s="1">
        <f ca="1">IFERROR(__xludf.DUMMYFUNCTION("""COMPUTED_VALUE"""),376.33)</f>
        <v>376.33</v>
      </c>
      <c r="X459" s="1">
        <f ca="1">IFERROR(__xludf.DUMMYFUNCTION("""COMPUTED_VALUE"""),788.44)</f>
        <v>788.44</v>
      </c>
      <c r="Y459" s="1">
        <f ca="1">IFERROR(__xludf.DUMMYFUNCTION("""COMPUTED_VALUE"""),113.64)</f>
        <v>113.64</v>
      </c>
      <c r="Z459" s="1">
        <f ca="1">IFERROR(__xludf.DUMMYFUNCTION("""COMPUTED_VALUE"""),414.75)</f>
        <v>414.75</v>
      </c>
      <c r="AA459" s="1">
        <f ca="1">IFERROR(__xludf.DUMMYFUNCTION("""COMPUTED_VALUE"""),43.15)</f>
        <v>43.15</v>
      </c>
      <c r="AB459" s="1">
        <f ca="1">IFERROR(__xludf.DUMMYFUNCTION("""COMPUTED_VALUE"""),114.71)</f>
        <v>114.71</v>
      </c>
      <c r="AC459" s="1">
        <f ca="1">IFERROR(__xludf.DUMMYFUNCTION("""COMPUTED_VALUE"""),122.36)</f>
        <v>122.36</v>
      </c>
    </row>
    <row r="460" spans="1:29" x14ac:dyDescent="0.25">
      <c r="A460" s="2">
        <f ca="1">IFERROR(__xludf.DUMMYFUNCTION("""COMPUTED_VALUE"""),44495.6666666666)</f>
        <v>44495.666666666599</v>
      </c>
      <c r="B460" s="1">
        <f ca="1">IFERROR(__xludf.DUMMYFUNCTION("""COMPUTED_VALUE"""),149.32)</f>
        <v>149.32</v>
      </c>
      <c r="C460" s="1">
        <f ca="1">IFERROR(__xludf.DUMMYFUNCTION("""COMPUTED_VALUE"""),310.11)</f>
        <v>310.11</v>
      </c>
      <c r="D460" s="1">
        <f ca="1">IFERROR(__xludf.DUMMYFUNCTION("""COMPUTED_VALUE"""),168.8)</f>
        <v>168.8</v>
      </c>
      <c r="E460" s="1">
        <f ca="1">IFERROR(__xludf.DUMMYFUNCTION("""COMPUTED_VALUE"""),24.72)</f>
        <v>24.72</v>
      </c>
      <c r="F460" s="1">
        <f ca="1">IFERROR(__xludf.DUMMYFUNCTION("""COMPUTED_VALUE"""),315.81)</f>
        <v>315.81</v>
      </c>
      <c r="G460" s="1">
        <f ca="1">IFERROR(__xludf.DUMMYFUNCTION("""COMPUTED_VALUE"""),139.67)</f>
        <v>139.66999999999999</v>
      </c>
      <c r="H460" s="1">
        <f ca="1">IFERROR(__xludf.DUMMYFUNCTION("""COMPUTED_VALUE"""),339.48)</f>
        <v>339.48</v>
      </c>
      <c r="I460" s="1">
        <f ca="1">IFERROR(__xludf.DUMMYFUNCTION("""COMPUTED_VALUE"""),161.17)</f>
        <v>161.16999999999999</v>
      </c>
      <c r="J460" s="1">
        <f ca="1">IFERROR(__xludf.DUMMYFUNCTION("""COMPUTED_VALUE"""),485.53)</f>
        <v>485.53</v>
      </c>
      <c r="K460" s="1">
        <f ca="1">IFERROR(__xludf.DUMMYFUNCTION("""COMPUTED_VALUE"""),53.39)</f>
        <v>53.39</v>
      </c>
      <c r="L460" s="1">
        <f ca="1">IFERROR(__xludf.DUMMYFUNCTION("""COMPUTED_VALUE"""),642.5)</f>
        <v>642.5</v>
      </c>
      <c r="M460" s="1">
        <f ca="1">IFERROR(__xludf.DUMMYFUNCTION("""COMPUTED_VALUE"""),668.52)</f>
        <v>668.52</v>
      </c>
      <c r="N460" s="1">
        <f ca="1">IFERROR(__xludf.DUMMYFUNCTION("""COMPUTED_VALUE"""),171.4)</f>
        <v>171.4</v>
      </c>
      <c r="O460" s="1">
        <f ca="1">IFERROR(__xludf.DUMMYFUNCTION("""COMPUTED_VALUE"""),231.82)</f>
        <v>231.82</v>
      </c>
      <c r="P460" s="1">
        <f ca="1">IFERROR(__xludf.DUMMYFUNCTION("""COMPUTED_VALUE"""),165.75)</f>
        <v>165.75</v>
      </c>
      <c r="Q460" s="1">
        <f ca="1">IFERROR(__xludf.DUMMYFUNCTION("""COMPUTED_VALUE"""),454.64)</f>
        <v>454.64</v>
      </c>
      <c r="R460" s="1">
        <f ca="1">IFERROR(__xludf.DUMMYFUNCTION("""COMPUTED_VALUE"""),65.84)</f>
        <v>65.84</v>
      </c>
      <c r="S460" s="1">
        <f ca="1">IFERROR(__xludf.DUMMYFUNCTION("""COMPUTED_VALUE"""),85.47)</f>
        <v>85.47</v>
      </c>
      <c r="T460" s="1">
        <f ca="1">IFERROR(__xludf.DUMMYFUNCTION("""COMPUTED_VALUE"""),49.58)</f>
        <v>49.58</v>
      </c>
      <c r="U460" s="1">
        <f ca="1">IFERROR(__xludf.DUMMYFUNCTION("""COMPUTED_VALUE"""),163.79)</f>
        <v>163.79</v>
      </c>
      <c r="V460" s="1">
        <f ca="1">IFERROR(__xludf.DUMMYFUNCTION("""COMPUTED_VALUE"""),199.64)</f>
        <v>199.64</v>
      </c>
      <c r="W460" s="1">
        <f ca="1">IFERROR(__xludf.DUMMYFUNCTION("""COMPUTED_VALUE"""),331.91)</f>
        <v>331.91</v>
      </c>
      <c r="X460" s="1">
        <f ca="1">IFERROR(__xludf.DUMMYFUNCTION("""COMPUTED_VALUE"""),791.23)</f>
        <v>791.23</v>
      </c>
      <c r="Y460" s="1">
        <f ca="1">IFERROR(__xludf.DUMMYFUNCTION("""COMPUTED_VALUE"""),114.18)</f>
        <v>114.18</v>
      </c>
      <c r="Z460" s="1">
        <f ca="1">IFERROR(__xludf.DUMMYFUNCTION("""COMPUTED_VALUE"""),417.61)</f>
        <v>417.61</v>
      </c>
      <c r="AA460" s="1">
        <f ca="1">IFERROR(__xludf.DUMMYFUNCTION("""COMPUTED_VALUE"""),43.56)</f>
        <v>43.56</v>
      </c>
      <c r="AB460" s="1">
        <f ca="1">IFERROR(__xludf.DUMMYFUNCTION("""COMPUTED_VALUE"""),114.92)</f>
        <v>114.92</v>
      </c>
      <c r="AC460" s="1">
        <f ca="1">IFERROR(__xludf.DUMMYFUNCTION("""COMPUTED_VALUE"""),122.93)</f>
        <v>122.93</v>
      </c>
    </row>
    <row r="461" spans="1:29" x14ac:dyDescent="0.25">
      <c r="A461" s="2">
        <f ca="1">IFERROR(__xludf.DUMMYFUNCTION("""COMPUTED_VALUE"""),44496.6666666666)</f>
        <v>44496.666666666599</v>
      </c>
      <c r="B461" s="1">
        <f ca="1">IFERROR(__xludf.DUMMYFUNCTION("""COMPUTED_VALUE"""),148.85)</f>
        <v>148.85</v>
      </c>
      <c r="C461" s="1">
        <f ca="1">IFERROR(__xludf.DUMMYFUNCTION("""COMPUTED_VALUE"""),323.17)</f>
        <v>323.17</v>
      </c>
      <c r="D461" s="1">
        <f ca="1">IFERROR(__xludf.DUMMYFUNCTION("""COMPUTED_VALUE"""),169.62)</f>
        <v>169.62</v>
      </c>
      <c r="E461" s="1">
        <f ca="1">IFERROR(__xludf.DUMMYFUNCTION("""COMPUTED_VALUE"""),24.45)</f>
        <v>24.45</v>
      </c>
      <c r="F461" s="1">
        <f ca="1">IFERROR(__xludf.DUMMYFUNCTION("""COMPUTED_VALUE"""),312.22)</f>
        <v>312.22000000000003</v>
      </c>
      <c r="G461" s="1">
        <f ca="1">IFERROR(__xludf.DUMMYFUNCTION("""COMPUTED_VALUE"""),146.43)</f>
        <v>146.43</v>
      </c>
      <c r="H461" s="1">
        <f ca="1">IFERROR(__xludf.DUMMYFUNCTION("""COMPUTED_VALUE"""),345.95)</f>
        <v>345.95</v>
      </c>
      <c r="I461" s="1">
        <f ca="1">IFERROR(__xludf.DUMMYFUNCTION("""COMPUTED_VALUE"""),160.61)</f>
        <v>160.61000000000001</v>
      </c>
      <c r="J461" s="1">
        <f ca="1">IFERROR(__xludf.DUMMYFUNCTION("""COMPUTED_VALUE"""),489.11)</f>
        <v>489.11</v>
      </c>
      <c r="K461" s="1">
        <f ca="1">IFERROR(__xludf.DUMMYFUNCTION("""COMPUTED_VALUE"""),52.31)</f>
        <v>52.31</v>
      </c>
      <c r="L461" s="1">
        <f ca="1">IFERROR(__xludf.DUMMYFUNCTION("""COMPUTED_VALUE"""),640.08)</f>
        <v>640.08000000000004</v>
      </c>
      <c r="M461" s="1">
        <f ca="1">IFERROR(__xludf.DUMMYFUNCTION("""COMPUTED_VALUE"""),662.92)</f>
        <v>662.92</v>
      </c>
      <c r="N461" s="1">
        <f ca="1">IFERROR(__xludf.DUMMYFUNCTION("""COMPUTED_VALUE"""),167.83)</f>
        <v>167.83</v>
      </c>
      <c r="O461" s="1">
        <f ca="1">IFERROR(__xludf.DUMMYFUNCTION("""COMPUTED_VALUE"""),215.78)</f>
        <v>215.78</v>
      </c>
      <c r="P461" s="1">
        <f ca="1">IFERROR(__xludf.DUMMYFUNCTION("""COMPUTED_VALUE"""),163.74)</f>
        <v>163.74</v>
      </c>
      <c r="Q461" s="1">
        <f ca="1">IFERROR(__xludf.DUMMYFUNCTION("""COMPUTED_VALUE"""),453.48)</f>
        <v>453.48</v>
      </c>
      <c r="R461" s="1">
        <f ca="1">IFERROR(__xludf.DUMMYFUNCTION("""COMPUTED_VALUE"""),64.13)</f>
        <v>64.13</v>
      </c>
      <c r="S461" s="1">
        <f ca="1">IFERROR(__xludf.DUMMYFUNCTION("""COMPUTED_VALUE"""),85.01)</f>
        <v>85.01</v>
      </c>
      <c r="T461" s="1">
        <f ca="1">IFERROR(__xludf.DUMMYFUNCTION("""COMPUTED_VALUE"""),49.18)</f>
        <v>49.18</v>
      </c>
      <c r="U461" s="1">
        <f ca="1">IFERROR(__xludf.DUMMYFUNCTION("""COMPUTED_VALUE"""),162.35)</f>
        <v>162.35</v>
      </c>
      <c r="V461" s="1">
        <f ca="1">IFERROR(__xludf.DUMMYFUNCTION("""COMPUTED_VALUE"""),196.13)</f>
        <v>196.13</v>
      </c>
      <c r="W461" s="1">
        <f ca="1">IFERROR(__xludf.DUMMYFUNCTION("""COMPUTED_VALUE"""),330.94)</f>
        <v>330.94</v>
      </c>
      <c r="X461" s="1">
        <f ca="1">IFERROR(__xludf.DUMMYFUNCTION("""COMPUTED_VALUE"""),801)</f>
        <v>801</v>
      </c>
      <c r="Y461" s="1">
        <f ca="1">IFERROR(__xludf.DUMMYFUNCTION("""COMPUTED_VALUE"""),113.75)</f>
        <v>113.75</v>
      </c>
      <c r="Z461" s="1">
        <f ca="1">IFERROR(__xludf.DUMMYFUNCTION("""COMPUTED_VALUE"""),410.99)</f>
        <v>410.99</v>
      </c>
      <c r="AA461" s="1">
        <f ca="1">IFERROR(__xludf.DUMMYFUNCTION("""COMPUTED_VALUE"""),42.97)</f>
        <v>42.97</v>
      </c>
      <c r="AB461" s="1">
        <f ca="1">IFERROR(__xludf.DUMMYFUNCTION("""COMPUTED_VALUE"""),113.51)</f>
        <v>113.51</v>
      </c>
      <c r="AC461" s="1">
        <f ca="1">IFERROR(__xludf.DUMMYFUNCTION("""COMPUTED_VALUE"""),122.28)</f>
        <v>122.28</v>
      </c>
    </row>
    <row r="462" spans="1:29" x14ac:dyDescent="0.25">
      <c r="A462" s="2">
        <f ca="1">IFERROR(__xludf.DUMMYFUNCTION("""COMPUTED_VALUE"""),44497.6666666666)</f>
        <v>44497.666666666599</v>
      </c>
      <c r="B462" s="1">
        <f ca="1">IFERROR(__xludf.DUMMYFUNCTION("""COMPUTED_VALUE"""),152.57)</f>
        <v>152.57</v>
      </c>
      <c r="C462" s="1">
        <f ca="1">IFERROR(__xludf.DUMMYFUNCTION("""COMPUTED_VALUE"""),324.35)</f>
        <v>324.35000000000002</v>
      </c>
      <c r="D462" s="1">
        <f ca="1">IFERROR(__xludf.DUMMYFUNCTION("""COMPUTED_VALUE"""),172.33)</f>
        <v>172.33</v>
      </c>
      <c r="E462" s="1">
        <f ca="1">IFERROR(__xludf.DUMMYFUNCTION("""COMPUTED_VALUE"""),24.94)</f>
        <v>24.94</v>
      </c>
      <c r="F462" s="1">
        <f ca="1">IFERROR(__xludf.DUMMYFUNCTION("""COMPUTED_VALUE"""),316.92)</f>
        <v>316.92</v>
      </c>
      <c r="G462" s="1">
        <f ca="1">IFERROR(__xludf.DUMMYFUNCTION("""COMPUTED_VALUE"""),146.13)</f>
        <v>146.13</v>
      </c>
      <c r="H462" s="1">
        <f ca="1">IFERROR(__xludf.DUMMYFUNCTION("""COMPUTED_VALUE"""),359.01)</f>
        <v>359.01</v>
      </c>
      <c r="I462" s="1">
        <f ca="1">IFERROR(__xludf.DUMMYFUNCTION("""COMPUTED_VALUE"""),161.62)</f>
        <v>161.62</v>
      </c>
      <c r="J462" s="1">
        <f ca="1">IFERROR(__xludf.DUMMYFUNCTION("""COMPUTED_VALUE"""),490.53)</f>
        <v>490.53</v>
      </c>
      <c r="K462" s="1">
        <f ca="1">IFERROR(__xludf.DUMMYFUNCTION("""COMPUTED_VALUE"""),52.96)</f>
        <v>52.96</v>
      </c>
      <c r="L462" s="1">
        <f ca="1">IFERROR(__xludf.DUMMYFUNCTION("""COMPUTED_VALUE"""),639.28)</f>
        <v>639.28</v>
      </c>
      <c r="M462" s="1">
        <f ca="1">IFERROR(__xludf.DUMMYFUNCTION("""COMPUTED_VALUE"""),674.05)</f>
        <v>674.05</v>
      </c>
      <c r="N462" s="1">
        <f ca="1">IFERROR(__xludf.DUMMYFUNCTION("""COMPUTED_VALUE"""),170.36)</f>
        <v>170.36</v>
      </c>
      <c r="O462" s="1">
        <f ca="1">IFERROR(__xludf.DUMMYFUNCTION("""COMPUTED_VALUE"""),209.84)</f>
        <v>209.84</v>
      </c>
      <c r="P462" s="1">
        <f ca="1">IFERROR(__xludf.DUMMYFUNCTION("""COMPUTED_VALUE"""),162.85)</f>
        <v>162.85</v>
      </c>
      <c r="Q462" s="1">
        <f ca="1">IFERROR(__xludf.DUMMYFUNCTION("""COMPUTED_VALUE"""),455.44)</f>
        <v>455.44</v>
      </c>
      <c r="R462" s="1">
        <f ca="1">IFERROR(__xludf.DUMMYFUNCTION("""COMPUTED_VALUE"""),64.31)</f>
        <v>64.31</v>
      </c>
      <c r="S462" s="1">
        <f ca="1">IFERROR(__xludf.DUMMYFUNCTION("""COMPUTED_VALUE"""),86.42)</f>
        <v>86.42</v>
      </c>
      <c r="T462" s="1">
        <f ca="1">IFERROR(__xludf.DUMMYFUNCTION("""COMPUTED_VALUE"""),49.48)</f>
        <v>49.48</v>
      </c>
      <c r="U462" s="1">
        <f ca="1">IFERROR(__xludf.DUMMYFUNCTION("""COMPUTED_VALUE"""),164.46)</f>
        <v>164.46</v>
      </c>
      <c r="V462" s="1">
        <f ca="1">IFERROR(__xludf.DUMMYFUNCTION("""COMPUTED_VALUE"""),204.09)</f>
        <v>204.09</v>
      </c>
      <c r="W462" s="1">
        <f ca="1">IFERROR(__xludf.DUMMYFUNCTION("""COMPUTED_VALUE"""),331.39)</f>
        <v>331.39</v>
      </c>
      <c r="X462" s="1">
        <f ca="1">IFERROR(__xludf.DUMMYFUNCTION("""COMPUTED_VALUE"""),813.19)</f>
        <v>813.19</v>
      </c>
      <c r="Y462" s="1">
        <f ca="1">IFERROR(__xludf.DUMMYFUNCTION("""COMPUTED_VALUE"""),116.01)</f>
        <v>116.01</v>
      </c>
      <c r="Z462" s="1">
        <f ca="1">IFERROR(__xludf.DUMMYFUNCTION("""COMPUTED_VALUE"""),414.82)</f>
        <v>414.82</v>
      </c>
      <c r="AA462" s="1">
        <f ca="1">IFERROR(__xludf.DUMMYFUNCTION("""COMPUTED_VALUE"""),43.18)</f>
        <v>43.18</v>
      </c>
      <c r="AB462" s="1">
        <f ca="1">IFERROR(__xludf.DUMMYFUNCTION("""COMPUTED_VALUE"""),113.2)</f>
        <v>113.2</v>
      </c>
      <c r="AC462" s="1">
        <f ca="1">IFERROR(__xludf.DUMMYFUNCTION("""COMPUTED_VALUE"""),121.16)</f>
        <v>121.16</v>
      </c>
    </row>
    <row r="463" spans="1:29" x14ac:dyDescent="0.25">
      <c r="A463" s="2">
        <f ca="1">IFERROR(__xludf.DUMMYFUNCTION("""COMPUTED_VALUE"""),44498.6666666666)</f>
        <v>44498.666666666599</v>
      </c>
      <c r="B463" s="1">
        <f ca="1">IFERROR(__xludf.DUMMYFUNCTION("""COMPUTED_VALUE"""),149.8)</f>
        <v>149.80000000000001</v>
      </c>
      <c r="C463" s="1">
        <f ca="1">IFERROR(__xludf.DUMMYFUNCTION("""COMPUTED_VALUE"""),331.62)</f>
        <v>331.62</v>
      </c>
      <c r="D463" s="1">
        <f ca="1">IFERROR(__xludf.DUMMYFUNCTION("""COMPUTED_VALUE"""),168.62)</f>
        <v>168.62</v>
      </c>
      <c r="E463" s="1">
        <f ca="1">IFERROR(__xludf.DUMMYFUNCTION("""COMPUTED_VALUE"""),25.57)</f>
        <v>25.57</v>
      </c>
      <c r="F463" s="1">
        <f ca="1">IFERROR(__xludf.DUMMYFUNCTION("""COMPUTED_VALUE"""),323.57)</f>
        <v>323.57</v>
      </c>
      <c r="G463" s="1">
        <f ca="1">IFERROR(__xludf.DUMMYFUNCTION("""COMPUTED_VALUE"""),148.27)</f>
        <v>148.27000000000001</v>
      </c>
      <c r="H463" s="1">
        <f ca="1">IFERROR(__xludf.DUMMYFUNCTION("""COMPUTED_VALUE"""),371.33)</f>
        <v>371.33</v>
      </c>
      <c r="I463" s="1">
        <f ca="1">IFERROR(__xludf.DUMMYFUNCTION("""COMPUTED_VALUE"""),161.6)</f>
        <v>161.6</v>
      </c>
      <c r="J463" s="1">
        <f ca="1">IFERROR(__xludf.DUMMYFUNCTION("""COMPUTED_VALUE"""),491.54)</f>
        <v>491.54</v>
      </c>
      <c r="K463" s="1">
        <f ca="1">IFERROR(__xludf.DUMMYFUNCTION("""COMPUTED_VALUE"""),53.17)</f>
        <v>53.17</v>
      </c>
      <c r="L463" s="1">
        <f ca="1">IFERROR(__xludf.DUMMYFUNCTION("""COMPUTED_VALUE"""),650.36)</f>
        <v>650.36</v>
      </c>
      <c r="M463" s="1">
        <f ca="1">IFERROR(__xludf.DUMMYFUNCTION("""COMPUTED_VALUE"""),690.31)</f>
        <v>690.31</v>
      </c>
      <c r="N463" s="1">
        <f ca="1">IFERROR(__xludf.DUMMYFUNCTION("""COMPUTED_VALUE"""),169.89)</f>
        <v>169.89</v>
      </c>
      <c r="O463" s="1">
        <f ca="1">IFERROR(__xludf.DUMMYFUNCTION("""COMPUTED_VALUE"""),211.77)</f>
        <v>211.77</v>
      </c>
      <c r="P463" s="1">
        <f ca="1">IFERROR(__xludf.DUMMYFUNCTION("""COMPUTED_VALUE"""),162.88)</f>
        <v>162.88</v>
      </c>
      <c r="Q463" s="1">
        <f ca="1">IFERROR(__xludf.DUMMYFUNCTION("""COMPUTED_VALUE"""),460.47)</f>
        <v>460.47</v>
      </c>
      <c r="R463" s="1">
        <f ca="1">IFERROR(__xludf.DUMMYFUNCTION("""COMPUTED_VALUE"""),64.47)</f>
        <v>64.47</v>
      </c>
      <c r="S463" s="1">
        <f ca="1">IFERROR(__xludf.DUMMYFUNCTION("""COMPUTED_VALUE"""),85.33)</f>
        <v>85.33</v>
      </c>
      <c r="T463" s="1">
        <f ca="1">IFERROR(__xludf.DUMMYFUNCTION("""COMPUTED_VALUE"""),49.81)</f>
        <v>49.81</v>
      </c>
      <c r="U463" s="1">
        <f ca="1">IFERROR(__xludf.DUMMYFUNCTION("""COMPUTED_VALUE"""),167.29)</f>
        <v>167.29</v>
      </c>
      <c r="V463" s="1">
        <f ca="1">IFERROR(__xludf.DUMMYFUNCTION("""COMPUTED_VALUE"""),204.01)</f>
        <v>204.01</v>
      </c>
      <c r="W463" s="1">
        <f ca="1">IFERROR(__xludf.DUMMYFUNCTION("""COMPUTED_VALUE"""),332.32)</f>
        <v>332.32</v>
      </c>
      <c r="X463" s="1">
        <f ca="1">IFERROR(__xludf.DUMMYFUNCTION("""COMPUTED_VALUE"""),812.88)</f>
        <v>812.88</v>
      </c>
      <c r="Y463" s="1">
        <f ca="1">IFERROR(__xludf.DUMMYFUNCTION("""COMPUTED_VALUE"""),113.7)</f>
        <v>113.7</v>
      </c>
      <c r="Z463" s="1">
        <f ca="1">IFERROR(__xludf.DUMMYFUNCTION("""COMPUTED_VALUE"""),413.35)</f>
        <v>413.35</v>
      </c>
      <c r="AA463" s="1">
        <f ca="1">IFERROR(__xludf.DUMMYFUNCTION("""COMPUTED_VALUE"""),43.74)</f>
        <v>43.74</v>
      </c>
      <c r="AB463" s="1">
        <f ca="1">IFERROR(__xludf.DUMMYFUNCTION("""COMPUTED_VALUE"""),106.07)</f>
        <v>106.07</v>
      </c>
      <c r="AC463" s="1">
        <f ca="1">IFERROR(__xludf.DUMMYFUNCTION("""COMPUTED_VALUE"""),120.23)</f>
        <v>120.23</v>
      </c>
    </row>
    <row r="464" spans="1:29" x14ac:dyDescent="0.25">
      <c r="A464" s="2">
        <f ca="1">IFERROR(__xludf.DUMMYFUNCTION("""COMPUTED_VALUE"""),44501.6666666666)</f>
        <v>44501.666666666599</v>
      </c>
      <c r="B464" s="1">
        <f ca="1">IFERROR(__xludf.DUMMYFUNCTION("""COMPUTED_VALUE"""),148.96)</f>
        <v>148.96</v>
      </c>
      <c r="C464" s="1">
        <f ca="1">IFERROR(__xludf.DUMMYFUNCTION("""COMPUTED_VALUE"""),329.37)</f>
        <v>329.37</v>
      </c>
      <c r="D464" s="1">
        <f ca="1">IFERROR(__xludf.DUMMYFUNCTION("""COMPUTED_VALUE"""),165.91)</f>
        <v>165.91</v>
      </c>
      <c r="E464" s="1">
        <f ca="1">IFERROR(__xludf.DUMMYFUNCTION("""COMPUTED_VALUE"""),25.83)</f>
        <v>25.83</v>
      </c>
      <c r="F464" s="1">
        <f ca="1">IFERROR(__xludf.DUMMYFUNCTION("""COMPUTED_VALUE"""),329.98)</f>
        <v>329.98</v>
      </c>
      <c r="G464" s="1">
        <f ca="1">IFERROR(__xludf.DUMMYFUNCTION("""COMPUTED_VALUE"""),143.77)</f>
        <v>143.77000000000001</v>
      </c>
      <c r="H464" s="1">
        <f ca="1">IFERROR(__xludf.DUMMYFUNCTION("""COMPUTED_VALUE"""),402.86)</f>
        <v>402.86</v>
      </c>
      <c r="I464" s="1">
        <f ca="1">IFERROR(__xludf.DUMMYFUNCTION("""COMPUTED_VALUE"""),161.26)</f>
        <v>161.26</v>
      </c>
      <c r="J464" s="1">
        <f ca="1">IFERROR(__xludf.DUMMYFUNCTION("""COMPUTED_VALUE"""),491.87)</f>
        <v>491.87</v>
      </c>
      <c r="K464" s="1">
        <f ca="1">IFERROR(__xludf.DUMMYFUNCTION("""COMPUTED_VALUE"""),52.81)</f>
        <v>52.81</v>
      </c>
      <c r="L464" s="1">
        <f ca="1">IFERROR(__xludf.DUMMYFUNCTION("""COMPUTED_VALUE"""),640.2)</f>
        <v>640.20000000000005</v>
      </c>
      <c r="M464" s="1">
        <f ca="1">IFERROR(__xludf.DUMMYFUNCTION("""COMPUTED_VALUE"""),681.17)</f>
        <v>681.17</v>
      </c>
      <c r="N464" s="1">
        <f ca="1">IFERROR(__xludf.DUMMYFUNCTION("""COMPUTED_VALUE"""),169.8)</f>
        <v>169.8</v>
      </c>
      <c r="O464" s="1">
        <f ca="1">IFERROR(__xludf.DUMMYFUNCTION("""COMPUTED_VALUE"""),212.46)</f>
        <v>212.46</v>
      </c>
      <c r="P464" s="1">
        <f ca="1">IFERROR(__xludf.DUMMYFUNCTION("""COMPUTED_VALUE"""),163.02)</f>
        <v>163.02000000000001</v>
      </c>
      <c r="Q464" s="1">
        <f ca="1">IFERROR(__xludf.DUMMYFUNCTION("""COMPUTED_VALUE"""),454.11)</f>
        <v>454.11</v>
      </c>
      <c r="R464" s="1">
        <f ca="1">IFERROR(__xludf.DUMMYFUNCTION("""COMPUTED_VALUE"""),65.63)</f>
        <v>65.63</v>
      </c>
      <c r="S464" s="1">
        <f ca="1">IFERROR(__xludf.DUMMYFUNCTION("""COMPUTED_VALUE"""),85.59)</f>
        <v>85.59</v>
      </c>
      <c r="T464" s="1">
        <f ca="1">IFERROR(__xludf.DUMMYFUNCTION("""COMPUTED_VALUE"""),49.93)</f>
        <v>49.93</v>
      </c>
      <c r="U464" s="1">
        <f ca="1">IFERROR(__xludf.DUMMYFUNCTION("""COMPUTED_VALUE"""),166.33)</f>
        <v>166.33</v>
      </c>
      <c r="V464" s="1">
        <f ca="1">IFERROR(__xludf.DUMMYFUNCTION("""COMPUTED_VALUE"""),205.38)</f>
        <v>205.38</v>
      </c>
      <c r="W464" s="1">
        <f ca="1">IFERROR(__xludf.DUMMYFUNCTION("""COMPUTED_VALUE"""),330.93)</f>
        <v>330.93</v>
      </c>
      <c r="X464" s="1">
        <f ca="1">IFERROR(__xludf.DUMMYFUNCTION("""COMPUTED_VALUE"""),807.45)</f>
        <v>807.45</v>
      </c>
      <c r="Y464" s="1">
        <f ca="1">IFERROR(__xludf.DUMMYFUNCTION("""COMPUTED_VALUE"""),114.12)</f>
        <v>114.12</v>
      </c>
      <c r="Z464" s="1">
        <f ca="1">IFERROR(__xludf.DUMMYFUNCTION("""COMPUTED_VALUE"""),416.7)</f>
        <v>416.7</v>
      </c>
      <c r="AA464" s="1">
        <f ca="1">IFERROR(__xludf.DUMMYFUNCTION("""COMPUTED_VALUE"""),43.64)</f>
        <v>43.64</v>
      </c>
      <c r="AB464" s="1">
        <f ca="1">IFERROR(__xludf.DUMMYFUNCTION("""COMPUTED_VALUE"""),109.8)</f>
        <v>109.8</v>
      </c>
      <c r="AC464" s="1">
        <f ca="1">IFERROR(__xludf.DUMMYFUNCTION("""COMPUTED_VALUE"""),125.23)</f>
        <v>125.23</v>
      </c>
    </row>
    <row r="465" spans="1:29" x14ac:dyDescent="0.25">
      <c r="A465" s="2">
        <f ca="1">IFERROR(__xludf.DUMMYFUNCTION("""COMPUTED_VALUE"""),44502.6666666666)</f>
        <v>44502.666666666599</v>
      </c>
      <c r="B465" s="1">
        <f ca="1">IFERROR(__xludf.DUMMYFUNCTION("""COMPUTED_VALUE"""),150.02)</f>
        <v>150.02000000000001</v>
      </c>
      <c r="C465" s="1">
        <f ca="1">IFERROR(__xludf.DUMMYFUNCTION("""COMPUTED_VALUE"""),333.13)</f>
        <v>333.13</v>
      </c>
      <c r="D465" s="1">
        <f ca="1">IFERROR(__xludf.DUMMYFUNCTION("""COMPUTED_VALUE"""),165.64)</f>
        <v>165.64</v>
      </c>
      <c r="E465" s="1">
        <f ca="1">IFERROR(__xludf.DUMMYFUNCTION("""COMPUTED_VALUE"""),26.4)</f>
        <v>26.4</v>
      </c>
      <c r="F465" s="1">
        <f ca="1">IFERROR(__xludf.DUMMYFUNCTION("""COMPUTED_VALUE"""),328.08)</f>
        <v>328.08</v>
      </c>
      <c r="G465" s="1">
        <f ca="1">IFERROR(__xludf.DUMMYFUNCTION("""COMPUTED_VALUE"""),145.86)</f>
        <v>145.86000000000001</v>
      </c>
      <c r="H465" s="1">
        <f ca="1">IFERROR(__xludf.DUMMYFUNCTION("""COMPUTED_VALUE"""),390.67)</f>
        <v>390.67</v>
      </c>
      <c r="I465" s="1">
        <f ca="1">IFERROR(__xludf.DUMMYFUNCTION("""COMPUTED_VALUE"""),162.74)</f>
        <v>162.74</v>
      </c>
      <c r="J465" s="1">
        <f ca="1">IFERROR(__xludf.DUMMYFUNCTION("""COMPUTED_VALUE"""),496.99)</f>
        <v>496.99</v>
      </c>
      <c r="K465" s="1">
        <f ca="1">IFERROR(__xludf.DUMMYFUNCTION("""COMPUTED_VALUE"""),53.71)</f>
        <v>53.71</v>
      </c>
      <c r="L465" s="1">
        <f ca="1">IFERROR(__xludf.DUMMYFUNCTION("""COMPUTED_VALUE"""),640.4)</f>
        <v>640.4</v>
      </c>
      <c r="M465" s="1">
        <f ca="1">IFERROR(__xludf.DUMMYFUNCTION("""COMPUTED_VALUE"""),677.72)</f>
        <v>677.72</v>
      </c>
      <c r="N465" s="1">
        <f ca="1">IFERROR(__xludf.DUMMYFUNCTION("""COMPUTED_VALUE"""),170.47)</f>
        <v>170.47</v>
      </c>
      <c r="O465" s="1">
        <f ca="1">IFERROR(__xludf.DUMMYFUNCTION("""COMPUTED_VALUE"""),209.14)</f>
        <v>209.14</v>
      </c>
      <c r="P465" s="1">
        <f ca="1">IFERROR(__xludf.DUMMYFUNCTION("""COMPUTED_VALUE"""),165.59)</f>
        <v>165.59</v>
      </c>
      <c r="Q465" s="1">
        <f ca="1">IFERROR(__xludf.DUMMYFUNCTION("""COMPUTED_VALUE"""),452.04)</f>
        <v>452.04</v>
      </c>
      <c r="R465" s="1">
        <f ca="1">IFERROR(__xludf.DUMMYFUNCTION("""COMPUTED_VALUE"""),64.82)</f>
        <v>64.819999999999993</v>
      </c>
      <c r="S465" s="1">
        <f ca="1">IFERROR(__xludf.DUMMYFUNCTION("""COMPUTED_VALUE"""),85.42)</f>
        <v>85.42</v>
      </c>
      <c r="T465" s="1">
        <f ca="1">IFERROR(__xludf.DUMMYFUNCTION("""COMPUTED_VALUE"""),49.91)</f>
        <v>49.91</v>
      </c>
      <c r="U465" s="1">
        <f ca="1">IFERROR(__xludf.DUMMYFUNCTION("""COMPUTED_VALUE"""),167.83)</f>
        <v>167.83</v>
      </c>
      <c r="V465" s="1">
        <f ca="1">IFERROR(__xludf.DUMMYFUNCTION("""COMPUTED_VALUE"""),207.12)</f>
        <v>207.12</v>
      </c>
      <c r="W465" s="1">
        <f ca="1">IFERROR(__xludf.DUMMYFUNCTION("""COMPUTED_VALUE"""),326.31)</f>
        <v>326.31</v>
      </c>
      <c r="X465" s="1">
        <f ca="1">IFERROR(__xludf.DUMMYFUNCTION("""COMPUTED_VALUE"""),812.02)</f>
        <v>812.02</v>
      </c>
      <c r="Y465" s="1">
        <f ca="1">IFERROR(__xludf.DUMMYFUNCTION("""COMPUTED_VALUE"""),114.11)</f>
        <v>114.11</v>
      </c>
      <c r="Z465" s="1">
        <f ca="1">IFERROR(__xludf.DUMMYFUNCTION("""COMPUTED_VALUE"""),423.85)</f>
        <v>423.85</v>
      </c>
      <c r="AA465" s="1">
        <f ca="1">IFERROR(__xludf.DUMMYFUNCTION("""COMPUTED_VALUE"""),45.45)</f>
        <v>45.45</v>
      </c>
      <c r="AB465" s="1">
        <f ca="1">IFERROR(__xludf.DUMMYFUNCTION("""COMPUTED_VALUE"""),111.45)</f>
        <v>111.45</v>
      </c>
      <c r="AC465" s="1">
        <f ca="1">IFERROR(__xludf.DUMMYFUNCTION("""COMPUTED_VALUE"""),127.63)</f>
        <v>127.63</v>
      </c>
    </row>
    <row r="466" spans="1:29" x14ac:dyDescent="0.25">
      <c r="A466" s="2">
        <f ca="1">IFERROR(__xludf.DUMMYFUNCTION("""COMPUTED_VALUE"""),44503.6666666666)</f>
        <v>44503.666666666599</v>
      </c>
      <c r="B466" s="1">
        <f ca="1">IFERROR(__xludf.DUMMYFUNCTION("""COMPUTED_VALUE"""),151.49)</f>
        <v>151.49</v>
      </c>
      <c r="C466" s="1">
        <f ca="1">IFERROR(__xludf.DUMMYFUNCTION("""COMPUTED_VALUE"""),334)</f>
        <v>334</v>
      </c>
      <c r="D466" s="1">
        <f ca="1">IFERROR(__xludf.DUMMYFUNCTION("""COMPUTED_VALUE"""),169.2)</f>
        <v>169.2</v>
      </c>
      <c r="E466" s="1">
        <f ca="1">IFERROR(__xludf.DUMMYFUNCTION("""COMPUTED_VALUE"""),26.6)</f>
        <v>26.6</v>
      </c>
      <c r="F466" s="1">
        <f ca="1">IFERROR(__xludf.DUMMYFUNCTION("""COMPUTED_VALUE"""),331.62)</f>
        <v>331.62</v>
      </c>
      <c r="G466" s="1">
        <f ca="1">IFERROR(__xludf.DUMMYFUNCTION("""COMPUTED_VALUE"""),146.79)</f>
        <v>146.79</v>
      </c>
      <c r="H466" s="1">
        <f ca="1">IFERROR(__xludf.DUMMYFUNCTION("""COMPUTED_VALUE"""),404.62)</f>
        <v>404.62</v>
      </c>
      <c r="I466" s="1">
        <f ca="1">IFERROR(__xludf.DUMMYFUNCTION("""COMPUTED_VALUE"""),164.3)</f>
        <v>164.3</v>
      </c>
      <c r="J466" s="1">
        <f ca="1">IFERROR(__xludf.DUMMYFUNCTION("""COMPUTED_VALUE"""),502.33)</f>
        <v>502.33</v>
      </c>
      <c r="K466" s="1">
        <f ca="1">IFERROR(__xludf.DUMMYFUNCTION("""COMPUTED_VALUE"""),54.24)</f>
        <v>54.24</v>
      </c>
      <c r="L466" s="1">
        <f ca="1">IFERROR(__xludf.DUMMYFUNCTION("""COMPUTED_VALUE"""),655.18)</f>
        <v>655.17999999999995</v>
      </c>
      <c r="M466" s="1">
        <f ca="1">IFERROR(__xludf.DUMMYFUNCTION("""COMPUTED_VALUE"""),688.29)</f>
        <v>688.29</v>
      </c>
      <c r="N466" s="1">
        <f ca="1">IFERROR(__xludf.DUMMYFUNCTION("""COMPUTED_VALUE"""),170.53)</f>
        <v>170.53</v>
      </c>
      <c r="O466" s="1">
        <f ca="1">IFERROR(__xludf.DUMMYFUNCTION("""COMPUTED_VALUE"""),208.1)</f>
        <v>208.1</v>
      </c>
      <c r="P466" s="1">
        <f ca="1">IFERROR(__xludf.DUMMYFUNCTION("""COMPUTED_VALUE"""),165.06)</f>
        <v>165.06</v>
      </c>
      <c r="Q466" s="1">
        <f ca="1">IFERROR(__xludf.DUMMYFUNCTION("""COMPUTED_VALUE"""),457.33)</f>
        <v>457.33</v>
      </c>
      <c r="R466" s="1">
        <f ca="1">IFERROR(__xludf.DUMMYFUNCTION("""COMPUTED_VALUE"""),63.93)</f>
        <v>63.93</v>
      </c>
      <c r="S466" s="1">
        <f ca="1">IFERROR(__xludf.DUMMYFUNCTION("""COMPUTED_VALUE"""),85.24)</f>
        <v>85.24</v>
      </c>
      <c r="T466" s="1">
        <f ca="1">IFERROR(__xludf.DUMMYFUNCTION("""COMPUTED_VALUE"""),50.06)</f>
        <v>50.06</v>
      </c>
      <c r="U466" s="1">
        <f ca="1">IFERROR(__xludf.DUMMYFUNCTION("""COMPUTED_VALUE"""),172.5)</f>
        <v>172.5</v>
      </c>
      <c r="V466" s="1">
        <f ca="1">IFERROR(__xludf.DUMMYFUNCTION("""COMPUTED_VALUE"""),203.55)</f>
        <v>203.55</v>
      </c>
      <c r="W466" s="1">
        <f ca="1">IFERROR(__xludf.DUMMYFUNCTION("""COMPUTED_VALUE"""),331.35)</f>
        <v>331.35</v>
      </c>
      <c r="X466" s="1">
        <f ca="1">IFERROR(__xludf.DUMMYFUNCTION("""COMPUTED_VALUE"""),830.02)</f>
        <v>830.02</v>
      </c>
      <c r="Y466" s="1">
        <f ca="1">IFERROR(__xludf.DUMMYFUNCTION("""COMPUTED_VALUE"""),114.01)</f>
        <v>114.01</v>
      </c>
      <c r="Z466" s="1">
        <f ca="1">IFERROR(__xludf.DUMMYFUNCTION("""COMPUTED_VALUE"""),417.9)</f>
        <v>417.9</v>
      </c>
      <c r="AA466" s="1">
        <f ca="1">IFERROR(__xludf.DUMMYFUNCTION("""COMPUTED_VALUE"""),44.82)</f>
        <v>44.82</v>
      </c>
      <c r="AB466" s="1">
        <f ca="1">IFERROR(__xludf.DUMMYFUNCTION("""COMPUTED_VALUE"""),112.61)</f>
        <v>112.61</v>
      </c>
      <c r="AC466" s="1">
        <f ca="1">IFERROR(__xludf.DUMMYFUNCTION("""COMPUTED_VALUE"""),130.53)</f>
        <v>130.53</v>
      </c>
    </row>
    <row r="467" spans="1:29" x14ac:dyDescent="0.25">
      <c r="A467" s="2">
        <f ca="1">IFERROR(__xludf.DUMMYFUNCTION("""COMPUTED_VALUE"""),44504.6666666666)</f>
        <v>44504.666666666599</v>
      </c>
      <c r="B467" s="1">
        <f ca="1">IFERROR(__xludf.DUMMYFUNCTION("""COMPUTED_VALUE"""),150.96)</f>
        <v>150.96</v>
      </c>
      <c r="C467" s="1">
        <f ca="1">IFERROR(__xludf.DUMMYFUNCTION("""COMPUTED_VALUE"""),336.44)</f>
        <v>336.44</v>
      </c>
      <c r="D467" s="1">
        <f ca="1">IFERROR(__xludf.DUMMYFUNCTION("""COMPUTED_VALUE"""),173.85)</f>
        <v>173.85</v>
      </c>
      <c r="E467" s="1">
        <f ca="1">IFERROR(__xludf.DUMMYFUNCTION("""COMPUTED_VALUE"""),29.8)</f>
        <v>29.8</v>
      </c>
      <c r="F467" s="1">
        <f ca="1">IFERROR(__xludf.DUMMYFUNCTION("""COMPUTED_VALUE"""),335.85)</f>
        <v>335.85</v>
      </c>
      <c r="G467" s="1">
        <f ca="1">IFERROR(__xludf.DUMMYFUNCTION("""COMPUTED_VALUE"""),148.68)</f>
        <v>148.68</v>
      </c>
      <c r="H467" s="1">
        <f ca="1">IFERROR(__xludf.DUMMYFUNCTION("""COMPUTED_VALUE"""),409.97)</f>
        <v>409.97</v>
      </c>
      <c r="I467" s="1">
        <f ca="1">IFERROR(__xludf.DUMMYFUNCTION("""COMPUTED_VALUE"""),164.31)</f>
        <v>164.31</v>
      </c>
      <c r="J467" s="1">
        <f ca="1">IFERROR(__xludf.DUMMYFUNCTION("""COMPUTED_VALUE"""),515.62)</f>
        <v>515.62</v>
      </c>
      <c r="K467" s="1">
        <f ca="1">IFERROR(__xludf.DUMMYFUNCTION("""COMPUTED_VALUE"""),54.86)</f>
        <v>54.86</v>
      </c>
      <c r="L467" s="1">
        <f ca="1">IFERROR(__xludf.DUMMYFUNCTION("""COMPUTED_VALUE"""),674.08)</f>
        <v>674.08</v>
      </c>
      <c r="M467" s="1">
        <f ca="1">IFERROR(__xludf.DUMMYFUNCTION("""COMPUTED_VALUE"""),668.4)</f>
        <v>668.4</v>
      </c>
      <c r="N467" s="1">
        <f ca="1">IFERROR(__xludf.DUMMYFUNCTION("""COMPUTED_VALUE"""),168.29)</f>
        <v>168.29</v>
      </c>
      <c r="O467" s="1">
        <f ca="1">IFERROR(__xludf.DUMMYFUNCTION("""COMPUTED_VALUE"""),208.78)</f>
        <v>208.78</v>
      </c>
      <c r="P467" s="1">
        <f ca="1">IFERROR(__xludf.DUMMYFUNCTION("""COMPUTED_VALUE"""),164.6)</f>
        <v>164.6</v>
      </c>
      <c r="Q467" s="1">
        <f ca="1">IFERROR(__xludf.DUMMYFUNCTION("""COMPUTED_VALUE"""),456.76)</f>
        <v>456.76</v>
      </c>
      <c r="R467" s="1">
        <f ca="1">IFERROR(__xludf.DUMMYFUNCTION("""COMPUTED_VALUE"""),64.41)</f>
        <v>64.41</v>
      </c>
      <c r="S467" s="1">
        <f ca="1">IFERROR(__xludf.DUMMYFUNCTION("""COMPUTED_VALUE"""),84.76)</f>
        <v>84.76</v>
      </c>
      <c r="T467" s="1">
        <f ca="1">IFERROR(__xludf.DUMMYFUNCTION("""COMPUTED_VALUE"""),50.43)</f>
        <v>50.43</v>
      </c>
      <c r="U467" s="1">
        <f ca="1">IFERROR(__xludf.DUMMYFUNCTION("""COMPUTED_VALUE"""),175.44)</f>
        <v>175.44</v>
      </c>
      <c r="V467" s="1">
        <f ca="1">IFERROR(__xludf.DUMMYFUNCTION("""COMPUTED_VALUE"""),203.59)</f>
        <v>203.59</v>
      </c>
      <c r="W467" s="1">
        <f ca="1">IFERROR(__xludf.DUMMYFUNCTION("""COMPUTED_VALUE"""),335.5)</f>
        <v>335.5</v>
      </c>
      <c r="X467" s="1">
        <f ca="1">IFERROR(__xludf.DUMMYFUNCTION("""COMPUTED_VALUE"""),850.49)</f>
        <v>850.49</v>
      </c>
      <c r="Y467" s="1">
        <f ca="1">IFERROR(__xludf.DUMMYFUNCTION("""COMPUTED_VALUE"""),117.79)</f>
        <v>117.79</v>
      </c>
      <c r="Z467" s="1">
        <f ca="1">IFERROR(__xludf.DUMMYFUNCTION("""COMPUTED_VALUE"""),408.07)</f>
        <v>408.07</v>
      </c>
      <c r="AA467" s="1">
        <f ca="1">IFERROR(__xludf.DUMMYFUNCTION("""COMPUTED_VALUE"""),43.85)</f>
        <v>43.85</v>
      </c>
      <c r="AB467" s="1">
        <f ca="1">IFERROR(__xludf.DUMMYFUNCTION("""COMPUTED_VALUE"""),112.16)</f>
        <v>112.16</v>
      </c>
      <c r="AC467" s="1">
        <f ca="1">IFERROR(__xludf.DUMMYFUNCTION("""COMPUTED_VALUE"""),137.5)</f>
        <v>137.5</v>
      </c>
    </row>
    <row r="468" spans="1:29" x14ac:dyDescent="0.25">
      <c r="A468" s="2">
        <f ca="1">IFERROR(__xludf.DUMMYFUNCTION("""COMPUTED_VALUE"""),44505.6666666666)</f>
        <v>44505.666666666599</v>
      </c>
      <c r="B468" s="1">
        <f ca="1">IFERROR(__xludf.DUMMYFUNCTION("""COMPUTED_VALUE"""),151.28)</f>
        <v>151.28</v>
      </c>
      <c r="C468" s="1">
        <f ca="1">IFERROR(__xludf.DUMMYFUNCTION("""COMPUTED_VALUE"""),336.06)</f>
        <v>336.06</v>
      </c>
      <c r="D468" s="1">
        <f ca="1">IFERROR(__xludf.DUMMYFUNCTION("""COMPUTED_VALUE"""),175.95)</f>
        <v>175.95</v>
      </c>
      <c r="E468" s="1">
        <f ca="1">IFERROR(__xludf.DUMMYFUNCTION("""COMPUTED_VALUE"""),29.75)</f>
        <v>29.75</v>
      </c>
      <c r="F468" s="1">
        <f ca="1">IFERROR(__xludf.DUMMYFUNCTION("""COMPUTED_VALUE"""),341.13)</f>
        <v>341.13</v>
      </c>
      <c r="G468" s="1">
        <f ca="1">IFERROR(__xludf.DUMMYFUNCTION("""COMPUTED_VALUE"""),149.24)</f>
        <v>149.24</v>
      </c>
      <c r="H468" s="1">
        <f ca="1">IFERROR(__xludf.DUMMYFUNCTION("""COMPUTED_VALUE"""),407.36)</f>
        <v>407.36</v>
      </c>
      <c r="I468" s="1">
        <f ca="1">IFERROR(__xludf.DUMMYFUNCTION("""COMPUTED_VALUE"""),166)</f>
        <v>166</v>
      </c>
      <c r="J468" s="1">
        <f ca="1">IFERROR(__xludf.DUMMYFUNCTION("""COMPUTED_VALUE"""),513.12)</f>
        <v>513.12</v>
      </c>
      <c r="K468" s="1">
        <f ca="1">IFERROR(__xludf.DUMMYFUNCTION("""COMPUTED_VALUE"""),55.89)</f>
        <v>55.89</v>
      </c>
      <c r="L468" s="1">
        <f ca="1">IFERROR(__xludf.DUMMYFUNCTION("""COMPUTED_VALUE"""),662.72)</f>
        <v>662.72</v>
      </c>
      <c r="M468" s="1">
        <f ca="1">IFERROR(__xludf.DUMMYFUNCTION("""COMPUTED_VALUE"""),645.72)</f>
        <v>645.72</v>
      </c>
      <c r="N468" s="1">
        <f ca="1">IFERROR(__xludf.DUMMYFUNCTION("""COMPUTED_VALUE"""),168.05)</f>
        <v>168.05</v>
      </c>
      <c r="O468" s="1">
        <f ca="1">IFERROR(__xludf.DUMMYFUNCTION("""COMPUTED_VALUE"""),216.67)</f>
        <v>216.67</v>
      </c>
      <c r="P468" s="1">
        <f ca="1">IFERROR(__xludf.DUMMYFUNCTION("""COMPUTED_VALUE"""),163.43)</f>
        <v>163.43</v>
      </c>
      <c r="Q468" s="1">
        <f ca="1">IFERROR(__xludf.DUMMYFUNCTION("""COMPUTED_VALUE"""),455.81)</f>
        <v>455.81</v>
      </c>
      <c r="R468" s="1">
        <f ca="1">IFERROR(__xludf.DUMMYFUNCTION("""COMPUTED_VALUE"""),65.02)</f>
        <v>65.02</v>
      </c>
      <c r="S468" s="1">
        <f ca="1">IFERROR(__xludf.DUMMYFUNCTION("""COMPUTED_VALUE"""),85.53)</f>
        <v>85.53</v>
      </c>
      <c r="T468" s="1">
        <f ca="1">IFERROR(__xludf.DUMMYFUNCTION("""COMPUTED_VALUE"""),50.08)</f>
        <v>50.08</v>
      </c>
      <c r="U468" s="1">
        <f ca="1">IFERROR(__xludf.DUMMYFUNCTION("""COMPUTED_VALUE"""),177.51)</f>
        <v>177.51</v>
      </c>
      <c r="V468" s="1">
        <f ca="1">IFERROR(__xludf.DUMMYFUNCTION("""COMPUTED_VALUE"""),205.88)</f>
        <v>205.88</v>
      </c>
      <c r="W468" s="1">
        <f ca="1">IFERROR(__xludf.DUMMYFUNCTION("""COMPUTED_VALUE"""),339.89)</f>
        <v>339.89</v>
      </c>
      <c r="X468" s="1">
        <f ca="1">IFERROR(__xludf.DUMMYFUNCTION("""COMPUTED_VALUE"""),847)</f>
        <v>847</v>
      </c>
      <c r="Y468" s="1">
        <f ca="1">IFERROR(__xludf.DUMMYFUNCTION("""COMPUTED_VALUE"""),117.8)</f>
        <v>117.8</v>
      </c>
      <c r="Z468" s="1">
        <f ca="1">IFERROR(__xludf.DUMMYFUNCTION("""COMPUTED_VALUE"""),407.08)</f>
        <v>407.08</v>
      </c>
      <c r="AA468" s="1">
        <f ca="1">IFERROR(__xludf.DUMMYFUNCTION("""COMPUTED_VALUE"""),48.61)</f>
        <v>48.61</v>
      </c>
      <c r="AB468" s="1">
        <f ca="1">IFERROR(__xludf.DUMMYFUNCTION("""COMPUTED_VALUE"""),116.91)</f>
        <v>116.91</v>
      </c>
      <c r="AC468" s="1">
        <f ca="1">IFERROR(__xludf.DUMMYFUNCTION("""COMPUTED_VALUE"""),136.34)</f>
        <v>136.34</v>
      </c>
    </row>
    <row r="469" spans="1:29" x14ac:dyDescent="0.25">
      <c r="A469" s="2">
        <f ca="1">IFERROR(__xludf.DUMMYFUNCTION("""COMPUTED_VALUE"""),44508.6666666666)</f>
        <v>44508.666666666599</v>
      </c>
      <c r="B469" s="1">
        <f ca="1">IFERROR(__xludf.DUMMYFUNCTION("""COMPUTED_VALUE"""),150.44)</f>
        <v>150.44</v>
      </c>
      <c r="C469" s="1">
        <f ca="1">IFERROR(__xludf.DUMMYFUNCTION("""COMPUTED_VALUE"""),336.99)</f>
        <v>336.99</v>
      </c>
      <c r="D469" s="1">
        <f ca="1">IFERROR(__xludf.DUMMYFUNCTION("""COMPUTED_VALUE"""),174.45)</f>
        <v>174.45</v>
      </c>
      <c r="E469" s="1">
        <f ca="1">IFERROR(__xludf.DUMMYFUNCTION("""COMPUTED_VALUE"""),30.8)</f>
        <v>30.8</v>
      </c>
      <c r="F469" s="1">
        <f ca="1">IFERROR(__xludf.DUMMYFUNCTION("""COMPUTED_VALUE"""),338.62)</f>
        <v>338.62</v>
      </c>
      <c r="G469" s="1">
        <f ca="1">IFERROR(__xludf.DUMMYFUNCTION("""COMPUTED_VALUE"""),149.35)</f>
        <v>149.35</v>
      </c>
      <c r="H469" s="1">
        <f ca="1">IFERROR(__xludf.DUMMYFUNCTION("""COMPUTED_VALUE"""),387.65)</f>
        <v>387.65</v>
      </c>
      <c r="I469" s="1">
        <f ca="1">IFERROR(__xludf.DUMMYFUNCTION("""COMPUTED_VALUE"""),162.43)</f>
        <v>162.43</v>
      </c>
      <c r="J469" s="1">
        <f ca="1">IFERROR(__xludf.DUMMYFUNCTION("""COMPUTED_VALUE"""),503.81)</f>
        <v>503.81</v>
      </c>
      <c r="K469" s="1">
        <f ca="1">IFERROR(__xludf.DUMMYFUNCTION("""COMPUTED_VALUE"""),55.9)</f>
        <v>55.9</v>
      </c>
      <c r="L469" s="1">
        <f ca="1">IFERROR(__xludf.DUMMYFUNCTION("""COMPUTED_VALUE"""),666.02)</f>
        <v>666.02</v>
      </c>
      <c r="M469" s="1">
        <f ca="1">IFERROR(__xludf.DUMMYFUNCTION("""COMPUTED_VALUE"""),651.45)</f>
        <v>651.45000000000005</v>
      </c>
      <c r="N469" s="1">
        <f ca="1">IFERROR(__xludf.DUMMYFUNCTION("""COMPUTED_VALUE"""),169.06)</f>
        <v>169.06</v>
      </c>
      <c r="O469" s="1">
        <f ca="1">IFERROR(__xludf.DUMMYFUNCTION("""COMPUTED_VALUE"""),220.49)</f>
        <v>220.49</v>
      </c>
      <c r="P469" s="1">
        <f ca="1">IFERROR(__xludf.DUMMYFUNCTION("""COMPUTED_VALUE"""),162.87)</f>
        <v>162.87</v>
      </c>
      <c r="Q469" s="1">
        <f ca="1">IFERROR(__xludf.DUMMYFUNCTION("""COMPUTED_VALUE"""),462.62)</f>
        <v>462.62</v>
      </c>
      <c r="R469" s="1">
        <f ca="1">IFERROR(__xludf.DUMMYFUNCTION("""COMPUTED_VALUE"""),65.72)</f>
        <v>65.72</v>
      </c>
      <c r="S469" s="1">
        <f ca="1">IFERROR(__xludf.DUMMYFUNCTION("""COMPUTED_VALUE"""),84.59)</f>
        <v>84.59</v>
      </c>
      <c r="T469" s="1">
        <f ca="1">IFERROR(__xludf.DUMMYFUNCTION("""COMPUTED_VALUE"""),49.76)</f>
        <v>49.76</v>
      </c>
      <c r="U469" s="1">
        <f ca="1">IFERROR(__xludf.DUMMYFUNCTION("""COMPUTED_VALUE"""),171.85)</f>
        <v>171.85</v>
      </c>
      <c r="V469" s="1">
        <f ca="1">IFERROR(__xludf.DUMMYFUNCTION("""COMPUTED_VALUE"""),214.25)</f>
        <v>214.25</v>
      </c>
      <c r="W469" s="1">
        <f ca="1">IFERROR(__xludf.DUMMYFUNCTION("""COMPUTED_VALUE"""),341.78)</f>
        <v>341.78</v>
      </c>
      <c r="X469" s="1">
        <f ca="1">IFERROR(__xludf.DUMMYFUNCTION("""COMPUTED_VALUE"""),849.93)</f>
        <v>849.93</v>
      </c>
      <c r="Y469" s="1">
        <f ca="1">IFERROR(__xludf.DUMMYFUNCTION("""COMPUTED_VALUE"""),120.91)</f>
        <v>120.91</v>
      </c>
      <c r="Z469" s="1">
        <f ca="1">IFERROR(__xludf.DUMMYFUNCTION("""COMPUTED_VALUE"""),408.34)</f>
        <v>408.34</v>
      </c>
      <c r="AA469" s="1">
        <f ca="1">IFERROR(__xludf.DUMMYFUNCTION("""COMPUTED_VALUE"""),48.33)</f>
        <v>48.33</v>
      </c>
      <c r="AB469" s="1">
        <f ca="1">IFERROR(__xludf.DUMMYFUNCTION("""COMPUTED_VALUE"""),115.16)</f>
        <v>115.16</v>
      </c>
      <c r="AC469" s="1">
        <f ca="1">IFERROR(__xludf.DUMMYFUNCTION("""COMPUTED_VALUE"""),150.16)</f>
        <v>150.16</v>
      </c>
    </row>
    <row r="470" spans="1:29" x14ac:dyDescent="0.25">
      <c r="A470" s="2">
        <f ca="1">IFERROR(__xludf.DUMMYFUNCTION("""COMPUTED_VALUE"""),44509.6666666666)</f>
        <v>44509.666666666599</v>
      </c>
      <c r="B470" s="1">
        <f ca="1">IFERROR(__xludf.DUMMYFUNCTION("""COMPUTED_VALUE"""),150.81)</f>
        <v>150.81</v>
      </c>
      <c r="C470" s="1">
        <f ca="1">IFERROR(__xludf.DUMMYFUNCTION("""COMPUTED_VALUE"""),335.95)</f>
        <v>335.95</v>
      </c>
      <c r="D470" s="1">
        <f ca="1">IFERROR(__xludf.DUMMYFUNCTION("""COMPUTED_VALUE"""),178.81)</f>
        <v>178.81</v>
      </c>
      <c r="E470" s="1">
        <f ca="1">IFERROR(__xludf.DUMMYFUNCTION("""COMPUTED_VALUE"""),30.66)</f>
        <v>30.66</v>
      </c>
      <c r="F470" s="1">
        <f ca="1">IFERROR(__xludf.DUMMYFUNCTION("""COMPUTED_VALUE"""),335.37)</f>
        <v>335.37</v>
      </c>
      <c r="G470" s="1">
        <f ca="1">IFERROR(__xludf.DUMMYFUNCTION("""COMPUTED_VALUE"""),149.25)</f>
        <v>149.25</v>
      </c>
      <c r="H470" s="1">
        <f ca="1">IFERROR(__xludf.DUMMYFUNCTION("""COMPUTED_VALUE"""),341.17)</f>
        <v>341.17</v>
      </c>
      <c r="I470" s="1">
        <f ca="1">IFERROR(__xludf.DUMMYFUNCTION("""COMPUTED_VALUE"""),163.51)</f>
        <v>163.51</v>
      </c>
      <c r="J470" s="1">
        <f ca="1">IFERROR(__xludf.DUMMYFUNCTION("""COMPUTED_VALUE"""),508.71)</f>
        <v>508.71</v>
      </c>
      <c r="K470" s="1">
        <f ca="1">IFERROR(__xludf.DUMMYFUNCTION("""COMPUTED_VALUE"""),55.78)</f>
        <v>55.78</v>
      </c>
      <c r="L470" s="1">
        <f ca="1">IFERROR(__xludf.DUMMYFUNCTION("""COMPUTED_VALUE"""),667.92)</f>
        <v>667.92</v>
      </c>
      <c r="M470" s="1">
        <f ca="1">IFERROR(__xludf.DUMMYFUNCTION("""COMPUTED_VALUE"""),655.99)</f>
        <v>655.99</v>
      </c>
      <c r="N470" s="1">
        <f ca="1">IFERROR(__xludf.DUMMYFUNCTION("""COMPUTED_VALUE"""),169.06)</f>
        <v>169.06</v>
      </c>
      <c r="O470" s="1">
        <f ca="1">IFERROR(__xludf.DUMMYFUNCTION("""COMPUTED_VALUE"""),220.49)</f>
        <v>220.49</v>
      </c>
      <c r="P470" s="1">
        <f ca="1">IFERROR(__xludf.DUMMYFUNCTION("""COMPUTED_VALUE"""),162.51)</f>
        <v>162.51</v>
      </c>
      <c r="Q470" s="1">
        <f ca="1">IFERROR(__xludf.DUMMYFUNCTION("""COMPUTED_VALUE"""),464.35)</f>
        <v>464.35</v>
      </c>
      <c r="R470" s="1">
        <f ca="1">IFERROR(__xludf.DUMMYFUNCTION("""COMPUTED_VALUE"""),66.36)</f>
        <v>66.36</v>
      </c>
      <c r="S470" s="1">
        <f ca="1">IFERROR(__xludf.DUMMYFUNCTION("""COMPUTED_VALUE"""),84.94)</f>
        <v>84.94</v>
      </c>
      <c r="T470" s="1">
        <f ca="1">IFERROR(__xludf.DUMMYFUNCTION("""COMPUTED_VALUE"""),49.93)</f>
        <v>49.93</v>
      </c>
      <c r="U470" s="1">
        <f ca="1">IFERROR(__xludf.DUMMYFUNCTION("""COMPUTED_VALUE"""),173.82)</f>
        <v>173.82</v>
      </c>
      <c r="V470" s="1">
        <f ca="1">IFERROR(__xludf.DUMMYFUNCTION("""COMPUTED_VALUE"""),209.81)</f>
        <v>209.81</v>
      </c>
      <c r="W470" s="1">
        <f ca="1">IFERROR(__xludf.DUMMYFUNCTION("""COMPUTED_VALUE"""),338.17)</f>
        <v>338.17</v>
      </c>
      <c r="X470" s="1">
        <f ca="1">IFERROR(__xludf.DUMMYFUNCTION("""COMPUTED_VALUE"""),850.05)</f>
        <v>850.05</v>
      </c>
      <c r="Y470" s="1">
        <f ca="1">IFERROR(__xludf.DUMMYFUNCTION("""COMPUTED_VALUE"""),121.78)</f>
        <v>121.78</v>
      </c>
      <c r="Z470" s="1">
        <f ca="1">IFERROR(__xludf.DUMMYFUNCTION("""COMPUTED_VALUE"""),405.35)</f>
        <v>405.35</v>
      </c>
      <c r="AA470" s="1">
        <f ca="1">IFERROR(__xludf.DUMMYFUNCTION("""COMPUTED_VALUE"""),47.3)</f>
        <v>47.3</v>
      </c>
      <c r="AB470" s="1">
        <f ca="1">IFERROR(__xludf.DUMMYFUNCTION("""COMPUTED_VALUE"""),114.13)</f>
        <v>114.13</v>
      </c>
      <c r="AC470" s="1">
        <f ca="1">IFERROR(__xludf.DUMMYFUNCTION("""COMPUTED_VALUE"""),148.92)</f>
        <v>148.91999999999999</v>
      </c>
    </row>
    <row r="471" spans="1:29" x14ac:dyDescent="0.25">
      <c r="A471" s="2">
        <f ca="1">IFERROR(__xludf.DUMMYFUNCTION("""COMPUTED_VALUE"""),44510.6666666666)</f>
        <v>44510.666666666599</v>
      </c>
      <c r="B471" s="1">
        <f ca="1">IFERROR(__xludf.DUMMYFUNCTION("""COMPUTED_VALUE"""),147.92)</f>
        <v>147.91999999999999</v>
      </c>
      <c r="C471" s="1">
        <f ca="1">IFERROR(__xludf.DUMMYFUNCTION("""COMPUTED_VALUE"""),330.8)</f>
        <v>330.8</v>
      </c>
      <c r="D471" s="1">
        <f ca="1">IFERROR(__xludf.DUMMYFUNCTION("""COMPUTED_VALUE"""),174.1)</f>
        <v>174.1</v>
      </c>
      <c r="E471" s="1">
        <f ca="1">IFERROR(__xludf.DUMMYFUNCTION("""COMPUTED_VALUE"""),29.46)</f>
        <v>29.46</v>
      </c>
      <c r="F471" s="1">
        <f ca="1">IFERROR(__xludf.DUMMYFUNCTION("""COMPUTED_VALUE"""),327.64)</f>
        <v>327.64</v>
      </c>
      <c r="G471" s="1">
        <f ca="1">IFERROR(__xludf.DUMMYFUNCTION("""COMPUTED_VALUE"""),146.63)</f>
        <v>146.63</v>
      </c>
      <c r="H471" s="1">
        <f ca="1">IFERROR(__xludf.DUMMYFUNCTION("""COMPUTED_VALUE"""),355.98)</f>
        <v>355.98</v>
      </c>
      <c r="I471" s="1">
        <f ca="1">IFERROR(__xludf.DUMMYFUNCTION("""COMPUTED_VALUE"""),164.04)</f>
        <v>164.04</v>
      </c>
      <c r="J471" s="1">
        <f ca="1">IFERROR(__xludf.DUMMYFUNCTION("""COMPUTED_VALUE"""),505.51)</f>
        <v>505.51</v>
      </c>
      <c r="K471" s="1">
        <f ca="1">IFERROR(__xludf.DUMMYFUNCTION("""COMPUTED_VALUE"""),54.88)</f>
        <v>54.88</v>
      </c>
      <c r="L471" s="1">
        <f ca="1">IFERROR(__xludf.DUMMYFUNCTION("""COMPUTED_VALUE"""),647.5)</f>
        <v>647.5</v>
      </c>
      <c r="M471" s="1">
        <f ca="1">IFERROR(__xludf.DUMMYFUNCTION("""COMPUTED_VALUE"""),646.91)</f>
        <v>646.91</v>
      </c>
      <c r="N471" s="1">
        <f ca="1">IFERROR(__xludf.DUMMYFUNCTION("""COMPUTED_VALUE"""),167.62)</f>
        <v>167.62</v>
      </c>
      <c r="O471" s="1">
        <f ca="1">IFERROR(__xludf.DUMMYFUNCTION("""COMPUTED_VALUE"""),215.56)</f>
        <v>215.56</v>
      </c>
      <c r="P471" s="1">
        <f ca="1">IFERROR(__xludf.DUMMYFUNCTION("""COMPUTED_VALUE"""),164.27)</f>
        <v>164.27</v>
      </c>
      <c r="Q471" s="1">
        <f ca="1">IFERROR(__xludf.DUMMYFUNCTION("""COMPUTED_VALUE"""),459.9)</f>
        <v>459.9</v>
      </c>
      <c r="R471" s="1">
        <f ca="1">IFERROR(__xludf.DUMMYFUNCTION("""COMPUTED_VALUE"""),64.19)</f>
        <v>64.19</v>
      </c>
      <c r="S471" s="1">
        <f ca="1">IFERROR(__xludf.DUMMYFUNCTION("""COMPUTED_VALUE"""),85.2)</f>
        <v>85.2</v>
      </c>
      <c r="T471" s="1">
        <f ca="1">IFERROR(__xludf.DUMMYFUNCTION("""COMPUTED_VALUE"""),49.48)</f>
        <v>49.48</v>
      </c>
      <c r="U471" s="1">
        <f ca="1">IFERROR(__xludf.DUMMYFUNCTION("""COMPUTED_VALUE"""),168.26)</f>
        <v>168.26</v>
      </c>
      <c r="V471" s="1">
        <f ca="1">IFERROR(__xludf.DUMMYFUNCTION("""COMPUTED_VALUE"""),206.67)</f>
        <v>206.67</v>
      </c>
      <c r="W471" s="1">
        <f ca="1">IFERROR(__xludf.DUMMYFUNCTION("""COMPUTED_VALUE"""),337.63)</f>
        <v>337.63</v>
      </c>
      <c r="X471" s="1">
        <f ca="1">IFERROR(__xludf.DUMMYFUNCTION("""COMPUTED_VALUE"""),817.85)</f>
        <v>817.85</v>
      </c>
      <c r="Y471" s="1">
        <f ca="1">IFERROR(__xludf.DUMMYFUNCTION("""COMPUTED_VALUE"""),118.2)</f>
        <v>118.2</v>
      </c>
      <c r="Z471" s="1">
        <f ca="1">IFERROR(__xludf.DUMMYFUNCTION("""COMPUTED_VALUE"""),399.12)</f>
        <v>399.12</v>
      </c>
      <c r="AA471" s="1">
        <f ca="1">IFERROR(__xludf.DUMMYFUNCTION("""COMPUTED_VALUE"""),49.02)</f>
        <v>49.02</v>
      </c>
      <c r="AB471" s="1">
        <f ca="1">IFERROR(__xludf.DUMMYFUNCTION("""COMPUTED_VALUE"""),113.25)</f>
        <v>113.25</v>
      </c>
      <c r="AC471" s="1">
        <f ca="1">IFERROR(__xludf.DUMMYFUNCTION("""COMPUTED_VALUE"""),139.87)</f>
        <v>139.87</v>
      </c>
    </row>
    <row r="472" spans="1:29" x14ac:dyDescent="0.25">
      <c r="A472" s="2">
        <f ca="1">IFERROR(__xludf.DUMMYFUNCTION("""COMPUTED_VALUE"""),44511.6666666666)</f>
        <v>44511.666666666599</v>
      </c>
      <c r="B472" s="1">
        <f ca="1">IFERROR(__xludf.DUMMYFUNCTION("""COMPUTED_VALUE"""),147.87)</f>
        <v>147.87</v>
      </c>
      <c r="C472" s="1">
        <f ca="1">IFERROR(__xludf.DUMMYFUNCTION("""COMPUTED_VALUE"""),332.43)</f>
        <v>332.43</v>
      </c>
      <c r="D472" s="1">
        <f ca="1">IFERROR(__xludf.DUMMYFUNCTION("""COMPUTED_VALUE"""),173.63)</f>
        <v>173.63</v>
      </c>
      <c r="E472" s="1">
        <f ca="1">IFERROR(__xludf.DUMMYFUNCTION("""COMPUTED_VALUE"""),30.39)</f>
        <v>30.39</v>
      </c>
      <c r="F472" s="1">
        <f ca="1">IFERROR(__xludf.DUMMYFUNCTION("""COMPUTED_VALUE"""),327.74)</f>
        <v>327.74</v>
      </c>
      <c r="G472" s="1">
        <f ca="1">IFERROR(__xludf.DUMMYFUNCTION("""COMPUTED_VALUE"""),146.75)</f>
        <v>146.75</v>
      </c>
      <c r="H472" s="1">
        <f ca="1">IFERROR(__xludf.DUMMYFUNCTION("""COMPUTED_VALUE"""),354.5)</f>
        <v>354.5</v>
      </c>
      <c r="I472" s="1">
        <f ca="1">IFERROR(__xludf.DUMMYFUNCTION("""COMPUTED_VALUE"""),162.69)</f>
        <v>162.69</v>
      </c>
      <c r="J472" s="1">
        <f ca="1">IFERROR(__xludf.DUMMYFUNCTION("""COMPUTED_VALUE"""),512.18)</f>
        <v>512.17999999999995</v>
      </c>
      <c r="K472" s="1">
        <f ca="1">IFERROR(__xludf.DUMMYFUNCTION("""COMPUTED_VALUE"""),55.54)</f>
        <v>55.54</v>
      </c>
      <c r="L472" s="1">
        <f ca="1">IFERROR(__xludf.DUMMYFUNCTION("""COMPUTED_VALUE"""),643.17)</f>
        <v>643.16999999999996</v>
      </c>
      <c r="M472" s="1">
        <f ca="1">IFERROR(__xludf.DUMMYFUNCTION("""COMPUTED_VALUE"""),657.58)</f>
        <v>657.58</v>
      </c>
      <c r="N472" s="1">
        <f ca="1">IFERROR(__xludf.DUMMYFUNCTION("""COMPUTED_VALUE"""),167.61)</f>
        <v>167.61</v>
      </c>
      <c r="O472" s="1">
        <f ca="1">IFERROR(__xludf.DUMMYFUNCTION("""COMPUTED_VALUE"""),210.42)</f>
        <v>210.42</v>
      </c>
      <c r="P472" s="1">
        <f ca="1">IFERROR(__xludf.DUMMYFUNCTION("""COMPUTED_VALUE"""),163.06)</f>
        <v>163.06</v>
      </c>
      <c r="Q472" s="1">
        <f ca="1">IFERROR(__xludf.DUMMYFUNCTION("""COMPUTED_VALUE"""),457.39)</f>
        <v>457.39</v>
      </c>
      <c r="R472" s="1">
        <f ca="1">IFERROR(__xludf.DUMMYFUNCTION("""COMPUTED_VALUE"""),64.31)</f>
        <v>64.31</v>
      </c>
      <c r="S472" s="1">
        <f ca="1">IFERROR(__xludf.DUMMYFUNCTION("""COMPUTED_VALUE"""),85.37)</f>
        <v>85.37</v>
      </c>
      <c r="T472" s="1">
        <f ca="1">IFERROR(__xludf.DUMMYFUNCTION("""COMPUTED_VALUE"""),49.5)</f>
        <v>49.5</v>
      </c>
      <c r="U472" s="1">
        <f ca="1">IFERROR(__xludf.DUMMYFUNCTION("""COMPUTED_VALUE"""),166.97)</f>
        <v>166.97</v>
      </c>
      <c r="V472" s="1">
        <f ca="1">IFERROR(__xludf.DUMMYFUNCTION("""COMPUTED_VALUE"""),208.53)</f>
        <v>208.53</v>
      </c>
      <c r="W472" s="1">
        <f ca="1">IFERROR(__xludf.DUMMYFUNCTION("""COMPUTED_VALUE"""),335.89)</f>
        <v>335.89</v>
      </c>
      <c r="X472" s="1">
        <f ca="1">IFERROR(__xludf.DUMMYFUNCTION("""COMPUTED_VALUE"""),833.39)</f>
        <v>833.39</v>
      </c>
      <c r="Y472" s="1">
        <f ca="1">IFERROR(__xludf.DUMMYFUNCTION("""COMPUTED_VALUE"""),118.19)</f>
        <v>118.19</v>
      </c>
      <c r="Z472" s="1">
        <f ca="1">IFERROR(__xludf.DUMMYFUNCTION("""COMPUTED_VALUE"""),402.34)</f>
        <v>402.34</v>
      </c>
      <c r="AA472" s="1">
        <f ca="1">IFERROR(__xludf.DUMMYFUNCTION("""COMPUTED_VALUE"""),50.18)</f>
        <v>50.18</v>
      </c>
      <c r="AB472" s="1">
        <f ca="1">IFERROR(__xludf.DUMMYFUNCTION("""COMPUTED_VALUE"""),111.44)</f>
        <v>111.44</v>
      </c>
      <c r="AC472" s="1">
        <f ca="1">IFERROR(__xludf.DUMMYFUNCTION("""COMPUTED_VALUE"""),146.01)</f>
        <v>146.01</v>
      </c>
    </row>
    <row r="473" spans="1:29" x14ac:dyDescent="0.25">
      <c r="A473" s="2">
        <f ca="1">IFERROR(__xludf.DUMMYFUNCTION("""COMPUTED_VALUE"""),44512.6666666666)</f>
        <v>44512.666666666599</v>
      </c>
      <c r="B473" s="1">
        <f ca="1">IFERROR(__xludf.DUMMYFUNCTION("""COMPUTED_VALUE"""),149.99)</f>
        <v>149.99</v>
      </c>
      <c r="C473" s="1">
        <f ca="1">IFERROR(__xludf.DUMMYFUNCTION("""COMPUTED_VALUE"""),336.72)</f>
        <v>336.72</v>
      </c>
      <c r="D473" s="1">
        <f ca="1">IFERROR(__xludf.DUMMYFUNCTION("""COMPUTED_VALUE"""),176.26)</f>
        <v>176.26</v>
      </c>
      <c r="E473" s="1">
        <f ca="1">IFERROR(__xludf.DUMMYFUNCTION("""COMPUTED_VALUE"""),30.39)</f>
        <v>30.39</v>
      </c>
      <c r="F473" s="1">
        <f ca="1">IFERROR(__xludf.DUMMYFUNCTION("""COMPUTED_VALUE"""),340.89)</f>
        <v>340.89</v>
      </c>
      <c r="G473" s="1">
        <f ca="1">IFERROR(__xludf.DUMMYFUNCTION("""COMPUTED_VALUE"""),149.65)</f>
        <v>149.65</v>
      </c>
      <c r="H473" s="1">
        <f ca="1">IFERROR(__xludf.DUMMYFUNCTION("""COMPUTED_VALUE"""),344.47)</f>
        <v>344.47</v>
      </c>
      <c r="I473" s="1">
        <f ca="1">IFERROR(__xludf.DUMMYFUNCTION("""COMPUTED_VALUE"""),162.65)</f>
        <v>162.65</v>
      </c>
      <c r="J473" s="1">
        <f ca="1">IFERROR(__xludf.DUMMYFUNCTION("""COMPUTED_VALUE"""),517.17)</f>
        <v>517.16999999999996</v>
      </c>
      <c r="K473" s="1">
        <f ca="1">IFERROR(__xludf.DUMMYFUNCTION("""COMPUTED_VALUE"""),56.32)</f>
        <v>56.32</v>
      </c>
      <c r="L473" s="1">
        <f ca="1">IFERROR(__xludf.DUMMYFUNCTION("""COMPUTED_VALUE"""),657.6)</f>
        <v>657.6</v>
      </c>
      <c r="M473" s="1">
        <f ca="1">IFERROR(__xludf.DUMMYFUNCTION("""COMPUTED_VALUE"""),682.61)</f>
        <v>682.61</v>
      </c>
      <c r="N473" s="1">
        <f ca="1">IFERROR(__xludf.DUMMYFUNCTION("""COMPUTED_VALUE"""),166.86)</f>
        <v>166.86</v>
      </c>
      <c r="O473" s="1">
        <f ca="1">IFERROR(__xludf.DUMMYFUNCTION("""COMPUTED_VALUE"""),212.09)</f>
        <v>212.09</v>
      </c>
      <c r="P473" s="1">
        <f ca="1">IFERROR(__xludf.DUMMYFUNCTION("""COMPUTED_VALUE"""),165.01)</f>
        <v>165.01</v>
      </c>
      <c r="Q473" s="1">
        <f ca="1">IFERROR(__xludf.DUMMYFUNCTION("""COMPUTED_VALUE"""),458.99)</f>
        <v>458.99</v>
      </c>
      <c r="R473" s="1">
        <f ca="1">IFERROR(__xludf.DUMMYFUNCTION("""COMPUTED_VALUE"""),63.82)</f>
        <v>63.82</v>
      </c>
      <c r="S473" s="1">
        <f ca="1">IFERROR(__xludf.DUMMYFUNCTION("""COMPUTED_VALUE"""),86.31)</f>
        <v>86.31</v>
      </c>
      <c r="T473" s="1">
        <f ca="1">IFERROR(__xludf.DUMMYFUNCTION("""COMPUTED_VALUE"""),49.25)</f>
        <v>49.25</v>
      </c>
      <c r="U473" s="1">
        <f ca="1">IFERROR(__xludf.DUMMYFUNCTION("""COMPUTED_VALUE"""),169.09)</f>
        <v>169.09</v>
      </c>
      <c r="V473" s="1">
        <f ca="1">IFERROR(__xludf.DUMMYFUNCTION("""COMPUTED_VALUE"""),209.27)</f>
        <v>209.27</v>
      </c>
      <c r="W473" s="1">
        <f ca="1">IFERROR(__xludf.DUMMYFUNCTION("""COMPUTED_VALUE"""),339.06)</f>
        <v>339.06</v>
      </c>
      <c r="X473" s="1">
        <f ca="1">IFERROR(__xludf.DUMMYFUNCTION("""COMPUTED_VALUE"""),851.63)</f>
        <v>851.63</v>
      </c>
      <c r="Y473" s="1">
        <f ca="1">IFERROR(__xludf.DUMMYFUNCTION("""COMPUTED_VALUE"""),118.69)</f>
        <v>118.69</v>
      </c>
      <c r="Z473" s="1">
        <f ca="1">IFERROR(__xludf.DUMMYFUNCTION("""COMPUTED_VALUE"""),404.91)</f>
        <v>404.91</v>
      </c>
      <c r="AA473" s="1">
        <f ca="1">IFERROR(__xludf.DUMMYFUNCTION("""COMPUTED_VALUE"""),49.73)</f>
        <v>49.73</v>
      </c>
      <c r="AB473" s="1">
        <f ca="1">IFERROR(__xludf.DUMMYFUNCTION("""COMPUTED_VALUE"""),111.72)</f>
        <v>111.72</v>
      </c>
      <c r="AC473" s="1">
        <f ca="1">IFERROR(__xludf.DUMMYFUNCTION("""COMPUTED_VALUE"""),147.89)</f>
        <v>147.88999999999999</v>
      </c>
    </row>
    <row r="474" spans="1:29" x14ac:dyDescent="0.25">
      <c r="A474" s="2">
        <f ca="1">IFERROR(__xludf.DUMMYFUNCTION("""COMPUTED_VALUE"""),44515.6666666666)</f>
        <v>44515.666666666599</v>
      </c>
      <c r="B474" s="1">
        <f ca="1">IFERROR(__xludf.DUMMYFUNCTION("""COMPUTED_VALUE"""),150)</f>
        <v>150</v>
      </c>
      <c r="C474" s="1">
        <f ca="1">IFERROR(__xludf.DUMMYFUNCTION("""COMPUTED_VALUE"""),336.07)</f>
        <v>336.07</v>
      </c>
      <c r="D474" s="1">
        <f ca="1">IFERROR(__xludf.DUMMYFUNCTION("""COMPUTED_VALUE"""),177.28)</f>
        <v>177.28</v>
      </c>
      <c r="E474" s="1">
        <f ca="1">IFERROR(__xludf.DUMMYFUNCTION("""COMPUTED_VALUE"""),30.03)</f>
        <v>30.03</v>
      </c>
      <c r="F474" s="1">
        <f ca="1">IFERROR(__xludf.DUMMYFUNCTION("""COMPUTED_VALUE"""),347.56)</f>
        <v>347.56</v>
      </c>
      <c r="G474" s="1">
        <f ca="1">IFERROR(__xludf.DUMMYFUNCTION("""COMPUTED_VALUE"""),149.39)</f>
        <v>149.38999999999999</v>
      </c>
      <c r="H474" s="1">
        <f ca="1">IFERROR(__xludf.DUMMYFUNCTION("""COMPUTED_VALUE"""),337.8)</f>
        <v>337.8</v>
      </c>
      <c r="I474" s="1">
        <f ca="1">IFERROR(__xludf.DUMMYFUNCTION("""COMPUTED_VALUE"""),163.8)</f>
        <v>163.80000000000001</v>
      </c>
      <c r="J474" s="1">
        <f ca="1">IFERROR(__xludf.DUMMYFUNCTION("""COMPUTED_VALUE"""),519.89)</f>
        <v>519.89</v>
      </c>
      <c r="K474" s="1">
        <f ca="1">IFERROR(__xludf.DUMMYFUNCTION("""COMPUTED_VALUE"""),56.58)</f>
        <v>56.58</v>
      </c>
      <c r="L474" s="1">
        <f ca="1">IFERROR(__xludf.DUMMYFUNCTION("""COMPUTED_VALUE"""),659.73)</f>
        <v>659.73</v>
      </c>
      <c r="M474" s="1">
        <f ca="1">IFERROR(__xludf.DUMMYFUNCTION("""COMPUTED_VALUE"""),679.33)</f>
        <v>679.33</v>
      </c>
      <c r="N474" s="1">
        <f ca="1">IFERROR(__xludf.DUMMYFUNCTION("""COMPUTED_VALUE"""),166.56)</f>
        <v>166.56</v>
      </c>
      <c r="O474" s="1">
        <f ca="1">IFERROR(__xludf.DUMMYFUNCTION("""COMPUTED_VALUE"""),212.3)</f>
        <v>212.3</v>
      </c>
      <c r="P474" s="1">
        <f ca="1">IFERROR(__xludf.DUMMYFUNCTION("""COMPUTED_VALUE"""),163.52)</f>
        <v>163.52000000000001</v>
      </c>
      <c r="Q474" s="1">
        <f ca="1">IFERROR(__xludf.DUMMYFUNCTION("""COMPUTED_VALUE"""),450.8)</f>
        <v>450.8</v>
      </c>
      <c r="R474" s="1">
        <f ca="1">IFERROR(__xludf.DUMMYFUNCTION("""COMPUTED_VALUE"""),64.37)</f>
        <v>64.37</v>
      </c>
      <c r="S474" s="1">
        <f ca="1">IFERROR(__xludf.DUMMYFUNCTION("""COMPUTED_VALUE"""),87.34)</f>
        <v>87.34</v>
      </c>
      <c r="T474" s="1">
        <f ca="1">IFERROR(__xludf.DUMMYFUNCTION("""COMPUTED_VALUE"""),48.97)</f>
        <v>48.97</v>
      </c>
      <c r="U474" s="1">
        <f ca="1">IFERROR(__xludf.DUMMYFUNCTION("""COMPUTED_VALUE"""),168.85)</f>
        <v>168.85</v>
      </c>
      <c r="V474" s="1">
        <f ca="1">IFERROR(__xludf.DUMMYFUNCTION("""COMPUTED_VALUE"""),207.71)</f>
        <v>207.71</v>
      </c>
      <c r="W474" s="1">
        <f ca="1">IFERROR(__xludf.DUMMYFUNCTION("""COMPUTED_VALUE"""),340.92)</f>
        <v>340.92</v>
      </c>
      <c r="X474" s="1">
        <f ca="1">IFERROR(__xludf.DUMMYFUNCTION("""COMPUTED_VALUE"""),856.72)</f>
        <v>856.72</v>
      </c>
      <c r="Y474" s="1">
        <f ca="1">IFERROR(__xludf.DUMMYFUNCTION("""COMPUTED_VALUE"""),118.12)</f>
        <v>118.12</v>
      </c>
      <c r="Z474" s="1">
        <f ca="1">IFERROR(__xludf.DUMMYFUNCTION("""COMPUTED_VALUE"""),404.81)</f>
        <v>404.81</v>
      </c>
      <c r="AA474" s="1">
        <f ca="1">IFERROR(__xludf.DUMMYFUNCTION("""COMPUTED_VALUE"""),49.65)</f>
        <v>49.65</v>
      </c>
      <c r="AB474" s="1">
        <f ca="1">IFERROR(__xludf.DUMMYFUNCTION("""COMPUTED_VALUE"""),111.87)</f>
        <v>111.87</v>
      </c>
      <c r="AC474" s="1">
        <f ca="1">IFERROR(__xludf.DUMMYFUNCTION("""COMPUTED_VALUE"""),146.49)</f>
        <v>146.49</v>
      </c>
    </row>
    <row r="475" spans="1:29" x14ac:dyDescent="0.25">
      <c r="A475" s="2">
        <f ca="1">IFERROR(__xludf.DUMMYFUNCTION("""COMPUTED_VALUE"""),44516.6666666666)</f>
        <v>44516.666666666599</v>
      </c>
      <c r="B475" s="1">
        <f ca="1">IFERROR(__xludf.DUMMYFUNCTION("""COMPUTED_VALUE"""),151)</f>
        <v>151</v>
      </c>
      <c r="C475" s="1">
        <f ca="1">IFERROR(__xludf.DUMMYFUNCTION("""COMPUTED_VALUE"""),339.51)</f>
        <v>339.51</v>
      </c>
      <c r="D475" s="1">
        <f ca="1">IFERROR(__xludf.DUMMYFUNCTION("""COMPUTED_VALUE"""),177.04)</f>
        <v>177.04</v>
      </c>
      <c r="E475" s="1">
        <f ca="1">IFERROR(__xludf.DUMMYFUNCTION("""COMPUTED_VALUE"""),30.2)</f>
        <v>30.2</v>
      </c>
      <c r="F475" s="1">
        <f ca="1">IFERROR(__xludf.DUMMYFUNCTION("""COMPUTED_VALUE"""),342.96)</f>
        <v>342.96</v>
      </c>
      <c r="G475" s="1">
        <f ca="1">IFERROR(__xludf.DUMMYFUNCTION("""COMPUTED_VALUE"""),149.08)</f>
        <v>149.08000000000001</v>
      </c>
      <c r="H475" s="1">
        <f ca="1">IFERROR(__xludf.DUMMYFUNCTION("""COMPUTED_VALUE"""),351.58)</f>
        <v>351.58</v>
      </c>
      <c r="I475" s="1">
        <f ca="1">IFERROR(__xludf.DUMMYFUNCTION("""COMPUTED_VALUE"""),163.31)</f>
        <v>163.31</v>
      </c>
      <c r="J475" s="1">
        <f ca="1">IFERROR(__xludf.DUMMYFUNCTION("""COMPUTED_VALUE"""),526.72)</f>
        <v>526.72</v>
      </c>
      <c r="K475" s="1">
        <f ca="1">IFERROR(__xludf.DUMMYFUNCTION("""COMPUTED_VALUE"""),56.88)</f>
        <v>56.88</v>
      </c>
      <c r="L475" s="1">
        <f ca="1">IFERROR(__xludf.DUMMYFUNCTION("""COMPUTED_VALUE"""),671.03)</f>
        <v>671.03</v>
      </c>
      <c r="M475" s="1">
        <f ca="1">IFERROR(__xludf.DUMMYFUNCTION("""COMPUTED_VALUE"""),687.4)</f>
        <v>687.4</v>
      </c>
      <c r="N475" s="1">
        <f ca="1">IFERROR(__xludf.DUMMYFUNCTION("""COMPUTED_VALUE"""),165.36)</f>
        <v>165.36</v>
      </c>
      <c r="O475" s="1">
        <f ca="1">IFERROR(__xludf.DUMMYFUNCTION("""COMPUTED_VALUE"""),215.18)</f>
        <v>215.18</v>
      </c>
      <c r="P475" s="1">
        <f ca="1">IFERROR(__xludf.DUMMYFUNCTION("""COMPUTED_VALUE"""),162.67)</f>
        <v>162.66999999999999</v>
      </c>
      <c r="Q475" s="1">
        <f ca="1">IFERROR(__xludf.DUMMYFUNCTION("""COMPUTED_VALUE"""),449.62)</f>
        <v>449.62</v>
      </c>
      <c r="R475" s="1">
        <f ca="1">IFERROR(__xludf.DUMMYFUNCTION("""COMPUTED_VALUE"""),65.02)</f>
        <v>65.02</v>
      </c>
      <c r="S475" s="1">
        <f ca="1">IFERROR(__xludf.DUMMYFUNCTION("""COMPUTED_VALUE"""),86.98)</f>
        <v>86.98</v>
      </c>
      <c r="T475" s="1">
        <f ca="1">IFERROR(__xludf.DUMMYFUNCTION("""COMPUTED_VALUE"""),47.72)</f>
        <v>47.72</v>
      </c>
      <c r="U475" s="1">
        <f ca="1">IFERROR(__xludf.DUMMYFUNCTION("""COMPUTED_VALUE"""),171.83)</f>
        <v>171.83</v>
      </c>
      <c r="V475" s="1">
        <f ca="1">IFERROR(__xludf.DUMMYFUNCTION("""COMPUTED_VALUE"""),205.43)</f>
        <v>205.43</v>
      </c>
      <c r="W475" s="1">
        <f ca="1">IFERROR(__xludf.DUMMYFUNCTION("""COMPUTED_VALUE"""),340.37)</f>
        <v>340.37</v>
      </c>
      <c r="X475" s="1">
        <f ca="1">IFERROR(__xludf.DUMMYFUNCTION("""COMPUTED_VALUE"""),860.55)</f>
        <v>860.55</v>
      </c>
      <c r="Y475" s="1">
        <f ca="1">IFERROR(__xludf.DUMMYFUNCTION("""COMPUTED_VALUE"""),118.08)</f>
        <v>118.08</v>
      </c>
      <c r="Z475" s="1">
        <f ca="1">IFERROR(__xludf.DUMMYFUNCTION("""COMPUTED_VALUE"""),403.09)</f>
        <v>403.09</v>
      </c>
      <c r="AA475" s="1">
        <f ca="1">IFERROR(__xludf.DUMMYFUNCTION("""COMPUTED_VALUE"""),49.6)</f>
        <v>49.6</v>
      </c>
      <c r="AB475" s="1">
        <f ca="1">IFERROR(__xludf.DUMMYFUNCTION("""COMPUTED_VALUE"""),112.23)</f>
        <v>112.23</v>
      </c>
      <c r="AC475" s="1">
        <f ca="1">IFERROR(__xludf.DUMMYFUNCTION("""COMPUTED_VALUE"""),152.45)</f>
        <v>152.44999999999999</v>
      </c>
    </row>
    <row r="476" spans="1:29" x14ac:dyDescent="0.25">
      <c r="A476" s="2">
        <f ca="1">IFERROR(__xludf.DUMMYFUNCTION("""COMPUTED_VALUE"""),44517.6666666666)</f>
        <v>44517.666666666599</v>
      </c>
      <c r="B476" s="1">
        <f ca="1">IFERROR(__xludf.DUMMYFUNCTION("""COMPUTED_VALUE"""),153.49)</f>
        <v>153.49</v>
      </c>
      <c r="C476" s="1">
        <f ca="1">IFERROR(__xludf.DUMMYFUNCTION("""COMPUTED_VALUE"""),339.12)</f>
        <v>339.12</v>
      </c>
      <c r="D476" s="1">
        <f ca="1">IFERROR(__xludf.DUMMYFUNCTION("""COMPUTED_VALUE"""),177.45)</f>
        <v>177.45</v>
      </c>
      <c r="E476" s="1">
        <f ca="1">IFERROR(__xludf.DUMMYFUNCTION("""COMPUTED_VALUE"""),29.26)</f>
        <v>29.26</v>
      </c>
      <c r="F476" s="1">
        <f ca="1">IFERROR(__xludf.DUMMYFUNCTION("""COMPUTED_VALUE"""),340.77)</f>
        <v>340.77</v>
      </c>
      <c r="G476" s="1">
        <f ca="1">IFERROR(__xludf.DUMMYFUNCTION("""COMPUTED_VALUE"""),149.06)</f>
        <v>149.06</v>
      </c>
      <c r="H476" s="1">
        <f ca="1">IFERROR(__xludf.DUMMYFUNCTION("""COMPUTED_VALUE"""),363)</f>
        <v>363</v>
      </c>
      <c r="I476" s="1">
        <f ca="1">IFERROR(__xludf.DUMMYFUNCTION("""COMPUTED_VALUE"""),163.37)</f>
        <v>163.37</v>
      </c>
      <c r="J476" s="1">
        <f ca="1">IFERROR(__xludf.DUMMYFUNCTION("""COMPUTED_VALUE"""),526.29)</f>
        <v>526.29</v>
      </c>
      <c r="K476" s="1">
        <f ca="1">IFERROR(__xludf.DUMMYFUNCTION("""COMPUTED_VALUE"""),56.96)</f>
        <v>56.96</v>
      </c>
      <c r="L476" s="1">
        <f ca="1">IFERROR(__xludf.DUMMYFUNCTION("""COMPUTED_VALUE"""),670.67)</f>
        <v>670.67</v>
      </c>
      <c r="M476" s="1">
        <f ca="1">IFERROR(__xludf.DUMMYFUNCTION("""COMPUTED_VALUE"""),691.69)</f>
        <v>691.69</v>
      </c>
      <c r="N476" s="1">
        <f ca="1">IFERROR(__xludf.DUMMYFUNCTION("""COMPUTED_VALUE"""),164.47)</f>
        <v>164.47</v>
      </c>
      <c r="O476" s="1">
        <f ca="1">IFERROR(__xludf.DUMMYFUNCTION("""COMPUTED_VALUE"""),205.06)</f>
        <v>205.06</v>
      </c>
      <c r="P476" s="1">
        <f ca="1">IFERROR(__xludf.DUMMYFUNCTION("""COMPUTED_VALUE"""),163.28)</f>
        <v>163.28</v>
      </c>
      <c r="Q476" s="1">
        <f ca="1">IFERROR(__xludf.DUMMYFUNCTION("""COMPUTED_VALUE"""),448.95)</f>
        <v>448.95</v>
      </c>
      <c r="R476" s="1">
        <f ca="1">IFERROR(__xludf.DUMMYFUNCTION("""COMPUTED_VALUE"""),64.31)</f>
        <v>64.31</v>
      </c>
      <c r="S476" s="1">
        <f ca="1">IFERROR(__xludf.DUMMYFUNCTION("""COMPUTED_VALUE"""),87.78)</f>
        <v>87.78</v>
      </c>
      <c r="T476" s="1">
        <f ca="1">IFERROR(__xludf.DUMMYFUNCTION("""COMPUTED_VALUE"""),47.31)</f>
        <v>47.31</v>
      </c>
      <c r="U476" s="1">
        <f ca="1">IFERROR(__xludf.DUMMYFUNCTION("""COMPUTED_VALUE"""),171.74)</f>
        <v>171.74</v>
      </c>
      <c r="V476" s="1">
        <f ca="1">IFERROR(__xludf.DUMMYFUNCTION("""COMPUTED_VALUE"""),202.98)</f>
        <v>202.98</v>
      </c>
      <c r="W476" s="1">
        <f ca="1">IFERROR(__xludf.DUMMYFUNCTION("""COMPUTED_VALUE"""),341.99)</f>
        <v>341.99</v>
      </c>
      <c r="X476" s="1">
        <f ca="1">IFERROR(__xludf.DUMMYFUNCTION("""COMPUTED_VALUE"""),859.46)</f>
        <v>859.46</v>
      </c>
      <c r="Y476" s="1">
        <f ca="1">IFERROR(__xludf.DUMMYFUNCTION("""COMPUTED_VALUE"""),119.06)</f>
        <v>119.06</v>
      </c>
      <c r="Z476" s="1">
        <f ca="1">IFERROR(__xludf.DUMMYFUNCTION("""COMPUTED_VALUE"""),391.55)</f>
        <v>391.55</v>
      </c>
      <c r="AA476" s="1">
        <f ca="1">IFERROR(__xludf.DUMMYFUNCTION("""COMPUTED_VALUE"""),50.87)</f>
        <v>50.87</v>
      </c>
      <c r="AB476" s="1">
        <f ca="1">IFERROR(__xludf.DUMMYFUNCTION("""COMPUTED_VALUE"""),112.52)</f>
        <v>112.52</v>
      </c>
      <c r="AC476" s="1">
        <f ca="1">IFERROR(__xludf.DUMMYFUNCTION("""COMPUTED_VALUE"""),151.34)</f>
        <v>151.34</v>
      </c>
    </row>
    <row r="477" spans="1:29" x14ac:dyDescent="0.25">
      <c r="A477" s="2">
        <f ca="1">IFERROR(__xludf.DUMMYFUNCTION("""COMPUTED_VALUE"""),44518.6666666666)</f>
        <v>44518.666666666599</v>
      </c>
      <c r="B477" s="1">
        <f ca="1">IFERROR(__xludf.DUMMYFUNCTION("""COMPUTED_VALUE"""),157.87)</f>
        <v>157.87</v>
      </c>
      <c r="C477" s="1">
        <f ca="1">IFERROR(__xludf.DUMMYFUNCTION("""COMPUTED_VALUE"""),341.27)</f>
        <v>341.27</v>
      </c>
      <c r="D477" s="1">
        <f ca="1">IFERROR(__xludf.DUMMYFUNCTION("""COMPUTED_VALUE"""),184.8)</f>
        <v>184.8</v>
      </c>
      <c r="E477" s="1">
        <f ca="1">IFERROR(__xludf.DUMMYFUNCTION("""COMPUTED_VALUE"""),31.68)</f>
        <v>31.68</v>
      </c>
      <c r="F477" s="1">
        <f ca="1">IFERROR(__xludf.DUMMYFUNCTION("""COMPUTED_VALUE"""),338.69)</f>
        <v>338.69</v>
      </c>
      <c r="G477" s="1">
        <f ca="1">IFERROR(__xludf.DUMMYFUNCTION("""COMPUTED_VALUE"""),150.71)</f>
        <v>150.71</v>
      </c>
      <c r="H477" s="1">
        <f ca="1">IFERROR(__xludf.DUMMYFUNCTION("""COMPUTED_VALUE"""),365.46)</f>
        <v>365.46</v>
      </c>
      <c r="I477" s="1">
        <f ca="1">IFERROR(__xludf.DUMMYFUNCTION("""COMPUTED_VALUE"""),163.42)</f>
        <v>163.41999999999999</v>
      </c>
      <c r="J477" s="1">
        <f ca="1">IFERROR(__xludf.DUMMYFUNCTION("""COMPUTED_VALUE"""),529.37)</f>
        <v>529.37</v>
      </c>
      <c r="K477" s="1">
        <f ca="1">IFERROR(__xludf.DUMMYFUNCTION("""COMPUTED_VALUE"""),57.48)</f>
        <v>57.48</v>
      </c>
      <c r="L477" s="1">
        <f ca="1">IFERROR(__xludf.DUMMYFUNCTION("""COMPUTED_VALUE"""),670.96)</f>
        <v>670.96</v>
      </c>
      <c r="M477" s="1">
        <f ca="1">IFERROR(__xludf.DUMMYFUNCTION("""COMPUTED_VALUE"""),682.02)</f>
        <v>682.02</v>
      </c>
      <c r="N477" s="1">
        <f ca="1">IFERROR(__xludf.DUMMYFUNCTION("""COMPUTED_VALUE"""),163.05)</f>
        <v>163.05000000000001</v>
      </c>
      <c r="O477" s="1">
        <f ca="1">IFERROR(__xludf.DUMMYFUNCTION("""COMPUTED_VALUE"""),203.33)</f>
        <v>203.33</v>
      </c>
      <c r="P477" s="1">
        <f ca="1">IFERROR(__xludf.DUMMYFUNCTION("""COMPUTED_VALUE"""),162.4)</f>
        <v>162.4</v>
      </c>
      <c r="Q477" s="1">
        <f ca="1">IFERROR(__xludf.DUMMYFUNCTION("""COMPUTED_VALUE"""),449.47)</f>
        <v>449.47</v>
      </c>
      <c r="R477" s="1">
        <f ca="1">IFERROR(__xludf.DUMMYFUNCTION("""COMPUTED_VALUE"""),63.61)</f>
        <v>63.61</v>
      </c>
      <c r="S477" s="1">
        <f ca="1">IFERROR(__xludf.DUMMYFUNCTION("""COMPUTED_VALUE"""),87.6)</f>
        <v>87.6</v>
      </c>
      <c r="T477" s="1">
        <f ca="1">IFERROR(__xludf.DUMMYFUNCTION("""COMPUTED_VALUE"""),47.72)</f>
        <v>47.72</v>
      </c>
      <c r="U477" s="1">
        <f ca="1">IFERROR(__xludf.DUMMYFUNCTION("""COMPUTED_VALUE"""),171.35)</f>
        <v>171.35</v>
      </c>
      <c r="V477" s="1">
        <f ca="1">IFERROR(__xludf.DUMMYFUNCTION("""COMPUTED_VALUE"""),201.42)</f>
        <v>201.42</v>
      </c>
      <c r="W477" s="1">
        <f ca="1">IFERROR(__xludf.DUMMYFUNCTION("""COMPUTED_VALUE"""),342.08)</f>
        <v>342.08</v>
      </c>
      <c r="X477" s="1">
        <f ca="1">IFERROR(__xludf.DUMMYFUNCTION("""COMPUTED_VALUE"""),879.12)</f>
        <v>879.12</v>
      </c>
      <c r="Y477" s="1">
        <f ca="1">IFERROR(__xludf.DUMMYFUNCTION("""COMPUTED_VALUE"""),123.39)</f>
        <v>123.39</v>
      </c>
      <c r="Z477" s="1">
        <f ca="1">IFERROR(__xludf.DUMMYFUNCTION("""COMPUTED_VALUE"""),391.37)</f>
        <v>391.37</v>
      </c>
      <c r="AA477" s="1">
        <f ca="1">IFERROR(__xludf.DUMMYFUNCTION("""COMPUTED_VALUE"""),51.41)</f>
        <v>51.41</v>
      </c>
      <c r="AB477" s="1">
        <f ca="1">IFERROR(__xludf.DUMMYFUNCTION("""COMPUTED_VALUE"""),112.9)</f>
        <v>112.9</v>
      </c>
      <c r="AC477" s="1">
        <f ca="1">IFERROR(__xludf.DUMMYFUNCTION("""COMPUTED_VALUE"""),155.02)</f>
        <v>155.02000000000001</v>
      </c>
    </row>
    <row r="478" spans="1:29" x14ac:dyDescent="0.25">
      <c r="A478" s="2">
        <f ca="1">IFERROR(__xludf.DUMMYFUNCTION("""COMPUTED_VALUE"""),44519.6666666666)</f>
        <v>44519.666666666599</v>
      </c>
      <c r="B478" s="1">
        <f ca="1">IFERROR(__xludf.DUMMYFUNCTION("""COMPUTED_VALUE"""),160.55)</f>
        <v>160.55000000000001</v>
      </c>
      <c r="C478" s="1">
        <f ca="1">IFERROR(__xludf.DUMMYFUNCTION("""COMPUTED_VALUE"""),343.11)</f>
        <v>343.11</v>
      </c>
      <c r="D478" s="1">
        <f ca="1">IFERROR(__xludf.DUMMYFUNCTION("""COMPUTED_VALUE"""),183.83)</f>
        <v>183.83</v>
      </c>
      <c r="E478" s="1">
        <f ca="1">IFERROR(__xludf.DUMMYFUNCTION("""COMPUTED_VALUE"""),32.99)</f>
        <v>32.99</v>
      </c>
      <c r="F478" s="1">
        <f ca="1">IFERROR(__xludf.DUMMYFUNCTION("""COMPUTED_VALUE"""),345.3)</f>
        <v>345.3</v>
      </c>
      <c r="G478" s="1">
        <f ca="1">IFERROR(__xludf.DUMMYFUNCTION("""COMPUTED_VALUE"""),149.95)</f>
        <v>149.94999999999999</v>
      </c>
      <c r="H478" s="1">
        <f ca="1">IFERROR(__xludf.DUMMYFUNCTION("""COMPUTED_VALUE"""),379.02)</f>
        <v>379.02</v>
      </c>
      <c r="I478" s="1">
        <f ca="1">IFERROR(__xludf.DUMMYFUNCTION("""COMPUTED_VALUE"""),163.81)</f>
        <v>163.81</v>
      </c>
      <c r="J478" s="1">
        <f ca="1">IFERROR(__xludf.DUMMYFUNCTION("""COMPUTED_VALUE"""),533.79)</f>
        <v>533.79</v>
      </c>
      <c r="K478" s="1">
        <f ca="1">IFERROR(__xludf.DUMMYFUNCTION("""COMPUTED_VALUE"""),56.87)</f>
        <v>56.87</v>
      </c>
      <c r="L478" s="1">
        <f ca="1">IFERROR(__xludf.DUMMYFUNCTION("""COMPUTED_VALUE"""),688.37)</f>
        <v>688.37</v>
      </c>
      <c r="M478" s="1">
        <f ca="1">IFERROR(__xludf.DUMMYFUNCTION("""COMPUTED_VALUE"""),678.8)</f>
        <v>678.8</v>
      </c>
      <c r="N478" s="1">
        <f ca="1">IFERROR(__xludf.DUMMYFUNCTION("""COMPUTED_VALUE"""),160.92)</f>
        <v>160.91999999999999</v>
      </c>
      <c r="O478" s="1">
        <f ca="1">IFERROR(__xludf.DUMMYFUNCTION("""COMPUTED_VALUE"""),200.86)</f>
        <v>200.86</v>
      </c>
      <c r="P478" s="1">
        <f ca="1">IFERROR(__xludf.DUMMYFUNCTION("""COMPUTED_VALUE"""),162.89)</f>
        <v>162.88999999999999</v>
      </c>
      <c r="Q478" s="1">
        <f ca="1">IFERROR(__xludf.DUMMYFUNCTION("""COMPUTED_VALUE"""),440)</f>
        <v>440</v>
      </c>
      <c r="R478" s="1">
        <f ca="1">IFERROR(__xludf.DUMMYFUNCTION("""COMPUTED_VALUE"""),60.67)</f>
        <v>60.67</v>
      </c>
      <c r="S478" s="1">
        <f ca="1">IFERROR(__xludf.DUMMYFUNCTION("""COMPUTED_VALUE"""),88.31)</f>
        <v>88.31</v>
      </c>
      <c r="T478" s="1">
        <f ca="1">IFERROR(__xludf.DUMMYFUNCTION("""COMPUTED_VALUE"""),47.46)</f>
        <v>47.46</v>
      </c>
      <c r="U478" s="1">
        <f ca="1">IFERROR(__xludf.DUMMYFUNCTION("""COMPUTED_VALUE"""),174.88)</f>
        <v>174.88</v>
      </c>
      <c r="V478" s="1">
        <f ca="1">IFERROR(__xludf.DUMMYFUNCTION("""COMPUTED_VALUE"""),200.44)</f>
        <v>200.44</v>
      </c>
      <c r="W478" s="1">
        <f ca="1">IFERROR(__xludf.DUMMYFUNCTION("""COMPUTED_VALUE"""),341.44)</f>
        <v>341.44</v>
      </c>
      <c r="X478" s="1">
        <f ca="1">IFERROR(__xludf.DUMMYFUNCTION("""COMPUTED_VALUE"""),857.17)</f>
        <v>857.17</v>
      </c>
      <c r="Y478" s="1">
        <f ca="1">IFERROR(__xludf.DUMMYFUNCTION("""COMPUTED_VALUE"""),124.26)</f>
        <v>124.26</v>
      </c>
      <c r="Z478" s="1">
        <f ca="1">IFERROR(__xludf.DUMMYFUNCTION("""COMPUTED_VALUE"""),387.39)</f>
        <v>387.39</v>
      </c>
      <c r="AA478" s="1">
        <f ca="1">IFERROR(__xludf.DUMMYFUNCTION("""COMPUTED_VALUE"""),50.8)</f>
        <v>50.8</v>
      </c>
      <c r="AB478" s="1">
        <f ca="1">IFERROR(__xludf.DUMMYFUNCTION("""COMPUTED_VALUE"""),110.78)</f>
        <v>110.78</v>
      </c>
      <c r="AC478" s="1">
        <f ca="1">IFERROR(__xludf.DUMMYFUNCTION("""COMPUTED_VALUE"""),155.41)</f>
        <v>155.41</v>
      </c>
    </row>
    <row r="479" spans="1:29" x14ac:dyDescent="0.25">
      <c r="A479" s="2">
        <f ca="1">IFERROR(__xludf.DUMMYFUNCTION("""COMPUTED_VALUE"""),44522.6666666666)</f>
        <v>44522.666666666599</v>
      </c>
      <c r="B479" s="1">
        <f ca="1">IFERROR(__xludf.DUMMYFUNCTION("""COMPUTED_VALUE"""),161.02)</f>
        <v>161.02000000000001</v>
      </c>
      <c r="C479" s="1">
        <f ca="1">IFERROR(__xludf.DUMMYFUNCTION("""COMPUTED_VALUE"""),339.83)</f>
        <v>339.83</v>
      </c>
      <c r="D479" s="1">
        <f ca="1">IFERROR(__xludf.DUMMYFUNCTION("""COMPUTED_VALUE"""),178.63)</f>
        <v>178.63</v>
      </c>
      <c r="E479" s="1">
        <f ca="1">IFERROR(__xludf.DUMMYFUNCTION("""COMPUTED_VALUE"""),31.96)</f>
        <v>31.96</v>
      </c>
      <c r="F479" s="1">
        <f ca="1">IFERROR(__xludf.DUMMYFUNCTION("""COMPUTED_VALUE"""),341.01)</f>
        <v>341.01</v>
      </c>
      <c r="G479" s="1">
        <f ca="1">IFERROR(__xludf.DUMMYFUNCTION("""COMPUTED_VALUE"""),147.08)</f>
        <v>147.08000000000001</v>
      </c>
      <c r="H479" s="1">
        <f ca="1">IFERROR(__xludf.DUMMYFUNCTION("""COMPUTED_VALUE"""),385.62)</f>
        <v>385.62</v>
      </c>
      <c r="I479" s="1">
        <f ca="1">IFERROR(__xludf.DUMMYFUNCTION("""COMPUTED_VALUE"""),164.15)</f>
        <v>164.15</v>
      </c>
      <c r="J479" s="1">
        <f ca="1">IFERROR(__xludf.DUMMYFUNCTION("""COMPUTED_VALUE"""),539.65)</f>
        <v>539.65</v>
      </c>
      <c r="K479" s="1">
        <f ca="1">IFERROR(__xludf.DUMMYFUNCTION("""COMPUTED_VALUE"""),55.33)</f>
        <v>55.33</v>
      </c>
      <c r="L479" s="1">
        <f ca="1">IFERROR(__xludf.DUMMYFUNCTION("""COMPUTED_VALUE"""),673.57)</f>
        <v>673.57</v>
      </c>
      <c r="M479" s="1">
        <f ca="1">IFERROR(__xludf.DUMMYFUNCTION("""COMPUTED_VALUE"""),659.2)</f>
        <v>659.2</v>
      </c>
      <c r="N479" s="1">
        <f ca="1">IFERROR(__xludf.DUMMYFUNCTION("""COMPUTED_VALUE"""),164.35)</f>
        <v>164.35</v>
      </c>
      <c r="O479" s="1">
        <f ca="1">IFERROR(__xludf.DUMMYFUNCTION("""COMPUTED_VALUE"""),195.58)</f>
        <v>195.58</v>
      </c>
      <c r="P479" s="1">
        <f ca="1">IFERROR(__xludf.DUMMYFUNCTION("""COMPUTED_VALUE"""),159.7)</f>
        <v>159.69999999999999</v>
      </c>
      <c r="Q479" s="1">
        <f ca="1">IFERROR(__xludf.DUMMYFUNCTION("""COMPUTED_VALUE"""),437.54)</f>
        <v>437.54</v>
      </c>
      <c r="R479" s="1">
        <f ca="1">IFERROR(__xludf.DUMMYFUNCTION("""COMPUTED_VALUE"""),61.51)</f>
        <v>61.51</v>
      </c>
      <c r="S479" s="1">
        <f ca="1">IFERROR(__xludf.DUMMYFUNCTION("""COMPUTED_VALUE"""),87.36)</f>
        <v>87.36</v>
      </c>
      <c r="T479" s="1">
        <f ca="1">IFERROR(__xludf.DUMMYFUNCTION("""COMPUTED_VALUE"""),48.26)</f>
        <v>48.26</v>
      </c>
      <c r="U479" s="1">
        <f ca="1">IFERROR(__xludf.DUMMYFUNCTION("""COMPUTED_VALUE"""),174.24)</f>
        <v>174.24</v>
      </c>
      <c r="V479" s="1">
        <f ca="1">IFERROR(__xludf.DUMMYFUNCTION("""COMPUTED_VALUE"""),202.38)</f>
        <v>202.38</v>
      </c>
      <c r="W479" s="1">
        <f ca="1">IFERROR(__xludf.DUMMYFUNCTION("""COMPUTED_VALUE"""),344.98)</f>
        <v>344.98</v>
      </c>
      <c r="X479" s="1">
        <f ca="1">IFERROR(__xludf.DUMMYFUNCTION("""COMPUTED_VALUE"""),825.75)</f>
        <v>825.75</v>
      </c>
      <c r="Y479" s="1">
        <f ca="1">IFERROR(__xludf.DUMMYFUNCTION("""COMPUTED_VALUE"""),124.75)</f>
        <v>124.75</v>
      </c>
      <c r="Z479" s="1">
        <f ca="1">IFERROR(__xludf.DUMMYFUNCTION("""COMPUTED_VALUE"""),396.16)</f>
        <v>396.16</v>
      </c>
      <c r="AA479" s="1">
        <f ca="1">IFERROR(__xludf.DUMMYFUNCTION("""COMPUTED_VALUE"""),51.2)</f>
        <v>51.2</v>
      </c>
      <c r="AB479" s="1">
        <f ca="1">IFERROR(__xludf.DUMMYFUNCTION("""COMPUTED_VALUE"""),111.45)</f>
        <v>111.45</v>
      </c>
      <c r="AC479" s="1">
        <f ca="1">IFERROR(__xludf.DUMMYFUNCTION("""COMPUTED_VALUE"""),152.52)</f>
        <v>152.52000000000001</v>
      </c>
    </row>
    <row r="480" spans="1:29" x14ac:dyDescent="0.25">
      <c r="A480" s="2">
        <f ca="1">IFERROR(__xludf.DUMMYFUNCTION("""COMPUTED_VALUE"""),44523.6666666666)</f>
        <v>44523.666666666599</v>
      </c>
      <c r="B480" s="1">
        <f ca="1">IFERROR(__xludf.DUMMYFUNCTION("""COMPUTED_VALUE"""),161.41)</f>
        <v>161.41</v>
      </c>
      <c r="C480" s="1">
        <f ca="1">IFERROR(__xludf.DUMMYFUNCTION("""COMPUTED_VALUE"""),337.68)</f>
        <v>337.68</v>
      </c>
      <c r="D480" s="1">
        <f ca="1">IFERROR(__xludf.DUMMYFUNCTION("""COMPUTED_VALUE"""),179)</f>
        <v>179</v>
      </c>
      <c r="E480" s="1">
        <f ca="1">IFERROR(__xludf.DUMMYFUNCTION("""COMPUTED_VALUE"""),31.75)</f>
        <v>31.75</v>
      </c>
      <c r="F480" s="1">
        <f ca="1">IFERROR(__xludf.DUMMYFUNCTION("""COMPUTED_VALUE"""),337.25)</f>
        <v>337.25</v>
      </c>
      <c r="G480" s="1">
        <f ca="1">IFERROR(__xludf.DUMMYFUNCTION("""COMPUTED_VALUE"""),146.76)</f>
        <v>146.76</v>
      </c>
      <c r="H480" s="1">
        <f ca="1">IFERROR(__xludf.DUMMYFUNCTION("""COMPUTED_VALUE"""),369.68)</f>
        <v>369.68</v>
      </c>
      <c r="I480" s="1">
        <f ca="1">IFERROR(__xludf.DUMMYFUNCTION("""COMPUTED_VALUE"""),165.25)</f>
        <v>165.25</v>
      </c>
      <c r="J480" s="1">
        <f ca="1">IFERROR(__xludf.DUMMYFUNCTION("""COMPUTED_VALUE"""),545.26)</f>
        <v>545.26</v>
      </c>
      <c r="K480" s="1">
        <f ca="1">IFERROR(__xludf.DUMMYFUNCTION("""COMPUTED_VALUE"""),55.51)</f>
        <v>55.51</v>
      </c>
      <c r="L480" s="1">
        <f ca="1">IFERROR(__xludf.DUMMYFUNCTION("""COMPUTED_VALUE"""),665.16)</f>
        <v>665.16</v>
      </c>
      <c r="M480" s="1">
        <f ca="1">IFERROR(__xludf.DUMMYFUNCTION("""COMPUTED_VALUE"""),654.06)</f>
        <v>654.05999999999995</v>
      </c>
      <c r="N480" s="1">
        <f ca="1">IFERROR(__xludf.DUMMYFUNCTION("""COMPUTED_VALUE"""),168.28)</f>
        <v>168.28</v>
      </c>
      <c r="O480" s="1">
        <f ca="1">IFERROR(__xludf.DUMMYFUNCTION("""COMPUTED_VALUE"""),198.49)</f>
        <v>198.49</v>
      </c>
      <c r="P480" s="1">
        <f ca="1">IFERROR(__xludf.DUMMYFUNCTION("""COMPUTED_VALUE"""),160.69)</f>
        <v>160.69</v>
      </c>
      <c r="Q480" s="1">
        <f ca="1">IFERROR(__xludf.DUMMYFUNCTION("""COMPUTED_VALUE"""),447.13)</f>
        <v>447.13</v>
      </c>
      <c r="R480" s="1">
        <f ca="1">IFERROR(__xludf.DUMMYFUNCTION("""COMPUTED_VALUE"""),63.13)</f>
        <v>63.13</v>
      </c>
      <c r="S480" s="1">
        <f ca="1">IFERROR(__xludf.DUMMYFUNCTION("""COMPUTED_VALUE"""),87.31)</f>
        <v>87.31</v>
      </c>
      <c r="T480" s="1">
        <f ca="1">IFERROR(__xludf.DUMMYFUNCTION("""COMPUTED_VALUE"""),48.6)</f>
        <v>48.6</v>
      </c>
      <c r="U480" s="1">
        <f ca="1">IFERROR(__xludf.DUMMYFUNCTION("""COMPUTED_VALUE"""),172.15)</f>
        <v>172.15</v>
      </c>
      <c r="V480" s="1">
        <f ca="1">IFERROR(__xludf.DUMMYFUNCTION("""COMPUTED_VALUE"""),205.33)</f>
        <v>205.33</v>
      </c>
      <c r="W480" s="1">
        <f ca="1">IFERROR(__xludf.DUMMYFUNCTION("""COMPUTED_VALUE"""),345.18)</f>
        <v>345.18</v>
      </c>
      <c r="X480" s="1">
        <f ca="1">IFERROR(__xludf.DUMMYFUNCTION("""COMPUTED_VALUE"""),807.48)</f>
        <v>807.48</v>
      </c>
      <c r="Y480" s="1">
        <f ca="1">IFERROR(__xludf.DUMMYFUNCTION("""COMPUTED_VALUE"""),121.36)</f>
        <v>121.36</v>
      </c>
      <c r="Z480" s="1">
        <f ca="1">IFERROR(__xludf.DUMMYFUNCTION("""COMPUTED_VALUE"""),406.34)</f>
        <v>406.34</v>
      </c>
      <c r="AA480" s="1">
        <f ca="1">IFERROR(__xludf.DUMMYFUNCTION("""COMPUTED_VALUE"""),51.08)</f>
        <v>51.08</v>
      </c>
      <c r="AB480" s="1">
        <f ca="1">IFERROR(__xludf.DUMMYFUNCTION("""COMPUTED_VALUE"""),113.58)</f>
        <v>113.58</v>
      </c>
      <c r="AC480" s="1">
        <f ca="1">IFERROR(__xludf.DUMMYFUNCTION("""COMPUTED_VALUE"""),149.92)</f>
        <v>149.91999999999999</v>
      </c>
    </row>
    <row r="481" spans="1:29" x14ac:dyDescent="0.25">
      <c r="A481" s="2">
        <f ca="1">IFERROR(__xludf.DUMMYFUNCTION("""COMPUTED_VALUE"""),44524.6666666666)</f>
        <v>44524.666666666599</v>
      </c>
      <c r="B481" s="1">
        <f ca="1">IFERROR(__xludf.DUMMYFUNCTION("""COMPUTED_VALUE"""),161.94)</f>
        <v>161.94</v>
      </c>
      <c r="C481" s="1">
        <f ca="1">IFERROR(__xludf.DUMMYFUNCTION("""COMPUTED_VALUE"""),337.91)</f>
        <v>337.91</v>
      </c>
      <c r="D481" s="1">
        <f ca="1">IFERROR(__xludf.DUMMYFUNCTION("""COMPUTED_VALUE"""),179.02)</f>
        <v>179.02</v>
      </c>
      <c r="E481" s="1">
        <f ca="1">IFERROR(__xludf.DUMMYFUNCTION("""COMPUTED_VALUE"""),32.67)</f>
        <v>32.67</v>
      </c>
      <c r="F481" s="1">
        <f ca="1">IFERROR(__xludf.DUMMYFUNCTION("""COMPUTED_VALUE"""),341.06)</f>
        <v>341.06</v>
      </c>
      <c r="G481" s="1">
        <f ca="1">IFERROR(__xludf.DUMMYFUNCTION("""COMPUTED_VALUE"""),146.72)</f>
        <v>146.72</v>
      </c>
      <c r="H481" s="1">
        <f ca="1">IFERROR(__xludf.DUMMYFUNCTION("""COMPUTED_VALUE"""),372)</f>
        <v>372</v>
      </c>
      <c r="I481" s="1">
        <f ca="1">IFERROR(__xludf.DUMMYFUNCTION("""COMPUTED_VALUE"""),163.74)</f>
        <v>163.74</v>
      </c>
      <c r="J481" s="1">
        <f ca="1">IFERROR(__xludf.DUMMYFUNCTION("""COMPUTED_VALUE"""),549.73)</f>
        <v>549.73</v>
      </c>
      <c r="K481" s="1">
        <f ca="1">IFERROR(__xludf.DUMMYFUNCTION("""COMPUTED_VALUE"""),55.87)</f>
        <v>55.87</v>
      </c>
      <c r="L481" s="1">
        <f ca="1">IFERROR(__xludf.DUMMYFUNCTION("""COMPUTED_VALUE"""),668.32)</f>
        <v>668.32</v>
      </c>
      <c r="M481" s="1">
        <f ca="1">IFERROR(__xludf.DUMMYFUNCTION("""COMPUTED_VALUE"""),658.29)</f>
        <v>658.29</v>
      </c>
      <c r="N481" s="1">
        <f ca="1">IFERROR(__xludf.DUMMYFUNCTION("""COMPUTED_VALUE"""),166.96)</f>
        <v>166.96</v>
      </c>
      <c r="O481" s="1">
        <f ca="1">IFERROR(__xludf.DUMMYFUNCTION("""COMPUTED_VALUE"""),203.25)</f>
        <v>203.25</v>
      </c>
      <c r="P481" s="1">
        <f ca="1">IFERROR(__xludf.DUMMYFUNCTION("""COMPUTED_VALUE"""),160.24)</f>
        <v>160.24</v>
      </c>
      <c r="Q481" s="1">
        <f ca="1">IFERROR(__xludf.DUMMYFUNCTION("""COMPUTED_VALUE"""),450.16)</f>
        <v>450.16</v>
      </c>
      <c r="R481" s="1">
        <f ca="1">IFERROR(__xludf.DUMMYFUNCTION("""COMPUTED_VALUE"""),63.48)</f>
        <v>63.48</v>
      </c>
      <c r="S481" s="1">
        <f ca="1">IFERROR(__xludf.DUMMYFUNCTION("""COMPUTED_VALUE"""),87.21)</f>
        <v>87.21</v>
      </c>
      <c r="T481" s="1">
        <f ca="1">IFERROR(__xludf.DUMMYFUNCTION("""COMPUTED_VALUE"""),48.85)</f>
        <v>48.85</v>
      </c>
      <c r="U481" s="1">
        <f ca="1">IFERROR(__xludf.DUMMYFUNCTION("""COMPUTED_VALUE"""),172.03)</f>
        <v>172.03</v>
      </c>
      <c r="V481" s="1">
        <f ca="1">IFERROR(__xludf.DUMMYFUNCTION("""COMPUTED_VALUE"""),207.07)</f>
        <v>207.07</v>
      </c>
      <c r="W481" s="1">
        <f ca="1">IFERROR(__xludf.DUMMYFUNCTION("""COMPUTED_VALUE"""),343.58)</f>
        <v>343.58</v>
      </c>
      <c r="X481" s="1">
        <f ca="1">IFERROR(__xludf.DUMMYFUNCTION("""COMPUTED_VALUE"""),802.39)</f>
        <v>802.39</v>
      </c>
      <c r="Y481" s="1">
        <f ca="1">IFERROR(__xludf.DUMMYFUNCTION("""COMPUTED_VALUE"""),120.71)</f>
        <v>120.71</v>
      </c>
      <c r="Z481" s="1">
        <f ca="1">IFERROR(__xludf.DUMMYFUNCTION("""COMPUTED_VALUE"""),399.19)</f>
        <v>399.19</v>
      </c>
      <c r="AA481" s="1">
        <f ca="1">IFERROR(__xludf.DUMMYFUNCTION("""COMPUTED_VALUE"""),50.89)</f>
        <v>50.89</v>
      </c>
      <c r="AB481" s="1">
        <f ca="1">IFERROR(__xludf.DUMMYFUNCTION("""COMPUTED_VALUE"""),113.97)</f>
        <v>113.97</v>
      </c>
      <c r="AC481" s="1">
        <f ca="1">IFERROR(__xludf.DUMMYFUNCTION("""COMPUTED_VALUE"""),157.8)</f>
        <v>157.80000000000001</v>
      </c>
    </row>
    <row r="482" spans="1:29" x14ac:dyDescent="0.25">
      <c r="A482" s="2">
        <f ca="1">IFERROR(__xludf.DUMMYFUNCTION("""COMPUTED_VALUE"""),44526.5416666666)</f>
        <v>44526.541666666599</v>
      </c>
      <c r="B482" s="1">
        <f ca="1">IFERROR(__xludf.DUMMYFUNCTION("""COMPUTED_VALUE"""),156.81)</f>
        <v>156.81</v>
      </c>
      <c r="C482" s="1">
        <f ca="1">IFERROR(__xludf.DUMMYFUNCTION("""COMPUTED_VALUE"""),329.68)</f>
        <v>329.68</v>
      </c>
      <c r="D482" s="1">
        <f ca="1">IFERROR(__xludf.DUMMYFUNCTION("""COMPUTED_VALUE"""),175.23)</f>
        <v>175.23</v>
      </c>
      <c r="E482" s="1">
        <f ca="1">IFERROR(__xludf.DUMMYFUNCTION("""COMPUTED_VALUE"""),31.5)</f>
        <v>31.5</v>
      </c>
      <c r="F482" s="1">
        <f ca="1">IFERROR(__xludf.DUMMYFUNCTION("""COMPUTED_VALUE"""),333.12)</f>
        <v>333.12</v>
      </c>
      <c r="G482" s="1">
        <f ca="1">IFERROR(__xludf.DUMMYFUNCTION("""COMPUTED_VALUE"""),142.81)</f>
        <v>142.81</v>
      </c>
      <c r="H482" s="1">
        <f ca="1">IFERROR(__xludf.DUMMYFUNCTION("""COMPUTED_VALUE"""),360.64)</f>
        <v>360.64</v>
      </c>
      <c r="I482" s="1">
        <f ca="1">IFERROR(__xludf.DUMMYFUNCTION("""COMPUTED_VALUE"""),161.14)</f>
        <v>161.13999999999999</v>
      </c>
      <c r="J482" s="1">
        <f ca="1">IFERROR(__xludf.DUMMYFUNCTION("""COMPUTED_VALUE"""),546.13)</f>
        <v>546.13</v>
      </c>
      <c r="K482" s="1">
        <f ca="1">IFERROR(__xludf.DUMMYFUNCTION("""COMPUTED_VALUE"""),54.66)</f>
        <v>54.66</v>
      </c>
      <c r="L482" s="1">
        <f ca="1">IFERROR(__xludf.DUMMYFUNCTION("""COMPUTED_VALUE"""),662.1)</f>
        <v>662.1</v>
      </c>
      <c r="M482" s="1">
        <f ca="1">IFERROR(__xludf.DUMMYFUNCTION("""COMPUTED_VALUE"""),665.64)</f>
        <v>665.64</v>
      </c>
      <c r="N482" s="1">
        <f ca="1">IFERROR(__xludf.DUMMYFUNCTION("""COMPUTED_VALUE"""),161.93)</f>
        <v>161.93</v>
      </c>
      <c r="O482" s="1">
        <f ca="1">IFERROR(__xludf.DUMMYFUNCTION("""COMPUTED_VALUE"""),197.65)</f>
        <v>197.65</v>
      </c>
      <c r="P482" s="1">
        <f ca="1">IFERROR(__xludf.DUMMYFUNCTION("""COMPUTED_VALUE"""),159.2)</f>
        <v>159.19999999999999</v>
      </c>
      <c r="Q482" s="1">
        <f ca="1">IFERROR(__xludf.DUMMYFUNCTION("""COMPUTED_VALUE"""),439.91)</f>
        <v>439.91</v>
      </c>
      <c r="R482" s="1">
        <f ca="1">IFERROR(__xludf.DUMMYFUNCTION("""COMPUTED_VALUE"""),61.25)</f>
        <v>61.25</v>
      </c>
      <c r="S482" s="1">
        <f ca="1">IFERROR(__xludf.DUMMYFUNCTION("""COMPUTED_VALUE"""),86.09)</f>
        <v>86.09</v>
      </c>
      <c r="T482" s="1">
        <f ca="1">IFERROR(__xludf.DUMMYFUNCTION("""COMPUTED_VALUE"""),48.3)</f>
        <v>48.3</v>
      </c>
      <c r="U482" s="1">
        <f ca="1">IFERROR(__xludf.DUMMYFUNCTION("""COMPUTED_VALUE"""),168.02)</f>
        <v>168.02</v>
      </c>
      <c r="V482" s="1">
        <f ca="1">IFERROR(__xludf.DUMMYFUNCTION("""COMPUTED_VALUE"""),198.73)</f>
        <v>198.73</v>
      </c>
      <c r="W482" s="1">
        <f ca="1">IFERROR(__xludf.DUMMYFUNCTION("""COMPUTED_VALUE"""),342.72)</f>
        <v>342.72</v>
      </c>
      <c r="X482" s="1">
        <f ca="1">IFERROR(__xludf.DUMMYFUNCTION("""COMPUTED_VALUE"""),782.02)</f>
        <v>782.02</v>
      </c>
      <c r="Y482" s="1">
        <f ca="1">IFERROR(__xludf.DUMMYFUNCTION("""COMPUTED_VALUE"""),117.09)</f>
        <v>117.09</v>
      </c>
      <c r="Z482" s="1">
        <f ca="1">IFERROR(__xludf.DUMMYFUNCTION("""COMPUTED_VALUE"""),389.39)</f>
        <v>389.39</v>
      </c>
      <c r="AA482" s="1">
        <f ca="1">IFERROR(__xludf.DUMMYFUNCTION("""COMPUTED_VALUE"""),54)</f>
        <v>54</v>
      </c>
      <c r="AB482" s="1">
        <f ca="1">IFERROR(__xludf.DUMMYFUNCTION("""COMPUTED_VALUE"""),110.66)</f>
        <v>110.66</v>
      </c>
      <c r="AC482" s="1">
        <f ca="1">IFERROR(__xludf.DUMMYFUNCTION("""COMPUTED_VALUE"""),154.81)</f>
        <v>154.81</v>
      </c>
    </row>
    <row r="483" spans="1:29" x14ac:dyDescent="0.25">
      <c r="A483" s="2">
        <f ca="1">IFERROR(__xludf.DUMMYFUNCTION("""COMPUTED_VALUE"""),44529.6666666666)</f>
        <v>44529.666666666599</v>
      </c>
      <c r="B483" s="1">
        <f ca="1">IFERROR(__xludf.DUMMYFUNCTION("""COMPUTED_VALUE"""),160.24)</f>
        <v>160.24</v>
      </c>
      <c r="C483" s="1">
        <f ca="1">IFERROR(__xludf.DUMMYFUNCTION("""COMPUTED_VALUE"""),336.63)</f>
        <v>336.63</v>
      </c>
      <c r="D483" s="1">
        <f ca="1">IFERROR(__xludf.DUMMYFUNCTION("""COMPUTED_VALUE"""),178.08)</f>
        <v>178.08</v>
      </c>
      <c r="E483" s="1">
        <f ca="1">IFERROR(__xludf.DUMMYFUNCTION("""COMPUTED_VALUE"""),33.38)</f>
        <v>33.380000000000003</v>
      </c>
      <c r="F483" s="1">
        <f ca="1">IFERROR(__xludf.DUMMYFUNCTION("""COMPUTED_VALUE"""),338.03)</f>
        <v>338.03</v>
      </c>
      <c r="G483" s="1">
        <f ca="1">IFERROR(__xludf.DUMMYFUNCTION("""COMPUTED_VALUE"""),146.11)</f>
        <v>146.11000000000001</v>
      </c>
      <c r="H483" s="1">
        <f ca="1">IFERROR(__xludf.DUMMYFUNCTION("""COMPUTED_VALUE"""),379)</f>
        <v>379</v>
      </c>
      <c r="I483" s="1">
        <f ca="1">IFERROR(__xludf.DUMMYFUNCTION("""COMPUTED_VALUE"""),164.14)</f>
        <v>164.14</v>
      </c>
      <c r="J483" s="1">
        <f ca="1">IFERROR(__xludf.DUMMYFUNCTION("""COMPUTED_VALUE"""),554.88)</f>
        <v>554.88</v>
      </c>
      <c r="K483" s="1">
        <f ca="1">IFERROR(__xludf.DUMMYFUNCTION("""COMPUTED_VALUE"""),56.43)</f>
        <v>56.43</v>
      </c>
      <c r="L483" s="1">
        <f ca="1">IFERROR(__xludf.DUMMYFUNCTION("""COMPUTED_VALUE"""),687.49)</f>
        <v>687.49</v>
      </c>
      <c r="M483" s="1">
        <f ca="1">IFERROR(__xludf.DUMMYFUNCTION("""COMPUTED_VALUE"""),663.84)</f>
        <v>663.84</v>
      </c>
      <c r="N483" s="1">
        <f ca="1">IFERROR(__xludf.DUMMYFUNCTION("""COMPUTED_VALUE"""),161.23)</f>
        <v>161.22999999999999</v>
      </c>
      <c r="O483" s="1">
        <f ca="1">IFERROR(__xludf.DUMMYFUNCTION("""COMPUTED_VALUE"""),196.29)</f>
        <v>196.29</v>
      </c>
      <c r="P483" s="1">
        <f ca="1">IFERROR(__xludf.DUMMYFUNCTION("""COMPUTED_VALUE"""),159.75)</f>
        <v>159.75</v>
      </c>
      <c r="Q483" s="1">
        <f ca="1">IFERROR(__xludf.DUMMYFUNCTION("""COMPUTED_VALUE"""),452)</f>
        <v>452</v>
      </c>
      <c r="R483" s="1">
        <f ca="1">IFERROR(__xludf.DUMMYFUNCTION("""COMPUTED_VALUE"""),61.59)</f>
        <v>61.59</v>
      </c>
      <c r="S483" s="1">
        <f ca="1">IFERROR(__xludf.DUMMYFUNCTION("""COMPUTED_VALUE"""),88.66)</f>
        <v>88.66</v>
      </c>
      <c r="T483" s="1">
        <f ca="1">IFERROR(__xludf.DUMMYFUNCTION("""COMPUTED_VALUE"""),47.54)</f>
        <v>47.54</v>
      </c>
      <c r="U483" s="1">
        <f ca="1">IFERROR(__xludf.DUMMYFUNCTION("""COMPUTED_VALUE"""),169.87)</f>
        <v>169.87</v>
      </c>
      <c r="V483" s="1">
        <f ca="1">IFERROR(__xludf.DUMMYFUNCTION("""COMPUTED_VALUE"""),195.92)</f>
        <v>195.92</v>
      </c>
      <c r="W483" s="1">
        <f ca="1">IFERROR(__xludf.DUMMYFUNCTION("""COMPUTED_VALUE"""),341.23)</f>
        <v>341.23</v>
      </c>
      <c r="X483" s="1">
        <f ca="1">IFERROR(__xludf.DUMMYFUNCTION("""COMPUTED_VALUE"""),815.01)</f>
        <v>815.01</v>
      </c>
      <c r="Y483" s="1">
        <f ca="1">IFERROR(__xludf.DUMMYFUNCTION("""COMPUTED_VALUE"""),119.28)</f>
        <v>119.28</v>
      </c>
      <c r="Z483" s="1">
        <f ca="1">IFERROR(__xludf.DUMMYFUNCTION("""COMPUTED_VALUE"""),386.54)</f>
        <v>386.54</v>
      </c>
      <c r="AA483" s="1">
        <f ca="1">IFERROR(__xludf.DUMMYFUNCTION("""COMPUTED_VALUE"""),52.4)</f>
        <v>52.4</v>
      </c>
      <c r="AB483" s="1">
        <f ca="1">IFERROR(__xludf.DUMMYFUNCTION("""COMPUTED_VALUE"""),110.73)</f>
        <v>110.73</v>
      </c>
      <c r="AC483" s="1">
        <f ca="1">IFERROR(__xludf.DUMMYFUNCTION("""COMPUTED_VALUE"""),161.91)</f>
        <v>161.91</v>
      </c>
    </row>
    <row r="484" spans="1:29" x14ac:dyDescent="0.25">
      <c r="A484" s="2">
        <f ca="1">IFERROR(__xludf.DUMMYFUNCTION("""COMPUTED_VALUE"""),44530.6666666666)</f>
        <v>44530.666666666599</v>
      </c>
      <c r="B484" s="1">
        <f ca="1">IFERROR(__xludf.DUMMYFUNCTION("""COMPUTED_VALUE"""),165.3)</f>
        <v>165.3</v>
      </c>
      <c r="C484" s="1">
        <f ca="1">IFERROR(__xludf.DUMMYFUNCTION("""COMPUTED_VALUE"""),330.59)</f>
        <v>330.59</v>
      </c>
      <c r="D484" s="1">
        <f ca="1">IFERROR(__xludf.DUMMYFUNCTION("""COMPUTED_VALUE"""),175.35)</f>
        <v>175.35</v>
      </c>
      <c r="E484" s="1">
        <f ca="1">IFERROR(__xludf.DUMMYFUNCTION("""COMPUTED_VALUE"""),32.68)</f>
        <v>32.68</v>
      </c>
      <c r="F484" s="1">
        <f ca="1">IFERROR(__xludf.DUMMYFUNCTION("""COMPUTED_VALUE"""),324.46)</f>
        <v>324.45999999999998</v>
      </c>
      <c r="G484" s="1">
        <f ca="1">IFERROR(__xludf.DUMMYFUNCTION("""COMPUTED_VALUE"""),142.45)</f>
        <v>142.44999999999999</v>
      </c>
      <c r="H484" s="1">
        <f ca="1">IFERROR(__xludf.DUMMYFUNCTION("""COMPUTED_VALUE"""),381.59)</f>
        <v>381.59</v>
      </c>
      <c r="I484" s="1">
        <f ca="1">IFERROR(__xludf.DUMMYFUNCTION("""COMPUTED_VALUE"""),159.78)</f>
        <v>159.78</v>
      </c>
      <c r="J484" s="1">
        <f ca="1">IFERROR(__xludf.DUMMYFUNCTION("""COMPUTED_VALUE"""),539.38)</f>
        <v>539.38</v>
      </c>
      <c r="K484" s="1">
        <f ca="1">IFERROR(__xludf.DUMMYFUNCTION("""COMPUTED_VALUE"""),55.37)</f>
        <v>55.37</v>
      </c>
      <c r="L484" s="1">
        <f ca="1">IFERROR(__xludf.DUMMYFUNCTION("""COMPUTED_VALUE"""),669.85)</f>
        <v>669.85</v>
      </c>
      <c r="M484" s="1">
        <f ca="1">IFERROR(__xludf.DUMMYFUNCTION("""COMPUTED_VALUE"""),641.9)</f>
        <v>641.9</v>
      </c>
      <c r="N484" s="1">
        <f ca="1">IFERROR(__xludf.DUMMYFUNCTION("""COMPUTED_VALUE"""),158.83)</f>
        <v>158.83000000000001</v>
      </c>
      <c r="O484" s="1">
        <f ca="1">IFERROR(__xludf.DUMMYFUNCTION("""COMPUTED_VALUE"""),193.77)</f>
        <v>193.77</v>
      </c>
      <c r="P484" s="1">
        <f ca="1">IFERROR(__xludf.DUMMYFUNCTION("""COMPUTED_VALUE"""),155.93)</f>
        <v>155.93</v>
      </c>
      <c r="Q484" s="1">
        <f ca="1">IFERROR(__xludf.DUMMYFUNCTION("""COMPUTED_VALUE"""),444.22)</f>
        <v>444.22</v>
      </c>
      <c r="R484" s="1">
        <f ca="1">IFERROR(__xludf.DUMMYFUNCTION("""COMPUTED_VALUE"""),59.84)</f>
        <v>59.84</v>
      </c>
      <c r="S484" s="1">
        <f ca="1">IFERROR(__xludf.DUMMYFUNCTION("""COMPUTED_VALUE"""),86.78)</f>
        <v>86.78</v>
      </c>
      <c r="T484" s="1">
        <f ca="1">IFERROR(__xludf.DUMMYFUNCTION("""COMPUTED_VALUE"""),46.88)</f>
        <v>46.88</v>
      </c>
      <c r="U484" s="1">
        <f ca="1">IFERROR(__xludf.DUMMYFUNCTION("""COMPUTED_VALUE"""),169.24)</f>
        <v>169.24</v>
      </c>
      <c r="V484" s="1">
        <f ca="1">IFERROR(__xludf.DUMMYFUNCTION("""COMPUTED_VALUE"""),193.35)</f>
        <v>193.35</v>
      </c>
      <c r="W484" s="1">
        <f ca="1">IFERROR(__xludf.DUMMYFUNCTION("""COMPUTED_VALUE"""),333.32)</f>
        <v>333.32</v>
      </c>
      <c r="X484" s="1">
        <f ca="1">IFERROR(__xludf.DUMMYFUNCTION("""COMPUTED_VALUE"""),791.51)</f>
        <v>791.51</v>
      </c>
      <c r="Y484" s="1">
        <f ca="1">IFERROR(__xludf.DUMMYFUNCTION("""COMPUTED_VALUE"""),117.15)</f>
        <v>117.15</v>
      </c>
      <c r="Z484" s="1">
        <f ca="1">IFERROR(__xludf.DUMMYFUNCTION("""COMPUTED_VALUE"""),380.99)</f>
        <v>380.99</v>
      </c>
      <c r="AA484" s="1">
        <f ca="1">IFERROR(__xludf.DUMMYFUNCTION("""COMPUTED_VALUE"""),53.73)</f>
        <v>53.73</v>
      </c>
      <c r="AB484" s="1">
        <f ca="1">IFERROR(__xludf.DUMMYFUNCTION("""COMPUTED_VALUE"""),109.64)</f>
        <v>109.64</v>
      </c>
      <c r="AC484" s="1">
        <f ca="1">IFERROR(__xludf.DUMMYFUNCTION("""COMPUTED_VALUE"""),158.37)</f>
        <v>158.37</v>
      </c>
    </row>
    <row r="485" spans="1:29" x14ac:dyDescent="0.25">
      <c r="A485" s="2">
        <f ca="1">IFERROR(__xludf.DUMMYFUNCTION("""COMPUTED_VALUE"""),44531.6666666666)</f>
        <v>44531.666666666599</v>
      </c>
      <c r="B485" s="1">
        <f ca="1">IFERROR(__xludf.DUMMYFUNCTION("""COMPUTED_VALUE"""),164.77)</f>
        <v>164.77</v>
      </c>
      <c r="C485" s="1">
        <f ca="1">IFERROR(__xludf.DUMMYFUNCTION("""COMPUTED_VALUE"""),330.08)</f>
        <v>330.08</v>
      </c>
      <c r="D485" s="1">
        <f ca="1">IFERROR(__xludf.DUMMYFUNCTION("""COMPUTED_VALUE"""),172.19)</f>
        <v>172.19</v>
      </c>
      <c r="E485" s="1">
        <f ca="1">IFERROR(__xludf.DUMMYFUNCTION("""COMPUTED_VALUE"""),31.44)</f>
        <v>31.44</v>
      </c>
      <c r="F485" s="1">
        <f ca="1">IFERROR(__xludf.DUMMYFUNCTION("""COMPUTED_VALUE"""),310.6)</f>
        <v>310.60000000000002</v>
      </c>
      <c r="G485" s="1">
        <f ca="1">IFERROR(__xludf.DUMMYFUNCTION("""COMPUTED_VALUE"""),141.62)</f>
        <v>141.62</v>
      </c>
      <c r="H485" s="1">
        <f ca="1">IFERROR(__xludf.DUMMYFUNCTION("""COMPUTED_VALUE"""),365)</f>
        <v>365</v>
      </c>
      <c r="I485" s="1">
        <f ca="1">IFERROR(__xludf.DUMMYFUNCTION("""COMPUTED_VALUE"""),160.16)</f>
        <v>160.16</v>
      </c>
      <c r="J485" s="1">
        <f ca="1">IFERROR(__xludf.DUMMYFUNCTION("""COMPUTED_VALUE"""),529.84)</f>
        <v>529.84</v>
      </c>
      <c r="K485" s="1">
        <f ca="1">IFERROR(__xludf.DUMMYFUNCTION("""COMPUTED_VALUE"""),55.48)</f>
        <v>55.48</v>
      </c>
      <c r="L485" s="1">
        <f ca="1">IFERROR(__xludf.DUMMYFUNCTION("""COMPUTED_VALUE"""),657.41)</f>
        <v>657.41</v>
      </c>
      <c r="M485" s="1">
        <f ca="1">IFERROR(__xludf.DUMMYFUNCTION("""COMPUTED_VALUE"""),617.77)</f>
        <v>617.77</v>
      </c>
      <c r="N485" s="1">
        <f ca="1">IFERROR(__xludf.DUMMYFUNCTION("""COMPUTED_VALUE"""),157.89)</f>
        <v>157.88999999999999</v>
      </c>
      <c r="O485" s="1">
        <f ca="1">IFERROR(__xludf.DUMMYFUNCTION("""COMPUTED_VALUE"""),190.16)</f>
        <v>190.16</v>
      </c>
      <c r="P485" s="1">
        <f ca="1">IFERROR(__xludf.DUMMYFUNCTION("""COMPUTED_VALUE"""),158.08)</f>
        <v>158.08000000000001</v>
      </c>
      <c r="Q485" s="1">
        <f ca="1">IFERROR(__xludf.DUMMYFUNCTION("""COMPUTED_VALUE"""),444.34)</f>
        <v>444.34</v>
      </c>
      <c r="R485" s="1">
        <f ca="1">IFERROR(__xludf.DUMMYFUNCTION("""COMPUTED_VALUE"""),59.79)</f>
        <v>59.79</v>
      </c>
      <c r="S485" s="1">
        <f ca="1">IFERROR(__xludf.DUMMYFUNCTION("""COMPUTED_VALUE"""),87.84)</f>
        <v>87.84</v>
      </c>
      <c r="T485" s="1">
        <f ca="1">IFERROR(__xludf.DUMMYFUNCTION("""COMPUTED_VALUE"""),45.71)</f>
        <v>45.71</v>
      </c>
      <c r="U485" s="1">
        <f ca="1">IFERROR(__xludf.DUMMYFUNCTION("""COMPUTED_VALUE"""),166.7)</f>
        <v>166.7</v>
      </c>
      <c r="V485" s="1">
        <f ca="1">IFERROR(__xludf.DUMMYFUNCTION("""COMPUTED_VALUE"""),191.47)</f>
        <v>191.47</v>
      </c>
      <c r="W485" s="1">
        <f ca="1">IFERROR(__xludf.DUMMYFUNCTION("""COMPUTED_VALUE"""),328.42)</f>
        <v>328.42</v>
      </c>
      <c r="X485" s="1">
        <f ca="1">IFERROR(__xludf.DUMMYFUNCTION("""COMPUTED_VALUE"""),804)</f>
        <v>804</v>
      </c>
      <c r="Y485" s="1">
        <f ca="1">IFERROR(__xludf.DUMMYFUNCTION("""COMPUTED_VALUE"""),120.63)</f>
        <v>120.63</v>
      </c>
      <c r="Z485" s="1">
        <f ca="1">IFERROR(__xludf.DUMMYFUNCTION("""COMPUTED_VALUE"""),376.48)</f>
        <v>376.48</v>
      </c>
      <c r="AA485" s="1">
        <f ca="1">IFERROR(__xludf.DUMMYFUNCTION("""COMPUTED_VALUE"""),54.68)</f>
        <v>54.68</v>
      </c>
      <c r="AB485" s="1">
        <f ca="1">IFERROR(__xludf.DUMMYFUNCTION("""COMPUTED_VALUE"""),108.66)</f>
        <v>108.66</v>
      </c>
      <c r="AC485" s="1">
        <f ca="1">IFERROR(__xludf.DUMMYFUNCTION("""COMPUTED_VALUE"""),149.11)</f>
        <v>149.11000000000001</v>
      </c>
    </row>
    <row r="486" spans="1:29" x14ac:dyDescent="0.25">
      <c r="A486" s="2">
        <f ca="1">IFERROR(__xludf.DUMMYFUNCTION("""COMPUTED_VALUE"""),44532.6666666666)</f>
        <v>44532.666666666599</v>
      </c>
      <c r="B486" s="1">
        <f ca="1">IFERROR(__xludf.DUMMYFUNCTION("""COMPUTED_VALUE"""),163.76)</f>
        <v>163.76</v>
      </c>
      <c r="C486" s="1">
        <f ca="1">IFERROR(__xludf.DUMMYFUNCTION("""COMPUTED_VALUE"""),329.49)</f>
        <v>329.49</v>
      </c>
      <c r="D486" s="1">
        <f ca="1">IFERROR(__xludf.DUMMYFUNCTION("""COMPUTED_VALUE"""),171.87)</f>
        <v>171.87</v>
      </c>
      <c r="E486" s="1">
        <f ca="1">IFERROR(__xludf.DUMMYFUNCTION("""COMPUTED_VALUE"""),32.13)</f>
        <v>32.130000000000003</v>
      </c>
      <c r="F486" s="1">
        <f ca="1">IFERROR(__xludf.DUMMYFUNCTION("""COMPUTED_VALUE"""),310.39)</f>
        <v>310.39</v>
      </c>
      <c r="G486" s="1">
        <f ca="1">IFERROR(__xludf.DUMMYFUNCTION("""COMPUTED_VALUE"""),143.78)</f>
        <v>143.78</v>
      </c>
      <c r="H486" s="1">
        <f ca="1">IFERROR(__xludf.DUMMYFUNCTION("""COMPUTED_VALUE"""),361.53)</f>
        <v>361.53</v>
      </c>
      <c r="I486" s="1">
        <f ca="1">IFERROR(__xludf.DUMMYFUNCTION("""COMPUTED_VALUE"""),160.62)</f>
        <v>160.62</v>
      </c>
      <c r="J486" s="1">
        <f ca="1">IFERROR(__xludf.DUMMYFUNCTION("""COMPUTED_VALUE"""),525.51)</f>
        <v>525.51</v>
      </c>
      <c r="K486" s="1">
        <f ca="1">IFERROR(__xludf.DUMMYFUNCTION("""COMPUTED_VALUE"""),55.25)</f>
        <v>55.25</v>
      </c>
      <c r="L486" s="1">
        <f ca="1">IFERROR(__xludf.DUMMYFUNCTION("""COMPUTED_VALUE"""),671.88)</f>
        <v>671.88</v>
      </c>
      <c r="M486" s="1">
        <f ca="1">IFERROR(__xludf.DUMMYFUNCTION("""COMPUTED_VALUE"""),616.47)</f>
        <v>616.47</v>
      </c>
      <c r="N486" s="1">
        <f ca="1">IFERROR(__xludf.DUMMYFUNCTION("""COMPUTED_VALUE"""),161.21)</f>
        <v>161.21</v>
      </c>
      <c r="O486" s="1">
        <f ca="1">IFERROR(__xludf.DUMMYFUNCTION("""COMPUTED_VALUE"""),198.29)</f>
        <v>198.29</v>
      </c>
      <c r="P486" s="1">
        <f ca="1">IFERROR(__xludf.DUMMYFUNCTION("""COMPUTED_VALUE"""),157.09)</f>
        <v>157.09</v>
      </c>
      <c r="Q486" s="1">
        <f ca="1">IFERROR(__xludf.DUMMYFUNCTION("""COMPUTED_VALUE"""),446.02)</f>
        <v>446.02</v>
      </c>
      <c r="R486" s="1">
        <f ca="1">IFERROR(__xludf.DUMMYFUNCTION("""COMPUTED_VALUE"""),61.28)</f>
        <v>61.28</v>
      </c>
      <c r="S486" s="1">
        <f ca="1">IFERROR(__xludf.DUMMYFUNCTION("""COMPUTED_VALUE"""),88.62)</f>
        <v>88.62</v>
      </c>
      <c r="T486" s="1">
        <f ca="1">IFERROR(__xludf.DUMMYFUNCTION("""COMPUTED_VALUE"""),45.16)</f>
        <v>45.16</v>
      </c>
      <c r="U486" s="1">
        <f ca="1">IFERROR(__xludf.DUMMYFUNCTION("""COMPUTED_VALUE"""),170)</f>
        <v>170</v>
      </c>
      <c r="V486" s="1">
        <f ca="1">IFERROR(__xludf.DUMMYFUNCTION("""COMPUTED_VALUE"""),196.79)</f>
        <v>196.79</v>
      </c>
      <c r="W486" s="1">
        <f ca="1">IFERROR(__xludf.DUMMYFUNCTION("""COMPUTED_VALUE"""),330.53)</f>
        <v>330.53</v>
      </c>
      <c r="X486" s="1">
        <f ca="1">IFERROR(__xludf.DUMMYFUNCTION("""COMPUTED_VALUE"""),789.38)</f>
        <v>789.38</v>
      </c>
      <c r="Y486" s="1">
        <f ca="1">IFERROR(__xludf.DUMMYFUNCTION("""COMPUTED_VALUE"""),121.7)</f>
        <v>121.7</v>
      </c>
      <c r="Z486" s="1">
        <f ca="1">IFERROR(__xludf.DUMMYFUNCTION("""COMPUTED_VALUE"""),387.54)</f>
        <v>387.54</v>
      </c>
      <c r="AA486" s="1">
        <f ca="1">IFERROR(__xludf.DUMMYFUNCTION("""COMPUTED_VALUE"""),53.04)</f>
        <v>53.04</v>
      </c>
      <c r="AB486" s="1">
        <f ca="1">IFERROR(__xludf.DUMMYFUNCTION("""COMPUTED_VALUE"""),111.42)</f>
        <v>111.42</v>
      </c>
      <c r="AC486" s="1">
        <f ca="1">IFERROR(__xludf.DUMMYFUNCTION("""COMPUTED_VALUE"""),150.68)</f>
        <v>150.68</v>
      </c>
    </row>
    <row r="487" spans="1:29" x14ac:dyDescent="0.25">
      <c r="A487" s="2">
        <f ca="1">IFERROR(__xludf.DUMMYFUNCTION("""COMPUTED_VALUE"""),44533.6666666666)</f>
        <v>44533.666666666599</v>
      </c>
      <c r="B487" s="1">
        <f ca="1">IFERROR(__xludf.DUMMYFUNCTION("""COMPUTED_VALUE"""),161.84)</f>
        <v>161.84</v>
      </c>
      <c r="C487" s="1">
        <f ca="1">IFERROR(__xludf.DUMMYFUNCTION("""COMPUTED_VALUE"""),323.01)</f>
        <v>323.01</v>
      </c>
      <c r="D487" s="1">
        <f ca="1">IFERROR(__xludf.DUMMYFUNCTION("""COMPUTED_VALUE"""),169.49)</f>
        <v>169.49</v>
      </c>
      <c r="E487" s="1">
        <f ca="1">IFERROR(__xludf.DUMMYFUNCTION("""COMPUTED_VALUE"""),30.69)</f>
        <v>30.69</v>
      </c>
      <c r="F487" s="1">
        <f ca="1">IFERROR(__xludf.DUMMYFUNCTION("""COMPUTED_VALUE"""),306.84)</f>
        <v>306.83999999999997</v>
      </c>
      <c r="G487" s="1">
        <f ca="1">IFERROR(__xludf.DUMMYFUNCTION("""COMPUTED_VALUE"""),142.52)</f>
        <v>142.52000000000001</v>
      </c>
      <c r="H487" s="1">
        <f ca="1">IFERROR(__xludf.DUMMYFUNCTION("""COMPUTED_VALUE"""),338.32)</f>
        <v>338.32</v>
      </c>
      <c r="I487" s="1">
        <f ca="1">IFERROR(__xludf.DUMMYFUNCTION("""COMPUTED_VALUE"""),164.71)</f>
        <v>164.71</v>
      </c>
      <c r="J487" s="1">
        <f ca="1">IFERROR(__xludf.DUMMYFUNCTION("""COMPUTED_VALUE"""),528.93)</f>
        <v>528.92999999999995</v>
      </c>
      <c r="K487" s="1">
        <f ca="1">IFERROR(__xludf.DUMMYFUNCTION("""COMPUTED_VALUE"""),55.81)</f>
        <v>55.81</v>
      </c>
      <c r="L487" s="1">
        <f ca="1">IFERROR(__xludf.DUMMYFUNCTION("""COMPUTED_VALUE"""),616.53)</f>
        <v>616.53</v>
      </c>
      <c r="M487" s="1">
        <f ca="1">IFERROR(__xludf.DUMMYFUNCTION("""COMPUTED_VALUE"""),602.13)</f>
        <v>602.13</v>
      </c>
      <c r="N487" s="1">
        <f ca="1">IFERROR(__xludf.DUMMYFUNCTION("""COMPUTED_VALUE"""),158.29)</f>
        <v>158.29</v>
      </c>
      <c r="O487" s="1">
        <f ca="1">IFERROR(__xludf.DUMMYFUNCTION("""COMPUTED_VALUE"""),196.32)</f>
        <v>196.32</v>
      </c>
      <c r="P487" s="1">
        <f ca="1">IFERROR(__xludf.DUMMYFUNCTION("""COMPUTED_VALUE"""),159.38)</f>
        <v>159.38</v>
      </c>
      <c r="Q487" s="1">
        <f ca="1">IFERROR(__xludf.DUMMYFUNCTION("""COMPUTED_VALUE"""),449.32)</f>
        <v>449.32</v>
      </c>
      <c r="R487" s="1">
        <f ca="1">IFERROR(__xludf.DUMMYFUNCTION("""COMPUTED_VALUE"""),60.89)</f>
        <v>60.89</v>
      </c>
      <c r="S487" s="1">
        <f ca="1">IFERROR(__xludf.DUMMYFUNCTION("""COMPUTED_VALUE"""),88.03)</f>
        <v>88.03</v>
      </c>
      <c r="T487" s="1">
        <f ca="1">IFERROR(__xludf.DUMMYFUNCTION("""COMPUTED_VALUE"""),45.84)</f>
        <v>45.84</v>
      </c>
      <c r="U487" s="1">
        <f ca="1">IFERROR(__xludf.DUMMYFUNCTION("""COMPUTED_VALUE"""),170.24)</f>
        <v>170.24</v>
      </c>
      <c r="V487" s="1">
        <f ca="1">IFERROR(__xludf.DUMMYFUNCTION("""COMPUTED_VALUE"""),197.8)</f>
        <v>197.8</v>
      </c>
      <c r="W487" s="1">
        <f ca="1">IFERROR(__xludf.DUMMYFUNCTION("""COMPUTED_VALUE"""),333.81)</f>
        <v>333.81</v>
      </c>
      <c r="X487" s="1">
        <f ca="1">IFERROR(__xludf.DUMMYFUNCTION("""COMPUTED_VALUE"""),771.52)</f>
        <v>771.52</v>
      </c>
      <c r="Y487" s="1">
        <f ca="1">IFERROR(__xludf.DUMMYFUNCTION("""COMPUTED_VALUE"""),119.33)</f>
        <v>119.33</v>
      </c>
      <c r="Z487" s="1">
        <f ca="1">IFERROR(__xludf.DUMMYFUNCTION("""COMPUTED_VALUE"""),382.73)</f>
        <v>382.73</v>
      </c>
      <c r="AA487" s="1">
        <f ca="1">IFERROR(__xludf.DUMMYFUNCTION("""COMPUTED_VALUE"""),54.27)</f>
        <v>54.27</v>
      </c>
      <c r="AB487" s="1">
        <f ca="1">IFERROR(__xludf.DUMMYFUNCTION("""COMPUTED_VALUE"""),111.24)</f>
        <v>111.24</v>
      </c>
      <c r="AC487" s="1">
        <f ca="1">IFERROR(__xludf.DUMMYFUNCTION("""COMPUTED_VALUE"""),144.01)</f>
        <v>144.01</v>
      </c>
    </row>
    <row r="488" spans="1:29" x14ac:dyDescent="0.25">
      <c r="A488" s="2">
        <f ca="1">IFERROR(__xludf.DUMMYFUNCTION("""COMPUTED_VALUE"""),44536.6666666666)</f>
        <v>44536.666666666599</v>
      </c>
      <c r="B488" s="1">
        <f ca="1">IFERROR(__xludf.DUMMYFUNCTION("""COMPUTED_VALUE"""),165.32)</f>
        <v>165.32</v>
      </c>
      <c r="C488" s="1">
        <f ca="1">IFERROR(__xludf.DUMMYFUNCTION("""COMPUTED_VALUE"""),326.19)</f>
        <v>326.19</v>
      </c>
      <c r="D488" s="1">
        <f ca="1">IFERROR(__xludf.DUMMYFUNCTION("""COMPUTED_VALUE"""),171.37)</f>
        <v>171.37</v>
      </c>
      <c r="E488" s="1">
        <f ca="1">IFERROR(__xludf.DUMMYFUNCTION("""COMPUTED_VALUE"""),30.04)</f>
        <v>30.04</v>
      </c>
      <c r="F488" s="1">
        <f ca="1">IFERROR(__xludf.DUMMYFUNCTION("""COMPUTED_VALUE"""),317.87)</f>
        <v>317.87</v>
      </c>
      <c r="G488" s="1">
        <f ca="1">IFERROR(__xludf.DUMMYFUNCTION("""COMPUTED_VALUE"""),143.8)</f>
        <v>143.80000000000001</v>
      </c>
      <c r="H488" s="1">
        <f ca="1">IFERROR(__xludf.DUMMYFUNCTION("""COMPUTED_VALUE"""),336.34)</f>
        <v>336.34</v>
      </c>
      <c r="I488" s="1">
        <f ca="1">IFERROR(__xludf.DUMMYFUNCTION("""COMPUTED_VALUE"""),166.42)</f>
        <v>166.42</v>
      </c>
      <c r="J488" s="1">
        <f ca="1">IFERROR(__xludf.DUMMYFUNCTION("""COMPUTED_VALUE"""),533.2)</f>
        <v>533.20000000000005</v>
      </c>
      <c r="K488" s="1">
        <f ca="1">IFERROR(__xludf.DUMMYFUNCTION("""COMPUTED_VALUE"""),56.5)</f>
        <v>56.5</v>
      </c>
      <c r="L488" s="1">
        <f ca="1">IFERROR(__xludf.DUMMYFUNCTION("""COMPUTED_VALUE"""),622.04)</f>
        <v>622.04</v>
      </c>
      <c r="M488" s="1">
        <f ca="1">IFERROR(__xludf.DUMMYFUNCTION("""COMPUTED_VALUE"""),612.69)</f>
        <v>612.69000000000005</v>
      </c>
      <c r="N488" s="1">
        <f ca="1">IFERROR(__xludf.DUMMYFUNCTION("""COMPUTED_VALUE"""),160.16)</f>
        <v>160.16</v>
      </c>
      <c r="O488" s="1">
        <f ca="1">IFERROR(__xludf.DUMMYFUNCTION("""COMPUTED_VALUE"""),202.68)</f>
        <v>202.68</v>
      </c>
      <c r="P488" s="1">
        <f ca="1">IFERROR(__xludf.DUMMYFUNCTION("""COMPUTED_VALUE"""),162.94)</f>
        <v>162.94</v>
      </c>
      <c r="Q488" s="1">
        <f ca="1">IFERROR(__xludf.DUMMYFUNCTION("""COMPUTED_VALUE"""),460.11)</f>
        <v>460.11</v>
      </c>
      <c r="R488" s="1">
        <f ca="1">IFERROR(__xludf.DUMMYFUNCTION("""COMPUTED_VALUE"""),61.58)</f>
        <v>61.58</v>
      </c>
      <c r="S488" s="1">
        <f ca="1">IFERROR(__xludf.DUMMYFUNCTION("""COMPUTED_VALUE"""),89.15)</f>
        <v>89.15</v>
      </c>
      <c r="T488" s="1">
        <f ca="1">IFERROR(__xludf.DUMMYFUNCTION("""COMPUTED_VALUE"""),46.33)</f>
        <v>46.33</v>
      </c>
      <c r="U488" s="1">
        <f ca="1">IFERROR(__xludf.DUMMYFUNCTION("""COMPUTED_VALUE"""),168.91)</f>
        <v>168.91</v>
      </c>
      <c r="V488" s="1">
        <f ca="1">IFERROR(__xludf.DUMMYFUNCTION("""COMPUTED_VALUE"""),201.28)</f>
        <v>201.28</v>
      </c>
      <c r="W488" s="1">
        <f ca="1">IFERROR(__xludf.DUMMYFUNCTION("""COMPUTED_VALUE"""),339.96)</f>
        <v>339.96</v>
      </c>
      <c r="X488" s="1">
        <f ca="1">IFERROR(__xludf.DUMMYFUNCTION("""COMPUTED_VALUE"""),756.39)</f>
        <v>756.39</v>
      </c>
      <c r="Y488" s="1">
        <f ca="1">IFERROR(__xludf.DUMMYFUNCTION("""COMPUTED_VALUE"""),119.14)</f>
        <v>119.14</v>
      </c>
      <c r="Z488" s="1">
        <f ca="1">IFERROR(__xludf.DUMMYFUNCTION("""COMPUTED_VALUE"""),389.3)</f>
        <v>389.3</v>
      </c>
      <c r="AA488" s="1">
        <f ca="1">IFERROR(__xludf.DUMMYFUNCTION("""COMPUTED_VALUE"""),51.48)</f>
        <v>51.48</v>
      </c>
      <c r="AB488" s="1">
        <f ca="1">IFERROR(__xludf.DUMMYFUNCTION("""COMPUTED_VALUE"""),113.36)</f>
        <v>113.36</v>
      </c>
      <c r="AC488" s="1">
        <f ca="1">IFERROR(__xludf.DUMMYFUNCTION("""COMPUTED_VALUE"""),139.06)</f>
        <v>139.06</v>
      </c>
    </row>
    <row r="489" spans="1:29" x14ac:dyDescent="0.25">
      <c r="A489" s="2">
        <f ca="1">IFERROR(__xludf.DUMMYFUNCTION("""COMPUTED_VALUE"""),44537.6666666666)</f>
        <v>44537.666666666599</v>
      </c>
      <c r="B489" s="1">
        <f ca="1">IFERROR(__xludf.DUMMYFUNCTION("""COMPUTED_VALUE"""),171.18)</f>
        <v>171.18</v>
      </c>
      <c r="C489" s="1">
        <f ca="1">IFERROR(__xludf.DUMMYFUNCTION("""COMPUTED_VALUE"""),334.92)</f>
        <v>334.92</v>
      </c>
      <c r="D489" s="1">
        <f ca="1">IFERROR(__xludf.DUMMYFUNCTION("""COMPUTED_VALUE"""),176.16)</f>
        <v>176.16</v>
      </c>
      <c r="E489" s="1">
        <f ca="1">IFERROR(__xludf.DUMMYFUNCTION("""COMPUTED_VALUE"""),32.43)</f>
        <v>32.43</v>
      </c>
      <c r="F489" s="1">
        <f ca="1">IFERROR(__xludf.DUMMYFUNCTION("""COMPUTED_VALUE"""),322.81)</f>
        <v>322.81</v>
      </c>
      <c r="G489" s="1">
        <f ca="1">IFERROR(__xludf.DUMMYFUNCTION("""COMPUTED_VALUE"""),148.04)</f>
        <v>148.04</v>
      </c>
      <c r="H489" s="1">
        <f ca="1">IFERROR(__xludf.DUMMYFUNCTION("""COMPUTED_VALUE"""),350.58)</f>
        <v>350.58</v>
      </c>
      <c r="I489" s="1">
        <f ca="1">IFERROR(__xludf.DUMMYFUNCTION("""COMPUTED_VALUE"""),166.23)</f>
        <v>166.23</v>
      </c>
      <c r="J489" s="1">
        <f ca="1">IFERROR(__xludf.DUMMYFUNCTION("""COMPUTED_VALUE"""),542.02)</f>
        <v>542.02</v>
      </c>
      <c r="K489" s="1">
        <f ca="1">IFERROR(__xludf.DUMMYFUNCTION("""COMPUTED_VALUE"""),59.04)</f>
        <v>59.04</v>
      </c>
      <c r="L489" s="1">
        <f ca="1">IFERROR(__xludf.DUMMYFUNCTION("""COMPUTED_VALUE"""),649.96)</f>
        <v>649.96</v>
      </c>
      <c r="M489" s="1">
        <f ca="1">IFERROR(__xludf.DUMMYFUNCTION("""COMPUTED_VALUE"""),625.58)</f>
        <v>625.58000000000004</v>
      </c>
      <c r="N489" s="1">
        <f ca="1">IFERROR(__xludf.DUMMYFUNCTION("""COMPUTED_VALUE"""),162.57)</f>
        <v>162.57</v>
      </c>
      <c r="O489" s="1">
        <f ca="1">IFERROR(__xludf.DUMMYFUNCTION("""COMPUTED_VALUE"""),207.37)</f>
        <v>207.37</v>
      </c>
      <c r="P489" s="1">
        <f ca="1">IFERROR(__xludf.DUMMYFUNCTION("""COMPUTED_VALUE"""),163.36)</f>
        <v>163.36000000000001</v>
      </c>
      <c r="Q489" s="1">
        <f ca="1">IFERROR(__xludf.DUMMYFUNCTION("""COMPUTED_VALUE"""),464.73)</f>
        <v>464.73</v>
      </c>
      <c r="R489" s="1">
        <f ca="1">IFERROR(__xludf.DUMMYFUNCTION("""COMPUTED_VALUE"""),62.27)</f>
        <v>62.27</v>
      </c>
      <c r="S489" s="1">
        <f ca="1">IFERROR(__xludf.DUMMYFUNCTION("""COMPUTED_VALUE"""),90.41)</f>
        <v>90.41</v>
      </c>
      <c r="T489" s="1">
        <f ca="1">IFERROR(__xludf.DUMMYFUNCTION("""COMPUTED_VALUE"""),46.18)</f>
        <v>46.18</v>
      </c>
      <c r="U489" s="1">
        <f ca="1">IFERROR(__xludf.DUMMYFUNCTION("""COMPUTED_VALUE"""),171.29)</f>
        <v>171.29</v>
      </c>
      <c r="V489" s="1">
        <f ca="1">IFERROR(__xludf.DUMMYFUNCTION("""COMPUTED_VALUE"""),204.49)</f>
        <v>204.49</v>
      </c>
      <c r="W489" s="1">
        <f ca="1">IFERROR(__xludf.DUMMYFUNCTION("""COMPUTED_VALUE"""),339.17)</f>
        <v>339.17</v>
      </c>
      <c r="X489" s="1">
        <f ca="1">IFERROR(__xludf.DUMMYFUNCTION("""COMPUTED_VALUE"""),806.01)</f>
        <v>806.01</v>
      </c>
      <c r="Y489" s="1">
        <f ca="1">IFERROR(__xludf.DUMMYFUNCTION("""COMPUTED_VALUE"""),122.32)</f>
        <v>122.32</v>
      </c>
      <c r="Z489" s="1">
        <f ca="1">IFERROR(__xludf.DUMMYFUNCTION("""COMPUTED_VALUE"""),400.11)</f>
        <v>400.11</v>
      </c>
      <c r="AA489" s="1">
        <f ca="1">IFERROR(__xludf.DUMMYFUNCTION("""COMPUTED_VALUE"""),51.72)</f>
        <v>51.72</v>
      </c>
      <c r="AB489" s="1">
        <f ca="1">IFERROR(__xludf.DUMMYFUNCTION("""COMPUTED_VALUE"""),116.26)</f>
        <v>116.26</v>
      </c>
      <c r="AC489" s="1">
        <f ca="1">IFERROR(__xludf.DUMMYFUNCTION("""COMPUTED_VALUE"""),144.85)</f>
        <v>144.85</v>
      </c>
    </row>
    <row r="490" spans="1:29" x14ac:dyDescent="0.25">
      <c r="A490" s="2">
        <f ca="1">IFERROR(__xludf.DUMMYFUNCTION("""COMPUTED_VALUE"""),44538.6666666666)</f>
        <v>44538.666666666599</v>
      </c>
      <c r="B490" s="1">
        <f ca="1">IFERROR(__xludf.DUMMYFUNCTION("""COMPUTED_VALUE"""),175.08)</f>
        <v>175.08</v>
      </c>
      <c r="C490" s="1">
        <f ca="1">IFERROR(__xludf.DUMMYFUNCTION("""COMPUTED_VALUE"""),334.97)</f>
        <v>334.97</v>
      </c>
      <c r="D490" s="1">
        <f ca="1">IFERROR(__xludf.DUMMYFUNCTION("""COMPUTED_VALUE"""),176.16)</f>
        <v>176.16</v>
      </c>
      <c r="E490" s="1">
        <f ca="1">IFERROR(__xludf.DUMMYFUNCTION("""COMPUTED_VALUE"""),31.83)</f>
        <v>31.83</v>
      </c>
      <c r="F490" s="1">
        <f ca="1">IFERROR(__xludf.DUMMYFUNCTION("""COMPUTED_VALUE"""),330.56)</f>
        <v>330.56</v>
      </c>
      <c r="G490" s="1">
        <f ca="1">IFERROR(__xludf.DUMMYFUNCTION("""COMPUTED_VALUE"""),148.72)</f>
        <v>148.72</v>
      </c>
      <c r="H490" s="1">
        <f ca="1">IFERROR(__xludf.DUMMYFUNCTION("""COMPUTED_VALUE"""),356.32)</f>
        <v>356.32</v>
      </c>
      <c r="I490" s="1">
        <f ca="1">IFERROR(__xludf.DUMMYFUNCTION("""COMPUTED_VALUE"""),166.52)</f>
        <v>166.52</v>
      </c>
      <c r="J490" s="1">
        <f ca="1">IFERROR(__xludf.DUMMYFUNCTION("""COMPUTED_VALUE"""),530.11)</f>
        <v>530.11</v>
      </c>
      <c r="K490" s="1">
        <f ca="1">IFERROR(__xludf.DUMMYFUNCTION("""COMPUTED_VALUE"""),58.86)</f>
        <v>58.86</v>
      </c>
      <c r="L490" s="1">
        <f ca="1">IFERROR(__xludf.DUMMYFUNCTION("""COMPUTED_VALUE"""),653.1)</f>
        <v>653.1</v>
      </c>
      <c r="M490" s="1">
        <f ca="1">IFERROR(__xludf.DUMMYFUNCTION("""COMPUTED_VALUE"""),628.08)</f>
        <v>628.08000000000004</v>
      </c>
      <c r="N490" s="1">
        <f ca="1">IFERROR(__xludf.DUMMYFUNCTION("""COMPUTED_VALUE"""),160.71)</f>
        <v>160.71</v>
      </c>
      <c r="O490" s="1">
        <f ca="1">IFERROR(__xludf.DUMMYFUNCTION("""COMPUTED_VALUE"""),208.99)</f>
        <v>208.99</v>
      </c>
      <c r="P490" s="1">
        <f ca="1">IFERROR(__xludf.DUMMYFUNCTION("""COMPUTED_VALUE"""),164.34)</f>
        <v>164.34</v>
      </c>
      <c r="Q490" s="1">
        <f ca="1">IFERROR(__xludf.DUMMYFUNCTION("""COMPUTED_VALUE"""),468.86)</f>
        <v>468.86</v>
      </c>
      <c r="R490" s="1">
        <f ca="1">IFERROR(__xludf.DUMMYFUNCTION("""COMPUTED_VALUE"""),62.45)</f>
        <v>62.45</v>
      </c>
      <c r="S490" s="1">
        <f ca="1">IFERROR(__xludf.DUMMYFUNCTION("""COMPUTED_VALUE"""),90.32)</f>
        <v>90.32</v>
      </c>
      <c r="T490" s="1">
        <f ca="1">IFERROR(__xludf.DUMMYFUNCTION("""COMPUTED_VALUE"""),45.72)</f>
        <v>45.72</v>
      </c>
      <c r="U490" s="1">
        <f ca="1">IFERROR(__xludf.DUMMYFUNCTION("""COMPUTED_VALUE"""),170.25)</f>
        <v>170.25</v>
      </c>
      <c r="V490" s="1">
        <f ca="1">IFERROR(__xludf.DUMMYFUNCTION("""COMPUTED_VALUE"""),204.19)</f>
        <v>204.19</v>
      </c>
      <c r="W490" s="1">
        <f ca="1">IFERROR(__xludf.DUMMYFUNCTION("""COMPUTED_VALUE"""),341.08)</f>
        <v>341.08</v>
      </c>
      <c r="X490" s="1">
        <f ca="1">IFERROR(__xludf.DUMMYFUNCTION("""COMPUTED_VALUE"""),803.92)</f>
        <v>803.92</v>
      </c>
      <c r="Y490" s="1">
        <f ca="1">IFERROR(__xludf.DUMMYFUNCTION("""COMPUTED_VALUE"""),121.8)</f>
        <v>121.8</v>
      </c>
      <c r="Z490" s="1">
        <f ca="1">IFERROR(__xludf.DUMMYFUNCTION("""COMPUTED_VALUE"""),397.32)</f>
        <v>397.32</v>
      </c>
      <c r="AA490" s="1">
        <f ca="1">IFERROR(__xludf.DUMMYFUNCTION("""COMPUTED_VALUE"""),51.4)</f>
        <v>51.4</v>
      </c>
      <c r="AB490" s="1">
        <f ca="1">IFERROR(__xludf.DUMMYFUNCTION("""COMPUTED_VALUE"""),116.25)</f>
        <v>116.25</v>
      </c>
      <c r="AC490" s="1">
        <f ca="1">IFERROR(__xludf.DUMMYFUNCTION("""COMPUTED_VALUE"""),145.24)</f>
        <v>145.24</v>
      </c>
    </row>
    <row r="491" spans="1:29" x14ac:dyDescent="0.25">
      <c r="A491" s="2">
        <f ca="1">IFERROR(__xludf.DUMMYFUNCTION("""COMPUTED_VALUE"""),44539.6666666666)</f>
        <v>44539.666666666599</v>
      </c>
      <c r="B491" s="1">
        <f ca="1">IFERROR(__xludf.DUMMYFUNCTION("""COMPUTED_VALUE"""),174.56)</f>
        <v>174.56</v>
      </c>
      <c r="C491" s="1">
        <f ca="1">IFERROR(__xludf.DUMMYFUNCTION("""COMPUTED_VALUE"""),333.1)</f>
        <v>333.1</v>
      </c>
      <c r="D491" s="1">
        <f ca="1">IFERROR(__xludf.DUMMYFUNCTION("""COMPUTED_VALUE"""),174.17)</f>
        <v>174.17</v>
      </c>
      <c r="E491" s="1">
        <f ca="1">IFERROR(__xludf.DUMMYFUNCTION("""COMPUTED_VALUE"""),30.49)</f>
        <v>30.49</v>
      </c>
      <c r="F491" s="1">
        <f ca="1">IFERROR(__xludf.DUMMYFUNCTION("""COMPUTED_VALUE"""),329.82)</f>
        <v>329.82</v>
      </c>
      <c r="G491" s="1">
        <f ca="1">IFERROR(__xludf.DUMMYFUNCTION("""COMPUTED_VALUE"""),148.11)</f>
        <v>148.11000000000001</v>
      </c>
      <c r="H491" s="1">
        <f ca="1">IFERROR(__xludf.DUMMYFUNCTION("""COMPUTED_VALUE"""),334.6)</f>
        <v>334.6</v>
      </c>
      <c r="I491" s="1">
        <f ca="1">IFERROR(__xludf.DUMMYFUNCTION("""COMPUTED_VALUE"""),166.31)</f>
        <v>166.31</v>
      </c>
      <c r="J491" s="1">
        <f ca="1">IFERROR(__xludf.DUMMYFUNCTION("""COMPUTED_VALUE"""),524.33)</f>
        <v>524.33000000000004</v>
      </c>
      <c r="K491" s="1">
        <f ca="1">IFERROR(__xludf.DUMMYFUNCTION("""COMPUTED_VALUE"""),58.34)</f>
        <v>58.34</v>
      </c>
      <c r="L491" s="1">
        <f ca="1">IFERROR(__xludf.DUMMYFUNCTION("""COMPUTED_VALUE"""),632.57)</f>
        <v>632.57000000000005</v>
      </c>
      <c r="M491" s="1">
        <f ca="1">IFERROR(__xludf.DUMMYFUNCTION("""COMPUTED_VALUE"""),611)</f>
        <v>611</v>
      </c>
      <c r="N491" s="1">
        <f ca="1">IFERROR(__xludf.DUMMYFUNCTION("""COMPUTED_VALUE"""),160.46)</f>
        <v>160.46</v>
      </c>
      <c r="O491" s="1">
        <f ca="1">IFERROR(__xludf.DUMMYFUNCTION("""COMPUTED_VALUE"""),211.39)</f>
        <v>211.39</v>
      </c>
      <c r="P491" s="1">
        <f ca="1">IFERROR(__xludf.DUMMYFUNCTION("""COMPUTED_VALUE"""),165.9)</f>
        <v>165.9</v>
      </c>
      <c r="Q491" s="1">
        <f ca="1">IFERROR(__xludf.DUMMYFUNCTION("""COMPUTED_VALUE"""),473.32)</f>
        <v>473.32</v>
      </c>
      <c r="R491" s="1">
        <f ca="1">IFERROR(__xludf.DUMMYFUNCTION("""COMPUTED_VALUE"""),62.61)</f>
        <v>62.61</v>
      </c>
      <c r="S491" s="1">
        <f ca="1">IFERROR(__xludf.DUMMYFUNCTION("""COMPUTED_VALUE"""),89.91)</f>
        <v>89.91</v>
      </c>
      <c r="T491" s="1">
        <f ca="1">IFERROR(__xludf.DUMMYFUNCTION("""COMPUTED_VALUE"""),46.17)</f>
        <v>46.17</v>
      </c>
      <c r="U491" s="1">
        <f ca="1">IFERROR(__xludf.DUMMYFUNCTION("""COMPUTED_VALUE"""),168.1)</f>
        <v>168.1</v>
      </c>
      <c r="V491" s="1">
        <f ca="1">IFERROR(__xludf.DUMMYFUNCTION("""COMPUTED_VALUE"""),204.13)</f>
        <v>204.13</v>
      </c>
      <c r="W491" s="1">
        <f ca="1">IFERROR(__xludf.DUMMYFUNCTION("""COMPUTED_VALUE"""),343.6)</f>
        <v>343.6</v>
      </c>
      <c r="X491" s="1">
        <f ca="1">IFERROR(__xludf.DUMMYFUNCTION("""COMPUTED_VALUE"""),772.61)</f>
        <v>772.61</v>
      </c>
      <c r="Y491" s="1">
        <f ca="1">IFERROR(__xludf.DUMMYFUNCTION("""COMPUTED_VALUE"""),119.5)</f>
        <v>119.5</v>
      </c>
      <c r="Z491" s="1">
        <f ca="1">IFERROR(__xludf.DUMMYFUNCTION("""COMPUTED_VALUE"""),396.49)</f>
        <v>396.49</v>
      </c>
      <c r="AA491" s="1">
        <f ca="1">IFERROR(__xludf.DUMMYFUNCTION("""COMPUTED_VALUE"""),52.08)</f>
        <v>52.08</v>
      </c>
      <c r="AB491" s="1">
        <f ca="1">IFERROR(__xludf.DUMMYFUNCTION("""COMPUTED_VALUE"""),115.35)</f>
        <v>115.35</v>
      </c>
      <c r="AC491" s="1">
        <f ca="1">IFERROR(__xludf.DUMMYFUNCTION("""COMPUTED_VALUE"""),138.1)</f>
        <v>138.1</v>
      </c>
    </row>
    <row r="492" spans="1:29" x14ac:dyDescent="0.25">
      <c r="A492" s="2">
        <f ca="1">IFERROR(__xludf.DUMMYFUNCTION("""COMPUTED_VALUE"""),44540.6666666666)</f>
        <v>44540.666666666599</v>
      </c>
      <c r="B492" s="1">
        <f ca="1">IFERROR(__xludf.DUMMYFUNCTION("""COMPUTED_VALUE"""),179.45)</f>
        <v>179.45</v>
      </c>
      <c r="C492" s="1">
        <f ca="1">IFERROR(__xludf.DUMMYFUNCTION("""COMPUTED_VALUE"""),342.54)</f>
        <v>342.54</v>
      </c>
      <c r="D492" s="1">
        <f ca="1">IFERROR(__xludf.DUMMYFUNCTION("""COMPUTED_VALUE"""),172.21)</f>
        <v>172.21</v>
      </c>
      <c r="E492" s="1">
        <f ca="1">IFERROR(__xludf.DUMMYFUNCTION("""COMPUTED_VALUE"""),30.2)</f>
        <v>30.2</v>
      </c>
      <c r="F492" s="1">
        <f ca="1">IFERROR(__xludf.DUMMYFUNCTION("""COMPUTED_VALUE"""),329.75)</f>
        <v>329.75</v>
      </c>
      <c r="G492" s="1">
        <f ca="1">IFERROR(__xludf.DUMMYFUNCTION("""COMPUTED_VALUE"""),148.68)</f>
        <v>148.68</v>
      </c>
      <c r="H492" s="1">
        <f ca="1">IFERROR(__xludf.DUMMYFUNCTION("""COMPUTED_VALUE"""),339.01)</f>
        <v>339.01</v>
      </c>
      <c r="I492" s="1">
        <f ca="1">IFERROR(__xludf.DUMMYFUNCTION("""COMPUTED_VALUE"""),168.97)</f>
        <v>168.97</v>
      </c>
      <c r="J492" s="1">
        <f ca="1">IFERROR(__xludf.DUMMYFUNCTION("""COMPUTED_VALUE"""),558.82)</f>
        <v>558.82000000000005</v>
      </c>
      <c r="K492" s="1">
        <f ca="1">IFERROR(__xludf.DUMMYFUNCTION("""COMPUTED_VALUE"""),63.17)</f>
        <v>63.17</v>
      </c>
      <c r="L492" s="1">
        <f ca="1">IFERROR(__xludf.DUMMYFUNCTION("""COMPUTED_VALUE"""),654.45)</f>
        <v>654.45000000000005</v>
      </c>
      <c r="M492" s="1">
        <f ca="1">IFERROR(__xludf.DUMMYFUNCTION("""COMPUTED_VALUE"""),611.66)</f>
        <v>611.66</v>
      </c>
      <c r="N492" s="1">
        <f ca="1">IFERROR(__xludf.DUMMYFUNCTION("""COMPUTED_VALUE"""),159.82)</f>
        <v>159.82</v>
      </c>
      <c r="O492" s="1">
        <f ca="1">IFERROR(__xludf.DUMMYFUNCTION("""COMPUTED_VALUE"""),213.4)</f>
        <v>213.4</v>
      </c>
      <c r="P492" s="1">
        <f ca="1">IFERROR(__xludf.DUMMYFUNCTION("""COMPUTED_VALUE"""),165.49)</f>
        <v>165.49</v>
      </c>
      <c r="Q492" s="1">
        <f ca="1">IFERROR(__xludf.DUMMYFUNCTION("""COMPUTED_VALUE"""),478.23)</f>
        <v>478.23</v>
      </c>
      <c r="R492" s="1">
        <f ca="1">IFERROR(__xludf.DUMMYFUNCTION("""COMPUTED_VALUE"""),63.01)</f>
        <v>63.01</v>
      </c>
      <c r="S492" s="1">
        <f ca="1">IFERROR(__xludf.DUMMYFUNCTION("""COMPUTED_VALUE"""),90.28)</f>
        <v>90.28</v>
      </c>
      <c r="T492" s="1">
        <f ca="1">IFERROR(__xludf.DUMMYFUNCTION("""COMPUTED_VALUE"""),47.01)</f>
        <v>47.01</v>
      </c>
      <c r="U492" s="1">
        <f ca="1">IFERROR(__xludf.DUMMYFUNCTION("""COMPUTED_VALUE"""),169.06)</f>
        <v>169.06</v>
      </c>
      <c r="V492" s="1">
        <f ca="1">IFERROR(__xludf.DUMMYFUNCTION("""COMPUTED_VALUE"""),203.46)</f>
        <v>203.46</v>
      </c>
      <c r="W492" s="1">
        <f ca="1">IFERROR(__xludf.DUMMYFUNCTION("""COMPUTED_VALUE"""),344.88)</f>
        <v>344.88</v>
      </c>
      <c r="X492" s="1">
        <f ca="1">IFERROR(__xludf.DUMMYFUNCTION("""COMPUTED_VALUE"""),781.84)</f>
        <v>781.84</v>
      </c>
      <c r="Y492" s="1">
        <f ca="1">IFERROR(__xludf.DUMMYFUNCTION("""COMPUTED_VALUE"""),119.13)</f>
        <v>119.13</v>
      </c>
      <c r="Z492" s="1">
        <f ca="1">IFERROR(__xludf.DUMMYFUNCTION("""COMPUTED_VALUE"""),391.06)</f>
        <v>391.06</v>
      </c>
      <c r="AA492" s="1">
        <f ca="1">IFERROR(__xludf.DUMMYFUNCTION("""COMPUTED_VALUE"""),52.78)</f>
        <v>52.78</v>
      </c>
      <c r="AB492" s="1">
        <f ca="1">IFERROR(__xludf.DUMMYFUNCTION("""COMPUTED_VALUE"""),116.73)</f>
        <v>116.73</v>
      </c>
      <c r="AC492" s="1">
        <f ca="1">IFERROR(__xludf.DUMMYFUNCTION("""COMPUTED_VALUE"""),138.55)</f>
        <v>138.55000000000001</v>
      </c>
    </row>
    <row r="493" spans="1:29" x14ac:dyDescent="0.25">
      <c r="A493" s="2">
        <f ca="1">IFERROR(__xludf.DUMMYFUNCTION("""COMPUTED_VALUE"""),44543.6666666666)</f>
        <v>44543.666666666599</v>
      </c>
      <c r="B493" s="1">
        <f ca="1">IFERROR(__xludf.DUMMYFUNCTION("""COMPUTED_VALUE"""),175.74)</f>
        <v>175.74</v>
      </c>
      <c r="C493" s="1">
        <f ca="1">IFERROR(__xludf.DUMMYFUNCTION("""COMPUTED_VALUE"""),339.4)</f>
        <v>339.4</v>
      </c>
      <c r="D493" s="1">
        <f ca="1">IFERROR(__xludf.DUMMYFUNCTION("""COMPUTED_VALUE"""),169.57)</f>
        <v>169.57</v>
      </c>
      <c r="E493" s="1">
        <f ca="1">IFERROR(__xludf.DUMMYFUNCTION("""COMPUTED_VALUE"""),28.16)</f>
        <v>28.16</v>
      </c>
      <c r="F493" s="1">
        <f ca="1">IFERROR(__xludf.DUMMYFUNCTION("""COMPUTED_VALUE"""),334.49)</f>
        <v>334.49</v>
      </c>
      <c r="G493" s="1">
        <f ca="1">IFERROR(__xludf.DUMMYFUNCTION("""COMPUTED_VALUE"""),146.7)</f>
        <v>146.69999999999999</v>
      </c>
      <c r="H493" s="1">
        <f ca="1">IFERROR(__xludf.DUMMYFUNCTION("""COMPUTED_VALUE"""),322.14)</f>
        <v>322.14</v>
      </c>
      <c r="I493" s="1">
        <f ca="1">IFERROR(__xludf.DUMMYFUNCTION("""COMPUTED_VALUE"""),169.81)</f>
        <v>169.81</v>
      </c>
      <c r="J493" s="1">
        <f ca="1">IFERROR(__xludf.DUMMYFUNCTION("""COMPUTED_VALUE"""),557.22)</f>
        <v>557.22</v>
      </c>
      <c r="K493" s="1">
        <f ca="1">IFERROR(__xludf.DUMMYFUNCTION("""COMPUTED_VALUE"""),62.17)</f>
        <v>62.17</v>
      </c>
      <c r="L493" s="1">
        <f ca="1">IFERROR(__xludf.DUMMYFUNCTION("""COMPUTED_VALUE"""),658.3)</f>
        <v>658.3</v>
      </c>
      <c r="M493" s="1">
        <f ca="1">IFERROR(__xludf.DUMMYFUNCTION("""COMPUTED_VALUE"""),604.56)</f>
        <v>604.55999999999995</v>
      </c>
      <c r="N493" s="1">
        <f ca="1">IFERROR(__xludf.DUMMYFUNCTION("""COMPUTED_VALUE"""),157.92)</f>
        <v>157.91999999999999</v>
      </c>
      <c r="O493" s="1">
        <f ca="1">IFERROR(__xludf.DUMMYFUNCTION("""COMPUTED_VALUE"""),211.02)</f>
        <v>211.02</v>
      </c>
      <c r="P493" s="1">
        <f ca="1">IFERROR(__xludf.DUMMYFUNCTION("""COMPUTED_VALUE"""),168.45)</f>
        <v>168.45</v>
      </c>
      <c r="Q493" s="1">
        <f ca="1">IFERROR(__xludf.DUMMYFUNCTION("""COMPUTED_VALUE"""),478.14)</f>
        <v>478.14</v>
      </c>
      <c r="R493" s="1">
        <f ca="1">IFERROR(__xludf.DUMMYFUNCTION("""COMPUTED_VALUE"""),61.63)</f>
        <v>61.63</v>
      </c>
      <c r="S493" s="1">
        <f ca="1">IFERROR(__xludf.DUMMYFUNCTION("""COMPUTED_VALUE"""),91.74)</f>
        <v>91.74</v>
      </c>
      <c r="T493" s="1">
        <f ca="1">IFERROR(__xludf.DUMMYFUNCTION("""COMPUTED_VALUE"""),47.86)</f>
        <v>47.86</v>
      </c>
      <c r="U493" s="1">
        <f ca="1">IFERROR(__xludf.DUMMYFUNCTION("""COMPUTED_VALUE"""),166.84)</f>
        <v>166.84</v>
      </c>
      <c r="V493" s="1">
        <f ca="1">IFERROR(__xludf.DUMMYFUNCTION("""COMPUTED_VALUE"""),201.25)</f>
        <v>201.25</v>
      </c>
      <c r="W493" s="1">
        <f ca="1">IFERROR(__xludf.DUMMYFUNCTION("""COMPUTED_VALUE"""),345.55)</f>
        <v>345.55</v>
      </c>
      <c r="X493" s="1">
        <f ca="1">IFERROR(__xludf.DUMMYFUNCTION("""COMPUTED_VALUE"""),764.47)</f>
        <v>764.47</v>
      </c>
      <c r="Y493" s="1">
        <f ca="1">IFERROR(__xludf.DUMMYFUNCTION("""COMPUTED_VALUE"""),116.42)</f>
        <v>116.42</v>
      </c>
      <c r="Z493" s="1">
        <f ca="1">IFERROR(__xludf.DUMMYFUNCTION("""COMPUTED_VALUE"""),384.64)</f>
        <v>384.64</v>
      </c>
      <c r="AA493" s="1">
        <f ca="1">IFERROR(__xludf.DUMMYFUNCTION("""COMPUTED_VALUE"""),55.2)</f>
        <v>55.2</v>
      </c>
      <c r="AB493" s="1">
        <f ca="1">IFERROR(__xludf.DUMMYFUNCTION("""COMPUTED_VALUE"""),115.56)</f>
        <v>115.56</v>
      </c>
      <c r="AC493" s="1">
        <f ca="1">IFERROR(__xludf.DUMMYFUNCTION("""COMPUTED_VALUE"""),133.8)</f>
        <v>133.80000000000001</v>
      </c>
    </row>
    <row r="494" spans="1:29" x14ac:dyDescent="0.25">
      <c r="A494" s="2">
        <f ca="1">IFERROR(__xludf.DUMMYFUNCTION("""COMPUTED_VALUE"""),44544.6666666666)</f>
        <v>44544.666666666599</v>
      </c>
      <c r="B494" s="1">
        <f ca="1">IFERROR(__xludf.DUMMYFUNCTION("""COMPUTED_VALUE"""),174.33)</f>
        <v>174.33</v>
      </c>
      <c r="C494" s="1">
        <f ca="1">IFERROR(__xludf.DUMMYFUNCTION("""COMPUTED_VALUE"""),328.34)</f>
        <v>328.34</v>
      </c>
      <c r="D494" s="1">
        <f ca="1">IFERROR(__xludf.DUMMYFUNCTION("""COMPUTED_VALUE"""),169.09)</f>
        <v>169.09</v>
      </c>
      <c r="E494" s="1">
        <f ca="1">IFERROR(__xludf.DUMMYFUNCTION("""COMPUTED_VALUE"""),28.34)</f>
        <v>28.34</v>
      </c>
      <c r="F494" s="1">
        <f ca="1">IFERROR(__xludf.DUMMYFUNCTION("""COMPUTED_VALUE"""),333.74)</f>
        <v>333.74</v>
      </c>
      <c r="G494" s="1">
        <f ca="1">IFERROR(__xludf.DUMMYFUNCTION("""COMPUTED_VALUE"""),144.97)</f>
        <v>144.97</v>
      </c>
      <c r="H494" s="1">
        <f ca="1">IFERROR(__xludf.DUMMYFUNCTION("""COMPUTED_VALUE"""),319.5)</f>
        <v>319.5</v>
      </c>
      <c r="I494" s="1">
        <f ca="1">IFERROR(__xludf.DUMMYFUNCTION("""COMPUTED_VALUE"""),169.39)</f>
        <v>169.39</v>
      </c>
      <c r="J494" s="1">
        <f ca="1">IFERROR(__xludf.DUMMYFUNCTION("""COMPUTED_VALUE"""),545.34)</f>
        <v>545.34</v>
      </c>
      <c r="K494" s="1">
        <f ca="1">IFERROR(__xludf.DUMMYFUNCTION("""COMPUTED_VALUE"""),61.49)</f>
        <v>61.49</v>
      </c>
      <c r="L494" s="1">
        <f ca="1">IFERROR(__xludf.DUMMYFUNCTION("""COMPUTED_VALUE"""),614.86)</f>
        <v>614.86</v>
      </c>
      <c r="M494" s="1">
        <f ca="1">IFERROR(__xludf.DUMMYFUNCTION("""COMPUTED_VALUE"""),597.99)</f>
        <v>597.99</v>
      </c>
      <c r="N494" s="1">
        <f ca="1">IFERROR(__xludf.DUMMYFUNCTION("""COMPUTED_VALUE"""),159.13)</f>
        <v>159.13</v>
      </c>
      <c r="O494" s="1">
        <f ca="1">IFERROR(__xludf.DUMMYFUNCTION("""COMPUTED_VALUE"""),209.98)</f>
        <v>209.98</v>
      </c>
      <c r="P494" s="1">
        <f ca="1">IFERROR(__xludf.DUMMYFUNCTION("""COMPUTED_VALUE"""),170.29)</f>
        <v>170.29</v>
      </c>
      <c r="Q494" s="1">
        <f ca="1">IFERROR(__xludf.DUMMYFUNCTION("""COMPUTED_VALUE"""),479.46)</f>
        <v>479.46</v>
      </c>
      <c r="R494" s="1">
        <f ca="1">IFERROR(__xludf.DUMMYFUNCTION("""COMPUTED_VALUE"""),61.54)</f>
        <v>61.54</v>
      </c>
      <c r="S494" s="1">
        <f ca="1">IFERROR(__xludf.DUMMYFUNCTION("""COMPUTED_VALUE"""),90.03)</f>
        <v>90.03</v>
      </c>
      <c r="T494" s="1">
        <f ca="1">IFERROR(__xludf.DUMMYFUNCTION("""COMPUTED_VALUE"""),48.31)</f>
        <v>48.31</v>
      </c>
      <c r="U494" s="1">
        <f ca="1">IFERROR(__xludf.DUMMYFUNCTION("""COMPUTED_VALUE"""),165.4)</f>
        <v>165.4</v>
      </c>
      <c r="V494" s="1">
        <f ca="1">IFERROR(__xludf.DUMMYFUNCTION("""COMPUTED_VALUE"""),201.64)</f>
        <v>201.64</v>
      </c>
      <c r="W494" s="1">
        <f ca="1">IFERROR(__xludf.DUMMYFUNCTION("""COMPUTED_VALUE"""),345.64)</f>
        <v>345.64</v>
      </c>
      <c r="X494" s="1">
        <f ca="1">IFERROR(__xludf.DUMMYFUNCTION("""COMPUTED_VALUE"""),754.39)</f>
        <v>754.39</v>
      </c>
      <c r="Y494" s="1">
        <f ca="1">IFERROR(__xludf.DUMMYFUNCTION("""COMPUTED_VALUE"""),116.29)</f>
        <v>116.29</v>
      </c>
      <c r="Z494" s="1">
        <f ca="1">IFERROR(__xludf.DUMMYFUNCTION("""COMPUTED_VALUE"""),388.82)</f>
        <v>388.82</v>
      </c>
      <c r="AA494" s="1">
        <f ca="1">IFERROR(__xludf.DUMMYFUNCTION("""COMPUTED_VALUE"""),55.54)</f>
        <v>55.54</v>
      </c>
      <c r="AB494" s="1">
        <f ca="1">IFERROR(__xludf.DUMMYFUNCTION("""COMPUTED_VALUE"""),114.71)</f>
        <v>114.71</v>
      </c>
      <c r="AC494" s="1">
        <f ca="1">IFERROR(__xludf.DUMMYFUNCTION("""COMPUTED_VALUE"""),135.6)</f>
        <v>135.6</v>
      </c>
    </row>
    <row r="495" spans="1:29" x14ac:dyDescent="0.25">
      <c r="A495" s="2">
        <f ca="1">IFERROR(__xludf.DUMMYFUNCTION("""COMPUTED_VALUE"""),44545.6666666666)</f>
        <v>44545.666666666599</v>
      </c>
      <c r="B495" s="1">
        <f ca="1">IFERROR(__xludf.DUMMYFUNCTION("""COMPUTED_VALUE"""),179.3)</f>
        <v>179.3</v>
      </c>
      <c r="C495" s="1">
        <f ca="1">IFERROR(__xludf.DUMMYFUNCTION("""COMPUTED_VALUE"""),334.65)</f>
        <v>334.65</v>
      </c>
      <c r="D495" s="1">
        <f ca="1">IFERROR(__xludf.DUMMYFUNCTION("""COMPUTED_VALUE"""),173.32)</f>
        <v>173.32</v>
      </c>
      <c r="E495" s="1">
        <f ca="1">IFERROR(__xludf.DUMMYFUNCTION("""COMPUTED_VALUE"""),30.46)</f>
        <v>30.46</v>
      </c>
      <c r="F495" s="1">
        <f ca="1">IFERROR(__xludf.DUMMYFUNCTION("""COMPUTED_VALUE"""),341.66)</f>
        <v>341.66</v>
      </c>
      <c r="G495" s="1">
        <f ca="1">IFERROR(__xludf.DUMMYFUNCTION("""COMPUTED_VALUE"""),147.37)</f>
        <v>147.37</v>
      </c>
      <c r="H495" s="1">
        <f ca="1">IFERROR(__xludf.DUMMYFUNCTION("""COMPUTED_VALUE"""),325.33)</f>
        <v>325.33</v>
      </c>
      <c r="I495" s="1">
        <f ca="1">IFERROR(__xludf.DUMMYFUNCTION("""COMPUTED_VALUE"""),171.57)</f>
        <v>171.57</v>
      </c>
      <c r="J495" s="1">
        <f ca="1">IFERROR(__xludf.DUMMYFUNCTION("""COMPUTED_VALUE"""),565.48)</f>
        <v>565.48</v>
      </c>
      <c r="K495" s="1">
        <f ca="1">IFERROR(__xludf.DUMMYFUNCTION("""COMPUTED_VALUE"""),63.99)</f>
        <v>63.99</v>
      </c>
      <c r="L495" s="1">
        <f ca="1">IFERROR(__xludf.DUMMYFUNCTION("""COMPUTED_VALUE"""),630.33)</f>
        <v>630.33000000000004</v>
      </c>
      <c r="M495" s="1">
        <f ca="1">IFERROR(__xludf.DUMMYFUNCTION("""COMPUTED_VALUE"""),605.04)</f>
        <v>605.04</v>
      </c>
      <c r="N495" s="1">
        <f ca="1">IFERROR(__xludf.DUMMYFUNCTION("""COMPUTED_VALUE"""),157.94)</f>
        <v>157.94</v>
      </c>
      <c r="O495" s="1">
        <f ca="1">IFERROR(__xludf.DUMMYFUNCTION("""COMPUTED_VALUE"""),212.31)</f>
        <v>212.31</v>
      </c>
      <c r="P495" s="1">
        <f ca="1">IFERROR(__xludf.DUMMYFUNCTION("""COMPUTED_VALUE"""),171.14)</f>
        <v>171.14</v>
      </c>
      <c r="Q495" s="1">
        <f ca="1">IFERROR(__xludf.DUMMYFUNCTION("""COMPUTED_VALUE"""),494.38)</f>
        <v>494.38</v>
      </c>
      <c r="R495" s="1">
        <f ca="1">IFERROR(__xludf.DUMMYFUNCTION("""COMPUTED_VALUE"""),61.27)</f>
        <v>61.27</v>
      </c>
      <c r="S495" s="1">
        <f ca="1">IFERROR(__xludf.DUMMYFUNCTION("""COMPUTED_VALUE"""),92)</f>
        <v>92</v>
      </c>
      <c r="T495" s="1">
        <f ca="1">IFERROR(__xludf.DUMMYFUNCTION("""COMPUTED_VALUE"""),48.59)</f>
        <v>48.59</v>
      </c>
      <c r="U495" s="1">
        <f ca="1">IFERROR(__xludf.DUMMYFUNCTION("""COMPUTED_VALUE"""),163.9)</f>
        <v>163.9</v>
      </c>
      <c r="V495" s="1">
        <f ca="1">IFERROR(__xludf.DUMMYFUNCTION("""COMPUTED_VALUE"""),202.55)</f>
        <v>202.55</v>
      </c>
      <c r="W495" s="1">
        <f ca="1">IFERROR(__xludf.DUMMYFUNCTION("""COMPUTED_VALUE"""),344.42)</f>
        <v>344.42</v>
      </c>
      <c r="X495" s="1">
        <f ca="1">IFERROR(__xludf.DUMMYFUNCTION("""COMPUTED_VALUE"""),792.22)</f>
        <v>792.22</v>
      </c>
      <c r="Y495" s="1">
        <f ca="1">IFERROR(__xludf.DUMMYFUNCTION("""COMPUTED_VALUE"""),120.4)</f>
        <v>120.4</v>
      </c>
      <c r="Z495" s="1">
        <f ca="1">IFERROR(__xludf.DUMMYFUNCTION("""COMPUTED_VALUE"""),389.91)</f>
        <v>389.91</v>
      </c>
      <c r="AA495" s="1">
        <f ca="1">IFERROR(__xludf.DUMMYFUNCTION("""COMPUTED_VALUE"""),58.8)</f>
        <v>58.8</v>
      </c>
      <c r="AB495" s="1">
        <f ca="1">IFERROR(__xludf.DUMMYFUNCTION("""COMPUTED_VALUE"""),114.68)</f>
        <v>114.68</v>
      </c>
      <c r="AC495" s="1">
        <f ca="1">IFERROR(__xludf.DUMMYFUNCTION("""COMPUTED_VALUE"""),146.5)</f>
        <v>146.5</v>
      </c>
    </row>
    <row r="496" spans="1:29" x14ac:dyDescent="0.25">
      <c r="A496" s="2">
        <f ca="1">IFERROR(__xludf.DUMMYFUNCTION("""COMPUTED_VALUE"""),44546.6666666666)</f>
        <v>44546.666666666599</v>
      </c>
      <c r="B496" s="1">
        <f ca="1">IFERROR(__xludf.DUMMYFUNCTION("""COMPUTED_VALUE"""),172.26)</f>
        <v>172.26</v>
      </c>
      <c r="C496" s="1">
        <f ca="1">IFERROR(__xludf.DUMMYFUNCTION("""COMPUTED_VALUE"""),324.9)</f>
        <v>324.89999999999998</v>
      </c>
      <c r="D496" s="1">
        <f ca="1">IFERROR(__xludf.DUMMYFUNCTION("""COMPUTED_VALUE"""),168.87)</f>
        <v>168.87</v>
      </c>
      <c r="E496" s="1">
        <f ca="1">IFERROR(__xludf.DUMMYFUNCTION("""COMPUTED_VALUE"""),28.39)</f>
        <v>28.39</v>
      </c>
      <c r="F496" s="1">
        <f ca="1">IFERROR(__xludf.DUMMYFUNCTION("""COMPUTED_VALUE"""),334.9)</f>
        <v>334.9</v>
      </c>
      <c r="G496" s="1">
        <f ca="1">IFERROR(__xludf.DUMMYFUNCTION("""COMPUTED_VALUE"""),144.84)</f>
        <v>144.84</v>
      </c>
      <c r="H496" s="1">
        <f ca="1">IFERROR(__xludf.DUMMYFUNCTION("""COMPUTED_VALUE"""),308.97)</f>
        <v>308.97000000000003</v>
      </c>
      <c r="I496" s="1">
        <f ca="1">IFERROR(__xludf.DUMMYFUNCTION("""COMPUTED_VALUE"""),171.82)</f>
        <v>171.82</v>
      </c>
      <c r="J496" s="1">
        <f ca="1">IFERROR(__xludf.DUMMYFUNCTION("""COMPUTED_VALUE"""),552.63)</f>
        <v>552.63</v>
      </c>
      <c r="K496" s="1">
        <f ca="1">IFERROR(__xludf.DUMMYFUNCTION("""COMPUTED_VALUE"""),62.07)</f>
        <v>62.07</v>
      </c>
      <c r="L496" s="1">
        <f ca="1">IFERROR(__xludf.DUMMYFUNCTION("""COMPUTED_VALUE"""),566.09)</f>
        <v>566.09</v>
      </c>
      <c r="M496" s="1">
        <f ca="1">IFERROR(__xludf.DUMMYFUNCTION("""COMPUTED_VALUE"""),591.06)</f>
        <v>591.05999999999995</v>
      </c>
      <c r="N496" s="1">
        <f ca="1">IFERROR(__xludf.DUMMYFUNCTION("""COMPUTED_VALUE"""),160.41)</f>
        <v>160.41</v>
      </c>
      <c r="O496" s="1">
        <f ca="1">IFERROR(__xludf.DUMMYFUNCTION("""COMPUTED_VALUE"""),214.37)</f>
        <v>214.37</v>
      </c>
      <c r="P496" s="1">
        <f ca="1">IFERROR(__xludf.DUMMYFUNCTION("""COMPUTED_VALUE"""),173.01)</f>
        <v>173.01</v>
      </c>
      <c r="Q496" s="1">
        <f ca="1">IFERROR(__xludf.DUMMYFUNCTION("""COMPUTED_VALUE"""),492.86)</f>
        <v>492.86</v>
      </c>
      <c r="R496" s="1">
        <f ca="1">IFERROR(__xludf.DUMMYFUNCTION("""COMPUTED_VALUE"""),61.37)</f>
        <v>61.37</v>
      </c>
      <c r="S496" s="1">
        <f ca="1">IFERROR(__xludf.DUMMYFUNCTION("""COMPUTED_VALUE"""),92.23)</f>
        <v>92.23</v>
      </c>
      <c r="T496" s="1">
        <f ca="1">IFERROR(__xludf.DUMMYFUNCTION("""COMPUTED_VALUE"""),47.78)</f>
        <v>47.78</v>
      </c>
      <c r="U496" s="1">
        <f ca="1">IFERROR(__xludf.DUMMYFUNCTION("""COMPUTED_VALUE"""),162.72)</f>
        <v>162.72</v>
      </c>
      <c r="V496" s="1">
        <f ca="1">IFERROR(__xludf.DUMMYFUNCTION("""COMPUTED_VALUE"""),206.17)</f>
        <v>206.17</v>
      </c>
      <c r="W496" s="1">
        <f ca="1">IFERROR(__xludf.DUMMYFUNCTION("""COMPUTED_VALUE"""),344.84)</f>
        <v>344.84</v>
      </c>
      <c r="X496" s="1">
        <f ca="1">IFERROR(__xludf.DUMMYFUNCTION("""COMPUTED_VALUE"""),755)</f>
        <v>755</v>
      </c>
      <c r="Y496" s="1">
        <f ca="1">IFERROR(__xludf.DUMMYFUNCTION("""COMPUTED_VALUE"""),116.57)</f>
        <v>116.57</v>
      </c>
      <c r="Z496" s="1">
        <f ca="1">IFERROR(__xludf.DUMMYFUNCTION("""COMPUTED_VALUE"""),397.37)</f>
        <v>397.37</v>
      </c>
      <c r="AA496" s="1">
        <f ca="1">IFERROR(__xludf.DUMMYFUNCTION("""COMPUTED_VALUE"""),61.25)</f>
        <v>61.25</v>
      </c>
      <c r="AB496" s="1">
        <f ca="1">IFERROR(__xludf.DUMMYFUNCTION("""COMPUTED_VALUE"""),113.59)</f>
        <v>113.59</v>
      </c>
      <c r="AC496" s="1">
        <f ca="1">IFERROR(__xludf.DUMMYFUNCTION("""COMPUTED_VALUE"""),138.64)</f>
        <v>138.63999999999999</v>
      </c>
    </row>
    <row r="497" spans="1:29" x14ac:dyDescent="0.25">
      <c r="A497" s="2">
        <f ca="1">IFERROR(__xludf.DUMMYFUNCTION("""COMPUTED_VALUE"""),44547.6666666666)</f>
        <v>44547.666666666599</v>
      </c>
      <c r="B497" s="1">
        <f ca="1">IFERROR(__xludf.DUMMYFUNCTION("""COMPUTED_VALUE"""),171.14)</f>
        <v>171.14</v>
      </c>
      <c r="C497" s="1">
        <f ca="1">IFERROR(__xludf.DUMMYFUNCTION("""COMPUTED_VALUE"""),323.8)</f>
        <v>323.8</v>
      </c>
      <c r="D497" s="1">
        <f ca="1">IFERROR(__xludf.DUMMYFUNCTION("""COMPUTED_VALUE"""),170.02)</f>
        <v>170.02</v>
      </c>
      <c r="E497" s="1">
        <f ca="1">IFERROR(__xludf.DUMMYFUNCTION("""COMPUTED_VALUE"""),27.8)</f>
        <v>27.8</v>
      </c>
      <c r="F497" s="1">
        <f ca="1">IFERROR(__xludf.DUMMYFUNCTION("""COMPUTED_VALUE"""),333.79)</f>
        <v>333.79</v>
      </c>
      <c r="G497" s="1">
        <f ca="1">IFERROR(__xludf.DUMMYFUNCTION("""COMPUTED_VALUE"""),142.8)</f>
        <v>142.80000000000001</v>
      </c>
      <c r="H497" s="1">
        <f ca="1">IFERROR(__xludf.DUMMYFUNCTION("""COMPUTED_VALUE"""),310.86)</f>
        <v>310.86</v>
      </c>
      <c r="I497" s="1">
        <f ca="1">IFERROR(__xludf.DUMMYFUNCTION("""COMPUTED_VALUE"""),168.3)</f>
        <v>168.3</v>
      </c>
      <c r="J497" s="1">
        <f ca="1">IFERROR(__xludf.DUMMYFUNCTION("""COMPUTED_VALUE"""),547.61)</f>
        <v>547.61</v>
      </c>
      <c r="K497" s="1">
        <f ca="1">IFERROR(__xludf.DUMMYFUNCTION("""COMPUTED_VALUE"""),63.5)</f>
        <v>63.5</v>
      </c>
      <c r="L497" s="1">
        <f ca="1">IFERROR(__xludf.DUMMYFUNCTION("""COMPUTED_VALUE"""),556.64)</f>
        <v>556.64</v>
      </c>
      <c r="M497" s="1">
        <f ca="1">IFERROR(__xludf.DUMMYFUNCTION("""COMPUTED_VALUE"""),586.73)</f>
        <v>586.73</v>
      </c>
      <c r="N497" s="1">
        <f ca="1">IFERROR(__xludf.DUMMYFUNCTION("""COMPUTED_VALUE"""),156.76)</f>
        <v>156.76</v>
      </c>
      <c r="O497" s="1">
        <f ca="1">IFERROR(__xludf.DUMMYFUNCTION("""COMPUTED_VALUE"""),211.88)</f>
        <v>211.88</v>
      </c>
      <c r="P497" s="1">
        <f ca="1">IFERROR(__xludf.DUMMYFUNCTION("""COMPUTED_VALUE"""),168.23)</f>
        <v>168.23</v>
      </c>
      <c r="Q497" s="1">
        <f ca="1">IFERROR(__xludf.DUMMYFUNCTION("""COMPUTED_VALUE"""),487.12)</f>
        <v>487.12</v>
      </c>
      <c r="R497" s="1">
        <f ca="1">IFERROR(__xludf.DUMMYFUNCTION("""COMPUTED_VALUE"""),60.03)</f>
        <v>60.03</v>
      </c>
      <c r="S497" s="1">
        <f ca="1">IFERROR(__xludf.DUMMYFUNCTION("""COMPUTED_VALUE"""),90.94)</f>
        <v>90.94</v>
      </c>
      <c r="T497" s="1">
        <f ca="1">IFERROR(__xludf.DUMMYFUNCTION("""COMPUTED_VALUE"""),46.25)</f>
        <v>46.25</v>
      </c>
      <c r="U497" s="1">
        <f ca="1">IFERROR(__xludf.DUMMYFUNCTION("""COMPUTED_VALUE"""),161.36)</f>
        <v>161.36000000000001</v>
      </c>
      <c r="V497" s="1">
        <f ca="1">IFERROR(__xludf.DUMMYFUNCTION("""COMPUTED_VALUE"""),201.37)</f>
        <v>201.37</v>
      </c>
      <c r="W497" s="1">
        <f ca="1">IFERROR(__xludf.DUMMYFUNCTION("""COMPUTED_VALUE"""),344.14)</f>
        <v>344.14</v>
      </c>
      <c r="X497" s="1">
        <f ca="1">IFERROR(__xludf.DUMMYFUNCTION("""COMPUTED_VALUE"""),749.87)</f>
        <v>749.87</v>
      </c>
      <c r="Y497" s="1">
        <f ca="1">IFERROR(__xludf.DUMMYFUNCTION("""COMPUTED_VALUE"""),116.32)</f>
        <v>116.32</v>
      </c>
      <c r="Z497" s="1">
        <f ca="1">IFERROR(__xludf.DUMMYFUNCTION("""COMPUTED_VALUE"""),381.8)</f>
        <v>381.8</v>
      </c>
      <c r="AA497" s="1">
        <f ca="1">IFERROR(__xludf.DUMMYFUNCTION("""COMPUTED_VALUE"""),59.48)</f>
        <v>59.48</v>
      </c>
      <c r="AB497" s="1">
        <f ca="1">IFERROR(__xludf.DUMMYFUNCTION("""COMPUTED_VALUE"""),108.63)</f>
        <v>108.63</v>
      </c>
      <c r="AC497" s="1">
        <f ca="1">IFERROR(__xludf.DUMMYFUNCTION("""COMPUTED_VALUE"""),137.75)</f>
        <v>137.75</v>
      </c>
    </row>
    <row r="498" spans="1:29" x14ac:dyDescent="0.25">
      <c r="A498" s="2">
        <f ca="1">IFERROR(__xludf.DUMMYFUNCTION("""COMPUTED_VALUE"""),44550.6666666666)</f>
        <v>44550.666666666599</v>
      </c>
      <c r="B498" s="1">
        <f ca="1">IFERROR(__xludf.DUMMYFUNCTION("""COMPUTED_VALUE"""),169.75)</f>
        <v>169.75</v>
      </c>
      <c r="C498" s="1">
        <f ca="1">IFERROR(__xludf.DUMMYFUNCTION("""COMPUTED_VALUE"""),319.91)</f>
        <v>319.91000000000003</v>
      </c>
      <c r="D498" s="1">
        <f ca="1">IFERROR(__xludf.DUMMYFUNCTION("""COMPUTED_VALUE"""),167.08)</f>
        <v>167.08</v>
      </c>
      <c r="E498" s="1">
        <f ca="1">IFERROR(__xludf.DUMMYFUNCTION("""COMPUTED_VALUE"""),27.72)</f>
        <v>27.72</v>
      </c>
      <c r="F498" s="1">
        <f ca="1">IFERROR(__xludf.DUMMYFUNCTION("""COMPUTED_VALUE"""),325.45)</f>
        <v>325.45</v>
      </c>
      <c r="G498" s="1">
        <f ca="1">IFERROR(__xludf.DUMMYFUNCTION("""COMPUTED_VALUE"""),142.4)</f>
        <v>142.4</v>
      </c>
      <c r="H498" s="1">
        <f ca="1">IFERROR(__xludf.DUMMYFUNCTION("""COMPUTED_VALUE"""),299.98)</f>
        <v>299.98</v>
      </c>
      <c r="I498" s="1">
        <f ca="1">IFERROR(__xludf.DUMMYFUNCTION("""COMPUTED_VALUE"""),169.42)</f>
        <v>169.42</v>
      </c>
      <c r="J498" s="1">
        <f ca="1">IFERROR(__xludf.DUMMYFUNCTION("""COMPUTED_VALUE"""),548.56)</f>
        <v>548.55999999999995</v>
      </c>
      <c r="K498" s="1">
        <f ca="1">IFERROR(__xludf.DUMMYFUNCTION("""COMPUTED_VALUE"""),64.5)</f>
        <v>64.5</v>
      </c>
      <c r="L498" s="1">
        <f ca="1">IFERROR(__xludf.DUMMYFUNCTION("""COMPUTED_VALUE"""),549.77)</f>
        <v>549.77</v>
      </c>
      <c r="M498" s="1">
        <f ca="1">IFERROR(__xludf.DUMMYFUNCTION("""COMPUTED_VALUE"""),593.74)</f>
        <v>593.74</v>
      </c>
      <c r="N498" s="1">
        <f ca="1">IFERROR(__xludf.DUMMYFUNCTION("""COMPUTED_VALUE"""),153.94)</f>
        <v>153.94</v>
      </c>
      <c r="O498" s="1">
        <f ca="1">IFERROR(__xludf.DUMMYFUNCTION("""COMPUTED_VALUE"""),208.74)</f>
        <v>208.74</v>
      </c>
      <c r="P498" s="1">
        <f ca="1">IFERROR(__xludf.DUMMYFUNCTION("""COMPUTED_VALUE"""),167.75)</f>
        <v>167.75</v>
      </c>
      <c r="Q498" s="1">
        <f ca="1">IFERROR(__xludf.DUMMYFUNCTION("""COMPUTED_VALUE"""),483.73)</f>
        <v>483.73</v>
      </c>
      <c r="R498" s="1">
        <f ca="1">IFERROR(__xludf.DUMMYFUNCTION("""COMPUTED_VALUE"""),59.16)</f>
        <v>59.16</v>
      </c>
      <c r="S498" s="1">
        <f ca="1">IFERROR(__xludf.DUMMYFUNCTION("""COMPUTED_VALUE"""),89.94)</f>
        <v>89.94</v>
      </c>
      <c r="T498" s="1">
        <f ca="1">IFERROR(__xludf.DUMMYFUNCTION("""COMPUTED_VALUE"""),46.4)</f>
        <v>46.4</v>
      </c>
      <c r="U498" s="1">
        <f ca="1">IFERROR(__xludf.DUMMYFUNCTION("""COMPUTED_VALUE"""),156.98)</f>
        <v>156.97999999999999</v>
      </c>
      <c r="V498" s="1">
        <f ca="1">IFERROR(__xludf.DUMMYFUNCTION("""COMPUTED_VALUE"""),195.46)</f>
        <v>195.46</v>
      </c>
      <c r="W498" s="1">
        <f ca="1">IFERROR(__xludf.DUMMYFUNCTION("""COMPUTED_VALUE"""),337.42)</f>
        <v>337.42</v>
      </c>
      <c r="X498" s="1">
        <f ca="1">IFERROR(__xludf.DUMMYFUNCTION("""COMPUTED_VALUE"""),752.88)</f>
        <v>752.88</v>
      </c>
      <c r="Y498" s="1">
        <f ca="1">IFERROR(__xludf.DUMMYFUNCTION("""COMPUTED_VALUE"""),114.94)</f>
        <v>114.94</v>
      </c>
      <c r="Z498" s="1">
        <f ca="1">IFERROR(__xludf.DUMMYFUNCTION("""COMPUTED_VALUE"""),371.61)</f>
        <v>371.61</v>
      </c>
      <c r="AA498" s="1">
        <f ca="1">IFERROR(__xludf.DUMMYFUNCTION("""COMPUTED_VALUE"""),61.02)</f>
        <v>61.02</v>
      </c>
      <c r="AB498" s="1">
        <f ca="1">IFERROR(__xludf.DUMMYFUNCTION("""COMPUTED_VALUE"""),108.09)</f>
        <v>108.09</v>
      </c>
      <c r="AC498" s="1">
        <f ca="1">IFERROR(__xludf.DUMMYFUNCTION("""COMPUTED_VALUE"""),135.8)</f>
        <v>135.80000000000001</v>
      </c>
    </row>
    <row r="499" spans="1:29" x14ac:dyDescent="0.25">
      <c r="A499" s="2">
        <f ca="1">IFERROR(__xludf.DUMMYFUNCTION("""COMPUTED_VALUE"""),44551.6666666666)</f>
        <v>44551.666666666599</v>
      </c>
      <c r="B499" s="1">
        <f ca="1">IFERROR(__xludf.DUMMYFUNCTION("""COMPUTED_VALUE"""),172.99)</f>
        <v>172.99</v>
      </c>
      <c r="C499" s="1">
        <f ca="1">IFERROR(__xludf.DUMMYFUNCTION("""COMPUTED_VALUE"""),327.29)</f>
        <v>327.29000000000002</v>
      </c>
      <c r="D499" s="1">
        <f ca="1">IFERROR(__xludf.DUMMYFUNCTION("""COMPUTED_VALUE"""),170.42)</f>
        <v>170.42</v>
      </c>
      <c r="E499" s="1">
        <f ca="1">IFERROR(__xludf.DUMMYFUNCTION("""COMPUTED_VALUE"""),29.08)</f>
        <v>29.08</v>
      </c>
      <c r="F499" s="1">
        <f ca="1">IFERROR(__xludf.DUMMYFUNCTION("""COMPUTED_VALUE"""),334.2)</f>
        <v>334.2</v>
      </c>
      <c r="G499" s="1">
        <f ca="1">IFERROR(__xludf.DUMMYFUNCTION("""COMPUTED_VALUE"""),144.22)</f>
        <v>144.22</v>
      </c>
      <c r="H499" s="1">
        <f ca="1">IFERROR(__xludf.DUMMYFUNCTION("""COMPUTED_VALUE"""),312.84)</f>
        <v>312.83999999999997</v>
      </c>
      <c r="I499" s="1">
        <f ca="1">IFERROR(__xludf.DUMMYFUNCTION("""COMPUTED_VALUE"""),168.92)</f>
        <v>168.92</v>
      </c>
      <c r="J499" s="1">
        <f ca="1">IFERROR(__xludf.DUMMYFUNCTION("""COMPUTED_VALUE"""),545.43)</f>
        <v>545.42999999999995</v>
      </c>
      <c r="K499" s="1">
        <f ca="1">IFERROR(__xludf.DUMMYFUNCTION("""COMPUTED_VALUE"""),64.62)</f>
        <v>64.62</v>
      </c>
      <c r="L499" s="1">
        <f ca="1">IFERROR(__xludf.DUMMYFUNCTION("""COMPUTED_VALUE"""),557.52)</f>
        <v>557.52</v>
      </c>
      <c r="M499" s="1">
        <f ca="1">IFERROR(__xludf.DUMMYFUNCTION("""COMPUTED_VALUE"""),604.92)</f>
        <v>604.91999999999996</v>
      </c>
      <c r="N499" s="1">
        <f ca="1">IFERROR(__xludf.DUMMYFUNCTION("""COMPUTED_VALUE"""),156.09)</f>
        <v>156.09</v>
      </c>
      <c r="O499" s="1">
        <f ca="1">IFERROR(__xludf.DUMMYFUNCTION("""COMPUTED_VALUE"""),215.38)</f>
        <v>215.38</v>
      </c>
      <c r="P499" s="1">
        <f ca="1">IFERROR(__xludf.DUMMYFUNCTION("""COMPUTED_VALUE"""),167.21)</f>
        <v>167.21</v>
      </c>
      <c r="Q499" s="1">
        <f ca="1">IFERROR(__xludf.DUMMYFUNCTION("""COMPUTED_VALUE"""),487.21)</f>
        <v>487.21</v>
      </c>
      <c r="R499" s="1">
        <f ca="1">IFERROR(__xludf.DUMMYFUNCTION("""COMPUTED_VALUE"""),60.5)</f>
        <v>60.5</v>
      </c>
      <c r="S499" s="1">
        <f ca="1">IFERROR(__xludf.DUMMYFUNCTION("""COMPUTED_VALUE"""),90.45)</f>
        <v>90.45</v>
      </c>
      <c r="T499" s="1">
        <f ca="1">IFERROR(__xludf.DUMMYFUNCTION("""COMPUTED_VALUE"""),46.54)</f>
        <v>46.54</v>
      </c>
      <c r="U499" s="1">
        <f ca="1">IFERROR(__xludf.DUMMYFUNCTION("""COMPUTED_VALUE"""),166.63)</f>
        <v>166.63</v>
      </c>
      <c r="V499" s="1">
        <f ca="1">IFERROR(__xludf.DUMMYFUNCTION("""COMPUTED_VALUE"""),198.31)</f>
        <v>198.31</v>
      </c>
      <c r="W499" s="1">
        <f ca="1">IFERROR(__xludf.DUMMYFUNCTION("""COMPUTED_VALUE"""),340.77)</f>
        <v>340.77</v>
      </c>
      <c r="X499" s="1">
        <f ca="1">IFERROR(__xludf.DUMMYFUNCTION("""COMPUTED_VALUE"""),783.04)</f>
        <v>783.04</v>
      </c>
      <c r="Y499" s="1">
        <f ca="1">IFERROR(__xludf.DUMMYFUNCTION("""COMPUTED_VALUE"""),117.44)</f>
        <v>117.44</v>
      </c>
      <c r="Z499" s="1">
        <f ca="1">IFERROR(__xludf.DUMMYFUNCTION("""COMPUTED_VALUE"""),380.32)</f>
        <v>380.32</v>
      </c>
      <c r="AA499" s="1">
        <f ca="1">IFERROR(__xludf.DUMMYFUNCTION("""COMPUTED_VALUE"""),58.95)</f>
        <v>58.95</v>
      </c>
      <c r="AB499" s="1">
        <f ca="1">IFERROR(__xludf.DUMMYFUNCTION("""COMPUTED_VALUE"""),110.37)</f>
        <v>110.37</v>
      </c>
      <c r="AC499" s="1">
        <f ca="1">IFERROR(__xludf.DUMMYFUNCTION("""COMPUTED_VALUE"""),144.25)</f>
        <v>144.25</v>
      </c>
    </row>
    <row r="500" spans="1:29" x14ac:dyDescent="0.25">
      <c r="A500" s="2">
        <f ca="1">IFERROR(__xludf.DUMMYFUNCTION("""COMPUTED_VALUE"""),44552.6666666666)</f>
        <v>44552.666666666599</v>
      </c>
      <c r="B500" s="1">
        <f ca="1">IFERROR(__xludf.DUMMYFUNCTION("""COMPUTED_VALUE"""),175.64)</f>
        <v>175.64</v>
      </c>
      <c r="C500" s="1">
        <f ca="1">IFERROR(__xludf.DUMMYFUNCTION("""COMPUTED_VALUE"""),333.2)</f>
        <v>333.2</v>
      </c>
      <c r="D500" s="1">
        <f ca="1">IFERROR(__xludf.DUMMYFUNCTION("""COMPUTED_VALUE"""),171.04)</f>
        <v>171.04</v>
      </c>
      <c r="E500" s="1">
        <f ca="1">IFERROR(__xludf.DUMMYFUNCTION("""COMPUTED_VALUE"""),29.4)</f>
        <v>29.4</v>
      </c>
      <c r="F500" s="1">
        <f ca="1">IFERROR(__xludf.DUMMYFUNCTION("""COMPUTED_VALUE"""),330.45)</f>
        <v>330.45</v>
      </c>
      <c r="G500" s="1">
        <f ca="1">IFERROR(__xludf.DUMMYFUNCTION("""COMPUTED_VALUE"""),146.95)</f>
        <v>146.94999999999999</v>
      </c>
      <c r="H500" s="1">
        <f ca="1">IFERROR(__xludf.DUMMYFUNCTION("""COMPUTED_VALUE"""),336.29)</f>
        <v>336.29</v>
      </c>
      <c r="I500" s="1">
        <f ca="1">IFERROR(__xludf.DUMMYFUNCTION("""COMPUTED_VALUE"""),169.97)</f>
        <v>169.97</v>
      </c>
      <c r="J500" s="1">
        <f ca="1">IFERROR(__xludf.DUMMYFUNCTION("""COMPUTED_VALUE"""),549.67)</f>
        <v>549.66999999999996</v>
      </c>
      <c r="K500" s="1">
        <f ca="1">IFERROR(__xludf.DUMMYFUNCTION("""COMPUTED_VALUE"""),65.52)</f>
        <v>65.52</v>
      </c>
      <c r="L500" s="1">
        <f ca="1">IFERROR(__xludf.DUMMYFUNCTION("""COMPUTED_VALUE"""),563.98)</f>
        <v>563.98</v>
      </c>
      <c r="M500" s="1">
        <f ca="1">IFERROR(__xludf.DUMMYFUNCTION("""COMPUTED_VALUE"""),614.24)</f>
        <v>614.24</v>
      </c>
      <c r="N500" s="1">
        <f ca="1">IFERROR(__xludf.DUMMYFUNCTION("""COMPUTED_VALUE"""),156.7)</f>
        <v>156.69999999999999</v>
      </c>
      <c r="O500" s="1">
        <f ca="1">IFERROR(__xludf.DUMMYFUNCTION("""COMPUTED_VALUE"""),217.96)</f>
        <v>217.96</v>
      </c>
      <c r="P500" s="1">
        <f ca="1">IFERROR(__xludf.DUMMYFUNCTION("""COMPUTED_VALUE"""),167.93)</f>
        <v>167.93</v>
      </c>
      <c r="Q500" s="1">
        <f ca="1">IFERROR(__xludf.DUMMYFUNCTION("""COMPUTED_VALUE"""),494.13)</f>
        <v>494.13</v>
      </c>
      <c r="R500" s="1">
        <f ca="1">IFERROR(__xludf.DUMMYFUNCTION("""COMPUTED_VALUE"""),60.99)</f>
        <v>60.99</v>
      </c>
      <c r="S500" s="1">
        <f ca="1">IFERROR(__xludf.DUMMYFUNCTION("""COMPUTED_VALUE"""),90.8)</f>
        <v>90.8</v>
      </c>
      <c r="T500" s="1">
        <f ca="1">IFERROR(__xludf.DUMMYFUNCTION("""COMPUTED_VALUE"""),46.6)</f>
        <v>46.6</v>
      </c>
      <c r="U500" s="1">
        <f ca="1">IFERROR(__xludf.DUMMYFUNCTION("""COMPUTED_VALUE"""),165.44)</f>
        <v>165.44</v>
      </c>
      <c r="V500" s="1">
        <f ca="1">IFERROR(__xludf.DUMMYFUNCTION("""COMPUTED_VALUE"""),202.15)</f>
        <v>202.15</v>
      </c>
      <c r="W500" s="1">
        <f ca="1">IFERROR(__xludf.DUMMYFUNCTION("""COMPUTED_VALUE"""),343.14)</f>
        <v>343.14</v>
      </c>
      <c r="X500" s="1">
        <f ca="1">IFERROR(__xludf.DUMMYFUNCTION("""COMPUTED_VALUE"""),792.12)</f>
        <v>792.12</v>
      </c>
      <c r="Y500" s="1">
        <f ca="1">IFERROR(__xludf.DUMMYFUNCTION("""COMPUTED_VALUE"""),121.3)</f>
        <v>121.3</v>
      </c>
      <c r="Z500" s="1">
        <f ca="1">IFERROR(__xludf.DUMMYFUNCTION("""COMPUTED_VALUE"""),382.33)</f>
        <v>382.33</v>
      </c>
      <c r="AA500" s="1">
        <f ca="1">IFERROR(__xludf.DUMMYFUNCTION("""COMPUTED_VALUE"""),59.55)</f>
        <v>59.55</v>
      </c>
      <c r="AB500" s="1">
        <f ca="1">IFERROR(__xludf.DUMMYFUNCTION("""COMPUTED_VALUE"""),111.74)</f>
        <v>111.74</v>
      </c>
      <c r="AC500" s="1">
        <f ca="1">IFERROR(__xludf.DUMMYFUNCTION("""COMPUTED_VALUE"""),143.88)</f>
        <v>143.88</v>
      </c>
    </row>
    <row r="501" spans="1:29" x14ac:dyDescent="0.25">
      <c r="A501" s="2">
        <f ca="1">IFERROR(__xludf.DUMMYFUNCTION("""COMPUTED_VALUE"""),44553.6666666666)</f>
        <v>44553.666666666599</v>
      </c>
      <c r="B501" s="1">
        <f ca="1">IFERROR(__xludf.DUMMYFUNCTION("""COMPUTED_VALUE"""),176.28)</f>
        <v>176.28</v>
      </c>
      <c r="C501" s="1">
        <f ca="1">IFERROR(__xludf.DUMMYFUNCTION("""COMPUTED_VALUE"""),334.69)</f>
        <v>334.69</v>
      </c>
      <c r="D501" s="1">
        <f ca="1">IFERROR(__xludf.DUMMYFUNCTION("""COMPUTED_VALUE"""),171.07)</f>
        <v>171.07</v>
      </c>
      <c r="E501" s="1">
        <f ca="1">IFERROR(__xludf.DUMMYFUNCTION("""COMPUTED_VALUE"""),29.64)</f>
        <v>29.64</v>
      </c>
      <c r="F501" s="1">
        <f ca="1">IFERROR(__xludf.DUMMYFUNCTION("""COMPUTED_VALUE"""),335.24)</f>
        <v>335.24</v>
      </c>
      <c r="G501" s="1">
        <f ca="1">IFERROR(__xludf.DUMMYFUNCTION("""COMPUTED_VALUE"""),147.14)</f>
        <v>147.13999999999999</v>
      </c>
      <c r="H501" s="1">
        <f ca="1">IFERROR(__xludf.DUMMYFUNCTION("""COMPUTED_VALUE"""),355.67)</f>
        <v>355.67</v>
      </c>
      <c r="I501" s="1">
        <f ca="1">IFERROR(__xludf.DUMMYFUNCTION("""COMPUTED_VALUE"""),169.78)</f>
        <v>169.78</v>
      </c>
      <c r="J501" s="1">
        <f ca="1">IFERROR(__xludf.DUMMYFUNCTION("""COMPUTED_VALUE"""),550.37)</f>
        <v>550.37</v>
      </c>
      <c r="K501" s="1">
        <f ca="1">IFERROR(__xludf.DUMMYFUNCTION("""COMPUTED_VALUE"""),66.48)</f>
        <v>66.48</v>
      </c>
      <c r="L501" s="1">
        <f ca="1">IFERROR(__xludf.DUMMYFUNCTION("""COMPUTED_VALUE"""),569.62)</f>
        <v>569.62</v>
      </c>
      <c r="M501" s="1">
        <f ca="1">IFERROR(__xludf.DUMMYFUNCTION("""COMPUTED_VALUE"""),614.09)</f>
        <v>614.09</v>
      </c>
      <c r="N501" s="1">
        <f ca="1">IFERROR(__xludf.DUMMYFUNCTION("""COMPUTED_VALUE"""),157.26)</f>
        <v>157.26</v>
      </c>
      <c r="O501" s="1">
        <f ca="1">IFERROR(__xludf.DUMMYFUNCTION("""COMPUTED_VALUE"""),216.62)</f>
        <v>216.62</v>
      </c>
      <c r="P501" s="1">
        <f ca="1">IFERROR(__xludf.DUMMYFUNCTION("""COMPUTED_VALUE"""),168.25)</f>
        <v>168.25</v>
      </c>
      <c r="Q501" s="1">
        <f ca="1">IFERROR(__xludf.DUMMYFUNCTION("""COMPUTED_VALUE"""),495.38)</f>
        <v>495.38</v>
      </c>
      <c r="R501" s="1">
        <f ca="1">IFERROR(__xludf.DUMMYFUNCTION("""COMPUTED_VALUE"""),61.02)</f>
        <v>61.02</v>
      </c>
      <c r="S501" s="1">
        <f ca="1">IFERROR(__xludf.DUMMYFUNCTION("""COMPUTED_VALUE"""),90.7)</f>
        <v>90.7</v>
      </c>
      <c r="T501" s="1">
        <f ca="1">IFERROR(__xludf.DUMMYFUNCTION("""COMPUTED_VALUE"""),46.5)</f>
        <v>46.5</v>
      </c>
      <c r="U501" s="1">
        <f ca="1">IFERROR(__xludf.DUMMYFUNCTION("""COMPUTED_VALUE"""),165.67)</f>
        <v>165.67</v>
      </c>
      <c r="V501" s="1">
        <f ca="1">IFERROR(__xludf.DUMMYFUNCTION("""COMPUTED_VALUE"""),206.2)</f>
        <v>206.2</v>
      </c>
      <c r="W501" s="1">
        <f ca="1">IFERROR(__xludf.DUMMYFUNCTION("""COMPUTED_VALUE"""),347.02)</f>
        <v>347.02</v>
      </c>
      <c r="X501" s="1">
        <f ca="1">IFERROR(__xludf.DUMMYFUNCTION("""COMPUTED_VALUE"""),801.41)</f>
        <v>801.41</v>
      </c>
      <c r="Y501" s="1">
        <f ca="1">IFERROR(__xludf.DUMMYFUNCTION("""COMPUTED_VALUE"""),120.68)</f>
        <v>120.68</v>
      </c>
      <c r="Z501" s="1">
        <f ca="1">IFERROR(__xludf.DUMMYFUNCTION("""COMPUTED_VALUE"""),385.04)</f>
        <v>385.04</v>
      </c>
      <c r="AA501" s="1">
        <f ca="1">IFERROR(__xludf.DUMMYFUNCTION("""COMPUTED_VALUE"""),58.71)</f>
        <v>58.71</v>
      </c>
      <c r="AB501" s="1">
        <f ca="1">IFERROR(__xludf.DUMMYFUNCTION("""COMPUTED_VALUE"""),112.37)</f>
        <v>112.37</v>
      </c>
      <c r="AC501" s="1">
        <f ca="1">IFERROR(__xludf.DUMMYFUNCTION("""COMPUTED_VALUE"""),146.14)</f>
        <v>146.13999999999999</v>
      </c>
    </row>
    <row r="502" spans="1:29" x14ac:dyDescent="0.25">
      <c r="A502" s="2">
        <f ca="1">IFERROR(__xludf.DUMMYFUNCTION("""COMPUTED_VALUE"""),44557.6666666666)</f>
        <v>44557.666666666599</v>
      </c>
      <c r="B502" s="1">
        <f ca="1">IFERROR(__xludf.DUMMYFUNCTION("""COMPUTED_VALUE"""),180.33)</f>
        <v>180.33</v>
      </c>
      <c r="C502" s="1">
        <f ca="1">IFERROR(__xludf.DUMMYFUNCTION("""COMPUTED_VALUE"""),342.45)</f>
        <v>342.45</v>
      </c>
      <c r="D502" s="1">
        <f ca="1">IFERROR(__xludf.DUMMYFUNCTION("""COMPUTED_VALUE"""),169.67)</f>
        <v>169.67</v>
      </c>
      <c r="E502" s="1">
        <f ca="1">IFERROR(__xludf.DUMMYFUNCTION("""COMPUTED_VALUE"""),30.95)</f>
        <v>30.95</v>
      </c>
      <c r="F502" s="1">
        <f ca="1">IFERROR(__xludf.DUMMYFUNCTION("""COMPUTED_VALUE"""),346.18)</f>
        <v>346.18</v>
      </c>
      <c r="G502" s="1">
        <f ca="1">IFERROR(__xludf.DUMMYFUNCTION("""COMPUTED_VALUE"""),148.06)</f>
        <v>148.06</v>
      </c>
      <c r="H502" s="1">
        <f ca="1">IFERROR(__xludf.DUMMYFUNCTION("""COMPUTED_VALUE"""),364.65)</f>
        <v>364.65</v>
      </c>
      <c r="I502" s="1">
        <f ca="1">IFERROR(__xludf.DUMMYFUNCTION("""COMPUTED_VALUE"""),171.47)</f>
        <v>171.47</v>
      </c>
      <c r="J502" s="1">
        <f ca="1">IFERROR(__xludf.DUMMYFUNCTION("""COMPUTED_VALUE"""),563.47)</f>
        <v>563.47</v>
      </c>
      <c r="K502" s="1">
        <f ca="1">IFERROR(__xludf.DUMMYFUNCTION("""COMPUTED_VALUE"""),67.43)</f>
        <v>67.430000000000007</v>
      </c>
      <c r="L502" s="1">
        <f ca="1">IFERROR(__xludf.DUMMYFUNCTION("""COMPUTED_VALUE"""),577.68)</f>
        <v>577.67999999999995</v>
      </c>
      <c r="M502" s="1">
        <f ca="1">IFERROR(__xludf.DUMMYFUNCTION("""COMPUTED_VALUE"""),613.12)</f>
        <v>613.12</v>
      </c>
      <c r="N502" s="1">
        <f ca="1">IFERROR(__xludf.DUMMYFUNCTION("""COMPUTED_VALUE"""),158.16)</f>
        <v>158.16</v>
      </c>
      <c r="O502" s="1">
        <f ca="1">IFERROR(__xludf.DUMMYFUNCTION("""COMPUTED_VALUE"""),217.63)</f>
        <v>217.63</v>
      </c>
      <c r="P502" s="1">
        <f ca="1">IFERROR(__xludf.DUMMYFUNCTION("""COMPUTED_VALUE"""),169.67)</f>
        <v>169.67</v>
      </c>
      <c r="Q502" s="1">
        <f ca="1">IFERROR(__xludf.DUMMYFUNCTION("""COMPUTED_VALUE"""),499.5)</f>
        <v>499.5</v>
      </c>
      <c r="R502" s="1">
        <f ca="1">IFERROR(__xludf.DUMMYFUNCTION("""COMPUTED_VALUE"""),61.89)</f>
        <v>61.89</v>
      </c>
      <c r="S502" s="1">
        <f ca="1">IFERROR(__xludf.DUMMYFUNCTION("""COMPUTED_VALUE"""),91.32)</f>
        <v>91.32</v>
      </c>
      <c r="T502" s="1">
        <f ca="1">IFERROR(__xludf.DUMMYFUNCTION("""COMPUTED_VALUE"""),46.92)</f>
        <v>46.92</v>
      </c>
      <c r="U502" s="1">
        <f ca="1">IFERROR(__xludf.DUMMYFUNCTION("""COMPUTED_VALUE"""),167.58)</f>
        <v>167.58</v>
      </c>
      <c r="V502" s="1">
        <f ca="1">IFERROR(__xludf.DUMMYFUNCTION("""COMPUTED_VALUE"""),206.38)</f>
        <v>206.38</v>
      </c>
      <c r="W502" s="1">
        <f ca="1">IFERROR(__xludf.DUMMYFUNCTION("""COMPUTED_VALUE"""),350.28)</f>
        <v>350.28</v>
      </c>
      <c r="X502" s="1">
        <f ca="1">IFERROR(__xludf.DUMMYFUNCTION("""COMPUTED_VALUE"""),811.43)</f>
        <v>811.43</v>
      </c>
      <c r="Y502" s="1">
        <f ca="1">IFERROR(__xludf.DUMMYFUNCTION("""COMPUTED_VALUE"""),122.7)</f>
        <v>122.7</v>
      </c>
      <c r="Z502" s="1">
        <f ca="1">IFERROR(__xludf.DUMMYFUNCTION("""COMPUTED_VALUE"""),388.04)</f>
        <v>388.04</v>
      </c>
      <c r="AA502" s="1">
        <f ca="1">IFERROR(__xludf.DUMMYFUNCTION("""COMPUTED_VALUE"""),59.2)</f>
        <v>59.2</v>
      </c>
      <c r="AB502" s="1">
        <f ca="1">IFERROR(__xludf.DUMMYFUNCTION("""COMPUTED_VALUE"""),114.22)</f>
        <v>114.22</v>
      </c>
      <c r="AC502" s="1">
        <f ca="1">IFERROR(__xludf.DUMMYFUNCTION("""COMPUTED_VALUE"""),154.36)</f>
        <v>154.36000000000001</v>
      </c>
    </row>
    <row r="503" spans="1:29" x14ac:dyDescent="0.25">
      <c r="A503" s="2">
        <f ca="1">IFERROR(__xludf.DUMMYFUNCTION("""COMPUTED_VALUE"""),44558.6666666666)</f>
        <v>44558.666666666599</v>
      </c>
      <c r="B503" s="1">
        <f ca="1">IFERROR(__xludf.DUMMYFUNCTION("""COMPUTED_VALUE"""),179.29)</f>
        <v>179.29</v>
      </c>
      <c r="C503" s="1">
        <f ca="1">IFERROR(__xludf.DUMMYFUNCTION("""COMPUTED_VALUE"""),341.25)</f>
        <v>341.25</v>
      </c>
      <c r="D503" s="1">
        <f ca="1">IFERROR(__xludf.DUMMYFUNCTION("""COMPUTED_VALUE"""),170.66)</f>
        <v>170.66</v>
      </c>
      <c r="E503" s="1">
        <f ca="1">IFERROR(__xludf.DUMMYFUNCTION("""COMPUTED_VALUE"""),30.32)</f>
        <v>30.32</v>
      </c>
      <c r="F503" s="1">
        <f ca="1">IFERROR(__xludf.DUMMYFUNCTION("""COMPUTED_VALUE"""),346.22)</f>
        <v>346.22</v>
      </c>
      <c r="G503" s="1">
        <f ca="1">IFERROR(__xludf.DUMMYFUNCTION("""COMPUTED_VALUE"""),146.45)</f>
        <v>146.44999999999999</v>
      </c>
      <c r="H503" s="1">
        <f ca="1">IFERROR(__xludf.DUMMYFUNCTION("""COMPUTED_VALUE"""),362.82)</f>
        <v>362.82</v>
      </c>
      <c r="I503" s="1">
        <f ca="1">IFERROR(__xludf.DUMMYFUNCTION("""COMPUTED_VALUE"""),172.36)</f>
        <v>172.36</v>
      </c>
      <c r="J503" s="1">
        <f ca="1">IFERROR(__xludf.DUMMYFUNCTION("""COMPUTED_VALUE"""),564.64)</f>
        <v>564.64</v>
      </c>
      <c r="K503" s="1">
        <f ca="1">IFERROR(__xludf.DUMMYFUNCTION("""COMPUTED_VALUE"""),66.9)</f>
        <v>66.900000000000006</v>
      </c>
      <c r="L503" s="1">
        <f ca="1">IFERROR(__xludf.DUMMYFUNCTION("""COMPUTED_VALUE"""),569.36)</f>
        <v>569.36</v>
      </c>
      <c r="M503" s="1">
        <f ca="1">IFERROR(__xludf.DUMMYFUNCTION("""COMPUTED_VALUE"""),610.71)</f>
        <v>610.71</v>
      </c>
      <c r="N503" s="1">
        <f ca="1">IFERROR(__xludf.DUMMYFUNCTION("""COMPUTED_VALUE"""),158.64)</f>
        <v>158.63999999999999</v>
      </c>
      <c r="O503" s="1">
        <f ca="1">IFERROR(__xludf.DUMMYFUNCTION("""COMPUTED_VALUE"""),218.05)</f>
        <v>218.05</v>
      </c>
      <c r="P503" s="1">
        <f ca="1">IFERROR(__xludf.DUMMYFUNCTION("""COMPUTED_VALUE"""),170.35)</f>
        <v>170.35</v>
      </c>
      <c r="Q503" s="1">
        <f ca="1">IFERROR(__xludf.DUMMYFUNCTION("""COMPUTED_VALUE"""),502.94)</f>
        <v>502.94</v>
      </c>
      <c r="R503" s="1">
        <f ca="1">IFERROR(__xludf.DUMMYFUNCTION("""COMPUTED_VALUE"""),61.69)</f>
        <v>61.69</v>
      </c>
      <c r="S503" s="1">
        <f ca="1">IFERROR(__xludf.DUMMYFUNCTION("""COMPUTED_VALUE"""),91.88)</f>
        <v>91.88</v>
      </c>
      <c r="T503" s="1">
        <f ca="1">IFERROR(__xludf.DUMMYFUNCTION("""COMPUTED_VALUE"""),47.59)</f>
        <v>47.59</v>
      </c>
      <c r="U503" s="1">
        <f ca="1">IFERROR(__xludf.DUMMYFUNCTION("""COMPUTED_VALUE"""),166.42)</f>
        <v>166.42</v>
      </c>
      <c r="V503" s="1">
        <f ca="1">IFERROR(__xludf.DUMMYFUNCTION("""COMPUTED_VALUE"""),206.62)</f>
        <v>206.62</v>
      </c>
      <c r="W503" s="1">
        <f ca="1">IFERROR(__xludf.DUMMYFUNCTION("""COMPUTED_VALUE"""),353.75)</f>
        <v>353.75</v>
      </c>
      <c r="X503" s="1">
        <f ca="1">IFERROR(__xludf.DUMMYFUNCTION("""COMPUTED_VALUE"""),804.77)</f>
        <v>804.77</v>
      </c>
      <c r="Y503" s="1">
        <f ca="1">IFERROR(__xludf.DUMMYFUNCTION("""COMPUTED_VALUE"""),122.06)</f>
        <v>122.06</v>
      </c>
      <c r="Z503" s="1">
        <f ca="1">IFERROR(__xludf.DUMMYFUNCTION("""COMPUTED_VALUE"""),387.61)</f>
        <v>387.61</v>
      </c>
      <c r="AA503" s="1">
        <f ca="1">IFERROR(__xludf.DUMMYFUNCTION("""COMPUTED_VALUE"""),58.01)</f>
        <v>58.01</v>
      </c>
      <c r="AB503" s="1">
        <f ca="1">IFERROR(__xludf.DUMMYFUNCTION("""COMPUTED_VALUE"""),115.57)</f>
        <v>115.57</v>
      </c>
      <c r="AC503" s="1">
        <f ca="1">IFERROR(__xludf.DUMMYFUNCTION("""COMPUTED_VALUE"""),153.15)</f>
        <v>153.15</v>
      </c>
    </row>
    <row r="504" spans="1:29" x14ac:dyDescent="0.25">
      <c r="A504" s="2">
        <f ca="1">IFERROR(__xludf.DUMMYFUNCTION("""COMPUTED_VALUE"""),44559.6666666666)</f>
        <v>44559.666666666599</v>
      </c>
      <c r="B504" s="1">
        <f ca="1">IFERROR(__xludf.DUMMYFUNCTION("""COMPUTED_VALUE"""),179.38)</f>
        <v>179.38</v>
      </c>
      <c r="C504" s="1">
        <f ca="1">IFERROR(__xludf.DUMMYFUNCTION("""COMPUTED_VALUE"""),341.95)</f>
        <v>341.95</v>
      </c>
      <c r="D504" s="1">
        <f ca="1">IFERROR(__xludf.DUMMYFUNCTION("""COMPUTED_VALUE"""),169.2)</f>
        <v>169.2</v>
      </c>
      <c r="E504" s="1">
        <f ca="1">IFERROR(__xludf.DUMMYFUNCTION("""COMPUTED_VALUE"""),30)</f>
        <v>30</v>
      </c>
      <c r="F504" s="1">
        <f ca="1">IFERROR(__xludf.DUMMYFUNCTION("""COMPUTED_VALUE"""),342.94)</f>
        <v>342.94</v>
      </c>
      <c r="G504" s="1">
        <f ca="1">IFERROR(__xludf.DUMMYFUNCTION("""COMPUTED_VALUE"""),146.5)</f>
        <v>146.5</v>
      </c>
      <c r="H504" s="1">
        <f ca="1">IFERROR(__xludf.DUMMYFUNCTION("""COMPUTED_VALUE"""),362.06)</f>
        <v>362.06</v>
      </c>
      <c r="I504" s="1">
        <f ca="1">IFERROR(__xludf.DUMMYFUNCTION("""COMPUTED_VALUE"""),172.97)</f>
        <v>172.97</v>
      </c>
      <c r="J504" s="1">
        <f ca="1">IFERROR(__xludf.DUMMYFUNCTION("""COMPUTED_VALUE"""),567.77)</f>
        <v>567.77</v>
      </c>
      <c r="K504" s="1">
        <f ca="1">IFERROR(__xludf.DUMMYFUNCTION("""COMPUTED_VALUE"""),67.26)</f>
        <v>67.260000000000005</v>
      </c>
      <c r="L504" s="1">
        <f ca="1">IFERROR(__xludf.DUMMYFUNCTION("""COMPUTED_VALUE"""),569.29)</f>
        <v>569.29</v>
      </c>
      <c r="M504" s="1">
        <f ca="1">IFERROR(__xludf.DUMMYFUNCTION("""COMPUTED_VALUE"""),610.54)</f>
        <v>610.54</v>
      </c>
      <c r="N504" s="1">
        <f ca="1">IFERROR(__xludf.DUMMYFUNCTION("""COMPUTED_VALUE"""),158.56)</f>
        <v>158.56</v>
      </c>
      <c r="O504" s="1">
        <f ca="1">IFERROR(__xludf.DUMMYFUNCTION("""COMPUTED_VALUE"""),218.17)</f>
        <v>218.17</v>
      </c>
      <c r="P504" s="1">
        <f ca="1">IFERROR(__xludf.DUMMYFUNCTION("""COMPUTED_VALUE"""),171.55)</f>
        <v>171.55</v>
      </c>
      <c r="Q504" s="1">
        <f ca="1">IFERROR(__xludf.DUMMYFUNCTION("""COMPUTED_VALUE"""),505.58)</f>
        <v>505.58</v>
      </c>
      <c r="R504" s="1">
        <f ca="1">IFERROR(__xludf.DUMMYFUNCTION("""COMPUTED_VALUE"""),61.15)</f>
        <v>61.15</v>
      </c>
      <c r="S504" s="1">
        <f ca="1">IFERROR(__xludf.DUMMYFUNCTION("""COMPUTED_VALUE"""),91.99)</f>
        <v>91.99</v>
      </c>
      <c r="T504" s="1">
        <f ca="1">IFERROR(__xludf.DUMMYFUNCTION("""COMPUTED_VALUE"""),47.57)</f>
        <v>47.57</v>
      </c>
      <c r="U504" s="1">
        <f ca="1">IFERROR(__xludf.DUMMYFUNCTION("""COMPUTED_VALUE"""),168.78)</f>
        <v>168.78</v>
      </c>
      <c r="V504" s="1">
        <f ca="1">IFERROR(__xludf.DUMMYFUNCTION("""COMPUTED_VALUE"""),207.33)</f>
        <v>207.33</v>
      </c>
      <c r="W504" s="1">
        <f ca="1">IFERROR(__xludf.DUMMYFUNCTION("""COMPUTED_VALUE"""),354.27)</f>
        <v>354.27</v>
      </c>
      <c r="X504" s="1">
        <f ca="1">IFERROR(__xludf.DUMMYFUNCTION("""COMPUTED_VALUE"""),801.98)</f>
        <v>801.98</v>
      </c>
      <c r="Y504" s="1">
        <f ca="1">IFERROR(__xludf.DUMMYFUNCTION("""COMPUTED_VALUE"""),121.41)</f>
        <v>121.41</v>
      </c>
      <c r="Z504" s="1">
        <f ca="1">IFERROR(__xludf.DUMMYFUNCTION("""COMPUTED_VALUE"""),386.2)</f>
        <v>386.2</v>
      </c>
      <c r="AA504" s="1">
        <f ca="1">IFERROR(__xludf.DUMMYFUNCTION("""COMPUTED_VALUE"""),57.58)</f>
        <v>57.58</v>
      </c>
      <c r="AB504" s="1">
        <f ca="1">IFERROR(__xludf.DUMMYFUNCTION("""COMPUTED_VALUE"""),116.38)</f>
        <v>116.38</v>
      </c>
      <c r="AC504" s="1">
        <f ca="1">IFERROR(__xludf.DUMMYFUNCTION("""COMPUTED_VALUE"""),148.26)</f>
        <v>148.26</v>
      </c>
    </row>
    <row r="505" spans="1:29" x14ac:dyDescent="0.25">
      <c r="A505" s="2">
        <f ca="1">IFERROR(__xludf.DUMMYFUNCTION("""COMPUTED_VALUE"""),44560.6666666666)</f>
        <v>44560.666666666599</v>
      </c>
      <c r="B505" s="1">
        <f ca="1">IFERROR(__xludf.DUMMYFUNCTION("""COMPUTED_VALUE"""),178.2)</f>
        <v>178.2</v>
      </c>
      <c r="C505" s="1">
        <f ca="1">IFERROR(__xludf.DUMMYFUNCTION("""COMPUTED_VALUE"""),339.32)</f>
        <v>339.32</v>
      </c>
      <c r="D505" s="1">
        <f ca="1">IFERROR(__xludf.DUMMYFUNCTION("""COMPUTED_VALUE"""),168.64)</f>
        <v>168.64</v>
      </c>
      <c r="E505" s="1">
        <f ca="1">IFERROR(__xludf.DUMMYFUNCTION("""COMPUTED_VALUE"""),29.59)</f>
        <v>29.59</v>
      </c>
      <c r="F505" s="1">
        <f ca="1">IFERROR(__xludf.DUMMYFUNCTION("""COMPUTED_VALUE"""),344.36)</f>
        <v>344.36</v>
      </c>
      <c r="G505" s="1">
        <f ca="1">IFERROR(__xludf.DUMMYFUNCTION("""COMPUTED_VALUE"""),146)</f>
        <v>146</v>
      </c>
      <c r="H505" s="1">
        <f ca="1">IFERROR(__xludf.DUMMYFUNCTION("""COMPUTED_VALUE"""),356.78)</f>
        <v>356.78</v>
      </c>
      <c r="I505" s="1">
        <f ca="1">IFERROR(__xludf.DUMMYFUNCTION("""COMPUTED_VALUE"""),172.67)</f>
        <v>172.67</v>
      </c>
      <c r="J505" s="1">
        <f ca="1">IFERROR(__xludf.DUMMYFUNCTION("""COMPUTED_VALUE"""),563.91)</f>
        <v>563.91</v>
      </c>
      <c r="K505" s="1">
        <f ca="1">IFERROR(__xludf.DUMMYFUNCTION("""COMPUTED_VALUE"""),66.51)</f>
        <v>66.510000000000005</v>
      </c>
      <c r="L505" s="1">
        <f ca="1">IFERROR(__xludf.DUMMYFUNCTION("""COMPUTED_VALUE"""),570.53)</f>
        <v>570.53</v>
      </c>
      <c r="M505" s="1">
        <f ca="1">IFERROR(__xludf.DUMMYFUNCTION("""COMPUTED_VALUE"""),612.09)</f>
        <v>612.09</v>
      </c>
      <c r="N505" s="1">
        <f ca="1">IFERROR(__xludf.DUMMYFUNCTION("""COMPUTED_VALUE"""),158.48)</f>
        <v>158.47999999999999</v>
      </c>
      <c r="O505" s="1">
        <f ca="1">IFERROR(__xludf.DUMMYFUNCTION("""COMPUTED_VALUE"""),217.87)</f>
        <v>217.87</v>
      </c>
      <c r="P505" s="1">
        <f ca="1">IFERROR(__xludf.DUMMYFUNCTION("""COMPUTED_VALUE"""),172.31)</f>
        <v>172.31</v>
      </c>
      <c r="Q505" s="1">
        <f ca="1">IFERROR(__xludf.DUMMYFUNCTION("""COMPUTED_VALUE"""),504.43)</f>
        <v>504.43</v>
      </c>
      <c r="R505" s="1">
        <f ca="1">IFERROR(__xludf.DUMMYFUNCTION("""COMPUTED_VALUE"""),60.79)</f>
        <v>60.79</v>
      </c>
      <c r="S505" s="1">
        <f ca="1">IFERROR(__xludf.DUMMYFUNCTION("""COMPUTED_VALUE"""),92.77)</f>
        <v>92.77</v>
      </c>
      <c r="T505" s="1">
        <f ca="1">IFERROR(__xludf.DUMMYFUNCTION("""COMPUTED_VALUE"""),47.72)</f>
        <v>47.72</v>
      </c>
      <c r="U505" s="1">
        <f ca="1">IFERROR(__xludf.DUMMYFUNCTION("""COMPUTED_VALUE"""),167.49)</f>
        <v>167.49</v>
      </c>
      <c r="V505" s="1">
        <f ca="1">IFERROR(__xludf.DUMMYFUNCTION("""COMPUTED_VALUE"""),206.08)</f>
        <v>206.08</v>
      </c>
      <c r="W505" s="1">
        <f ca="1">IFERROR(__xludf.DUMMYFUNCTION("""COMPUTED_VALUE"""),353.58)</f>
        <v>353.58</v>
      </c>
      <c r="X505" s="1">
        <f ca="1">IFERROR(__xludf.DUMMYFUNCTION("""COMPUTED_VALUE"""),800.22)</f>
        <v>800.22</v>
      </c>
      <c r="Y505" s="1">
        <f ca="1">IFERROR(__xludf.DUMMYFUNCTION("""COMPUTED_VALUE"""),120.42)</f>
        <v>120.42</v>
      </c>
      <c r="Z505" s="1">
        <f ca="1">IFERROR(__xludf.DUMMYFUNCTION("""COMPUTED_VALUE"""),385.52)</f>
        <v>385.52</v>
      </c>
      <c r="AA505" s="1">
        <f ca="1">IFERROR(__xludf.DUMMYFUNCTION("""COMPUTED_VALUE"""),58.4)</f>
        <v>58.4</v>
      </c>
      <c r="AB505" s="1">
        <f ca="1">IFERROR(__xludf.DUMMYFUNCTION("""COMPUTED_VALUE"""),116.24)</f>
        <v>116.24</v>
      </c>
      <c r="AC505" s="1">
        <f ca="1">IFERROR(__xludf.DUMMYFUNCTION("""COMPUTED_VALUE"""),145.15)</f>
        <v>145.15</v>
      </c>
    </row>
    <row r="506" spans="1:29" x14ac:dyDescent="0.25">
      <c r="A506" s="2">
        <f ca="1">IFERROR(__xludf.DUMMYFUNCTION("""COMPUTED_VALUE"""),44561.6666666666)</f>
        <v>44561.666666666599</v>
      </c>
      <c r="B506" s="1">
        <f ca="1">IFERROR(__xludf.DUMMYFUNCTION("""COMPUTED_VALUE"""),177.57)</f>
        <v>177.57</v>
      </c>
      <c r="C506" s="1">
        <f ca="1">IFERROR(__xludf.DUMMYFUNCTION("""COMPUTED_VALUE"""),336.32)</f>
        <v>336.32</v>
      </c>
      <c r="D506" s="1">
        <f ca="1">IFERROR(__xludf.DUMMYFUNCTION("""COMPUTED_VALUE"""),166.72)</f>
        <v>166.72</v>
      </c>
      <c r="E506" s="1">
        <f ca="1">IFERROR(__xludf.DUMMYFUNCTION("""COMPUTED_VALUE"""),29.41)</f>
        <v>29.41</v>
      </c>
      <c r="F506" s="1">
        <f ca="1">IFERROR(__xludf.DUMMYFUNCTION("""COMPUTED_VALUE"""),336.35)</f>
        <v>336.35</v>
      </c>
      <c r="G506" s="1">
        <f ca="1">IFERROR(__xludf.DUMMYFUNCTION("""COMPUTED_VALUE"""),144.68)</f>
        <v>144.68</v>
      </c>
      <c r="H506" s="1">
        <f ca="1">IFERROR(__xludf.DUMMYFUNCTION("""COMPUTED_VALUE"""),352.26)</f>
        <v>352.26</v>
      </c>
      <c r="I506" s="1">
        <f ca="1">IFERROR(__xludf.DUMMYFUNCTION("""COMPUTED_VALUE"""),173.71)</f>
        <v>173.71</v>
      </c>
      <c r="J506" s="1">
        <f ca="1">IFERROR(__xludf.DUMMYFUNCTION("""COMPUTED_VALUE"""),567.7)</f>
        <v>567.70000000000005</v>
      </c>
      <c r="K506" s="1">
        <f ca="1">IFERROR(__xludf.DUMMYFUNCTION("""COMPUTED_VALUE"""),66.54)</f>
        <v>66.540000000000006</v>
      </c>
      <c r="L506" s="1">
        <f ca="1">IFERROR(__xludf.DUMMYFUNCTION("""COMPUTED_VALUE"""),567.06)</f>
        <v>567.05999999999995</v>
      </c>
      <c r="M506" s="1">
        <f ca="1">IFERROR(__xludf.DUMMYFUNCTION("""COMPUTED_VALUE"""),602.44)</f>
        <v>602.44000000000005</v>
      </c>
      <c r="N506" s="1">
        <f ca="1">IFERROR(__xludf.DUMMYFUNCTION("""COMPUTED_VALUE"""),158.35)</f>
        <v>158.35</v>
      </c>
      <c r="O506" s="1">
        <f ca="1">IFERROR(__xludf.DUMMYFUNCTION("""COMPUTED_VALUE"""),216.71)</f>
        <v>216.71</v>
      </c>
      <c r="P506" s="1">
        <f ca="1">IFERROR(__xludf.DUMMYFUNCTION("""COMPUTED_VALUE"""),171.07)</f>
        <v>171.07</v>
      </c>
      <c r="Q506" s="1">
        <f ca="1">IFERROR(__xludf.DUMMYFUNCTION("""COMPUTED_VALUE"""),502.14)</f>
        <v>502.14</v>
      </c>
      <c r="R506" s="1">
        <f ca="1">IFERROR(__xludf.DUMMYFUNCTION("""COMPUTED_VALUE"""),61.19)</f>
        <v>61.19</v>
      </c>
      <c r="S506" s="1">
        <f ca="1">IFERROR(__xludf.DUMMYFUNCTION("""COMPUTED_VALUE"""),93.36)</f>
        <v>93.36</v>
      </c>
      <c r="T506" s="1">
        <f ca="1">IFERROR(__xludf.DUMMYFUNCTION("""COMPUTED_VALUE"""),48.23)</f>
        <v>48.23</v>
      </c>
      <c r="U506" s="1">
        <f ca="1">IFERROR(__xludf.DUMMYFUNCTION("""COMPUTED_VALUE"""),166.67)</f>
        <v>166.67</v>
      </c>
      <c r="V506" s="1">
        <f ca="1">IFERROR(__xludf.DUMMYFUNCTION("""COMPUTED_VALUE"""),206.74)</f>
        <v>206.74</v>
      </c>
      <c r="W506" s="1">
        <f ca="1">IFERROR(__xludf.DUMMYFUNCTION("""COMPUTED_VALUE"""),355.41)</f>
        <v>355.41</v>
      </c>
      <c r="X506" s="1">
        <f ca="1">IFERROR(__xludf.DUMMYFUNCTION("""COMPUTED_VALUE"""),796.14)</f>
        <v>796.14</v>
      </c>
      <c r="Y506" s="1">
        <f ca="1">IFERROR(__xludf.DUMMYFUNCTION("""COMPUTED_VALUE"""),120.31)</f>
        <v>120.31</v>
      </c>
      <c r="Z506" s="1">
        <f ca="1">IFERROR(__xludf.DUMMYFUNCTION("""COMPUTED_VALUE"""),382.55)</f>
        <v>382.55</v>
      </c>
      <c r="AA506" s="1">
        <f ca="1">IFERROR(__xludf.DUMMYFUNCTION("""COMPUTED_VALUE"""),59.05)</f>
        <v>59.05</v>
      </c>
      <c r="AB506" s="1">
        <f ca="1">IFERROR(__xludf.DUMMYFUNCTION("""COMPUTED_VALUE"""),116.97)</f>
        <v>116.97</v>
      </c>
      <c r="AC506" s="1">
        <f ca="1">IFERROR(__xludf.DUMMYFUNCTION("""COMPUTED_VALUE"""),143.9)</f>
        <v>143.9</v>
      </c>
    </row>
    <row r="507" spans="1:29" x14ac:dyDescent="0.25">
      <c r="A507" s="2">
        <f ca="1">IFERROR(__xludf.DUMMYFUNCTION("""COMPUTED_VALUE"""),44564.6666666666)</f>
        <v>44564.666666666599</v>
      </c>
      <c r="B507" s="1">
        <f ca="1">IFERROR(__xludf.DUMMYFUNCTION("""COMPUTED_VALUE"""),182.01)</f>
        <v>182.01</v>
      </c>
      <c r="C507" s="1">
        <f ca="1">IFERROR(__xludf.DUMMYFUNCTION("""COMPUTED_VALUE"""),334.75)</f>
        <v>334.75</v>
      </c>
      <c r="D507" s="1">
        <f ca="1">IFERROR(__xludf.DUMMYFUNCTION("""COMPUTED_VALUE"""),170.4)</f>
        <v>170.4</v>
      </c>
      <c r="E507" s="1">
        <f ca="1">IFERROR(__xludf.DUMMYFUNCTION("""COMPUTED_VALUE"""),30.12)</f>
        <v>30.12</v>
      </c>
      <c r="F507" s="1">
        <f ca="1">IFERROR(__xludf.DUMMYFUNCTION("""COMPUTED_VALUE"""),338.54)</f>
        <v>338.54</v>
      </c>
      <c r="G507" s="1">
        <f ca="1">IFERROR(__xludf.DUMMYFUNCTION("""COMPUTED_VALUE"""),145.07)</f>
        <v>145.07</v>
      </c>
      <c r="H507" s="1">
        <f ca="1">IFERROR(__xludf.DUMMYFUNCTION("""COMPUTED_VALUE"""),399.93)</f>
        <v>399.93</v>
      </c>
      <c r="I507" s="1">
        <f ca="1">IFERROR(__xludf.DUMMYFUNCTION("""COMPUTED_VALUE"""),172.98)</f>
        <v>172.98</v>
      </c>
      <c r="J507" s="1">
        <f ca="1">IFERROR(__xludf.DUMMYFUNCTION("""COMPUTED_VALUE"""),566.71)</f>
        <v>566.71</v>
      </c>
      <c r="K507" s="1">
        <f ca="1">IFERROR(__xludf.DUMMYFUNCTION("""COMPUTED_VALUE"""),66.33)</f>
        <v>66.33</v>
      </c>
      <c r="L507" s="1">
        <f ca="1">IFERROR(__xludf.DUMMYFUNCTION("""COMPUTED_VALUE"""),564.37)</f>
        <v>564.37</v>
      </c>
      <c r="M507" s="1">
        <f ca="1">IFERROR(__xludf.DUMMYFUNCTION("""COMPUTED_VALUE"""),597.37)</f>
        <v>597.37</v>
      </c>
      <c r="N507" s="1">
        <f ca="1">IFERROR(__xludf.DUMMYFUNCTION("""COMPUTED_VALUE"""),161.7)</f>
        <v>161.69999999999999</v>
      </c>
      <c r="O507" s="1">
        <f ca="1">IFERROR(__xludf.DUMMYFUNCTION("""COMPUTED_VALUE"""),221.43)</f>
        <v>221.43</v>
      </c>
      <c r="P507" s="1">
        <f ca="1">IFERROR(__xludf.DUMMYFUNCTION("""COMPUTED_VALUE"""),171.54)</f>
        <v>171.54</v>
      </c>
      <c r="Q507" s="1">
        <f ca="1">IFERROR(__xludf.DUMMYFUNCTION("""COMPUTED_VALUE"""),502.28)</f>
        <v>502.28</v>
      </c>
      <c r="R507" s="1">
        <f ca="1">IFERROR(__xludf.DUMMYFUNCTION("""COMPUTED_VALUE"""),63.54)</f>
        <v>63.54</v>
      </c>
      <c r="S507" s="1">
        <f ca="1">IFERROR(__xludf.DUMMYFUNCTION("""COMPUTED_VALUE"""),91.66)</f>
        <v>91.66</v>
      </c>
      <c r="T507" s="1">
        <f ca="1">IFERROR(__xludf.DUMMYFUNCTION("""COMPUTED_VALUE"""),48.22)</f>
        <v>48.22</v>
      </c>
      <c r="U507" s="1">
        <f ca="1">IFERROR(__xludf.DUMMYFUNCTION("""COMPUTED_VALUE"""),164.67)</f>
        <v>164.67</v>
      </c>
      <c r="V507" s="1">
        <f ca="1">IFERROR(__xludf.DUMMYFUNCTION("""COMPUTED_VALUE"""),207)</f>
        <v>207</v>
      </c>
      <c r="W507" s="1">
        <f ca="1">IFERROR(__xludf.DUMMYFUNCTION("""COMPUTED_VALUE"""),354.36)</f>
        <v>354.36</v>
      </c>
      <c r="X507" s="1">
        <f ca="1">IFERROR(__xludf.DUMMYFUNCTION("""COMPUTED_VALUE"""),797.49)</f>
        <v>797.49</v>
      </c>
      <c r="Y507" s="1">
        <f ca="1">IFERROR(__xludf.DUMMYFUNCTION("""COMPUTED_VALUE"""),128.8)</f>
        <v>128.80000000000001</v>
      </c>
      <c r="Z507" s="1">
        <f ca="1">IFERROR(__xludf.DUMMYFUNCTION("""COMPUTED_VALUE"""),395.33)</f>
        <v>395.33</v>
      </c>
      <c r="AA507" s="1">
        <f ca="1">IFERROR(__xludf.DUMMYFUNCTION("""COMPUTED_VALUE"""),56.65)</f>
        <v>56.65</v>
      </c>
      <c r="AB507" s="1">
        <f ca="1">IFERROR(__xludf.DUMMYFUNCTION("""COMPUTED_VALUE"""),116.68)</f>
        <v>116.68</v>
      </c>
      <c r="AC507" s="1">
        <f ca="1">IFERROR(__xludf.DUMMYFUNCTION("""COMPUTED_VALUE"""),150.24)</f>
        <v>150.24</v>
      </c>
    </row>
    <row r="508" spans="1:29" x14ac:dyDescent="0.25">
      <c r="A508" s="2">
        <f ca="1">IFERROR(__xludf.DUMMYFUNCTION("""COMPUTED_VALUE"""),44565.6666666666)</f>
        <v>44565.666666666599</v>
      </c>
      <c r="B508" s="1">
        <f ca="1">IFERROR(__xludf.DUMMYFUNCTION("""COMPUTED_VALUE"""),179.7)</f>
        <v>179.7</v>
      </c>
      <c r="C508" s="1">
        <f ca="1">IFERROR(__xludf.DUMMYFUNCTION("""COMPUTED_VALUE"""),329.01)</f>
        <v>329.01</v>
      </c>
      <c r="D508" s="1">
        <f ca="1">IFERROR(__xludf.DUMMYFUNCTION("""COMPUTED_VALUE"""),167.52)</f>
        <v>167.52</v>
      </c>
      <c r="E508" s="1">
        <f ca="1">IFERROR(__xludf.DUMMYFUNCTION("""COMPUTED_VALUE"""),29.29)</f>
        <v>29.29</v>
      </c>
      <c r="F508" s="1">
        <f ca="1">IFERROR(__xludf.DUMMYFUNCTION("""COMPUTED_VALUE"""),336.53)</f>
        <v>336.53</v>
      </c>
      <c r="G508" s="1">
        <f ca="1">IFERROR(__xludf.DUMMYFUNCTION("""COMPUTED_VALUE"""),144.42)</f>
        <v>144.41999999999999</v>
      </c>
      <c r="H508" s="1">
        <f ca="1">IFERROR(__xludf.DUMMYFUNCTION("""COMPUTED_VALUE"""),383.2)</f>
        <v>383.2</v>
      </c>
      <c r="I508" s="1">
        <f ca="1">IFERROR(__xludf.DUMMYFUNCTION("""COMPUTED_VALUE"""),173.23)</f>
        <v>173.23</v>
      </c>
      <c r="J508" s="1">
        <f ca="1">IFERROR(__xludf.DUMMYFUNCTION("""COMPUTED_VALUE"""),564.23)</f>
        <v>564.23</v>
      </c>
      <c r="K508" s="1">
        <f ca="1">IFERROR(__xludf.DUMMYFUNCTION("""COMPUTED_VALUE"""),67.09)</f>
        <v>67.09</v>
      </c>
      <c r="L508" s="1">
        <f ca="1">IFERROR(__xludf.DUMMYFUNCTION("""COMPUTED_VALUE"""),554)</f>
        <v>554</v>
      </c>
      <c r="M508" s="1">
        <f ca="1">IFERROR(__xludf.DUMMYFUNCTION("""COMPUTED_VALUE"""),591.15)</f>
        <v>591.15</v>
      </c>
      <c r="N508" s="1">
        <f ca="1">IFERROR(__xludf.DUMMYFUNCTION("""COMPUTED_VALUE"""),167.83)</f>
        <v>167.83</v>
      </c>
      <c r="O508" s="1">
        <f ca="1">IFERROR(__xludf.DUMMYFUNCTION("""COMPUTED_VALUE"""),222.46)</f>
        <v>222.46</v>
      </c>
      <c r="P508" s="1">
        <f ca="1">IFERROR(__xludf.DUMMYFUNCTION("""COMPUTED_VALUE"""),171.08)</f>
        <v>171.08</v>
      </c>
      <c r="Q508" s="1">
        <f ca="1">IFERROR(__xludf.DUMMYFUNCTION("""COMPUTED_VALUE"""),490.9)</f>
        <v>490.9</v>
      </c>
      <c r="R508" s="1">
        <f ca="1">IFERROR(__xludf.DUMMYFUNCTION("""COMPUTED_VALUE"""),65.93)</f>
        <v>65.930000000000007</v>
      </c>
      <c r="S508" s="1">
        <f ca="1">IFERROR(__xludf.DUMMYFUNCTION("""COMPUTED_VALUE"""),90.68)</f>
        <v>90.68</v>
      </c>
      <c r="T508" s="1">
        <f ca="1">IFERROR(__xludf.DUMMYFUNCTION("""COMPUTED_VALUE"""),47.33)</f>
        <v>47.33</v>
      </c>
      <c r="U508" s="1">
        <f ca="1">IFERROR(__xludf.DUMMYFUNCTION("""COMPUTED_VALUE"""),166.39)</f>
        <v>166.39</v>
      </c>
      <c r="V508" s="1">
        <f ca="1">IFERROR(__xludf.DUMMYFUNCTION("""COMPUTED_VALUE"""),218.08)</f>
        <v>218.08</v>
      </c>
      <c r="W508" s="1">
        <f ca="1">IFERROR(__xludf.DUMMYFUNCTION("""COMPUTED_VALUE"""),361.99)</f>
        <v>361.99</v>
      </c>
      <c r="X508" s="1">
        <f ca="1">IFERROR(__xludf.DUMMYFUNCTION("""COMPUTED_VALUE"""),779.19)</f>
        <v>779.19</v>
      </c>
      <c r="Y508" s="1">
        <f ca="1">IFERROR(__xludf.DUMMYFUNCTION("""COMPUTED_VALUE"""),133.4)</f>
        <v>133.4</v>
      </c>
      <c r="Z508" s="1">
        <f ca="1">IFERROR(__xludf.DUMMYFUNCTION("""COMPUTED_VALUE"""),407.48)</f>
        <v>407.48</v>
      </c>
      <c r="AA508" s="1">
        <f ca="1">IFERROR(__xludf.DUMMYFUNCTION("""COMPUTED_VALUE"""),54.53)</f>
        <v>54.53</v>
      </c>
      <c r="AB508" s="1">
        <f ca="1">IFERROR(__xludf.DUMMYFUNCTION("""COMPUTED_VALUE"""),114.24)</f>
        <v>114.24</v>
      </c>
      <c r="AC508" s="1">
        <f ca="1">IFERROR(__xludf.DUMMYFUNCTION("""COMPUTED_VALUE"""),144.42)</f>
        <v>144.41999999999999</v>
      </c>
    </row>
    <row r="509" spans="1:29" x14ac:dyDescent="0.25">
      <c r="A509" s="2">
        <f ca="1">IFERROR(__xludf.DUMMYFUNCTION("""COMPUTED_VALUE"""),44566.6666666666)</f>
        <v>44566.666666666599</v>
      </c>
      <c r="B509" s="1">
        <f ca="1">IFERROR(__xludf.DUMMYFUNCTION("""COMPUTED_VALUE"""),174.92)</f>
        <v>174.92</v>
      </c>
      <c r="C509" s="1">
        <f ca="1">IFERROR(__xludf.DUMMYFUNCTION("""COMPUTED_VALUE"""),316.38)</f>
        <v>316.38</v>
      </c>
      <c r="D509" s="1">
        <f ca="1">IFERROR(__xludf.DUMMYFUNCTION("""COMPUTED_VALUE"""),164.36)</f>
        <v>164.36</v>
      </c>
      <c r="E509" s="1">
        <f ca="1">IFERROR(__xludf.DUMMYFUNCTION("""COMPUTED_VALUE"""),27.6)</f>
        <v>27.6</v>
      </c>
      <c r="F509" s="1">
        <f ca="1">IFERROR(__xludf.DUMMYFUNCTION("""COMPUTED_VALUE"""),324.17)</f>
        <v>324.17</v>
      </c>
      <c r="G509" s="1">
        <f ca="1">IFERROR(__xludf.DUMMYFUNCTION("""COMPUTED_VALUE"""),137.65)</f>
        <v>137.65</v>
      </c>
      <c r="H509" s="1">
        <f ca="1">IFERROR(__xludf.DUMMYFUNCTION("""COMPUTED_VALUE"""),362.71)</f>
        <v>362.71</v>
      </c>
      <c r="I509" s="1">
        <f ca="1">IFERROR(__xludf.DUMMYFUNCTION("""COMPUTED_VALUE"""),173.82)</f>
        <v>173.82</v>
      </c>
      <c r="J509" s="1">
        <f ca="1">IFERROR(__xludf.DUMMYFUNCTION("""COMPUTED_VALUE"""),549.92)</f>
        <v>549.91999999999996</v>
      </c>
      <c r="K509" s="1">
        <f ca="1">IFERROR(__xludf.DUMMYFUNCTION("""COMPUTED_VALUE"""),64.3)</f>
        <v>64.3</v>
      </c>
      <c r="L509" s="1">
        <f ca="1">IFERROR(__xludf.DUMMYFUNCTION("""COMPUTED_VALUE"""),514.43)</f>
        <v>514.42999999999995</v>
      </c>
      <c r="M509" s="1">
        <f ca="1">IFERROR(__xludf.DUMMYFUNCTION("""COMPUTED_VALUE"""),567.52)</f>
        <v>567.52</v>
      </c>
      <c r="N509" s="1">
        <f ca="1">IFERROR(__xludf.DUMMYFUNCTION("""COMPUTED_VALUE"""),163.78)</f>
        <v>163.78</v>
      </c>
      <c r="O509" s="1">
        <f ca="1">IFERROR(__xludf.DUMMYFUNCTION("""COMPUTED_VALUE"""),220)</f>
        <v>220</v>
      </c>
      <c r="P509" s="1">
        <f ca="1">IFERROR(__xludf.DUMMYFUNCTION("""COMPUTED_VALUE"""),172.22)</f>
        <v>172.22</v>
      </c>
      <c r="Q509" s="1">
        <f ca="1">IFERROR(__xludf.DUMMYFUNCTION("""COMPUTED_VALUE"""),489.69)</f>
        <v>489.69</v>
      </c>
      <c r="R509" s="1">
        <f ca="1">IFERROR(__xludf.DUMMYFUNCTION("""COMPUTED_VALUE"""),66.75)</f>
        <v>66.75</v>
      </c>
      <c r="S509" s="1">
        <f ca="1">IFERROR(__xludf.DUMMYFUNCTION("""COMPUTED_VALUE"""),89.73)</f>
        <v>89.73</v>
      </c>
      <c r="T509" s="1">
        <f ca="1">IFERROR(__xludf.DUMMYFUNCTION("""COMPUTED_VALUE"""),47.97)</f>
        <v>47.97</v>
      </c>
      <c r="U509" s="1">
        <f ca="1">IFERROR(__xludf.DUMMYFUNCTION("""COMPUTED_VALUE"""),162.25)</f>
        <v>162.25</v>
      </c>
      <c r="V509" s="1">
        <f ca="1">IFERROR(__xludf.DUMMYFUNCTION("""COMPUTED_VALUE"""),219.75)</f>
        <v>219.75</v>
      </c>
      <c r="W509" s="1">
        <f ca="1">IFERROR(__xludf.DUMMYFUNCTION("""COMPUTED_VALUE"""),358.14)</f>
        <v>358.14</v>
      </c>
      <c r="X509" s="1">
        <f ca="1">IFERROR(__xludf.DUMMYFUNCTION("""COMPUTED_VALUE"""),745.67)</f>
        <v>745.67</v>
      </c>
      <c r="Y509" s="1">
        <f ca="1">IFERROR(__xludf.DUMMYFUNCTION("""COMPUTED_VALUE"""),127.06)</f>
        <v>127.06</v>
      </c>
      <c r="Z509" s="1">
        <f ca="1">IFERROR(__xludf.DUMMYFUNCTION("""COMPUTED_VALUE"""),398.63)</f>
        <v>398.63</v>
      </c>
      <c r="AA509" s="1">
        <f ca="1">IFERROR(__xludf.DUMMYFUNCTION("""COMPUTED_VALUE"""),55.63)</f>
        <v>55.63</v>
      </c>
      <c r="AB509" s="1">
        <f ca="1">IFERROR(__xludf.DUMMYFUNCTION("""COMPUTED_VALUE"""),110.44)</f>
        <v>110.44</v>
      </c>
      <c r="AC509" s="1">
        <f ca="1">IFERROR(__xludf.DUMMYFUNCTION("""COMPUTED_VALUE"""),136.15)</f>
        <v>136.15</v>
      </c>
    </row>
    <row r="510" spans="1:29" x14ac:dyDescent="0.25">
      <c r="A510" s="2">
        <f ca="1">IFERROR(__xludf.DUMMYFUNCTION("""COMPUTED_VALUE"""),44567.6666666666)</f>
        <v>44567.666666666599</v>
      </c>
      <c r="B510" s="1">
        <f ca="1">IFERROR(__xludf.DUMMYFUNCTION("""COMPUTED_VALUE"""),172)</f>
        <v>172</v>
      </c>
      <c r="C510" s="1">
        <f ca="1">IFERROR(__xludf.DUMMYFUNCTION("""COMPUTED_VALUE"""),313.88)</f>
        <v>313.88</v>
      </c>
      <c r="D510" s="1">
        <f ca="1">IFERROR(__xludf.DUMMYFUNCTION("""COMPUTED_VALUE"""),163.25)</f>
        <v>163.25</v>
      </c>
      <c r="E510" s="1">
        <f ca="1">IFERROR(__xludf.DUMMYFUNCTION("""COMPUTED_VALUE"""),28.18)</f>
        <v>28.18</v>
      </c>
      <c r="F510" s="1">
        <f ca="1">IFERROR(__xludf.DUMMYFUNCTION("""COMPUTED_VALUE"""),332.46)</f>
        <v>332.46</v>
      </c>
      <c r="G510" s="1">
        <f ca="1">IFERROR(__xludf.DUMMYFUNCTION("""COMPUTED_VALUE"""),137.55)</f>
        <v>137.55000000000001</v>
      </c>
      <c r="H510" s="1">
        <f ca="1">IFERROR(__xludf.DUMMYFUNCTION("""COMPUTED_VALUE"""),354.9)</f>
        <v>354.9</v>
      </c>
      <c r="I510" s="1">
        <f ca="1">IFERROR(__xludf.DUMMYFUNCTION("""COMPUTED_VALUE"""),173.86)</f>
        <v>173.86</v>
      </c>
      <c r="J510" s="1">
        <f ca="1">IFERROR(__xludf.DUMMYFUNCTION("""COMPUTED_VALUE"""),549.8)</f>
        <v>549.79999999999995</v>
      </c>
      <c r="K510" s="1">
        <f ca="1">IFERROR(__xludf.DUMMYFUNCTION("""COMPUTED_VALUE"""),63.7)</f>
        <v>63.7</v>
      </c>
      <c r="L510" s="1">
        <f ca="1">IFERROR(__xludf.DUMMYFUNCTION("""COMPUTED_VALUE"""),514.12)</f>
        <v>514.12</v>
      </c>
      <c r="M510" s="1">
        <f ca="1">IFERROR(__xludf.DUMMYFUNCTION("""COMPUTED_VALUE"""),553.29)</f>
        <v>553.29</v>
      </c>
      <c r="N510" s="1">
        <f ca="1">IFERROR(__xludf.DUMMYFUNCTION("""COMPUTED_VALUE"""),165.52)</f>
        <v>165.52</v>
      </c>
      <c r="O510" s="1">
        <f ca="1">IFERROR(__xludf.DUMMYFUNCTION("""COMPUTED_VALUE"""),219.75)</f>
        <v>219.75</v>
      </c>
      <c r="P510" s="1">
        <f ca="1">IFERROR(__xludf.DUMMYFUNCTION("""COMPUTED_VALUE"""),171.63)</f>
        <v>171.63</v>
      </c>
      <c r="Q510" s="1">
        <f ca="1">IFERROR(__xludf.DUMMYFUNCTION("""COMPUTED_VALUE"""),469.65)</f>
        <v>469.65</v>
      </c>
      <c r="R510" s="1">
        <f ca="1">IFERROR(__xludf.DUMMYFUNCTION("""COMPUTED_VALUE"""),68.32)</f>
        <v>68.319999999999993</v>
      </c>
      <c r="S510" s="1">
        <f ca="1">IFERROR(__xludf.DUMMYFUNCTION("""COMPUTED_VALUE"""),85.77)</f>
        <v>85.77</v>
      </c>
      <c r="T510" s="1">
        <f ca="1">IFERROR(__xludf.DUMMYFUNCTION("""COMPUTED_VALUE"""),47.84)</f>
        <v>47.84</v>
      </c>
      <c r="U510" s="1">
        <f ca="1">IFERROR(__xludf.DUMMYFUNCTION("""COMPUTED_VALUE"""),161.04)</f>
        <v>161.04</v>
      </c>
      <c r="V510" s="1">
        <f ca="1">IFERROR(__xludf.DUMMYFUNCTION("""COMPUTED_VALUE"""),221.99)</f>
        <v>221.99</v>
      </c>
      <c r="W510" s="1">
        <f ca="1">IFERROR(__xludf.DUMMYFUNCTION("""COMPUTED_VALUE"""),358)</f>
        <v>358</v>
      </c>
      <c r="X510" s="1">
        <f ca="1">IFERROR(__xludf.DUMMYFUNCTION("""COMPUTED_VALUE"""),763.12)</f>
        <v>763.12</v>
      </c>
      <c r="Y510" s="1">
        <f ca="1">IFERROR(__xludf.DUMMYFUNCTION("""COMPUTED_VALUE"""),128.47)</f>
        <v>128.47</v>
      </c>
      <c r="Z510" s="1">
        <f ca="1">IFERROR(__xludf.DUMMYFUNCTION("""COMPUTED_VALUE"""),396.93)</f>
        <v>396.93</v>
      </c>
      <c r="AA510" s="1">
        <f ca="1">IFERROR(__xludf.DUMMYFUNCTION("""COMPUTED_VALUE"""),54.84)</f>
        <v>54.84</v>
      </c>
      <c r="AB510" s="1">
        <f ca="1">IFERROR(__xludf.DUMMYFUNCTION("""COMPUTED_VALUE"""),111.14)</f>
        <v>111.14</v>
      </c>
      <c r="AC510" s="1">
        <f ca="1">IFERROR(__xludf.DUMMYFUNCTION("""COMPUTED_VALUE"""),136.23)</f>
        <v>136.22999999999999</v>
      </c>
    </row>
    <row r="511" spans="1:29" x14ac:dyDescent="0.25">
      <c r="A511" s="2">
        <f ca="1">IFERROR(__xludf.DUMMYFUNCTION("""COMPUTED_VALUE"""),44568.6666666666)</f>
        <v>44568.666666666599</v>
      </c>
      <c r="B511" s="1">
        <f ca="1">IFERROR(__xludf.DUMMYFUNCTION("""COMPUTED_VALUE"""),172.17)</f>
        <v>172.17</v>
      </c>
      <c r="C511" s="1">
        <f ca="1">IFERROR(__xludf.DUMMYFUNCTION("""COMPUTED_VALUE"""),314.04)</f>
        <v>314.04000000000002</v>
      </c>
      <c r="D511" s="1">
        <f ca="1">IFERROR(__xludf.DUMMYFUNCTION("""COMPUTED_VALUE"""),162.55)</f>
        <v>162.55000000000001</v>
      </c>
      <c r="E511" s="1">
        <f ca="1">IFERROR(__xludf.DUMMYFUNCTION("""COMPUTED_VALUE"""),27.25)</f>
        <v>27.25</v>
      </c>
      <c r="F511" s="1">
        <f ca="1">IFERROR(__xludf.DUMMYFUNCTION("""COMPUTED_VALUE"""),331.79)</f>
        <v>331.79</v>
      </c>
      <c r="G511" s="1">
        <f ca="1">IFERROR(__xludf.DUMMYFUNCTION("""COMPUTED_VALUE"""),137)</f>
        <v>137</v>
      </c>
      <c r="H511" s="1">
        <f ca="1">IFERROR(__xludf.DUMMYFUNCTION("""COMPUTED_VALUE"""),342.32)</f>
        <v>342.32</v>
      </c>
      <c r="I511" s="1">
        <f ca="1">IFERROR(__xludf.DUMMYFUNCTION("""COMPUTED_VALUE"""),174.08)</f>
        <v>174.08</v>
      </c>
      <c r="J511" s="1">
        <f ca="1">IFERROR(__xludf.DUMMYFUNCTION("""COMPUTED_VALUE"""),536.18)</f>
        <v>536.17999999999995</v>
      </c>
      <c r="K511" s="1">
        <f ca="1">IFERROR(__xludf.DUMMYFUNCTION("""COMPUTED_VALUE"""),61.92)</f>
        <v>61.92</v>
      </c>
      <c r="L511" s="1">
        <f ca="1">IFERROR(__xludf.DUMMYFUNCTION("""COMPUTED_VALUE"""),510.7)</f>
        <v>510.7</v>
      </c>
      <c r="M511" s="1">
        <f ca="1">IFERROR(__xludf.DUMMYFUNCTION("""COMPUTED_VALUE"""),541.06)</f>
        <v>541.05999999999995</v>
      </c>
      <c r="N511" s="1">
        <f ca="1">IFERROR(__xludf.DUMMYFUNCTION("""COMPUTED_VALUE"""),167.16)</f>
        <v>167.16</v>
      </c>
      <c r="O511" s="1">
        <f ca="1">IFERROR(__xludf.DUMMYFUNCTION("""COMPUTED_VALUE"""),216.96)</f>
        <v>216.96</v>
      </c>
      <c r="P511" s="1">
        <f ca="1">IFERROR(__xludf.DUMMYFUNCTION("""COMPUTED_VALUE"""),173.95)</f>
        <v>173.95</v>
      </c>
      <c r="Q511" s="1">
        <f ca="1">IFERROR(__xludf.DUMMYFUNCTION("""COMPUTED_VALUE"""),458.6)</f>
        <v>458.6</v>
      </c>
      <c r="R511" s="1">
        <f ca="1">IFERROR(__xludf.DUMMYFUNCTION("""COMPUTED_VALUE"""),68.88)</f>
        <v>68.88</v>
      </c>
      <c r="S511" s="1">
        <f ca="1">IFERROR(__xludf.DUMMYFUNCTION("""COMPUTED_VALUE"""),86.41)</f>
        <v>86.41</v>
      </c>
      <c r="T511" s="1">
        <f ca="1">IFERROR(__xludf.DUMMYFUNCTION("""COMPUTED_VALUE"""),48.3)</f>
        <v>48.3</v>
      </c>
      <c r="U511" s="1">
        <f ca="1">IFERROR(__xludf.DUMMYFUNCTION("""COMPUTED_VALUE"""),156.97)</f>
        <v>156.97</v>
      </c>
      <c r="V511" s="1">
        <f ca="1">IFERROR(__xludf.DUMMYFUNCTION("""COMPUTED_VALUE"""),224.19)</f>
        <v>224.19</v>
      </c>
      <c r="W511" s="1">
        <f ca="1">IFERROR(__xludf.DUMMYFUNCTION("""COMPUTED_VALUE"""),360.14)</f>
        <v>360.14</v>
      </c>
      <c r="X511" s="1">
        <f ca="1">IFERROR(__xludf.DUMMYFUNCTION("""COMPUTED_VALUE"""),756.1)</f>
        <v>756.1</v>
      </c>
      <c r="Y511" s="1">
        <f ca="1">IFERROR(__xludf.DUMMYFUNCTION("""COMPUTED_VALUE"""),123.5)</f>
        <v>123.5</v>
      </c>
      <c r="Z511" s="1">
        <f ca="1">IFERROR(__xludf.DUMMYFUNCTION("""COMPUTED_VALUE"""),397.51)</f>
        <v>397.51</v>
      </c>
      <c r="AA511" s="1">
        <f ca="1">IFERROR(__xludf.DUMMYFUNCTION("""COMPUTED_VALUE"""),55.72)</f>
        <v>55.72</v>
      </c>
      <c r="AB511" s="1">
        <f ca="1">IFERROR(__xludf.DUMMYFUNCTION("""COMPUTED_VALUE"""),107.57)</f>
        <v>107.57</v>
      </c>
      <c r="AC511" s="1">
        <f ca="1">IFERROR(__xludf.DUMMYFUNCTION("""COMPUTED_VALUE"""),132)</f>
        <v>132</v>
      </c>
    </row>
    <row r="512" spans="1:29" x14ac:dyDescent="0.25">
      <c r="A512" s="2">
        <f ca="1">IFERROR(__xludf.DUMMYFUNCTION("""COMPUTED_VALUE"""),44571.6666666666)</f>
        <v>44571.666666666599</v>
      </c>
      <c r="B512" s="1">
        <f ca="1">IFERROR(__xludf.DUMMYFUNCTION("""COMPUTED_VALUE"""),172.19)</f>
        <v>172.19</v>
      </c>
      <c r="C512" s="1">
        <f ca="1">IFERROR(__xludf.DUMMYFUNCTION("""COMPUTED_VALUE"""),314.27)</f>
        <v>314.27</v>
      </c>
      <c r="D512" s="1">
        <f ca="1">IFERROR(__xludf.DUMMYFUNCTION("""COMPUTED_VALUE"""),161.49)</f>
        <v>161.49</v>
      </c>
      <c r="E512" s="1">
        <f ca="1">IFERROR(__xludf.DUMMYFUNCTION("""COMPUTED_VALUE"""),27.4)</f>
        <v>27.4</v>
      </c>
      <c r="F512" s="1">
        <f ca="1">IFERROR(__xludf.DUMMYFUNCTION("""COMPUTED_VALUE"""),328.07)</f>
        <v>328.07</v>
      </c>
      <c r="G512" s="1">
        <f ca="1">IFERROR(__xludf.DUMMYFUNCTION("""COMPUTED_VALUE"""),138.57)</f>
        <v>138.57</v>
      </c>
      <c r="H512" s="1">
        <f ca="1">IFERROR(__xludf.DUMMYFUNCTION("""COMPUTED_VALUE"""),352.71)</f>
        <v>352.71</v>
      </c>
      <c r="I512" s="1">
        <f ca="1">IFERROR(__xludf.DUMMYFUNCTION("""COMPUTED_VALUE"""),174.17)</f>
        <v>174.17</v>
      </c>
      <c r="J512" s="1">
        <f ca="1">IFERROR(__xludf.DUMMYFUNCTION("""COMPUTED_VALUE"""),518.8)</f>
        <v>518.79999999999995</v>
      </c>
      <c r="K512" s="1">
        <f ca="1">IFERROR(__xludf.DUMMYFUNCTION("""COMPUTED_VALUE"""),62.12)</f>
        <v>62.12</v>
      </c>
      <c r="L512" s="1">
        <f ca="1">IFERROR(__xludf.DUMMYFUNCTION("""COMPUTED_VALUE"""),525.83)</f>
        <v>525.83000000000004</v>
      </c>
      <c r="M512" s="1">
        <f ca="1">IFERROR(__xludf.DUMMYFUNCTION("""COMPUTED_VALUE"""),539.85)</f>
        <v>539.85</v>
      </c>
      <c r="N512" s="1">
        <f ca="1">IFERROR(__xludf.DUMMYFUNCTION("""COMPUTED_VALUE"""),167.32)</f>
        <v>167.32</v>
      </c>
      <c r="O512" s="1">
        <f ca="1">IFERROR(__xludf.DUMMYFUNCTION("""COMPUTED_VALUE"""),211.97)</f>
        <v>211.97</v>
      </c>
      <c r="P512" s="1">
        <f ca="1">IFERROR(__xludf.DUMMYFUNCTION("""COMPUTED_VALUE"""),173.09)</f>
        <v>173.09</v>
      </c>
      <c r="Q512" s="1">
        <f ca="1">IFERROR(__xludf.DUMMYFUNCTION("""COMPUTED_VALUE"""),465)</f>
        <v>465</v>
      </c>
      <c r="R512" s="1">
        <f ca="1">IFERROR(__xludf.DUMMYFUNCTION("""COMPUTED_VALUE"""),68.47)</f>
        <v>68.47</v>
      </c>
      <c r="S512" s="1">
        <f ca="1">IFERROR(__xludf.DUMMYFUNCTION("""COMPUTED_VALUE"""),84.29)</f>
        <v>84.29</v>
      </c>
      <c r="T512" s="1">
        <f ca="1">IFERROR(__xludf.DUMMYFUNCTION("""COMPUTED_VALUE"""),48.2)</f>
        <v>48.2</v>
      </c>
      <c r="U512" s="1">
        <f ca="1">IFERROR(__xludf.DUMMYFUNCTION("""COMPUTED_VALUE"""),150.44)</f>
        <v>150.44</v>
      </c>
      <c r="V512" s="1">
        <f ca="1">IFERROR(__xludf.DUMMYFUNCTION("""COMPUTED_VALUE"""),221.64)</f>
        <v>221.64</v>
      </c>
      <c r="W512" s="1">
        <f ca="1">IFERROR(__xludf.DUMMYFUNCTION("""COMPUTED_VALUE"""),363.25)</f>
        <v>363.25</v>
      </c>
      <c r="X512" s="1">
        <f ca="1">IFERROR(__xludf.DUMMYFUNCTION("""COMPUTED_VALUE"""),727.17)</f>
        <v>727.17</v>
      </c>
      <c r="Y512" s="1">
        <f ca="1">IFERROR(__xludf.DUMMYFUNCTION("""COMPUTED_VALUE"""),125.01)</f>
        <v>125.01</v>
      </c>
      <c r="Z512" s="1">
        <f ca="1">IFERROR(__xludf.DUMMYFUNCTION("""COMPUTED_VALUE"""),399.17)</f>
        <v>399.17</v>
      </c>
      <c r="AA512" s="1">
        <f ca="1">IFERROR(__xludf.DUMMYFUNCTION("""COMPUTED_VALUE"""),56.24)</f>
        <v>56.24</v>
      </c>
      <c r="AB512" s="1">
        <f ca="1">IFERROR(__xludf.DUMMYFUNCTION("""COMPUTED_VALUE"""),106.03)</f>
        <v>106.03</v>
      </c>
      <c r="AC512" s="1">
        <f ca="1">IFERROR(__xludf.DUMMYFUNCTION("""COMPUTED_VALUE"""),132)</f>
        <v>132</v>
      </c>
    </row>
    <row r="513" spans="1:29" x14ac:dyDescent="0.25">
      <c r="A513" s="2">
        <f ca="1">IFERROR(__xludf.DUMMYFUNCTION("""COMPUTED_VALUE"""),44572.6666666666)</f>
        <v>44572.666666666599</v>
      </c>
      <c r="B513" s="1">
        <f ca="1">IFERROR(__xludf.DUMMYFUNCTION("""COMPUTED_VALUE"""),175.08)</f>
        <v>175.08</v>
      </c>
      <c r="C513" s="1">
        <f ca="1">IFERROR(__xludf.DUMMYFUNCTION("""COMPUTED_VALUE"""),314.98)</f>
        <v>314.98</v>
      </c>
      <c r="D513" s="1">
        <f ca="1">IFERROR(__xludf.DUMMYFUNCTION("""COMPUTED_VALUE"""),165.36)</f>
        <v>165.36</v>
      </c>
      <c r="E513" s="1">
        <f ca="1">IFERROR(__xludf.DUMMYFUNCTION("""COMPUTED_VALUE"""),27.82)</f>
        <v>27.82</v>
      </c>
      <c r="F513" s="1">
        <f ca="1">IFERROR(__xludf.DUMMYFUNCTION("""COMPUTED_VALUE"""),334.37)</f>
        <v>334.37</v>
      </c>
      <c r="G513" s="1">
        <f ca="1">IFERROR(__xludf.DUMMYFUNCTION("""COMPUTED_VALUE"""),140.02)</f>
        <v>140.02000000000001</v>
      </c>
      <c r="H513" s="1">
        <f ca="1">IFERROR(__xludf.DUMMYFUNCTION("""COMPUTED_VALUE"""),354.8)</f>
        <v>354.8</v>
      </c>
      <c r="I513" s="1">
        <f ca="1">IFERROR(__xludf.DUMMYFUNCTION("""COMPUTED_VALUE"""),174.09)</f>
        <v>174.09</v>
      </c>
      <c r="J513" s="1">
        <f ca="1">IFERROR(__xludf.DUMMYFUNCTION("""COMPUTED_VALUE"""),522.03)</f>
        <v>522.03</v>
      </c>
      <c r="K513" s="1">
        <f ca="1">IFERROR(__xludf.DUMMYFUNCTION("""COMPUTED_VALUE"""),62.21)</f>
        <v>62.21</v>
      </c>
      <c r="L513" s="1">
        <f ca="1">IFERROR(__xludf.DUMMYFUNCTION("""COMPUTED_VALUE"""),529.89)</f>
        <v>529.89</v>
      </c>
      <c r="M513" s="1">
        <f ca="1">IFERROR(__xludf.DUMMYFUNCTION("""COMPUTED_VALUE"""),540.84)</f>
        <v>540.84</v>
      </c>
      <c r="N513" s="1">
        <f ca="1">IFERROR(__xludf.DUMMYFUNCTION("""COMPUTED_VALUE"""),167.49)</f>
        <v>167.49</v>
      </c>
      <c r="O513" s="1">
        <f ca="1">IFERROR(__xludf.DUMMYFUNCTION("""COMPUTED_VALUE"""),214.38)</f>
        <v>214.38</v>
      </c>
      <c r="P513" s="1">
        <f ca="1">IFERROR(__xludf.DUMMYFUNCTION("""COMPUTED_VALUE"""),171.25)</f>
        <v>171.25</v>
      </c>
      <c r="Q513" s="1">
        <f ca="1">IFERROR(__xludf.DUMMYFUNCTION("""COMPUTED_VALUE"""),469)</f>
        <v>469</v>
      </c>
      <c r="R513" s="1">
        <f ca="1">IFERROR(__xludf.DUMMYFUNCTION("""COMPUTED_VALUE"""),71.35)</f>
        <v>71.349999999999994</v>
      </c>
      <c r="S513" s="1">
        <f ca="1">IFERROR(__xludf.DUMMYFUNCTION("""COMPUTED_VALUE"""),84.79)</f>
        <v>84.79</v>
      </c>
      <c r="T513" s="1">
        <f ca="1">IFERROR(__xludf.DUMMYFUNCTION("""COMPUTED_VALUE"""),48.07)</f>
        <v>48.07</v>
      </c>
      <c r="U513" s="1">
        <f ca="1">IFERROR(__xludf.DUMMYFUNCTION("""COMPUTED_VALUE"""),150.3)</f>
        <v>150.30000000000001</v>
      </c>
      <c r="V513" s="1">
        <f ca="1">IFERROR(__xludf.DUMMYFUNCTION("""COMPUTED_VALUE"""),219.95)</f>
        <v>219.95</v>
      </c>
      <c r="W513" s="1">
        <f ca="1">IFERROR(__xludf.DUMMYFUNCTION("""COMPUTED_VALUE"""),364.14)</f>
        <v>364.14</v>
      </c>
      <c r="X513" s="1">
        <f ca="1">IFERROR(__xludf.DUMMYFUNCTION("""COMPUTED_VALUE"""),729.16)</f>
        <v>729.16</v>
      </c>
      <c r="Y513" s="1">
        <f ca="1">IFERROR(__xludf.DUMMYFUNCTION("""COMPUTED_VALUE"""),129.17)</f>
        <v>129.16999999999999</v>
      </c>
      <c r="Z513" s="1">
        <f ca="1">IFERROR(__xludf.DUMMYFUNCTION("""COMPUTED_VALUE"""),403.05)</f>
        <v>403.05</v>
      </c>
      <c r="AA513" s="1">
        <f ca="1">IFERROR(__xludf.DUMMYFUNCTION("""COMPUTED_VALUE"""),56.69)</f>
        <v>56.69</v>
      </c>
      <c r="AB513" s="1">
        <f ca="1">IFERROR(__xludf.DUMMYFUNCTION("""COMPUTED_VALUE"""),104.04)</f>
        <v>104.04</v>
      </c>
      <c r="AC513" s="1">
        <f ca="1">IFERROR(__xludf.DUMMYFUNCTION("""COMPUTED_VALUE"""),137.31)</f>
        <v>137.31</v>
      </c>
    </row>
    <row r="514" spans="1:29" x14ac:dyDescent="0.25">
      <c r="A514" s="2">
        <f ca="1">IFERROR(__xludf.DUMMYFUNCTION("""COMPUTED_VALUE"""),44573.6666666666)</f>
        <v>44573.666666666599</v>
      </c>
      <c r="B514" s="1">
        <f ca="1">IFERROR(__xludf.DUMMYFUNCTION("""COMPUTED_VALUE"""),175.53)</f>
        <v>175.53</v>
      </c>
      <c r="C514" s="1">
        <f ca="1">IFERROR(__xludf.DUMMYFUNCTION("""COMPUTED_VALUE"""),318.27)</f>
        <v>318.27</v>
      </c>
      <c r="D514" s="1">
        <f ca="1">IFERROR(__xludf.DUMMYFUNCTION("""COMPUTED_VALUE"""),165.21)</f>
        <v>165.21</v>
      </c>
      <c r="E514" s="1">
        <f ca="1">IFERROR(__xludf.DUMMYFUNCTION("""COMPUTED_VALUE"""),28)</f>
        <v>28</v>
      </c>
      <c r="F514" s="1">
        <f ca="1">IFERROR(__xludf.DUMMYFUNCTION("""COMPUTED_VALUE"""),333.26)</f>
        <v>333.26</v>
      </c>
      <c r="G514" s="1">
        <f ca="1">IFERROR(__xludf.DUMMYFUNCTION("""COMPUTED_VALUE"""),141.65)</f>
        <v>141.65</v>
      </c>
      <c r="H514" s="1">
        <f ca="1">IFERROR(__xludf.DUMMYFUNCTION("""COMPUTED_VALUE"""),368.74)</f>
        <v>368.74</v>
      </c>
      <c r="I514" s="1">
        <f ca="1">IFERROR(__xludf.DUMMYFUNCTION("""COMPUTED_VALUE"""),173.9)</f>
        <v>173.9</v>
      </c>
      <c r="J514" s="1">
        <f ca="1">IFERROR(__xludf.DUMMYFUNCTION("""COMPUTED_VALUE"""),525.8)</f>
        <v>525.79999999999995</v>
      </c>
      <c r="K514" s="1">
        <f ca="1">IFERROR(__xludf.DUMMYFUNCTION("""COMPUTED_VALUE"""),62.2)</f>
        <v>62.2</v>
      </c>
      <c r="L514" s="1">
        <f ca="1">IFERROR(__xludf.DUMMYFUNCTION("""COMPUTED_VALUE"""),532.37)</f>
        <v>532.37</v>
      </c>
      <c r="M514" s="1">
        <f ca="1">IFERROR(__xludf.DUMMYFUNCTION("""COMPUTED_VALUE"""),537.22)</f>
        <v>537.22</v>
      </c>
      <c r="N514" s="1">
        <f ca="1">IFERROR(__xludf.DUMMYFUNCTION("""COMPUTED_VALUE"""),168.44)</f>
        <v>168.44</v>
      </c>
      <c r="O514" s="1">
        <f ca="1">IFERROR(__xludf.DUMMYFUNCTION("""COMPUTED_VALUE"""),215.71)</f>
        <v>215.71</v>
      </c>
      <c r="P514" s="1">
        <f ca="1">IFERROR(__xludf.DUMMYFUNCTION("""COMPUTED_VALUE"""),169.79)</f>
        <v>169.79</v>
      </c>
      <c r="Q514" s="1">
        <f ca="1">IFERROR(__xludf.DUMMYFUNCTION("""COMPUTED_VALUE"""),473.72)</f>
        <v>473.72</v>
      </c>
      <c r="R514" s="1">
        <f ca="1">IFERROR(__xludf.DUMMYFUNCTION("""COMPUTED_VALUE"""),71.14)</f>
        <v>71.14</v>
      </c>
      <c r="S514" s="1">
        <f ca="1">IFERROR(__xludf.DUMMYFUNCTION("""COMPUTED_VALUE"""),85.09)</f>
        <v>85.09</v>
      </c>
      <c r="T514" s="1">
        <f ca="1">IFERROR(__xludf.DUMMYFUNCTION("""COMPUTED_VALUE"""),47.81)</f>
        <v>47.81</v>
      </c>
      <c r="U514" s="1">
        <f ca="1">IFERROR(__xludf.DUMMYFUNCTION("""COMPUTED_VALUE"""),152.21)</f>
        <v>152.21</v>
      </c>
      <c r="V514" s="1">
        <f ca="1">IFERROR(__xludf.DUMMYFUNCTION("""COMPUTED_VALUE"""),222.4)</f>
        <v>222.4</v>
      </c>
      <c r="W514" s="1">
        <f ca="1">IFERROR(__xludf.DUMMYFUNCTION("""COMPUTED_VALUE"""),361.3)</f>
        <v>361.3</v>
      </c>
      <c r="X514" s="1">
        <f ca="1">IFERROR(__xludf.DUMMYFUNCTION("""COMPUTED_VALUE"""),742.17)</f>
        <v>742.17</v>
      </c>
      <c r="Y514" s="1">
        <f ca="1">IFERROR(__xludf.DUMMYFUNCTION("""COMPUTED_VALUE"""),132.23)</f>
        <v>132.22999999999999</v>
      </c>
      <c r="Z514" s="1">
        <f ca="1">IFERROR(__xludf.DUMMYFUNCTION("""COMPUTED_VALUE"""),390.31)</f>
        <v>390.31</v>
      </c>
      <c r="AA514" s="1">
        <f ca="1">IFERROR(__xludf.DUMMYFUNCTION("""COMPUTED_VALUE"""),56.65)</f>
        <v>56.65</v>
      </c>
      <c r="AB514" s="1">
        <f ca="1">IFERROR(__xludf.DUMMYFUNCTION("""COMPUTED_VALUE"""),103.87)</f>
        <v>103.87</v>
      </c>
      <c r="AC514" s="1">
        <f ca="1">IFERROR(__xludf.DUMMYFUNCTION("""COMPUTED_VALUE"""),137.47)</f>
        <v>137.47</v>
      </c>
    </row>
    <row r="515" spans="1:29" x14ac:dyDescent="0.25">
      <c r="A515" s="2">
        <f ca="1">IFERROR(__xludf.DUMMYFUNCTION("""COMPUTED_VALUE"""),44574.6666666666)</f>
        <v>44574.666666666599</v>
      </c>
      <c r="B515" s="1">
        <f ca="1">IFERROR(__xludf.DUMMYFUNCTION("""COMPUTED_VALUE"""),172.19)</f>
        <v>172.19</v>
      </c>
      <c r="C515" s="1">
        <f ca="1">IFERROR(__xludf.DUMMYFUNCTION("""COMPUTED_VALUE"""),304.8)</f>
        <v>304.8</v>
      </c>
      <c r="D515" s="1">
        <f ca="1">IFERROR(__xludf.DUMMYFUNCTION("""COMPUTED_VALUE"""),161.21)</f>
        <v>161.21</v>
      </c>
      <c r="E515" s="1">
        <f ca="1">IFERROR(__xludf.DUMMYFUNCTION("""COMPUTED_VALUE"""),26.58)</f>
        <v>26.58</v>
      </c>
      <c r="F515" s="1">
        <f ca="1">IFERROR(__xludf.DUMMYFUNCTION("""COMPUTED_VALUE"""),326.48)</f>
        <v>326.48</v>
      </c>
      <c r="G515" s="1">
        <f ca="1">IFERROR(__xludf.DUMMYFUNCTION("""COMPUTED_VALUE"""),139.13)</f>
        <v>139.13</v>
      </c>
      <c r="H515" s="1">
        <f ca="1">IFERROR(__xludf.DUMMYFUNCTION("""COMPUTED_VALUE"""),343.85)</f>
        <v>343.85</v>
      </c>
      <c r="I515" s="1">
        <f ca="1">IFERROR(__xludf.DUMMYFUNCTION("""COMPUTED_VALUE"""),174.18)</f>
        <v>174.18</v>
      </c>
      <c r="J515" s="1">
        <f ca="1">IFERROR(__xludf.DUMMYFUNCTION("""COMPUTED_VALUE"""),516.88)</f>
        <v>516.88</v>
      </c>
      <c r="K515" s="1">
        <f ca="1">IFERROR(__xludf.DUMMYFUNCTION("""COMPUTED_VALUE"""),59.72)</f>
        <v>59.72</v>
      </c>
      <c r="L515" s="1">
        <f ca="1">IFERROR(__xludf.DUMMYFUNCTION("""COMPUTED_VALUE"""),516.9)</f>
        <v>516.9</v>
      </c>
      <c r="M515" s="1">
        <f ca="1">IFERROR(__xludf.DUMMYFUNCTION("""COMPUTED_VALUE"""),519.2)</f>
        <v>519.20000000000005</v>
      </c>
      <c r="N515" s="1">
        <f ca="1">IFERROR(__xludf.DUMMYFUNCTION("""COMPUTED_VALUE"""),168.23)</f>
        <v>168.23</v>
      </c>
      <c r="O515" s="1">
        <f ca="1">IFERROR(__xludf.DUMMYFUNCTION("""COMPUTED_VALUE"""),215)</f>
        <v>215</v>
      </c>
      <c r="P515" s="1">
        <f ca="1">IFERROR(__xludf.DUMMYFUNCTION("""COMPUTED_VALUE"""),168.76)</f>
        <v>168.76</v>
      </c>
      <c r="Q515" s="1">
        <f ca="1">IFERROR(__xludf.DUMMYFUNCTION("""COMPUTED_VALUE"""),467.43)</f>
        <v>467.43</v>
      </c>
      <c r="R515" s="1">
        <f ca="1">IFERROR(__xludf.DUMMYFUNCTION("""COMPUTED_VALUE"""),70.63)</f>
        <v>70.63</v>
      </c>
      <c r="S515" s="1">
        <f ca="1">IFERROR(__xludf.DUMMYFUNCTION("""COMPUTED_VALUE"""),84.9)</f>
        <v>84.9</v>
      </c>
      <c r="T515" s="1">
        <f ca="1">IFERROR(__xludf.DUMMYFUNCTION("""COMPUTED_VALUE"""),48.49)</f>
        <v>48.49</v>
      </c>
      <c r="U515" s="1">
        <f ca="1">IFERROR(__xludf.DUMMYFUNCTION("""COMPUTED_VALUE"""),149.59)</f>
        <v>149.59</v>
      </c>
      <c r="V515" s="1">
        <f ca="1">IFERROR(__xludf.DUMMYFUNCTION("""COMPUTED_VALUE"""),227)</f>
        <v>227</v>
      </c>
      <c r="W515" s="1">
        <f ca="1">IFERROR(__xludf.DUMMYFUNCTION("""COMPUTED_VALUE"""),365.18)</f>
        <v>365.18</v>
      </c>
      <c r="X515" s="1">
        <f ca="1">IFERROR(__xludf.DUMMYFUNCTION("""COMPUTED_VALUE"""),730.08)</f>
        <v>730.08</v>
      </c>
      <c r="Y515" s="1">
        <f ca="1">IFERROR(__xludf.DUMMYFUNCTION("""COMPUTED_VALUE"""),139.19)</f>
        <v>139.19</v>
      </c>
      <c r="Z515" s="1">
        <f ca="1">IFERROR(__xludf.DUMMYFUNCTION("""COMPUTED_VALUE"""),390.8)</f>
        <v>390.8</v>
      </c>
      <c r="AA515" s="1">
        <f ca="1">IFERROR(__xludf.DUMMYFUNCTION("""COMPUTED_VALUE"""),55.54)</f>
        <v>55.54</v>
      </c>
      <c r="AB515" s="1">
        <f ca="1">IFERROR(__xludf.DUMMYFUNCTION("""COMPUTED_VALUE"""),102.4)</f>
        <v>102.4</v>
      </c>
      <c r="AC515" s="1">
        <f ca="1">IFERROR(__xludf.DUMMYFUNCTION("""COMPUTED_VALUE"""),132.74)</f>
        <v>132.74</v>
      </c>
    </row>
    <row r="516" spans="1:29" x14ac:dyDescent="0.25">
      <c r="A516" s="2">
        <f ca="1">IFERROR(__xludf.DUMMYFUNCTION("""COMPUTED_VALUE"""),44575.6666666666)</f>
        <v>44575.666666666599</v>
      </c>
      <c r="B516" s="1">
        <f ca="1">IFERROR(__xludf.DUMMYFUNCTION("""COMPUTED_VALUE"""),173.07)</f>
        <v>173.07</v>
      </c>
      <c r="C516" s="1">
        <f ca="1">IFERROR(__xludf.DUMMYFUNCTION("""COMPUTED_VALUE"""),310.2)</f>
        <v>310.2</v>
      </c>
      <c r="D516" s="1">
        <f ca="1">IFERROR(__xludf.DUMMYFUNCTION("""COMPUTED_VALUE"""),162.14)</f>
        <v>162.13999999999999</v>
      </c>
      <c r="E516" s="1">
        <f ca="1">IFERROR(__xludf.DUMMYFUNCTION("""COMPUTED_VALUE"""),26.94)</f>
        <v>26.94</v>
      </c>
      <c r="F516" s="1">
        <f ca="1">IFERROR(__xludf.DUMMYFUNCTION("""COMPUTED_VALUE"""),331.9)</f>
        <v>331.9</v>
      </c>
      <c r="G516" s="1">
        <f ca="1">IFERROR(__xludf.DUMMYFUNCTION("""COMPUTED_VALUE"""),139.79)</f>
        <v>139.79</v>
      </c>
      <c r="H516" s="1">
        <f ca="1">IFERROR(__xludf.DUMMYFUNCTION("""COMPUTED_VALUE"""),349.87)</f>
        <v>349.87</v>
      </c>
      <c r="I516" s="1">
        <f ca="1">IFERROR(__xludf.DUMMYFUNCTION("""COMPUTED_VALUE"""),175.64)</f>
        <v>175.64</v>
      </c>
      <c r="J516" s="1">
        <f ca="1">IFERROR(__xludf.DUMMYFUNCTION("""COMPUTED_VALUE"""),502.99)</f>
        <v>502.99</v>
      </c>
      <c r="K516" s="1">
        <f ca="1">IFERROR(__xludf.DUMMYFUNCTION("""COMPUTED_VALUE"""),59.64)</f>
        <v>59.64</v>
      </c>
      <c r="L516" s="1">
        <f ca="1">IFERROR(__xludf.DUMMYFUNCTION("""COMPUTED_VALUE"""),520.6)</f>
        <v>520.6</v>
      </c>
      <c r="M516" s="1">
        <f ca="1">IFERROR(__xludf.DUMMYFUNCTION("""COMPUTED_VALUE"""),525.69)</f>
        <v>525.69000000000005</v>
      </c>
      <c r="N516" s="1">
        <f ca="1">IFERROR(__xludf.DUMMYFUNCTION("""COMPUTED_VALUE"""),157.89)</f>
        <v>157.88999999999999</v>
      </c>
      <c r="O516" s="1">
        <f ca="1">IFERROR(__xludf.DUMMYFUNCTION("""COMPUTED_VALUE"""),214.67)</f>
        <v>214.67</v>
      </c>
      <c r="P516" s="1">
        <f ca="1">IFERROR(__xludf.DUMMYFUNCTION("""COMPUTED_VALUE"""),167.84)</f>
        <v>167.84</v>
      </c>
      <c r="Q516" s="1">
        <f ca="1">IFERROR(__xludf.DUMMYFUNCTION("""COMPUTED_VALUE"""),468.69)</f>
        <v>468.69</v>
      </c>
      <c r="R516" s="1">
        <f ca="1">IFERROR(__xludf.DUMMYFUNCTION("""COMPUTED_VALUE"""),71.87)</f>
        <v>71.87</v>
      </c>
      <c r="S516" s="1">
        <f ca="1">IFERROR(__xludf.DUMMYFUNCTION("""COMPUTED_VALUE"""),83.2)</f>
        <v>83.2</v>
      </c>
      <c r="T516" s="1">
        <f ca="1">IFERROR(__xludf.DUMMYFUNCTION("""COMPUTED_VALUE"""),48.35)</f>
        <v>48.35</v>
      </c>
      <c r="U516" s="1">
        <f ca="1">IFERROR(__xludf.DUMMYFUNCTION("""COMPUTED_VALUE"""),148.18)</f>
        <v>148.18</v>
      </c>
      <c r="V516" s="1">
        <f ca="1">IFERROR(__xludf.DUMMYFUNCTION("""COMPUTED_VALUE"""),228.94)</f>
        <v>228.94</v>
      </c>
      <c r="W516" s="1">
        <f ca="1">IFERROR(__xludf.DUMMYFUNCTION("""COMPUTED_VALUE"""),372.62)</f>
        <v>372.62</v>
      </c>
      <c r="X516" s="1">
        <f ca="1">IFERROR(__xludf.DUMMYFUNCTION("""COMPUTED_VALUE"""),744.53)</f>
        <v>744.53</v>
      </c>
      <c r="Y516" s="1">
        <f ca="1">IFERROR(__xludf.DUMMYFUNCTION("""COMPUTED_VALUE"""),140.66)</f>
        <v>140.66</v>
      </c>
      <c r="Z516" s="1">
        <f ca="1">IFERROR(__xludf.DUMMYFUNCTION("""COMPUTED_VALUE"""),380.94)</f>
        <v>380.94</v>
      </c>
      <c r="AA516" s="1">
        <f ca="1">IFERROR(__xludf.DUMMYFUNCTION("""COMPUTED_VALUE"""),54.95)</f>
        <v>54.95</v>
      </c>
      <c r="AB516" s="1">
        <f ca="1">IFERROR(__xludf.DUMMYFUNCTION("""COMPUTED_VALUE"""),100.12)</f>
        <v>100.12</v>
      </c>
      <c r="AC516" s="1">
        <f ca="1">IFERROR(__xludf.DUMMYFUNCTION("""COMPUTED_VALUE"""),136.88)</f>
        <v>136.88</v>
      </c>
    </row>
    <row r="517" spans="1:29" x14ac:dyDescent="0.25">
      <c r="A517" s="2">
        <f ca="1">IFERROR(__xludf.DUMMYFUNCTION("""COMPUTED_VALUE"""),44579.6666666666)</f>
        <v>44579.666666666599</v>
      </c>
      <c r="B517" s="1">
        <f ca="1">IFERROR(__xludf.DUMMYFUNCTION("""COMPUTED_VALUE"""),169.8)</f>
        <v>169.8</v>
      </c>
      <c r="C517" s="1">
        <f ca="1">IFERROR(__xludf.DUMMYFUNCTION("""COMPUTED_VALUE"""),302.65)</f>
        <v>302.64999999999998</v>
      </c>
      <c r="D517" s="1">
        <f ca="1">IFERROR(__xludf.DUMMYFUNCTION("""COMPUTED_VALUE"""),158.92)</f>
        <v>158.91999999999999</v>
      </c>
      <c r="E517" s="1">
        <f ca="1">IFERROR(__xludf.DUMMYFUNCTION("""COMPUTED_VALUE"""),25.9)</f>
        <v>25.9</v>
      </c>
      <c r="F517" s="1">
        <f ca="1">IFERROR(__xludf.DUMMYFUNCTION("""COMPUTED_VALUE"""),318.15)</f>
        <v>318.14999999999998</v>
      </c>
      <c r="G517" s="1">
        <f ca="1">IFERROR(__xludf.DUMMYFUNCTION("""COMPUTED_VALUE"""),136.29)</f>
        <v>136.29</v>
      </c>
      <c r="H517" s="1">
        <f ca="1">IFERROR(__xludf.DUMMYFUNCTION("""COMPUTED_VALUE"""),343.5)</f>
        <v>343.5</v>
      </c>
      <c r="I517" s="1">
        <f ca="1">IFERROR(__xludf.DUMMYFUNCTION("""COMPUTED_VALUE"""),173.96)</f>
        <v>173.96</v>
      </c>
      <c r="J517" s="1">
        <f ca="1">IFERROR(__xludf.DUMMYFUNCTION("""COMPUTED_VALUE"""),488.07)</f>
        <v>488.07</v>
      </c>
      <c r="K517" s="1">
        <f ca="1">IFERROR(__xludf.DUMMYFUNCTION("""COMPUTED_VALUE"""),57.78)</f>
        <v>57.78</v>
      </c>
      <c r="L517" s="1">
        <f ca="1">IFERROR(__xludf.DUMMYFUNCTION("""COMPUTED_VALUE"""),513.34)</f>
        <v>513.34</v>
      </c>
      <c r="M517" s="1">
        <f ca="1">IFERROR(__xludf.DUMMYFUNCTION("""COMPUTED_VALUE"""),510.8)</f>
        <v>510.8</v>
      </c>
      <c r="N517" s="1">
        <f ca="1">IFERROR(__xludf.DUMMYFUNCTION("""COMPUTED_VALUE"""),151.27)</f>
        <v>151.27000000000001</v>
      </c>
      <c r="O517" s="1">
        <f ca="1">IFERROR(__xludf.DUMMYFUNCTION("""COMPUTED_VALUE"""),215.71)</f>
        <v>215.71</v>
      </c>
      <c r="P517" s="1">
        <f ca="1">IFERROR(__xludf.DUMMYFUNCTION("""COMPUTED_VALUE"""),167.1)</f>
        <v>167.1</v>
      </c>
      <c r="Q517" s="1">
        <f ca="1">IFERROR(__xludf.DUMMYFUNCTION("""COMPUTED_VALUE"""),460.99)</f>
        <v>460.99</v>
      </c>
      <c r="R517" s="1">
        <f ca="1">IFERROR(__xludf.DUMMYFUNCTION("""COMPUTED_VALUE"""),73.08)</f>
        <v>73.08</v>
      </c>
      <c r="S517" s="1">
        <f ca="1">IFERROR(__xludf.DUMMYFUNCTION("""COMPUTED_VALUE"""),81.25)</f>
        <v>81.25</v>
      </c>
      <c r="T517" s="1">
        <f ca="1">IFERROR(__xludf.DUMMYFUNCTION("""COMPUTED_VALUE"""),47.51)</f>
        <v>47.51</v>
      </c>
      <c r="U517" s="1">
        <f ca="1">IFERROR(__xludf.DUMMYFUNCTION("""COMPUTED_VALUE"""),146.95)</f>
        <v>146.94999999999999</v>
      </c>
      <c r="V517" s="1">
        <f ca="1">IFERROR(__xludf.DUMMYFUNCTION("""COMPUTED_VALUE"""),229.87)</f>
        <v>229.87</v>
      </c>
      <c r="W517" s="1">
        <f ca="1">IFERROR(__xludf.DUMMYFUNCTION("""COMPUTED_VALUE"""),376.54)</f>
        <v>376.54</v>
      </c>
      <c r="X517" s="1">
        <f ca="1">IFERROR(__xludf.DUMMYFUNCTION("""COMPUTED_VALUE"""),715.23)</f>
        <v>715.23</v>
      </c>
      <c r="Y517" s="1">
        <f ca="1">IFERROR(__xludf.DUMMYFUNCTION("""COMPUTED_VALUE"""),133.83)</f>
        <v>133.83000000000001</v>
      </c>
      <c r="Z517" s="1">
        <f ca="1">IFERROR(__xludf.DUMMYFUNCTION("""COMPUTED_VALUE"""),354.4)</f>
        <v>354.4</v>
      </c>
      <c r="AA517" s="1">
        <f ca="1">IFERROR(__xludf.DUMMYFUNCTION("""COMPUTED_VALUE"""),54.11)</f>
        <v>54.11</v>
      </c>
      <c r="AB517" s="1">
        <f ca="1">IFERROR(__xludf.DUMMYFUNCTION("""COMPUTED_VALUE"""),97.73)</f>
        <v>97.73</v>
      </c>
      <c r="AC517" s="1">
        <f ca="1">IFERROR(__xludf.DUMMYFUNCTION("""COMPUTED_VALUE"""),131.93)</f>
        <v>131.93</v>
      </c>
    </row>
    <row r="518" spans="1:29" x14ac:dyDescent="0.25">
      <c r="A518" s="2">
        <f ca="1">IFERROR(__xludf.DUMMYFUNCTION("""COMPUTED_VALUE"""),44580.6666666666)</f>
        <v>44580.666666666599</v>
      </c>
      <c r="B518" s="1">
        <f ca="1">IFERROR(__xludf.DUMMYFUNCTION("""COMPUTED_VALUE"""),166.23)</f>
        <v>166.23</v>
      </c>
      <c r="C518" s="1">
        <f ca="1">IFERROR(__xludf.DUMMYFUNCTION("""COMPUTED_VALUE"""),303.33)</f>
        <v>303.33</v>
      </c>
      <c r="D518" s="1">
        <f ca="1">IFERROR(__xludf.DUMMYFUNCTION("""COMPUTED_VALUE"""),156.3)</f>
        <v>156.30000000000001</v>
      </c>
      <c r="E518" s="1">
        <f ca="1">IFERROR(__xludf.DUMMYFUNCTION("""COMPUTED_VALUE"""),25.07)</f>
        <v>25.07</v>
      </c>
      <c r="F518" s="1">
        <f ca="1">IFERROR(__xludf.DUMMYFUNCTION("""COMPUTED_VALUE"""),319.59)</f>
        <v>319.58999999999997</v>
      </c>
      <c r="G518" s="1">
        <f ca="1">IFERROR(__xludf.DUMMYFUNCTION("""COMPUTED_VALUE"""),135.65)</f>
        <v>135.65</v>
      </c>
      <c r="H518" s="1">
        <f ca="1">IFERROR(__xludf.DUMMYFUNCTION("""COMPUTED_VALUE"""),331.88)</f>
        <v>331.88</v>
      </c>
      <c r="I518" s="1">
        <f ca="1">IFERROR(__xludf.DUMMYFUNCTION("""COMPUTED_VALUE"""),175.21)</f>
        <v>175.21</v>
      </c>
      <c r="J518" s="1">
        <f ca="1">IFERROR(__xludf.DUMMYFUNCTION("""COMPUTED_VALUE"""),490.16)</f>
        <v>490.16</v>
      </c>
      <c r="K518" s="1">
        <f ca="1">IFERROR(__xludf.DUMMYFUNCTION("""COMPUTED_VALUE"""),56.4)</f>
        <v>56.4</v>
      </c>
      <c r="L518" s="1">
        <f ca="1">IFERROR(__xludf.DUMMYFUNCTION("""COMPUTED_VALUE"""),516.58)</f>
        <v>516.58000000000004</v>
      </c>
      <c r="M518" s="1">
        <f ca="1">IFERROR(__xludf.DUMMYFUNCTION("""COMPUTED_VALUE"""),515.86)</f>
        <v>515.86</v>
      </c>
      <c r="N518" s="1">
        <f ca="1">IFERROR(__xludf.DUMMYFUNCTION("""COMPUTED_VALUE"""),148.93)</f>
        <v>148.93</v>
      </c>
      <c r="O518" s="1">
        <f ca="1">IFERROR(__xludf.DUMMYFUNCTION("""COMPUTED_VALUE"""),214.68)</f>
        <v>214.68</v>
      </c>
      <c r="P518" s="1">
        <f ca="1">IFERROR(__xludf.DUMMYFUNCTION("""COMPUTED_VALUE"""),166.58)</f>
        <v>166.58</v>
      </c>
      <c r="Q518" s="1">
        <f ca="1">IFERROR(__xludf.DUMMYFUNCTION("""COMPUTED_VALUE"""),462.52)</f>
        <v>462.52</v>
      </c>
      <c r="R518" s="1">
        <f ca="1">IFERROR(__xludf.DUMMYFUNCTION("""COMPUTED_VALUE"""),73.11)</f>
        <v>73.11</v>
      </c>
      <c r="S518" s="1">
        <f ca="1">IFERROR(__xludf.DUMMYFUNCTION("""COMPUTED_VALUE"""),82.59)</f>
        <v>82.59</v>
      </c>
      <c r="T518" s="1">
        <f ca="1">IFERROR(__xludf.DUMMYFUNCTION("""COMPUTED_VALUE"""),47.98)</f>
        <v>47.98</v>
      </c>
      <c r="U518" s="1">
        <f ca="1">IFERROR(__xludf.DUMMYFUNCTION("""COMPUTED_VALUE"""),145.11)</f>
        <v>145.11000000000001</v>
      </c>
      <c r="V518" s="1">
        <f ca="1">IFERROR(__xludf.DUMMYFUNCTION("""COMPUTED_VALUE"""),221.66)</f>
        <v>221.66</v>
      </c>
      <c r="W518" s="1">
        <f ca="1">IFERROR(__xludf.DUMMYFUNCTION("""COMPUTED_VALUE"""),377.33)</f>
        <v>377.33</v>
      </c>
      <c r="X518" s="1">
        <f ca="1">IFERROR(__xludf.DUMMYFUNCTION("""COMPUTED_VALUE"""),698.82)</f>
        <v>698.82</v>
      </c>
      <c r="Y518" s="1">
        <f ca="1">IFERROR(__xludf.DUMMYFUNCTION("""COMPUTED_VALUE"""),131.01)</f>
        <v>131.01</v>
      </c>
      <c r="Z518" s="1">
        <f ca="1">IFERROR(__xludf.DUMMYFUNCTION("""COMPUTED_VALUE"""),347.32)</f>
        <v>347.32</v>
      </c>
      <c r="AA518" s="1">
        <f ca="1">IFERROR(__xludf.DUMMYFUNCTION("""COMPUTED_VALUE"""),53.54)</f>
        <v>53.54</v>
      </c>
      <c r="AB518" s="1">
        <f ca="1">IFERROR(__xludf.DUMMYFUNCTION("""COMPUTED_VALUE"""),96.87)</f>
        <v>96.87</v>
      </c>
      <c r="AC518" s="1">
        <f ca="1">IFERROR(__xludf.DUMMYFUNCTION("""COMPUTED_VALUE"""),128.27)</f>
        <v>128.27000000000001</v>
      </c>
    </row>
    <row r="519" spans="1:29" x14ac:dyDescent="0.25">
      <c r="A519" s="2">
        <f ca="1">IFERROR(__xludf.DUMMYFUNCTION("""COMPUTED_VALUE"""),44581.6666666666)</f>
        <v>44581.666666666599</v>
      </c>
      <c r="B519" s="1">
        <f ca="1">IFERROR(__xludf.DUMMYFUNCTION("""COMPUTED_VALUE"""),164.51)</f>
        <v>164.51</v>
      </c>
      <c r="C519" s="1">
        <f ca="1">IFERROR(__xludf.DUMMYFUNCTION("""COMPUTED_VALUE"""),301.6)</f>
        <v>301.60000000000002</v>
      </c>
      <c r="D519" s="1">
        <f ca="1">IFERROR(__xludf.DUMMYFUNCTION("""COMPUTED_VALUE"""),151.67)</f>
        <v>151.66999999999999</v>
      </c>
      <c r="E519" s="1">
        <f ca="1">IFERROR(__xludf.DUMMYFUNCTION("""COMPUTED_VALUE"""),24.15)</f>
        <v>24.15</v>
      </c>
      <c r="F519" s="1">
        <f ca="1">IFERROR(__xludf.DUMMYFUNCTION("""COMPUTED_VALUE"""),316.56)</f>
        <v>316.56</v>
      </c>
      <c r="G519" s="1">
        <f ca="1">IFERROR(__xludf.DUMMYFUNCTION("""COMPUTED_VALUE"""),133.51)</f>
        <v>133.51</v>
      </c>
      <c r="H519" s="1">
        <f ca="1">IFERROR(__xludf.DUMMYFUNCTION("""COMPUTED_VALUE"""),332.09)</f>
        <v>332.09</v>
      </c>
      <c r="I519" s="1">
        <f ca="1">IFERROR(__xludf.DUMMYFUNCTION("""COMPUTED_VALUE"""),173.94)</f>
        <v>173.94</v>
      </c>
      <c r="J519" s="1">
        <f ca="1">IFERROR(__xludf.DUMMYFUNCTION("""COMPUTED_VALUE"""),482.82)</f>
        <v>482.82</v>
      </c>
      <c r="K519" s="1">
        <f ca="1">IFERROR(__xludf.DUMMYFUNCTION("""COMPUTED_VALUE"""),54.77)</f>
        <v>54.77</v>
      </c>
      <c r="L519" s="1">
        <f ca="1">IFERROR(__xludf.DUMMYFUNCTION("""COMPUTED_VALUE"""),510.85)</f>
        <v>510.85</v>
      </c>
      <c r="M519" s="1">
        <f ca="1">IFERROR(__xludf.DUMMYFUNCTION("""COMPUTED_VALUE"""),508.25)</f>
        <v>508.25</v>
      </c>
      <c r="N519" s="1">
        <f ca="1">IFERROR(__xludf.DUMMYFUNCTION("""COMPUTED_VALUE"""),147.66)</f>
        <v>147.66</v>
      </c>
      <c r="O519" s="1">
        <f ca="1">IFERROR(__xludf.DUMMYFUNCTION("""COMPUTED_VALUE"""),214.35)</f>
        <v>214.35</v>
      </c>
      <c r="P519" s="1">
        <f ca="1">IFERROR(__xludf.DUMMYFUNCTION("""COMPUTED_VALUE"""),165.25)</f>
        <v>165.25</v>
      </c>
      <c r="Q519" s="1">
        <f ca="1">IFERROR(__xludf.DUMMYFUNCTION("""COMPUTED_VALUE"""),463)</f>
        <v>463</v>
      </c>
      <c r="R519" s="1">
        <f ca="1">IFERROR(__xludf.DUMMYFUNCTION("""COMPUTED_VALUE"""),73.27)</f>
        <v>73.27</v>
      </c>
      <c r="S519" s="1">
        <f ca="1">IFERROR(__xludf.DUMMYFUNCTION("""COMPUTED_VALUE"""),83.51)</f>
        <v>83.51</v>
      </c>
      <c r="T519" s="1">
        <f ca="1">IFERROR(__xludf.DUMMYFUNCTION("""COMPUTED_VALUE"""),47.07)</f>
        <v>47.07</v>
      </c>
      <c r="U519" s="1">
        <f ca="1">IFERROR(__xludf.DUMMYFUNCTION("""COMPUTED_VALUE"""),142.73)</f>
        <v>142.72999999999999</v>
      </c>
      <c r="V519" s="1">
        <f ca="1">IFERROR(__xludf.DUMMYFUNCTION("""COMPUTED_VALUE"""),216.63)</f>
        <v>216.63</v>
      </c>
      <c r="W519" s="1">
        <f ca="1">IFERROR(__xludf.DUMMYFUNCTION("""COMPUTED_VALUE"""),375.13)</f>
        <v>375.13</v>
      </c>
      <c r="X519" s="1">
        <f ca="1">IFERROR(__xludf.DUMMYFUNCTION("""COMPUTED_VALUE"""),706.46)</f>
        <v>706.46</v>
      </c>
      <c r="Y519" s="1">
        <f ca="1">IFERROR(__xludf.DUMMYFUNCTION("""COMPUTED_VALUE"""),128.33)</f>
        <v>128.33000000000001</v>
      </c>
      <c r="Z519" s="1">
        <f ca="1">IFERROR(__xludf.DUMMYFUNCTION("""COMPUTED_VALUE"""),348.1)</f>
        <v>348.1</v>
      </c>
      <c r="AA519" s="1">
        <f ca="1">IFERROR(__xludf.DUMMYFUNCTION("""COMPUTED_VALUE"""),54.05)</f>
        <v>54.05</v>
      </c>
      <c r="AB519" s="1">
        <f ca="1">IFERROR(__xludf.DUMMYFUNCTION("""COMPUTED_VALUE"""),95.72)</f>
        <v>95.72</v>
      </c>
      <c r="AC519" s="1">
        <f ca="1">IFERROR(__xludf.DUMMYFUNCTION("""COMPUTED_VALUE"""),121.89)</f>
        <v>121.89</v>
      </c>
    </row>
    <row r="520" spans="1:29" x14ac:dyDescent="0.25">
      <c r="A520" s="2">
        <f ca="1">IFERROR(__xludf.DUMMYFUNCTION("""COMPUTED_VALUE"""),44582.6666666666)</f>
        <v>44582.666666666599</v>
      </c>
      <c r="B520" s="1">
        <f ca="1">IFERROR(__xludf.DUMMYFUNCTION("""COMPUTED_VALUE"""),162.41)</f>
        <v>162.41</v>
      </c>
      <c r="C520" s="1">
        <f ca="1">IFERROR(__xludf.DUMMYFUNCTION("""COMPUTED_VALUE"""),296.03)</f>
        <v>296.02999999999997</v>
      </c>
      <c r="D520" s="1">
        <f ca="1">IFERROR(__xludf.DUMMYFUNCTION("""COMPUTED_VALUE"""),142.64)</f>
        <v>142.63999999999999</v>
      </c>
      <c r="E520" s="1">
        <f ca="1">IFERROR(__xludf.DUMMYFUNCTION("""COMPUTED_VALUE"""),23.37)</f>
        <v>23.37</v>
      </c>
      <c r="F520" s="1">
        <f ca="1">IFERROR(__xludf.DUMMYFUNCTION("""COMPUTED_VALUE"""),303.17)</f>
        <v>303.17</v>
      </c>
      <c r="G520" s="1">
        <f ca="1">IFERROR(__xludf.DUMMYFUNCTION("""COMPUTED_VALUE"""),130.09)</f>
        <v>130.09</v>
      </c>
      <c r="H520" s="1">
        <f ca="1">IFERROR(__xludf.DUMMYFUNCTION("""COMPUTED_VALUE"""),314.63)</f>
        <v>314.63</v>
      </c>
      <c r="I520" s="1">
        <f ca="1">IFERROR(__xludf.DUMMYFUNCTION("""COMPUTED_VALUE"""),174.22)</f>
        <v>174.22</v>
      </c>
      <c r="J520" s="1">
        <f ca="1">IFERROR(__xludf.DUMMYFUNCTION("""COMPUTED_VALUE"""),481.61)</f>
        <v>481.61</v>
      </c>
      <c r="K520" s="1">
        <f ca="1">IFERROR(__xludf.DUMMYFUNCTION("""COMPUTED_VALUE"""),53.32)</f>
        <v>53.32</v>
      </c>
      <c r="L520" s="1">
        <f ca="1">IFERROR(__xludf.DUMMYFUNCTION("""COMPUTED_VALUE"""),499.91)</f>
        <v>499.91</v>
      </c>
      <c r="M520" s="1">
        <f ca="1">IFERROR(__xludf.DUMMYFUNCTION("""COMPUTED_VALUE"""),397.5)</f>
        <v>397.5</v>
      </c>
      <c r="N520" s="1">
        <f ca="1">IFERROR(__xludf.DUMMYFUNCTION("""COMPUTED_VALUE"""),145.08)</f>
        <v>145.08000000000001</v>
      </c>
      <c r="O520" s="1">
        <f ca="1">IFERROR(__xludf.DUMMYFUNCTION("""COMPUTED_VALUE"""),205.93)</f>
        <v>205.93</v>
      </c>
      <c r="P520" s="1">
        <f ca="1">IFERROR(__xludf.DUMMYFUNCTION("""COMPUTED_VALUE"""),164.87)</f>
        <v>164.87</v>
      </c>
      <c r="Q520" s="1">
        <f ca="1">IFERROR(__xludf.DUMMYFUNCTION("""COMPUTED_VALUE"""),461.17)</f>
        <v>461.17</v>
      </c>
      <c r="R520" s="1">
        <f ca="1">IFERROR(__xludf.DUMMYFUNCTION("""COMPUTED_VALUE"""),72.17)</f>
        <v>72.17</v>
      </c>
      <c r="S520" s="1">
        <f ca="1">IFERROR(__xludf.DUMMYFUNCTION("""COMPUTED_VALUE"""),82.6)</f>
        <v>82.6</v>
      </c>
      <c r="T520" s="1">
        <f ca="1">IFERROR(__xludf.DUMMYFUNCTION("""COMPUTED_VALUE"""),46.73)</f>
        <v>46.73</v>
      </c>
      <c r="U520" s="1">
        <f ca="1">IFERROR(__xludf.DUMMYFUNCTION("""COMPUTED_VALUE"""),142.95)</f>
        <v>142.94999999999999</v>
      </c>
      <c r="V520" s="1">
        <f ca="1">IFERROR(__xludf.DUMMYFUNCTION("""COMPUTED_VALUE"""),214.09)</f>
        <v>214.09</v>
      </c>
      <c r="W520" s="1">
        <f ca="1">IFERROR(__xludf.DUMMYFUNCTION("""COMPUTED_VALUE"""),371.2)</f>
        <v>371.2</v>
      </c>
      <c r="X520" s="1">
        <f ca="1">IFERROR(__xludf.DUMMYFUNCTION("""COMPUTED_VALUE"""),694.73)</f>
        <v>694.73</v>
      </c>
      <c r="Y520" s="1">
        <f ca="1">IFERROR(__xludf.DUMMYFUNCTION("""COMPUTED_VALUE"""),124.53)</f>
        <v>124.53</v>
      </c>
      <c r="Z520" s="1">
        <f ca="1">IFERROR(__xludf.DUMMYFUNCTION("""COMPUTED_VALUE"""),343.91)</f>
        <v>343.91</v>
      </c>
      <c r="AA520" s="1">
        <f ca="1">IFERROR(__xludf.DUMMYFUNCTION("""COMPUTED_VALUE"""),52.79)</f>
        <v>52.79</v>
      </c>
      <c r="AB520" s="1">
        <f ca="1">IFERROR(__xludf.DUMMYFUNCTION("""COMPUTED_VALUE"""),96.31)</f>
        <v>96.31</v>
      </c>
      <c r="AC520" s="1">
        <f ca="1">IFERROR(__xludf.DUMMYFUNCTION("""COMPUTED_VALUE"""),118.81)</f>
        <v>118.81</v>
      </c>
    </row>
    <row r="521" spans="1:29" x14ac:dyDescent="0.25">
      <c r="A521" s="2">
        <f ca="1">IFERROR(__xludf.DUMMYFUNCTION("""COMPUTED_VALUE"""),44585.6666666666)</f>
        <v>44585.666666666599</v>
      </c>
      <c r="B521" s="1">
        <f ca="1">IFERROR(__xludf.DUMMYFUNCTION("""COMPUTED_VALUE"""),161.62)</f>
        <v>161.62</v>
      </c>
      <c r="C521" s="1">
        <f ca="1">IFERROR(__xludf.DUMMYFUNCTION("""COMPUTED_VALUE"""),296.37)</f>
        <v>296.37</v>
      </c>
      <c r="D521" s="1">
        <f ca="1">IFERROR(__xludf.DUMMYFUNCTION("""COMPUTED_VALUE"""),144.54)</f>
        <v>144.54</v>
      </c>
      <c r="E521" s="1">
        <f ca="1">IFERROR(__xludf.DUMMYFUNCTION("""COMPUTED_VALUE"""),23.37)</f>
        <v>23.37</v>
      </c>
      <c r="F521" s="1">
        <f ca="1">IFERROR(__xludf.DUMMYFUNCTION("""COMPUTED_VALUE"""),308.71)</f>
        <v>308.70999999999998</v>
      </c>
      <c r="G521" s="1">
        <f ca="1">IFERROR(__xludf.DUMMYFUNCTION("""COMPUTED_VALUE"""),130.37)</f>
        <v>130.37</v>
      </c>
      <c r="H521" s="1">
        <f ca="1">IFERROR(__xludf.DUMMYFUNCTION("""COMPUTED_VALUE"""),310)</f>
        <v>310</v>
      </c>
      <c r="I521" s="1">
        <f ca="1">IFERROR(__xludf.DUMMYFUNCTION("""COMPUTED_VALUE"""),173.33)</f>
        <v>173.33</v>
      </c>
      <c r="J521" s="1">
        <f ca="1">IFERROR(__xludf.DUMMYFUNCTION("""COMPUTED_VALUE"""),488.9)</f>
        <v>488.9</v>
      </c>
      <c r="K521" s="1">
        <f ca="1">IFERROR(__xludf.DUMMYFUNCTION("""COMPUTED_VALUE"""),54.16)</f>
        <v>54.16</v>
      </c>
      <c r="L521" s="1">
        <f ca="1">IFERROR(__xludf.DUMMYFUNCTION("""COMPUTED_VALUE"""),519.66)</f>
        <v>519.66</v>
      </c>
      <c r="M521" s="1">
        <f ca="1">IFERROR(__xludf.DUMMYFUNCTION("""COMPUTED_VALUE"""),387.15)</f>
        <v>387.15</v>
      </c>
      <c r="N521" s="1">
        <f ca="1">IFERROR(__xludf.DUMMYFUNCTION("""COMPUTED_VALUE"""),144.95)</f>
        <v>144.94999999999999</v>
      </c>
      <c r="O521" s="1">
        <f ca="1">IFERROR(__xludf.DUMMYFUNCTION("""COMPUTED_VALUE"""),201.85)</f>
        <v>201.85</v>
      </c>
      <c r="P521" s="1">
        <f ca="1">IFERROR(__xludf.DUMMYFUNCTION("""COMPUTED_VALUE"""),162.97)</f>
        <v>162.97</v>
      </c>
      <c r="Q521" s="1">
        <f ca="1">IFERROR(__xludf.DUMMYFUNCTION("""COMPUTED_VALUE"""),462.27)</f>
        <v>462.27</v>
      </c>
      <c r="R521" s="1">
        <f ca="1">IFERROR(__xludf.DUMMYFUNCTION("""COMPUTED_VALUE"""),72.79)</f>
        <v>72.790000000000006</v>
      </c>
      <c r="S521" s="1">
        <f ca="1">IFERROR(__xludf.DUMMYFUNCTION("""COMPUTED_VALUE"""),81.92)</f>
        <v>81.92</v>
      </c>
      <c r="T521" s="1">
        <f ca="1">IFERROR(__xludf.DUMMYFUNCTION("""COMPUTED_VALUE"""),46.73)</f>
        <v>46.73</v>
      </c>
      <c r="U521" s="1">
        <f ca="1">IFERROR(__xludf.DUMMYFUNCTION("""COMPUTED_VALUE"""),146)</f>
        <v>146</v>
      </c>
      <c r="V521" s="1">
        <f ca="1">IFERROR(__xludf.DUMMYFUNCTION("""COMPUTED_VALUE"""),214.33)</f>
        <v>214.33</v>
      </c>
      <c r="W521" s="1">
        <f ca="1">IFERROR(__xludf.DUMMYFUNCTION("""COMPUTED_VALUE"""),373.33)</f>
        <v>373.33</v>
      </c>
      <c r="X521" s="1">
        <f ca="1">IFERROR(__xludf.DUMMYFUNCTION("""COMPUTED_VALUE"""),687.42)</f>
        <v>687.42</v>
      </c>
      <c r="Y521" s="1">
        <f ca="1">IFERROR(__xludf.DUMMYFUNCTION("""COMPUTED_VALUE"""),125.96)</f>
        <v>125.96</v>
      </c>
      <c r="Z521" s="1">
        <f ca="1">IFERROR(__xludf.DUMMYFUNCTION("""COMPUTED_VALUE"""),343.39)</f>
        <v>343.39</v>
      </c>
      <c r="AA521" s="1">
        <f ca="1">IFERROR(__xludf.DUMMYFUNCTION("""COMPUTED_VALUE"""),51.54)</f>
        <v>51.54</v>
      </c>
      <c r="AB521" s="1">
        <f ca="1">IFERROR(__xludf.DUMMYFUNCTION("""COMPUTED_VALUE"""),98.1)</f>
        <v>98.1</v>
      </c>
      <c r="AC521" s="1">
        <f ca="1">IFERROR(__xludf.DUMMYFUNCTION("""COMPUTED_VALUE"""),116.53)</f>
        <v>116.53</v>
      </c>
    </row>
    <row r="522" spans="1:29" x14ac:dyDescent="0.25">
      <c r="A522" s="2">
        <f ca="1">IFERROR(__xludf.DUMMYFUNCTION("""COMPUTED_VALUE"""),44586.6666666666)</f>
        <v>44586.666666666599</v>
      </c>
      <c r="B522" s="1">
        <f ca="1">IFERROR(__xludf.DUMMYFUNCTION("""COMPUTED_VALUE"""),159.78)</f>
        <v>159.78</v>
      </c>
      <c r="C522" s="1">
        <f ca="1">IFERROR(__xludf.DUMMYFUNCTION("""COMPUTED_VALUE"""),288.49)</f>
        <v>288.49</v>
      </c>
      <c r="D522" s="1">
        <f ca="1">IFERROR(__xludf.DUMMYFUNCTION("""COMPUTED_VALUE"""),139.99)</f>
        <v>139.99</v>
      </c>
      <c r="E522" s="1">
        <f ca="1">IFERROR(__xludf.DUMMYFUNCTION("""COMPUTED_VALUE"""),22.32)</f>
        <v>22.32</v>
      </c>
      <c r="F522" s="1">
        <f ca="1">IFERROR(__xludf.DUMMYFUNCTION("""COMPUTED_VALUE"""),300.15)</f>
        <v>300.14999999999998</v>
      </c>
      <c r="G522" s="1">
        <f ca="1">IFERROR(__xludf.DUMMYFUNCTION("""COMPUTED_VALUE"""),126.74)</f>
        <v>126.74</v>
      </c>
      <c r="H522" s="1">
        <f ca="1">IFERROR(__xludf.DUMMYFUNCTION("""COMPUTED_VALUE"""),306.13)</f>
        <v>306.13</v>
      </c>
      <c r="I522" s="1">
        <f ca="1">IFERROR(__xludf.DUMMYFUNCTION("""COMPUTED_VALUE"""),171.34)</f>
        <v>171.34</v>
      </c>
      <c r="J522" s="1">
        <f ca="1">IFERROR(__xludf.DUMMYFUNCTION("""COMPUTED_VALUE"""),477.32)</f>
        <v>477.32</v>
      </c>
      <c r="K522" s="1">
        <f ca="1">IFERROR(__xludf.DUMMYFUNCTION("""COMPUTED_VALUE"""),53.41)</f>
        <v>53.41</v>
      </c>
      <c r="L522" s="1">
        <f ca="1">IFERROR(__xludf.DUMMYFUNCTION("""COMPUTED_VALUE"""),502.72)</f>
        <v>502.72</v>
      </c>
      <c r="M522" s="1">
        <f ca="1">IFERROR(__xludf.DUMMYFUNCTION("""COMPUTED_VALUE"""),366.42)</f>
        <v>366.42</v>
      </c>
      <c r="N522" s="1">
        <f ca="1">IFERROR(__xludf.DUMMYFUNCTION("""COMPUTED_VALUE"""),146.53)</f>
        <v>146.53</v>
      </c>
      <c r="O522" s="1">
        <f ca="1">IFERROR(__xludf.DUMMYFUNCTION("""COMPUTED_VALUE"""),202)</f>
        <v>202</v>
      </c>
      <c r="P522" s="1">
        <f ca="1">IFERROR(__xludf.DUMMYFUNCTION("""COMPUTED_VALUE"""),167.63)</f>
        <v>167.63</v>
      </c>
      <c r="Q522" s="1">
        <f ca="1">IFERROR(__xludf.DUMMYFUNCTION("""COMPUTED_VALUE"""),456.84)</f>
        <v>456.84</v>
      </c>
      <c r="R522" s="1">
        <f ca="1">IFERROR(__xludf.DUMMYFUNCTION("""COMPUTED_VALUE"""),74.93)</f>
        <v>74.930000000000007</v>
      </c>
      <c r="S522" s="1">
        <f ca="1">IFERROR(__xludf.DUMMYFUNCTION("""COMPUTED_VALUE"""),75.1)</f>
        <v>75.099999999999994</v>
      </c>
      <c r="T522" s="1">
        <f ca="1">IFERROR(__xludf.DUMMYFUNCTION("""COMPUTED_VALUE"""),45.72)</f>
        <v>45.72</v>
      </c>
      <c r="U522" s="1">
        <f ca="1">IFERROR(__xludf.DUMMYFUNCTION("""COMPUTED_VALUE"""),145.48)</f>
        <v>145.47999999999999</v>
      </c>
      <c r="V522" s="1">
        <f ca="1">IFERROR(__xludf.DUMMYFUNCTION("""COMPUTED_VALUE"""),214.31)</f>
        <v>214.31</v>
      </c>
      <c r="W522" s="1">
        <f ca="1">IFERROR(__xludf.DUMMYFUNCTION("""COMPUTED_VALUE"""),387.17)</f>
        <v>387.17</v>
      </c>
      <c r="X522" s="1">
        <f ca="1">IFERROR(__xludf.DUMMYFUNCTION("""COMPUTED_VALUE"""),648.57)</f>
        <v>648.57000000000005</v>
      </c>
      <c r="Y522" s="1">
        <f ca="1">IFERROR(__xludf.DUMMYFUNCTION("""COMPUTED_VALUE"""),122.48)</f>
        <v>122.48</v>
      </c>
      <c r="Z522" s="1">
        <f ca="1">IFERROR(__xludf.DUMMYFUNCTION("""COMPUTED_VALUE"""),341.55)</f>
        <v>341.55</v>
      </c>
      <c r="AA522" s="1">
        <f ca="1">IFERROR(__xludf.DUMMYFUNCTION("""COMPUTED_VALUE"""),52.54)</f>
        <v>52.54</v>
      </c>
      <c r="AB522" s="1">
        <f ca="1">IFERROR(__xludf.DUMMYFUNCTION("""COMPUTED_VALUE"""),97.01)</f>
        <v>97.01</v>
      </c>
      <c r="AC522" s="1">
        <f ca="1">IFERROR(__xludf.DUMMYFUNCTION("""COMPUTED_VALUE"""),111.13)</f>
        <v>111.13</v>
      </c>
    </row>
    <row r="523" spans="1:29" x14ac:dyDescent="0.25">
      <c r="A523" s="2">
        <f ca="1">IFERROR(__xludf.DUMMYFUNCTION("""COMPUTED_VALUE"""),44587.6666666666)</f>
        <v>44587.666666666599</v>
      </c>
      <c r="B523" s="1">
        <f ca="1">IFERROR(__xludf.DUMMYFUNCTION("""COMPUTED_VALUE"""),159.69)</f>
        <v>159.69</v>
      </c>
      <c r="C523" s="1">
        <f ca="1">IFERROR(__xludf.DUMMYFUNCTION("""COMPUTED_VALUE"""),296.71)</f>
        <v>296.70999999999998</v>
      </c>
      <c r="D523" s="1">
        <f ca="1">IFERROR(__xludf.DUMMYFUNCTION("""COMPUTED_VALUE"""),138.87)</f>
        <v>138.87</v>
      </c>
      <c r="E523" s="1">
        <f ca="1">IFERROR(__xludf.DUMMYFUNCTION("""COMPUTED_VALUE"""),22.77)</f>
        <v>22.77</v>
      </c>
      <c r="F523" s="1">
        <f ca="1">IFERROR(__xludf.DUMMYFUNCTION("""COMPUTED_VALUE"""),294.63)</f>
        <v>294.63</v>
      </c>
      <c r="G523" s="1">
        <f ca="1">IFERROR(__xludf.DUMMYFUNCTION("""COMPUTED_VALUE"""),129.24)</f>
        <v>129.24</v>
      </c>
      <c r="H523" s="1">
        <f ca="1">IFERROR(__xludf.DUMMYFUNCTION("""COMPUTED_VALUE"""),312.47)</f>
        <v>312.47000000000003</v>
      </c>
      <c r="I523" s="1">
        <f ca="1">IFERROR(__xludf.DUMMYFUNCTION("""COMPUTED_VALUE"""),169.53)</f>
        <v>169.53</v>
      </c>
      <c r="J523" s="1">
        <f ca="1">IFERROR(__xludf.DUMMYFUNCTION("""COMPUTED_VALUE"""),483.47)</f>
        <v>483.47</v>
      </c>
      <c r="K523" s="1">
        <f ca="1">IFERROR(__xludf.DUMMYFUNCTION("""COMPUTED_VALUE"""),55.71)</f>
        <v>55.71</v>
      </c>
      <c r="L523" s="1">
        <f ca="1">IFERROR(__xludf.DUMMYFUNCTION("""COMPUTED_VALUE"""),500.81)</f>
        <v>500.81</v>
      </c>
      <c r="M523" s="1">
        <f ca="1">IFERROR(__xludf.DUMMYFUNCTION("""COMPUTED_VALUE"""),359.7)</f>
        <v>359.7</v>
      </c>
      <c r="N523" s="1">
        <f ca="1">IFERROR(__xludf.DUMMYFUNCTION("""COMPUTED_VALUE"""),147.92)</f>
        <v>147.91999999999999</v>
      </c>
      <c r="O523" s="1">
        <f ca="1">IFERROR(__xludf.DUMMYFUNCTION("""COMPUTED_VALUE"""),205.87)</f>
        <v>205.87</v>
      </c>
      <c r="P523" s="1">
        <f ca="1">IFERROR(__xludf.DUMMYFUNCTION("""COMPUTED_VALUE"""),168.38)</f>
        <v>168.38</v>
      </c>
      <c r="Q523" s="1">
        <f ca="1">IFERROR(__xludf.DUMMYFUNCTION("""COMPUTED_VALUE"""),458.43)</f>
        <v>458.43</v>
      </c>
      <c r="R523" s="1">
        <f ca="1">IFERROR(__xludf.DUMMYFUNCTION("""COMPUTED_VALUE"""),74.17)</f>
        <v>74.17</v>
      </c>
      <c r="S523" s="1">
        <f ca="1">IFERROR(__xludf.DUMMYFUNCTION("""COMPUTED_VALUE"""),72.64)</f>
        <v>72.64</v>
      </c>
      <c r="T523" s="1">
        <f ca="1">IFERROR(__xludf.DUMMYFUNCTION("""COMPUTED_VALUE"""),45.25)</f>
        <v>45.25</v>
      </c>
      <c r="U523" s="1">
        <f ca="1">IFERROR(__xludf.DUMMYFUNCTION("""COMPUTED_VALUE"""),143.99)</f>
        <v>143.99</v>
      </c>
      <c r="V523" s="1">
        <f ca="1">IFERROR(__xludf.DUMMYFUNCTION("""COMPUTED_VALUE"""),214.29)</f>
        <v>214.29</v>
      </c>
      <c r="W523" s="1">
        <f ca="1">IFERROR(__xludf.DUMMYFUNCTION("""COMPUTED_VALUE"""),391.24)</f>
        <v>391.24</v>
      </c>
      <c r="X523" s="1">
        <f ca="1">IFERROR(__xludf.DUMMYFUNCTION("""COMPUTED_VALUE"""),653.26)</f>
        <v>653.26</v>
      </c>
      <c r="Y523" s="1">
        <f ca="1">IFERROR(__xludf.DUMMYFUNCTION("""COMPUTED_VALUE"""),123.08)</f>
        <v>123.08</v>
      </c>
      <c r="Z523" s="1">
        <f ca="1">IFERROR(__xludf.DUMMYFUNCTION("""COMPUTED_VALUE"""),342.68)</f>
        <v>342.68</v>
      </c>
      <c r="AA523" s="1">
        <f ca="1">IFERROR(__xludf.DUMMYFUNCTION("""COMPUTED_VALUE"""),53.01)</f>
        <v>53.01</v>
      </c>
      <c r="AB523" s="1">
        <f ca="1">IFERROR(__xludf.DUMMYFUNCTION("""COMPUTED_VALUE"""),95.58)</f>
        <v>95.58</v>
      </c>
      <c r="AC523" s="1">
        <f ca="1">IFERROR(__xludf.DUMMYFUNCTION("""COMPUTED_VALUE"""),110.71)</f>
        <v>110.71</v>
      </c>
    </row>
    <row r="524" spans="1:29" x14ac:dyDescent="0.25">
      <c r="A524" s="2">
        <f ca="1">IFERROR(__xludf.DUMMYFUNCTION("""COMPUTED_VALUE"""),44588.6666666666)</f>
        <v>44588.666666666599</v>
      </c>
      <c r="B524" s="1">
        <f ca="1">IFERROR(__xludf.DUMMYFUNCTION("""COMPUTED_VALUE"""),159.22)</f>
        <v>159.22</v>
      </c>
      <c r="C524" s="1">
        <f ca="1">IFERROR(__xludf.DUMMYFUNCTION("""COMPUTED_VALUE"""),299.84)</f>
        <v>299.83999999999997</v>
      </c>
      <c r="D524" s="1">
        <f ca="1">IFERROR(__xludf.DUMMYFUNCTION("""COMPUTED_VALUE"""),139.64)</f>
        <v>139.63999999999999</v>
      </c>
      <c r="E524" s="1">
        <f ca="1">IFERROR(__xludf.DUMMYFUNCTION("""COMPUTED_VALUE"""),21.94)</f>
        <v>21.94</v>
      </c>
      <c r="F524" s="1">
        <f ca="1">IFERROR(__xludf.DUMMYFUNCTION("""COMPUTED_VALUE"""),294.64)</f>
        <v>294.64</v>
      </c>
      <c r="G524" s="1">
        <f ca="1">IFERROR(__xludf.DUMMYFUNCTION("""COMPUTED_VALUE"""),129.12)</f>
        <v>129.12</v>
      </c>
      <c r="H524" s="1">
        <f ca="1">IFERROR(__xludf.DUMMYFUNCTION("""COMPUTED_VALUE"""),276.37)</f>
        <v>276.37</v>
      </c>
      <c r="I524" s="1">
        <f ca="1">IFERROR(__xludf.DUMMYFUNCTION("""COMPUTED_VALUE"""),169.37)</f>
        <v>169.37</v>
      </c>
      <c r="J524" s="1">
        <f ca="1">IFERROR(__xludf.DUMMYFUNCTION("""COMPUTED_VALUE"""),482.52)</f>
        <v>482.52</v>
      </c>
      <c r="K524" s="1">
        <f ca="1">IFERROR(__xludf.DUMMYFUNCTION("""COMPUTED_VALUE"""),54.23)</f>
        <v>54.23</v>
      </c>
      <c r="L524" s="1">
        <f ca="1">IFERROR(__xludf.DUMMYFUNCTION("""COMPUTED_VALUE"""),493.05)</f>
        <v>493.05</v>
      </c>
      <c r="M524" s="1">
        <f ca="1">IFERROR(__xludf.DUMMYFUNCTION("""COMPUTED_VALUE"""),386.7)</f>
        <v>386.7</v>
      </c>
      <c r="N524" s="1">
        <f ca="1">IFERROR(__xludf.DUMMYFUNCTION("""COMPUTED_VALUE"""),145.31)</f>
        <v>145.31</v>
      </c>
      <c r="O524" s="1">
        <f ca="1">IFERROR(__xludf.DUMMYFUNCTION("""COMPUTED_VALUE"""),206.15)</f>
        <v>206.15</v>
      </c>
      <c r="P524" s="1">
        <f ca="1">IFERROR(__xludf.DUMMYFUNCTION("""COMPUTED_VALUE"""),170.59)</f>
        <v>170.59</v>
      </c>
      <c r="Q524" s="1">
        <f ca="1">IFERROR(__xludf.DUMMYFUNCTION("""COMPUTED_VALUE"""),461.6)</f>
        <v>461.6</v>
      </c>
      <c r="R524" s="1">
        <f ca="1">IFERROR(__xludf.DUMMYFUNCTION("""COMPUTED_VALUE"""),75.12)</f>
        <v>75.12</v>
      </c>
      <c r="S524" s="1">
        <f ca="1">IFERROR(__xludf.DUMMYFUNCTION("""COMPUTED_VALUE"""),72.51)</f>
        <v>72.510000000000005</v>
      </c>
      <c r="T524" s="1">
        <f ca="1">IFERROR(__xludf.DUMMYFUNCTION("""COMPUTED_VALUE"""),45.28)</f>
        <v>45.28</v>
      </c>
      <c r="U524" s="1">
        <f ca="1">IFERROR(__xludf.DUMMYFUNCTION("""COMPUTED_VALUE"""),144.64)</f>
        <v>144.63999999999999</v>
      </c>
      <c r="V524" s="1">
        <f ca="1">IFERROR(__xludf.DUMMYFUNCTION("""COMPUTED_VALUE"""),212.17)</f>
        <v>212.17</v>
      </c>
      <c r="W524" s="1">
        <f ca="1">IFERROR(__xludf.DUMMYFUNCTION("""COMPUTED_VALUE"""),389.08)</f>
        <v>389.08</v>
      </c>
      <c r="X524" s="1">
        <f ca="1">IFERROR(__xludf.DUMMYFUNCTION("""COMPUTED_VALUE"""),634.66)</f>
        <v>634.66</v>
      </c>
      <c r="Y524" s="1">
        <f ca="1">IFERROR(__xludf.DUMMYFUNCTION("""COMPUTED_VALUE"""),116.38)</f>
        <v>116.38</v>
      </c>
      <c r="Z524" s="1">
        <f ca="1">IFERROR(__xludf.DUMMYFUNCTION("""COMPUTED_VALUE"""),341.03)</f>
        <v>341.03</v>
      </c>
      <c r="AA524" s="1">
        <f ca="1">IFERROR(__xludf.DUMMYFUNCTION("""COMPUTED_VALUE"""),53.37)</f>
        <v>53.37</v>
      </c>
      <c r="AB524" s="1">
        <f ca="1">IFERROR(__xludf.DUMMYFUNCTION("""COMPUTED_VALUE"""),95.32)</f>
        <v>95.32</v>
      </c>
      <c r="AC524" s="1">
        <f ca="1">IFERROR(__xludf.DUMMYFUNCTION("""COMPUTED_VALUE"""),102.6)</f>
        <v>102.6</v>
      </c>
    </row>
    <row r="525" spans="1:29" x14ac:dyDescent="0.25">
      <c r="A525" s="2">
        <f ca="1">IFERROR(__xludf.DUMMYFUNCTION("""COMPUTED_VALUE"""),44589.6666666666)</f>
        <v>44589.666666666599</v>
      </c>
      <c r="B525" s="1">
        <f ca="1">IFERROR(__xludf.DUMMYFUNCTION("""COMPUTED_VALUE"""),170.33)</f>
        <v>170.33</v>
      </c>
      <c r="C525" s="1">
        <f ca="1">IFERROR(__xludf.DUMMYFUNCTION("""COMPUTED_VALUE"""),308.26)</f>
        <v>308.26</v>
      </c>
      <c r="D525" s="1">
        <f ca="1">IFERROR(__xludf.DUMMYFUNCTION("""COMPUTED_VALUE"""),143.98)</f>
        <v>143.97999999999999</v>
      </c>
      <c r="E525" s="1">
        <f ca="1">IFERROR(__xludf.DUMMYFUNCTION("""COMPUTED_VALUE"""),22.84)</f>
        <v>22.84</v>
      </c>
      <c r="F525" s="1">
        <f ca="1">IFERROR(__xludf.DUMMYFUNCTION("""COMPUTED_VALUE"""),301.71)</f>
        <v>301.70999999999998</v>
      </c>
      <c r="G525" s="1">
        <f ca="1">IFERROR(__xludf.DUMMYFUNCTION("""COMPUTED_VALUE"""),133.29)</f>
        <v>133.29</v>
      </c>
      <c r="H525" s="1">
        <f ca="1">IFERROR(__xludf.DUMMYFUNCTION("""COMPUTED_VALUE"""),282.12)</f>
        <v>282.12</v>
      </c>
      <c r="I525" s="1">
        <f ca="1">IFERROR(__xludf.DUMMYFUNCTION("""COMPUTED_VALUE"""),172.67)</f>
        <v>172.67</v>
      </c>
      <c r="J525" s="1">
        <f ca="1">IFERROR(__xludf.DUMMYFUNCTION("""COMPUTED_VALUE"""),492.43)</f>
        <v>492.43</v>
      </c>
      <c r="K525" s="1">
        <f ca="1">IFERROR(__xludf.DUMMYFUNCTION("""COMPUTED_VALUE"""),56.01)</f>
        <v>56.01</v>
      </c>
      <c r="L525" s="1">
        <f ca="1">IFERROR(__xludf.DUMMYFUNCTION("""COMPUTED_VALUE"""),518.16)</f>
        <v>518.16</v>
      </c>
      <c r="M525" s="1">
        <f ca="1">IFERROR(__xludf.DUMMYFUNCTION("""COMPUTED_VALUE"""),384.36)</f>
        <v>384.36</v>
      </c>
      <c r="N525" s="1">
        <f ca="1">IFERROR(__xludf.DUMMYFUNCTION("""COMPUTED_VALUE"""),146.61)</f>
        <v>146.61000000000001</v>
      </c>
      <c r="O525" s="1">
        <f ca="1">IFERROR(__xludf.DUMMYFUNCTION("""COMPUTED_VALUE"""),228)</f>
        <v>228</v>
      </c>
      <c r="P525" s="1">
        <f ca="1">IFERROR(__xludf.DUMMYFUNCTION("""COMPUTED_VALUE"""),171.79)</f>
        <v>171.79</v>
      </c>
      <c r="Q525" s="1">
        <f ca="1">IFERROR(__xludf.DUMMYFUNCTION("""COMPUTED_VALUE"""),466.06)</f>
        <v>466.06</v>
      </c>
      <c r="R525" s="1">
        <f ca="1">IFERROR(__xludf.DUMMYFUNCTION("""COMPUTED_VALUE"""),75.28)</f>
        <v>75.28</v>
      </c>
      <c r="S525" s="1">
        <f ca="1">IFERROR(__xludf.DUMMYFUNCTION("""COMPUTED_VALUE"""),72.5)</f>
        <v>72.5</v>
      </c>
      <c r="T525" s="1">
        <f ca="1">IFERROR(__xludf.DUMMYFUNCTION("""COMPUTED_VALUE"""),45.84)</f>
        <v>45.84</v>
      </c>
      <c r="U525" s="1">
        <f ca="1">IFERROR(__xludf.DUMMYFUNCTION("""COMPUTED_VALUE"""),145.91)</f>
        <v>145.91</v>
      </c>
      <c r="V525" s="1">
        <f ca="1">IFERROR(__xludf.DUMMYFUNCTION("""COMPUTED_VALUE"""),201.16)</f>
        <v>201.16</v>
      </c>
      <c r="W525" s="1">
        <f ca="1">IFERROR(__xludf.DUMMYFUNCTION("""COMPUTED_VALUE"""),393.15)</f>
        <v>393.15</v>
      </c>
      <c r="X525" s="1">
        <f ca="1">IFERROR(__xludf.DUMMYFUNCTION("""COMPUTED_VALUE"""),644.97)</f>
        <v>644.97</v>
      </c>
      <c r="Y525" s="1">
        <f ca="1">IFERROR(__xludf.DUMMYFUNCTION("""COMPUTED_VALUE"""),117.61)</f>
        <v>117.61</v>
      </c>
      <c r="Z525" s="1">
        <f ca="1">IFERROR(__xludf.DUMMYFUNCTION("""COMPUTED_VALUE"""),347.01)</f>
        <v>347.01</v>
      </c>
      <c r="AA525" s="1">
        <f ca="1">IFERROR(__xludf.DUMMYFUNCTION("""COMPUTED_VALUE"""),54.33)</f>
        <v>54.33</v>
      </c>
      <c r="AB525" s="1">
        <f ca="1">IFERROR(__xludf.DUMMYFUNCTION("""COMPUTED_VALUE"""),97.21)</f>
        <v>97.21</v>
      </c>
      <c r="AC525" s="1">
        <f ca="1">IFERROR(__xludf.DUMMYFUNCTION("""COMPUTED_VALUE"""),105.24)</f>
        <v>105.24</v>
      </c>
    </row>
    <row r="526" spans="1:29" x14ac:dyDescent="0.25">
      <c r="A526" s="2">
        <f ca="1">IFERROR(__xludf.DUMMYFUNCTION("""COMPUTED_VALUE"""),44592.6666666666)</f>
        <v>44592.666666666599</v>
      </c>
      <c r="B526" s="1">
        <f ca="1">IFERROR(__xludf.DUMMYFUNCTION("""COMPUTED_VALUE"""),174.78)</f>
        <v>174.78</v>
      </c>
      <c r="C526" s="1">
        <f ca="1">IFERROR(__xludf.DUMMYFUNCTION("""COMPUTED_VALUE"""),310.98)</f>
        <v>310.98</v>
      </c>
      <c r="D526" s="1">
        <f ca="1">IFERROR(__xludf.DUMMYFUNCTION("""COMPUTED_VALUE"""),149.57)</f>
        <v>149.57</v>
      </c>
      <c r="E526" s="1">
        <f ca="1">IFERROR(__xludf.DUMMYFUNCTION("""COMPUTED_VALUE"""),24.49)</f>
        <v>24.49</v>
      </c>
      <c r="F526" s="1">
        <f ca="1">IFERROR(__xludf.DUMMYFUNCTION("""COMPUTED_VALUE"""),313.26)</f>
        <v>313.26</v>
      </c>
      <c r="G526" s="1">
        <f ca="1">IFERROR(__xludf.DUMMYFUNCTION("""COMPUTED_VALUE"""),135.7)</f>
        <v>135.69999999999999</v>
      </c>
      <c r="H526" s="1">
        <f ca="1">IFERROR(__xludf.DUMMYFUNCTION("""COMPUTED_VALUE"""),312.24)</f>
        <v>312.24</v>
      </c>
      <c r="I526" s="1">
        <f ca="1">IFERROR(__xludf.DUMMYFUNCTION("""COMPUTED_VALUE"""),173.52)</f>
        <v>173.52</v>
      </c>
      <c r="J526" s="1">
        <f ca="1">IFERROR(__xludf.DUMMYFUNCTION("""COMPUTED_VALUE"""),505.13)</f>
        <v>505.13</v>
      </c>
      <c r="K526" s="1">
        <f ca="1">IFERROR(__xludf.DUMMYFUNCTION("""COMPUTED_VALUE"""),58.59)</f>
        <v>58.59</v>
      </c>
      <c r="L526" s="1">
        <f ca="1">IFERROR(__xludf.DUMMYFUNCTION("""COMPUTED_VALUE"""),534.3)</f>
        <v>534.29999999999995</v>
      </c>
      <c r="M526" s="1">
        <f ca="1">IFERROR(__xludf.DUMMYFUNCTION("""COMPUTED_VALUE"""),427.14)</f>
        <v>427.14</v>
      </c>
      <c r="N526" s="1">
        <f ca="1">IFERROR(__xludf.DUMMYFUNCTION("""COMPUTED_VALUE"""),148.6)</f>
        <v>148.6</v>
      </c>
      <c r="O526" s="1">
        <f ca="1">IFERROR(__xludf.DUMMYFUNCTION("""COMPUTED_VALUE"""),226.17)</f>
        <v>226.17</v>
      </c>
      <c r="P526" s="1">
        <f ca="1">IFERROR(__xludf.DUMMYFUNCTION("""COMPUTED_VALUE"""),172.29)</f>
        <v>172.29</v>
      </c>
      <c r="Q526" s="1">
        <f ca="1">IFERROR(__xludf.DUMMYFUNCTION("""COMPUTED_VALUE"""),472.57)</f>
        <v>472.57</v>
      </c>
      <c r="R526" s="1">
        <f ca="1">IFERROR(__xludf.DUMMYFUNCTION("""COMPUTED_VALUE"""),75.96)</f>
        <v>75.959999999999994</v>
      </c>
      <c r="S526" s="1">
        <f ca="1">IFERROR(__xludf.DUMMYFUNCTION("""COMPUTED_VALUE"""),78.12)</f>
        <v>78.12</v>
      </c>
      <c r="T526" s="1">
        <f ca="1">IFERROR(__xludf.DUMMYFUNCTION("""COMPUTED_VALUE"""),46.6)</f>
        <v>46.6</v>
      </c>
      <c r="U526" s="1">
        <f ca="1">IFERROR(__xludf.DUMMYFUNCTION("""COMPUTED_VALUE"""),148.07)</f>
        <v>148.07</v>
      </c>
      <c r="V526" s="1">
        <f ca="1">IFERROR(__xludf.DUMMYFUNCTION("""COMPUTED_VALUE"""),201.56)</f>
        <v>201.56</v>
      </c>
      <c r="W526" s="1">
        <f ca="1">IFERROR(__xludf.DUMMYFUNCTION("""COMPUTED_VALUE"""),389.13)</f>
        <v>389.13</v>
      </c>
      <c r="X526" s="1">
        <f ca="1">IFERROR(__xludf.DUMMYFUNCTION("""COMPUTED_VALUE"""),677.2)</f>
        <v>677.2</v>
      </c>
      <c r="Y526" s="1">
        <f ca="1">IFERROR(__xludf.DUMMYFUNCTION("""COMPUTED_VALUE"""),122.63)</f>
        <v>122.63</v>
      </c>
      <c r="Z526" s="1">
        <f ca="1">IFERROR(__xludf.DUMMYFUNCTION("""COMPUTED_VALUE"""),354.68)</f>
        <v>354.68</v>
      </c>
      <c r="AA526" s="1">
        <f ca="1">IFERROR(__xludf.DUMMYFUNCTION("""COMPUTED_VALUE"""),52.69)</f>
        <v>52.69</v>
      </c>
      <c r="AB526" s="1">
        <f ca="1">IFERROR(__xludf.DUMMYFUNCTION("""COMPUTED_VALUE"""),98.32)</f>
        <v>98.32</v>
      </c>
      <c r="AC526" s="1">
        <f ca="1">IFERROR(__xludf.DUMMYFUNCTION("""COMPUTED_VALUE"""),114.25)</f>
        <v>114.25</v>
      </c>
    </row>
    <row r="527" spans="1:29" x14ac:dyDescent="0.25">
      <c r="A527" s="2">
        <f ca="1">IFERROR(__xludf.DUMMYFUNCTION("""COMPUTED_VALUE"""),44593.6666666666)</f>
        <v>44593.666666666599</v>
      </c>
      <c r="B527" s="1">
        <f ca="1">IFERROR(__xludf.DUMMYFUNCTION("""COMPUTED_VALUE"""),174.61)</f>
        <v>174.61</v>
      </c>
      <c r="C527" s="1">
        <f ca="1">IFERROR(__xludf.DUMMYFUNCTION("""COMPUTED_VALUE"""),308.76)</f>
        <v>308.76</v>
      </c>
      <c r="D527" s="1">
        <f ca="1">IFERROR(__xludf.DUMMYFUNCTION("""COMPUTED_VALUE"""),151.19)</f>
        <v>151.19</v>
      </c>
      <c r="E527" s="1">
        <f ca="1">IFERROR(__xludf.DUMMYFUNCTION("""COMPUTED_VALUE"""),24.64)</f>
        <v>24.64</v>
      </c>
      <c r="F527" s="1">
        <f ca="1">IFERROR(__xludf.DUMMYFUNCTION("""COMPUTED_VALUE"""),319)</f>
        <v>319</v>
      </c>
      <c r="G527" s="1">
        <f ca="1">IFERROR(__xludf.DUMMYFUNCTION("""COMPUTED_VALUE"""),137.88)</f>
        <v>137.88</v>
      </c>
      <c r="H527" s="1">
        <f ca="1">IFERROR(__xludf.DUMMYFUNCTION("""COMPUTED_VALUE"""),310.42)</f>
        <v>310.42</v>
      </c>
      <c r="I527" s="1">
        <f ca="1">IFERROR(__xludf.DUMMYFUNCTION("""COMPUTED_VALUE"""),172.34)</f>
        <v>172.34</v>
      </c>
      <c r="J527" s="1">
        <f ca="1">IFERROR(__xludf.DUMMYFUNCTION("""COMPUTED_VALUE"""),508.41)</f>
        <v>508.41</v>
      </c>
      <c r="K527" s="1">
        <f ca="1">IFERROR(__xludf.DUMMYFUNCTION("""COMPUTED_VALUE"""),59.27)</f>
        <v>59.27</v>
      </c>
      <c r="L527" s="1">
        <f ca="1">IFERROR(__xludf.DUMMYFUNCTION("""COMPUTED_VALUE"""),535.98)</f>
        <v>535.98</v>
      </c>
      <c r="M527" s="1">
        <f ca="1">IFERROR(__xludf.DUMMYFUNCTION("""COMPUTED_VALUE"""),457.13)</f>
        <v>457.13</v>
      </c>
      <c r="N527" s="1">
        <f ca="1">IFERROR(__xludf.DUMMYFUNCTION("""COMPUTED_VALUE"""),151.15)</f>
        <v>151.15</v>
      </c>
      <c r="O527" s="1">
        <f ca="1">IFERROR(__xludf.DUMMYFUNCTION("""COMPUTED_VALUE"""),232.36)</f>
        <v>232.36</v>
      </c>
      <c r="P527" s="1">
        <f ca="1">IFERROR(__xludf.DUMMYFUNCTION("""COMPUTED_VALUE"""),170.88)</f>
        <v>170.88</v>
      </c>
      <c r="Q527" s="1">
        <f ca="1">IFERROR(__xludf.DUMMYFUNCTION("""COMPUTED_VALUE"""),468.41)</f>
        <v>468.41</v>
      </c>
      <c r="R527" s="1">
        <f ca="1">IFERROR(__xludf.DUMMYFUNCTION("""COMPUTED_VALUE"""),80.83)</f>
        <v>80.83</v>
      </c>
      <c r="S527" s="1">
        <f ca="1">IFERROR(__xludf.DUMMYFUNCTION("""COMPUTED_VALUE"""),77.23)</f>
        <v>77.23</v>
      </c>
      <c r="T527" s="1">
        <f ca="1">IFERROR(__xludf.DUMMYFUNCTION("""COMPUTED_VALUE"""),46.97)</f>
        <v>46.97</v>
      </c>
      <c r="U527" s="1">
        <f ca="1">IFERROR(__xludf.DUMMYFUNCTION("""COMPUTED_VALUE"""),148.22)</f>
        <v>148.22</v>
      </c>
      <c r="V527" s="1">
        <f ca="1">IFERROR(__xludf.DUMMYFUNCTION("""COMPUTED_VALUE"""),205.35)</f>
        <v>205.35</v>
      </c>
      <c r="W527" s="1">
        <f ca="1">IFERROR(__xludf.DUMMYFUNCTION("""COMPUTED_VALUE"""),387.01)</f>
        <v>387.01</v>
      </c>
      <c r="X527" s="1">
        <f ca="1">IFERROR(__xludf.DUMMYFUNCTION("""COMPUTED_VALUE"""),681.48)</f>
        <v>681.48</v>
      </c>
      <c r="Y527" s="1">
        <f ca="1">IFERROR(__xludf.DUMMYFUNCTION("""COMPUTED_VALUE"""),123.05)</f>
        <v>123.05</v>
      </c>
      <c r="Z527" s="1">
        <f ca="1">IFERROR(__xludf.DUMMYFUNCTION("""COMPUTED_VALUE"""),364.06)</f>
        <v>364.06</v>
      </c>
      <c r="AA527" s="1">
        <f ca="1">IFERROR(__xludf.DUMMYFUNCTION("""COMPUTED_VALUE"""),53.07)</f>
        <v>53.07</v>
      </c>
      <c r="AB527" s="1">
        <f ca="1">IFERROR(__xludf.DUMMYFUNCTION("""COMPUTED_VALUE"""),98.76)</f>
        <v>98.76</v>
      </c>
      <c r="AC527" s="1">
        <f ca="1">IFERROR(__xludf.DUMMYFUNCTION("""COMPUTED_VALUE"""),116.78)</f>
        <v>116.78</v>
      </c>
    </row>
    <row r="528" spans="1:29" x14ac:dyDescent="0.25">
      <c r="A528" s="2">
        <f ca="1">IFERROR(__xludf.DUMMYFUNCTION("""COMPUTED_VALUE"""),44594.6666666666)</f>
        <v>44594.666666666599</v>
      </c>
      <c r="B528" s="1">
        <f ca="1">IFERROR(__xludf.DUMMYFUNCTION("""COMPUTED_VALUE"""),175.84)</f>
        <v>175.84</v>
      </c>
      <c r="C528" s="1">
        <f ca="1">IFERROR(__xludf.DUMMYFUNCTION("""COMPUTED_VALUE"""),313.46)</f>
        <v>313.45999999999998</v>
      </c>
      <c r="D528" s="1">
        <f ca="1">IFERROR(__xludf.DUMMYFUNCTION("""COMPUTED_VALUE"""),150.61)</f>
        <v>150.61000000000001</v>
      </c>
      <c r="E528" s="1">
        <f ca="1">IFERROR(__xludf.DUMMYFUNCTION("""COMPUTED_VALUE"""),25.24)</f>
        <v>25.24</v>
      </c>
      <c r="F528" s="1">
        <f ca="1">IFERROR(__xludf.DUMMYFUNCTION("""COMPUTED_VALUE"""),323)</f>
        <v>323</v>
      </c>
      <c r="G528" s="1">
        <f ca="1">IFERROR(__xludf.DUMMYFUNCTION("""COMPUTED_VALUE"""),148.04)</f>
        <v>148.04</v>
      </c>
      <c r="H528" s="1">
        <f ca="1">IFERROR(__xludf.DUMMYFUNCTION("""COMPUTED_VALUE"""),301.89)</f>
        <v>301.89</v>
      </c>
      <c r="I528" s="1">
        <f ca="1">IFERROR(__xludf.DUMMYFUNCTION("""COMPUTED_VALUE"""),175.47)</f>
        <v>175.47</v>
      </c>
      <c r="J528" s="1">
        <f ca="1">IFERROR(__xludf.DUMMYFUNCTION("""COMPUTED_VALUE"""),522.02)</f>
        <v>522.02</v>
      </c>
      <c r="K528" s="1">
        <f ca="1">IFERROR(__xludf.DUMMYFUNCTION("""COMPUTED_VALUE"""),60.34)</f>
        <v>60.34</v>
      </c>
      <c r="L528" s="1">
        <f ca="1">IFERROR(__xludf.DUMMYFUNCTION("""COMPUTED_VALUE"""),533.09)</f>
        <v>533.09</v>
      </c>
      <c r="M528" s="1">
        <f ca="1">IFERROR(__xludf.DUMMYFUNCTION("""COMPUTED_VALUE"""),429.48)</f>
        <v>429.48</v>
      </c>
      <c r="N528" s="1">
        <f ca="1">IFERROR(__xludf.DUMMYFUNCTION("""COMPUTED_VALUE"""),149.94)</f>
        <v>149.94</v>
      </c>
      <c r="O528" s="1">
        <f ca="1">IFERROR(__xludf.DUMMYFUNCTION("""COMPUTED_VALUE"""),235.42)</f>
        <v>235.42</v>
      </c>
      <c r="P528" s="1">
        <f ca="1">IFERROR(__xludf.DUMMYFUNCTION("""COMPUTED_VALUE"""),172.77)</f>
        <v>172.77</v>
      </c>
      <c r="Q528" s="1">
        <f ca="1">IFERROR(__xludf.DUMMYFUNCTION("""COMPUTED_VALUE"""),479.78)</f>
        <v>479.78</v>
      </c>
      <c r="R528" s="1">
        <f ca="1">IFERROR(__xludf.DUMMYFUNCTION("""COMPUTED_VALUE"""),80.62)</f>
        <v>80.62</v>
      </c>
      <c r="S528" s="1">
        <f ca="1">IFERROR(__xludf.DUMMYFUNCTION("""COMPUTED_VALUE"""),77.73)</f>
        <v>77.73</v>
      </c>
      <c r="T528" s="1">
        <f ca="1">IFERROR(__xludf.DUMMYFUNCTION("""COMPUTED_VALUE"""),46.95)</f>
        <v>46.95</v>
      </c>
      <c r="U528" s="1">
        <f ca="1">IFERROR(__xludf.DUMMYFUNCTION("""COMPUTED_VALUE"""),148.71)</f>
        <v>148.71</v>
      </c>
      <c r="V528" s="1">
        <f ca="1">IFERROR(__xludf.DUMMYFUNCTION("""COMPUTED_VALUE"""),204.94)</f>
        <v>204.94</v>
      </c>
      <c r="W528" s="1">
        <f ca="1">IFERROR(__xludf.DUMMYFUNCTION("""COMPUTED_VALUE"""),387.34)</f>
        <v>387.34</v>
      </c>
      <c r="X528" s="1">
        <f ca="1">IFERROR(__xludf.DUMMYFUNCTION("""COMPUTED_VALUE"""),686.75)</f>
        <v>686.75</v>
      </c>
      <c r="Y528" s="1">
        <f ca="1">IFERROR(__xludf.DUMMYFUNCTION("""COMPUTED_VALUE"""),124.15)</f>
        <v>124.15</v>
      </c>
      <c r="Z528" s="1">
        <f ca="1">IFERROR(__xludf.DUMMYFUNCTION("""COMPUTED_VALUE"""),363.06)</f>
        <v>363.06</v>
      </c>
      <c r="AA528" s="1">
        <f ca="1">IFERROR(__xludf.DUMMYFUNCTION("""COMPUTED_VALUE"""),53.86)</f>
        <v>53.86</v>
      </c>
      <c r="AB528" s="1">
        <f ca="1">IFERROR(__xludf.DUMMYFUNCTION("""COMPUTED_VALUE"""),97.73)</f>
        <v>97.73</v>
      </c>
      <c r="AC528" s="1">
        <f ca="1">IFERROR(__xludf.DUMMYFUNCTION("""COMPUTED_VALUE"""),122.76)</f>
        <v>122.76</v>
      </c>
    </row>
    <row r="529" spans="1:29" x14ac:dyDescent="0.25">
      <c r="A529" s="2">
        <f ca="1">IFERROR(__xludf.DUMMYFUNCTION("""COMPUTED_VALUE"""),44595.6666666666)</f>
        <v>44595.666666666599</v>
      </c>
      <c r="B529" s="1">
        <f ca="1">IFERROR(__xludf.DUMMYFUNCTION("""COMPUTED_VALUE"""),172.9)</f>
        <v>172.9</v>
      </c>
      <c r="C529" s="1">
        <f ca="1">IFERROR(__xludf.DUMMYFUNCTION("""COMPUTED_VALUE"""),301.25)</f>
        <v>301.25</v>
      </c>
      <c r="D529" s="1">
        <f ca="1">IFERROR(__xludf.DUMMYFUNCTION("""COMPUTED_VALUE"""),138.85)</f>
        <v>138.85</v>
      </c>
      <c r="E529" s="1">
        <f ca="1">IFERROR(__xludf.DUMMYFUNCTION("""COMPUTED_VALUE"""),23.95)</f>
        <v>23.95</v>
      </c>
      <c r="F529" s="1">
        <f ca="1">IFERROR(__xludf.DUMMYFUNCTION("""COMPUTED_VALUE"""),237.76)</f>
        <v>237.76</v>
      </c>
      <c r="G529" s="1">
        <f ca="1">IFERROR(__xludf.DUMMYFUNCTION("""COMPUTED_VALUE"""),142.65)</f>
        <v>142.65</v>
      </c>
      <c r="H529" s="1">
        <f ca="1">IFERROR(__xludf.DUMMYFUNCTION("""COMPUTED_VALUE"""),297.05)</f>
        <v>297.05</v>
      </c>
      <c r="I529" s="1">
        <f ca="1">IFERROR(__xludf.DUMMYFUNCTION("""COMPUTED_VALUE"""),175.37)</f>
        <v>175.37</v>
      </c>
      <c r="J529" s="1">
        <f ca="1">IFERROR(__xludf.DUMMYFUNCTION("""COMPUTED_VALUE"""),521.77)</f>
        <v>521.77</v>
      </c>
      <c r="K529" s="1">
        <f ca="1">IFERROR(__xludf.DUMMYFUNCTION("""COMPUTED_VALUE"""),58.09)</f>
        <v>58.09</v>
      </c>
      <c r="L529" s="1">
        <f ca="1">IFERROR(__xludf.DUMMYFUNCTION("""COMPUTED_VALUE"""),510.83)</f>
        <v>510.83</v>
      </c>
      <c r="M529" s="1">
        <f ca="1">IFERROR(__xludf.DUMMYFUNCTION("""COMPUTED_VALUE"""),405.6)</f>
        <v>405.6</v>
      </c>
      <c r="N529" s="1">
        <f ca="1">IFERROR(__xludf.DUMMYFUNCTION("""COMPUTED_VALUE"""),148.7)</f>
        <v>148.69999999999999</v>
      </c>
      <c r="O529" s="1">
        <f ca="1">IFERROR(__xludf.DUMMYFUNCTION("""COMPUTED_VALUE"""),231.54)</f>
        <v>231.54</v>
      </c>
      <c r="P529" s="1">
        <f ca="1">IFERROR(__xludf.DUMMYFUNCTION("""COMPUTED_VALUE"""),172.76)</f>
        <v>172.76</v>
      </c>
      <c r="Q529" s="1">
        <f ca="1">IFERROR(__xludf.DUMMYFUNCTION("""COMPUTED_VALUE"""),488.77)</f>
        <v>488.77</v>
      </c>
      <c r="R529" s="1">
        <f ca="1">IFERROR(__xludf.DUMMYFUNCTION("""COMPUTED_VALUE"""),79.68)</f>
        <v>79.680000000000007</v>
      </c>
      <c r="S529" s="1">
        <f ca="1">IFERROR(__xludf.DUMMYFUNCTION("""COMPUTED_VALUE"""),75.77)</f>
        <v>75.77</v>
      </c>
      <c r="T529" s="1">
        <f ca="1">IFERROR(__xludf.DUMMYFUNCTION("""COMPUTED_VALUE"""),47)</f>
        <v>47</v>
      </c>
      <c r="U529" s="1">
        <f ca="1">IFERROR(__xludf.DUMMYFUNCTION("""COMPUTED_VALUE"""),145.31)</f>
        <v>145.31</v>
      </c>
      <c r="V529" s="1">
        <f ca="1">IFERROR(__xludf.DUMMYFUNCTION("""COMPUTED_VALUE"""),200.59)</f>
        <v>200.59</v>
      </c>
      <c r="W529" s="1">
        <f ca="1">IFERROR(__xludf.DUMMYFUNCTION("""COMPUTED_VALUE"""),389.7)</f>
        <v>389.7</v>
      </c>
      <c r="X529" s="1">
        <f ca="1">IFERROR(__xludf.DUMMYFUNCTION("""COMPUTED_VALUE"""),645.93)</f>
        <v>645.92999999999995</v>
      </c>
      <c r="Y529" s="1">
        <f ca="1">IFERROR(__xludf.DUMMYFUNCTION("""COMPUTED_VALUE"""),119.84)</f>
        <v>119.84</v>
      </c>
      <c r="Z529" s="1">
        <f ca="1">IFERROR(__xludf.DUMMYFUNCTION("""COMPUTED_VALUE"""),358.88)</f>
        <v>358.88</v>
      </c>
      <c r="AA529" s="1">
        <f ca="1">IFERROR(__xludf.DUMMYFUNCTION("""COMPUTED_VALUE"""),53.38)</f>
        <v>53.38</v>
      </c>
      <c r="AB529" s="1">
        <f ca="1">IFERROR(__xludf.DUMMYFUNCTION("""COMPUTED_VALUE"""),95.94)</f>
        <v>95.94</v>
      </c>
      <c r="AC529" s="1">
        <f ca="1">IFERROR(__xludf.DUMMYFUNCTION("""COMPUTED_VALUE"""),120.08)</f>
        <v>120.08</v>
      </c>
    </row>
    <row r="530" spans="1:29" x14ac:dyDescent="0.25">
      <c r="A530" s="2">
        <f ca="1">IFERROR(__xludf.DUMMYFUNCTION("""COMPUTED_VALUE"""),44596.6666666666)</f>
        <v>44596.666666666599</v>
      </c>
      <c r="B530" s="1">
        <f ca="1">IFERROR(__xludf.DUMMYFUNCTION("""COMPUTED_VALUE"""),172.39)</f>
        <v>172.39</v>
      </c>
      <c r="C530" s="1">
        <f ca="1">IFERROR(__xludf.DUMMYFUNCTION("""COMPUTED_VALUE"""),305.94)</f>
        <v>305.94</v>
      </c>
      <c r="D530" s="1">
        <f ca="1">IFERROR(__xludf.DUMMYFUNCTION("""COMPUTED_VALUE"""),157.64)</f>
        <v>157.63999999999999</v>
      </c>
      <c r="E530" s="1">
        <f ca="1">IFERROR(__xludf.DUMMYFUNCTION("""COMPUTED_VALUE"""),24.32)</f>
        <v>24.32</v>
      </c>
      <c r="F530" s="1">
        <f ca="1">IFERROR(__xludf.DUMMYFUNCTION("""COMPUTED_VALUE"""),237.09)</f>
        <v>237.09</v>
      </c>
      <c r="G530" s="1">
        <f ca="1">IFERROR(__xludf.DUMMYFUNCTION("""COMPUTED_VALUE"""),143.02)</f>
        <v>143.02000000000001</v>
      </c>
      <c r="H530" s="1">
        <f ca="1">IFERROR(__xludf.DUMMYFUNCTION("""COMPUTED_VALUE"""),307.77)</f>
        <v>307.77</v>
      </c>
      <c r="I530" s="1">
        <f ca="1">IFERROR(__xludf.DUMMYFUNCTION("""COMPUTED_VALUE"""),172.49)</f>
        <v>172.49</v>
      </c>
      <c r="J530" s="1">
        <f ca="1">IFERROR(__xludf.DUMMYFUNCTION("""COMPUTED_VALUE"""),519.77)</f>
        <v>519.77</v>
      </c>
      <c r="K530" s="1">
        <f ca="1">IFERROR(__xludf.DUMMYFUNCTION("""COMPUTED_VALUE"""),59.02)</f>
        <v>59.02</v>
      </c>
      <c r="L530" s="1">
        <f ca="1">IFERROR(__xludf.DUMMYFUNCTION("""COMPUTED_VALUE"""),513.54)</f>
        <v>513.54</v>
      </c>
      <c r="M530" s="1">
        <f ca="1">IFERROR(__xludf.DUMMYFUNCTION("""COMPUTED_VALUE"""),410.17)</f>
        <v>410.17</v>
      </c>
      <c r="N530" s="1">
        <f ca="1">IFERROR(__xludf.DUMMYFUNCTION("""COMPUTED_VALUE"""),152.56)</f>
        <v>152.56</v>
      </c>
      <c r="O530" s="1">
        <f ca="1">IFERROR(__xludf.DUMMYFUNCTION("""COMPUTED_VALUE"""),228.39)</f>
        <v>228.39</v>
      </c>
      <c r="P530" s="1">
        <f ca="1">IFERROR(__xludf.DUMMYFUNCTION("""COMPUTED_VALUE"""),171.63)</f>
        <v>171.63</v>
      </c>
      <c r="Q530" s="1">
        <f ca="1">IFERROR(__xludf.DUMMYFUNCTION("""COMPUTED_VALUE"""),483.17)</f>
        <v>483.17</v>
      </c>
      <c r="R530" s="1">
        <f ca="1">IFERROR(__xludf.DUMMYFUNCTION("""COMPUTED_VALUE"""),81.41)</f>
        <v>81.41</v>
      </c>
      <c r="S530" s="1">
        <f ca="1">IFERROR(__xludf.DUMMYFUNCTION("""COMPUTED_VALUE"""),76.01)</f>
        <v>76.010000000000005</v>
      </c>
      <c r="T530" s="1">
        <f ca="1">IFERROR(__xludf.DUMMYFUNCTION("""COMPUTED_VALUE"""),46.44)</f>
        <v>46.44</v>
      </c>
      <c r="U530" s="1">
        <f ca="1">IFERROR(__xludf.DUMMYFUNCTION("""COMPUTED_VALUE"""),145.39)</f>
        <v>145.38999999999999</v>
      </c>
      <c r="V530" s="1">
        <f ca="1">IFERROR(__xludf.DUMMYFUNCTION("""COMPUTED_VALUE"""),198.41)</f>
        <v>198.41</v>
      </c>
      <c r="W530" s="1">
        <f ca="1">IFERROR(__xludf.DUMMYFUNCTION("""COMPUTED_VALUE"""),389.33)</f>
        <v>389.33</v>
      </c>
      <c r="X530" s="1">
        <f ca="1">IFERROR(__xludf.DUMMYFUNCTION("""COMPUTED_VALUE"""),652.81)</f>
        <v>652.80999999999995</v>
      </c>
      <c r="Y530" s="1">
        <f ca="1">IFERROR(__xludf.DUMMYFUNCTION("""COMPUTED_VALUE"""),121.02)</f>
        <v>121.02</v>
      </c>
      <c r="Z530" s="1">
        <f ca="1">IFERROR(__xludf.DUMMYFUNCTION("""COMPUTED_VALUE"""),367.6)</f>
        <v>367.6</v>
      </c>
      <c r="AA530" s="1">
        <f ca="1">IFERROR(__xludf.DUMMYFUNCTION("""COMPUTED_VALUE"""),53)</f>
        <v>53</v>
      </c>
      <c r="AB530" s="1">
        <f ca="1">IFERROR(__xludf.DUMMYFUNCTION("""COMPUTED_VALUE"""),95)</f>
        <v>95</v>
      </c>
      <c r="AC530" s="1">
        <f ca="1">IFERROR(__xludf.DUMMYFUNCTION("""COMPUTED_VALUE"""),123.6)</f>
        <v>123.6</v>
      </c>
    </row>
    <row r="531" spans="1:29" x14ac:dyDescent="0.25">
      <c r="A531" s="2">
        <f ca="1">IFERROR(__xludf.DUMMYFUNCTION("""COMPUTED_VALUE"""),44599.6666666666)</f>
        <v>44599.666666666599</v>
      </c>
      <c r="B531" s="1">
        <f ca="1">IFERROR(__xludf.DUMMYFUNCTION("""COMPUTED_VALUE"""),171.66)</f>
        <v>171.66</v>
      </c>
      <c r="C531" s="1">
        <f ca="1">IFERROR(__xludf.DUMMYFUNCTION("""COMPUTED_VALUE"""),300.95)</f>
        <v>300.95</v>
      </c>
      <c r="D531" s="1">
        <f ca="1">IFERROR(__xludf.DUMMYFUNCTION("""COMPUTED_VALUE"""),157.94)</f>
        <v>157.94</v>
      </c>
      <c r="E531" s="1">
        <f ca="1">IFERROR(__xludf.DUMMYFUNCTION("""COMPUTED_VALUE"""),24.73)</f>
        <v>24.73</v>
      </c>
      <c r="F531" s="1">
        <f ca="1">IFERROR(__xludf.DUMMYFUNCTION("""COMPUTED_VALUE"""),224.91)</f>
        <v>224.91</v>
      </c>
      <c r="G531" s="1">
        <f ca="1">IFERROR(__xludf.DUMMYFUNCTION("""COMPUTED_VALUE"""),138.94)</f>
        <v>138.94</v>
      </c>
      <c r="H531" s="1">
        <f ca="1">IFERROR(__xludf.DUMMYFUNCTION("""COMPUTED_VALUE"""),302.45)</f>
        <v>302.45</v>
      </c>
      <c r="I531" s="1">
        <f ca="1">IFERROR(__xludf.DUMMYFUNCTION("""COMPUTED_VALUE"""),171.81)</f>
        <v>171.81</v>
      </c>
      <c r="J531" s="1">
        <f ca="1">IFERROR(__xludf.DUMMYFUNCTION("""COMPUTED_VALUE"""),515.89)</f>
        <v>515.89</v>
      </c>
      <c r="K531" s="1">
        <f ca="1">IFERROR(__xludf.DUMMYFUNCTION("""COMPUTED_VALUE"""),58.76)</f>
        <v>58.76</v>
      </c>
      <c r="L531" s="1">
        <f ca="1">IFERROR(__xludf.DUMMYFUNCTION("""COMPUTED_VALUE"""),507.1)</f>
        <v>507.1</v>
      </c>
      <c r="M531" s="1">
        <f ca="1">IFERROR(__xludf.DUMMYFUNCTION("""COMPUTED_VALUE"""),402.1)</f>
        <v>402.1</v>
      </c>
      <c r="N531" s="1">
        <f ca="1">IFERROR(__xludf.DUMMYFUNCTION("""COMPUTED_VALUE"""),153.07)</f>
        <v>153.07</v>
      </c>
      <c r="O531" s="1">
        <f ca="1">IFERROR(__xludf.DUMMYFUNCTION("""COMPUTED_VALUE"""),227.16)</f>
        <v>227.16</v>
      </c>
      <c r="P531" s="1">
        <f ca="1">IFERROR(__xludf.DUMMYFUNCTION("""COMPUTED_VALUE"""),171.06)</f>
        <v>171.06</v>
      </c>
      <c r="Q531" s="1">
        <f ca="1">IFERROR(__xludf.DUMMYFUNCTION("""COMPUTED_VALUE"""),483.7)</f>
        <v>483.7</v>
      </c>
      <c r="R531" s="1">
        <f ca="1">IFERROR(__xludf.DUMMYFUNCTION("""COMPUTED_VALUE"""),82.39)</f>
        <v>82.39</v>
      </c>
      <c r="S531" s="1">
        <f ca="1">IFERROR(__xludf.DUMMYFUNCTION("""COMPUTED_VALUE"""),75.68)</f>
        <v>75.680000000000007</v>
      </c>
      <c r="T531" s="1">
        <f ca="1">IFERROR(__xludf.DUMMYFUNCTION("""COMPUTED_VALUE"""),45.99)</f>
        <v>45.99</v>
      </c>
      <c r="U531" s="1">
        <f ca="1">IFERROR(__xludf.DUMMYFUNCTION("""COMPUTED_VALUE"""),145.14)</f>
        <v>145.13999999999999</v>
      </c>
      <c r="V531" s="1">
        <f ca="1">IFERROR(__xludf.DUMMYFUNCTION("""COMPUTED_VALUE"""),199.82)</f>
        <v>199.82</v>
      </c>
      <c r="W531" s="1">
        <f ca="1">IFERROR(__xludf.DUMMYFUNCTION("""COMPUTED_VALUE"""),392.34)</f>
        <v>392.34</v>
      </c>
      <c r="X531" s="1">
        <f ca="1">IFERROR(__xludf.DUMMYFUNCTION("""COMPUTED_VALUE"""),650.03)</f>
        <v>650.03</v>
      </c>
      <c r="Y531" s="1">
        <f ca="1">IFERROR(__xludf.DUMMYFUNCTION("""COMPUTED_VALUE"""),122.31)</f>
        <v>122.31</v>
      </c>
      <c r="Z531" s="1">
        <f ca="1">IFERROR(__xludf.DUMMYFUNCTION("""COMPUTED_VALUE"""),368.15)</f>
        <v>368.15</v>
      </c>
      <c r="AA531" s="1">
        <f ca="1">IFERROR(__xludf.DUMMYFUNCTION("""COMPUTED_VALUE"""),53.21)</f>
        <v>53.21</v>
      </c>
      <c r="AB531" s="1">
        <f ca="1">IFERROR(__xludf.DUMMYFUNCTION("""COMPUTED_VALUE"""),95.19)</f>
        <v>95.19</v>
      </c>
      <c r="AC531" s="1">
        <f ca="1">IFERROR(__xludf.DUMMYFUNCTION("""COMPUTED_VALUE"""),123.67)</f>
        <v>123.67</v>
      </c>
    </row>
    <row r="532" spans="1:29" x14ac:dyDescent="0.25">
      <c r="A532" s="2">
        <f ca="1">IFERROR(__xludf.DUMMYFUNCTION("""COMPUTED_VALUE"""),44600.6666666666)</f>
        <v>44600.666666666599</v>
      </c>
      <c r="B532" s="1">
        <f ca="1">IFERROR(__xludf.DUMMYFUNCTION("""COMPUTED_VALUE"""),174.83)</f>
        <v>174.83</v>
      </c>
      <c r="C532" s="1">
        <f ca="1">IFERROR(__xludf.DUMMYFUNCTION("""COMPUTED_VALUE"""),304.56)</f>
        <v>304.56</v>
      </c>
      <c r="D532" s="1">
        <f ca="1">IFERROR(__xludf.DUMMYFUNCTION("""COMPUTED_VALUE"""),161.41)</f>
        <v>161.41</v>
      </c>
      <c r="E532" s="1">
        <f ca="1">IFERROR(__xludf.DUMMYFUNCTION("""COMPUTED_VALUE"""),25.11)</f>
        <v>25.11</v>
      </c>
      <c r="F532" s="1">
        <f ca="1">IFERROR(__xludf.DUMMYFUNCTION("""COMPUTED_VALUE"""),220.18)</f>
        <v>220.18</v>
      </c>
      <c r="G532" s="1">
        <f ca="1">IFERROR(__xludf.DUMMYFUNCTION("""COMPUTED_VALUE"""),139.21)</f>
        <v>139.21</v>
      </c>
      <c r="H532" s="1">
        <f ca="1">IFERROR(__xludf.DUMMYFUNCTION("""COMPUTED_VALUE"""),307.33)</f>
        <v>307.33</v>
      </c>
      <c r="I532" s="1">
        <f ca="1">IFERROR(__xludf.DUMMYFUNCTION("""COMPUTED_VALUE"""),172.02)</f>
        <v>172.02</v>
      </c>
      <c r="J532" s="1">
        <f ca="1">IFERROR(__xludf.DUMMYFUNCTION("""COMPUTED_VALUE"""),521.15)</f>
        <v>521.15</v>
      </c>
      <c r="K532" s="1">
        <f ca="1">IFERROR(__xludf.DUMMYFUNCTION("""COMPUTED_VALUE"""),60.02)</f>
        <v>60.02</v>
      </c>
      <c r="L532" s="1">
        <f ca="1">IFERROR(__xludf.DUMMYFUNCTION("""COMPUTED_VALUE"""),511.31)</f>
        <v>511.31</v>
      </c>
      <c r="M532" s="1">
        <f ca="1">IFERROR(__xludf.DUMMYFUNCTION("""COMPUTED_VALUE"""),403.53)</f>
        <v>403.53</v>
      </c>
      <c r="N532" s="1">
        <f ca="1">IFERROR(__xludf.DUMMYFUNCTION("""COMPUTED_VALUE"""),155.95)</f>
        <v>155.94999999999999</v>
      </c>
      <c r="O532" s="1">
        <f ca="1">IFERROR(__xludf.DUMMYFUNCTION("""COMPUTED_VALUE"""),227.94)</f>
        <v>227.94</v>
      </c>
      <c r="P532" s="1">
        <f ca="1">IFERROR(__xludf.DUMMYFUNCTION("""COMPUTED_VALUE"""),171.51)</f>
        <v>171.51</v>
      </c>
      <c r="Q532" s="1">
        <f ca="1">IFERROR(__xludf.DUMMYFUNCTION("""COMPUTED_VALUE"""),493.41)</f>
        <v>493.41</v>
      </c>
      <c r="R532" s="1">
        <f ca="1">IFERROR(__xludf.DUMMYFUNCTION("""COMPUTED_VALUE"""),80.26)</f>
        <v>80.260000000000005</v>
      </c>
      <c r="S532" s="1">
        <f ca="1">IFERROR(__xludf.DUMMYFUNCTION("""COMPUTED_VALUE"""),75.46)</f>
        <v>75.459999999999994</v>
      </c>
      <c r="T532" s="1">
        <f ca="1">IFERROR(__xludf.DUMMYFUNCTION("""COMPUTED_VALUE"""),46)</f>
        <v>46</v>
      </c>
      <c r="U532" s="1">
        <f ca="1">IFERROR(__xludf.DUMMYFUNCTION("""COMPUTED_VALUE"""),143.53)</f>
        <v>143.53</v>
      </c>
      <c r="V532" s="1">
        <f ca="1">IFERROR(__xludf.DUMMYFUNCTION("""COMPUTED_VALUE"""),201.5)</f>
        <v>201.5</v>
      </c>
      <c r="W532" s="1">
        <f ca="1">IFERROR(__xludf.DUMMYFUNCTION("""COMPUTED_VALUE"""),396.04)</f>
        <v>396.04</v>
      </c>
      <c r="X532" s="1">
        <f ca="1">IFERROR(__xludf.DUMMYFUNCTION("""COMPUTED_VALUE"""),653.47)</f>
        <v>653.47</v>
      </c>
      <c r="Y532" s="1">
        <f ca="1">IFERROR(__xludf.DUMMYFUNCTION("""COMPUTED_VALUE"""),123.71)</f>
        <v>123.71</v>
      </c>
      <c r="Z532" s="1">
        <f ca="1">IFERROR(__xludf.DUMMYFUNCTION("""COMPUTED_VALUE"""),370.1)</f>
        <v>370.1</v>
      </c>
      <c r="AA532" s="1">
        <f ca="1">IFERROR(__xludf.DUMMYFUNCTION("""COMPUTED_VALUE"""),51.7)</f>
        <v>51.7</v>
      </c>
      <c r="AB532" s="1">
        <f ca="1">IFERROR(__xludf.DUMMYFUNCTION("""COMPUTED_VALUE"""),94.92)</f>
        <v>94.92</v>
      </c>
      <c r="AC532" s="1">
        <f ca="1">IFERROR(__xludf.DUMMYFUNCTION("""COMPUTED_VALUE"""),128.23)</f>
        <v>128.22999999999999</v>
      </c>
    </row>
    <row r="533" spans="1:29" x14ac:dyDescent="0.25">
      <c r="A533" s="2">
        <f ca="1">IFERROR(__xludf.DUMMYFUNCTION("""COMPUTED_VALUE"""),44601.6666666666)</f>
        <v>44601.666666666599</v>
      </c>
      <c r="B533" s="1">
        <f ca="1">IFERROR(__xludf.DUMMYFUNCTION("""COMPUTED_VALUE"""),176.28)</f>
        <v>176.28</v>
      </c>
      <c r="C533" s="1">
        <f ca="1">IFERROR(__xludf.DUMMYFUNCTION("""COMPUTED_VALUE"""),311.21)</f>
        <v>311.20999999999998</v>
      </c>
      <c r="D533" s="1">
        <f ca="1">IFERROR(__xludf.DUMMYFUNCTION("""COMPUTED_VALUE"""),161.19)</f>
        <v>161.19</v>
      </c>
      <c r="E533" s="1">
        <f ca="1">IFERROR(__xludf.DUMMYFUNCTION("""COMPUTED_VALUE"""),26.71)</f>
        <v>26.71</v>
      </c>
      <c r="F533" s="1">
        <f ca="1">IFERROR(__xludf.DUMMYFUNCTION("""COMPUTED_VALUE"""),232)</f>
        <v>232</v>
      </c>
      <c r="G533" s="1">
        <f ca="1">IFERROR(__xludf.DUMMYFUNCTION("""COMPUTED_VALUE"""),141.45)</f>
        <v>141.44999999999999</v>
      </c>
      <c r="H533" s="1">
        <f ca="1">IFERROR(__xludf.DUMMYFUNCTION("""COMPUTED_VALUE"""),310.67)</f>
        <v>310.67</v>
      </c>
      <c r="I533" s="1">
        <f ca="1">IFERROR(__xludf.DUMMYFUNCTION("""COMPUTED_VALUE"""),171.94)</f>
        <v>171.94</v>
      </c>
      <c r="J533" s="1">
        <f ca="1">IFERROR(__xludf.DUMMYFUNCTION("""COMPUTED_VALUE"""),528.83)</f>
        <v>528.83000000000004</v>
      </c>
      <c r="K533" s="1">
        <f ca="1">IFERROR(__xludf.DUMMYFUNCTION("""COMPUTED_VALUE"""),61.13)</f>
        <v>61.13</v>
      </c>
      <c r="L533" s="1">
        <f ca="1">IFERROR(__xludf.DUMMYFUNCTION("""COMPUTED_VALUE"""),521.75)</f>
        <v>521.75</v>
      </c>
      <c r="M533" s="1">
        <f ca="1">IFERROR(__xludf.DUMMYFUNCTION("""COMPUTED_VALUE"""),412.89)</f>
        <v>412.89</v>
      </c>
      <c r="N533" s="1">
        <f ca="1">IFERROR(__xludf.DUMMYFUNCTION("""COMPUTED_VALUE"""),156.6)</f>
        <v>156.6</v>
      </c>
      <c r="O533" s="1">
        <f ca="1">IFERROR(__xludf.DUMMYFUNCTION("""COMPUTED_VALUE"""),230.87)</f>
        <v>230.87</v>
      </c>
      <c r="P533" s="1">
        <f ca="1">IFERROR(__xludf.DUMMYFUNCTION("""COMPUTED_VALUE"""),171.49)</f>
        <v>171.49</v>
      </c>
      <c r="Q533" s="1">
        <f ca="1">IFERROR(__xludf.DUMMYFUNCTION("""COMPUTED_VALUE"""),498.1)</f>
        <v>498.1</v>
      </c>
      <c r="R533" s="1">
        <f ca="1">IFERROR(__xludf.DUMMYFUNCTION("""COMPUTED_VALUE"""),79)</f>
        <v>79</v>
      </c>
      <c r="S533" s="1">
        <f ca="1">IFERROR(__xludf.DUMMYFUNCTION("""COMPUTED_VALUE"""),76.66)</f>
        <v>76.66</v>
      </c>
      <c r="T533" s="1">
        <f ca="1">IFERROR(__xludf.DUMMYFUNCTION("""COMPUTED_VALUE"""),45.9)</f>
        <v>45.9</v>
      </c>
      <c r="U533" s="1">
        <f ca="1">IFERROR(__xludf.DUMMYFUNCTION("""COMPUTED_VALUE"""),146.26)</f>
        <v>146.26</v>
      </c>
      <c r="V533" s="1">
        <f ca="1">IFERROR(__xludf.DUMMYFUNCTION("""COMPUTED_VALUE"""),203.6)</f>
        <v>203.6</v>
      </c>
      <c r="W533" s="1">
        <f ca="1">IFERROR(__xludf.DUMMYFUNCTION("""COMPUTED_VALUE"""),394.54)</f>
        <v>394.54</v>
      </c>
      <c r="X533" s="1">
        <f ca="1">IFERROR(__xludf.DUMMYFUNCTION("""COMPUTED_VALUE"""),680.37)</f>
        <v>680.37</v>
      </c>
      <c r="Y533" s="1">
        <f ca="1">IFERROR(__xludf.DUMMYFUNCTION("""COMPUTED_VALUE"""),125.52)</f>
        <v>125.52</v>
      </c>
      <c r="Z533" s="1">
        <f ca="1">IFERROR(__xludf.DUMMYFUNCTION("""COMPUTED_VALUE"""),374.53)</f>
        <v>374.53</v>
      </c>
      <c r="AA533" s="1">
        <f ca="1">IFERROR(__xludf.DUMMYFUNCTION("""COMPUTED_VALUE"""),51.47)</f>
        <v>51.47</v>
      </c>
      <c r="AB533" s="1">
        <f ca="1">IFERROR(__xludf.DUMMYFUNCTION("""COMPUTED_VALUE"""),97.13)</f>
        <v>97.13</v>
      </c>
      <c r="AC533" s="1">
        <f ca="1">IFERROR(__xludf.DUMMYFUNCTION("""COMPUTED_VALUE"""),132.85)</f>
        <v>132.85</v>
      </c>
    </row>
    <row r="534" spans="1:29" x14ac:dyDescent="0.25">
      <c r="A534" s="2">
        <f ca="1">IFERROR(__xludf.DUMMYFUNCTION("""COMPUTED_VALUE"""),44602.6666666666)</f>
        <v>44602.666666666599</v>
      </c>
      <c r="B534" s="1">
        <f ca="1">IFERROR(__xludf.DUMMYFUNCTION("""COMPUTED_VALUE"""),172.12)</f>
        <v>172.12</v>
      </c>
      <c r="C534" s="1">
        <f ca="1">IFERROR(__xludf.DUMMYFUNCTION("""COMPUTED_VALUE"""),302.38)</f>
        <v>302.38</v>
      </c>
      <c r="D534" s="1">
        <f ca="1">IFERROR(__xludf.DUMMYFUNCTION("""COMPUTED_VALUE"""),159)</f>
        <v>159</v>
      </c>
      <c r="E534" s="1">
        <f ca="1">IFERROR(__xludf.DUMMYFUNCTION("""COMPUTED_VALUE"""),25.82)</f>
        <v>25.82</v>
      </c>
      <c r="F534" s="1">
        <f ca="1">IFERROR(__xludf.DUMMYFUNCTION("""COMPUTED_VALUE"""),228.07)</f>
        <v>228.07</v>
      </c>
      <c r="G534" s="1">
        <f ca="1">IFERROR(__xludf.DUMMYFUNCTION("""COMPUTED_VALUE"""),138.6)</f>
        <v>138.6</v>
      </c>
      <c r="H534" s="1">
        <f ca="1">IFERROR(__xludf.DUMMYFUNCTION("""COMPUTED_VALUE"""),301.52)</f>
        <v>301.52</v>
      </c>
      <c r="I534" s="1">
        <f ca="1">IFERROR(__xludf.DUMMYFUNCTION("""COMPUTED_VALUE"""),168.37)</f>
        <v>168.37</v>
      </c>
      <c r="J534" s="1">
        <f ca="1">IFERROR(__xludf.DUMMYFUNCTION("""COMPUTED_VALUE"""),518.48)</f>
        <v>518.48</v>
      </c>
      <c r="K534" s="1">
        <f ca="1">IFERROR(__xludf.DUMMYFUNCTION("""COMPUTED_VALUE"""),59.14)</f>
        <v>59.14</v>
      </c>
      <c r="L534" s="1">
        <f ca="1">IFERROR(__xludf.DUMMYFUNCTION("""COMPUTED_VALUE"""),495.02)</f>
        <v>495.02</v>
      </c>
      <c r="M534" s="1">
        <f ca="1">IFERROR(__xludf.DUMMYFUNCTION("""COMPUTED_VALUE"""),406.27)</f>
        <v>406.27</v>
      </c>
      <c r="N534" s="1">
        <f ca="1">IFERROR(__xludf.DUMMYFUNCTION("""COMPUTED_VALUE"""),155.95)</f>
        <v>155.94999999999999</v>
      </c>
      <c r="O534" s="1">
        <f ca="1">IFERROR(__xludf.DUMMYFUNCTION("""COMPUTED_VALUE"""),225.59)</f>
        <v>225.59</v>
      </c>
      <c r="P534" s="1">
        <f ca="1">IFERROR(__xludf.DUMMYFUNCTION("""COMPUTED_VALUE"""),169.42)</f>
        <v>169.42</v>
      </c>
      <c r="Q534" s="1">
        <f ca="1">IFERROR(__xludf.DUMMYFUNCTION("""COMPUTED_VALUE"""),486.72)</f>
        <v>486.72</v>
      </c>
      <c r="R534" s="1">
        <f ca="1">IFERROR(__xludf.DUMMYFUNCTION("""COMPUTED_VALUE"""),78.24)</f>
        <v>78.239999999999995</v>
      </c>
      <c r="S534" s="1">
        <f ca="1">IFERROR(__xludf.DUMMYFUNCTION("""COMPUTED_VALUE"""),75.45)</f>
        <v>75.45</v>
      </c>
      <c r="T534" s="1">
        <f ca="1">IFERROR(__xludf.DUMMYFUNCTION("""COMPUTED_VALUE"""),45.36)</f>
        <v>45.36</v>
      </c>
      <c r="U534" s="1">
        <f ca="1">IFERROR(__xludf.DUMMYFUNCTION("""COMPUTED_VALUE"""),144.82)</f>
        <v>144.82</v>
      </c>
      <c r="V534" s="1">
        <f ca="1">IFERROR(__xludf.DUMMYFUNCTION("""COMPUTED_VALUE"""),203.07)</f>
        <v>203.07</v>
      </c>
      <c r="W534" s="1">
        <f ca="1">IFERROR(__xludf.DUMMYFUNCTION("""COMPUTED_VALUE"""),385.43)</f>
        <v>385.43</v>
      </c>
      <c r="X534" s="1">
        <f ca="1">IFERROR(__xludf.DUMMYFUNCTION("""COMPUTED_VALUE"""),656.88)</f>
        <v>656.88</v>
      </c>
      <c r="Y534" s="1">
        <f ca="1">IFERROR(__xludf.DUMMYFUNCTION("""COMPUTED_VALUE"""),124.71)</f>
        <v>124.71</v>
      </c>
      <c r="Z534" s="1">
        <f ca="1">IFERROR(__xludf.DUMMYFUNCTION("""COMPUTED_VALUE"""),370.57)</f>
        <v>370.57</v>
      </c>
      <c r="AA534" s="1">
        <f ca="1">IFERROR(__xludf.DUMMYFUNCTION("""COMPUTED_VALUE"""),50.6)</f>
        <v>50.6</v>
      </c>
      <c r="AB534" s="1">
        <f ca="1">IFERROR(__xludf.DUMMYFUNCTION("""COMPUTED_VALUE"""),95.31)</f>
        <v>95.31</v>
      </c>
      <c r="AC534" s="1">
        <f ca="1">IFERROR(__xludf.DUMMYFUNCTION("""COMPUTED_VALUE"""),125.77)</f>
        <v>125.77</v>
      </c>
    </row>
    <row r="535" spans="1:29" x14ac:dyDescent="0.25">
      <c r="A535" s="2">
        <f ca="1">IFERROR(__xludf.DUMMYFUNCTION("""COMPUTED_VALUE"""),44603.6666666666)</f>
        <v>44603.666666666599</v>
      </c>
      <c r="B535" s="1">
        <f ca="1">IFERROR(__xludf.DUMMYFUNCTION("""COMPUTED_VALUE"""),168.64)</f>
        <v>168.64</v>
      </c>
      <c r="C535" s="1">
        <f ca="1">IFERROR(__xludf.DUMMYFUNCTION("""COMPUTED_VALUE"""),295.04)</f>
        <v>295.04000000000002</v>
      </c>
      <c r="D535" s="1">
        <f ca="1">IFERROR(__xludf.DUMMYFUNCTION("""COMPUTED_VALUE"""),153.29)</f>
        <v>153.29</v>
      </c>
      <c r="E535" s="1">
        <f ca="1">IFERROR(__xludf.DUMMYFUNCTION("""COMPUTED_VALUE"""),23.95)</f>
        <v>23.95</v>
      </c>
      <c r="F535" s="1">
        <f ca="1">IFERROR(__xludf.DUMMYFUNCTION("""COMPUTED_VALUE"""),219.55)</f>
        <v>219.55</v>
      </c>
      <c r="G535" s="1">
        <f ca="1">IFERROR(__xludf.DUMMYFUNCTION("""COMPUTED_VALUE"""),134.13)</f>
        <v>134.13</v>
      </c>
      <c r="H535" s="1">
        <f ca="1">IFERROR(__xludf.DUMMYFUNCTION("""COMPUTED_VALUE"""),286.67)</f>
        <v>286.67</v>
      </c>
      <c r="I535" s="1">
        <f ca="1">IFERROR(__xludf.DUMMYFUNCTION("""COMPUTED_VALUE"""),168.58)</f>
        <v>168.58</v>
      </c>
      <c r="J535" s="1">
        <f ca="1">IFERROR(__xludf.DUMMYFUNCTION("""COMPUTED_VALUE"""),509.67)</f>
        <v>509.67</v>
      </c>
      <c r="K535" s="1">
        <f ca="1">IFERROR(__xludf.DUMMYFUNCTION("""COMPUTED_VALUE"""),57.34)</f>
        <v>57.34</v>
      </c>
      <c r="L535" s="1">
        <f ca="1">IFERROR(__xludf.DUMMYFUNCTION("""COMPUTED_VALUE"""),473.97)</f>
        <v>473.97</v>
      </c>
      <c r="M535" s="1">
        <f ca="1">IFERROR(__xludf.DUMMYFUNCTION("""COMPUTED_VALUE"""),391.31)</f>
        <v>391.31</v>
      </c>
      <c r="N535" s="1">
        <f ca="1">IFERROR(__xludf.DUMMYFUNCTION("""COMPUTED_VALUE"""),153.92)</f>
        <v>153.91999999999999</v>
      </c>
      <c r="O535" s="1">
        <f ca="1">IFERROR(__xludf.DUMMYFUNCTION("""COMPUTED_VALUE"""),224.69)</f>
        <v>224.69</v>
      </c>
      <c r="P535" s="1">
        <f ca="1">IFERROR(__xludf.DUMMYFUNCTION("""COMPUTED_VALUE"""),167.71)</f>
        <v>167.71</v>
      </c>
      <c r="Q535" s="1">
        <f ca="1">IFERROR(__xludf.DUMMYFUNCTION("""COMPUTED_VALUE"""),478.13)</f>
        <v>478.13</v>
      </c>
      <c r="R535" s="1">
        <f ca="1">IFERROR(__xludf.DUMMYFUNCTION("""COMPUTED_VALUE"""),80.21)</f>
        <v>80.209999999999994</v>
      </c>
      <c r="S535" s="1">
        <f ca="1">IFERROR(__xludf.DUMMYFUNCTION("""COMPUTED_VALUE"""),74.96)</f>
        <v>74.959999999999994</v>
      </c>
      <c r="T535" s="1">
        <f ca="1">IFERROR(__xludf.DUMMYFUNCTION("""COMPUTED_VALUE"""),45.11)</f>
        <v>45.11</v>
      </c>
      <c r="U535" s="1">
        <f ca="1">IFERROR(__xludf.DUMMYFUNCTION("""COMPUTED_VALUE"""),140.18)</f>
        <v>140.18</v>
      </c>
      <c r="V535" s="1">
        <f ca="1">IFERROR(__xludf.DUMMYFUNCTION("""COMPUTED_VALUE"""),201.24)</f>
        <v>201.24</v>
      </c>
      <c r="W535" s="1">
        <f ca="1">IFERROR(__xludf.DUMMYFUNCTION("""COMPUTED_VALUE"""),396.19)</f>
        <v>396.19</v>
      </c>
      <c r="X535" s="1">
        <f ca="1">IFERROR(__xludf.DUMMYFUNCTION("""COMPUTED_VALUE"""),628.24)</f>
        <v>628.24</v>
      </c>
      <c r="Y535" s="1">
        <f ca="1">IFERROR(__xludf.DUMMYFUNCTION("""COMPUTED_VALUE"""),121.01)</f>
        <v>121.01</v>
      </c>
      <c r="Z535" s="1">
        <f ca="1">IFERROR(__xludf.DUMMYFUNCTION("""COMPUTED_VALUE"""),363.06)</f>
        <v>363.06</v>
      </c>
      <c r="AA535" s="1">
        <f ca="1">IFERROR(__xludf.DUMMYFUNCTION("""COMPUTED_VALUE"""),50.78)</f>
        <v>50.78</v>
      </c>
      <c r="AB535" s="1">
        <f ca="1">IFERROR(__xludf.DUMMYFUNCTION("""COMPUTED_VALUE"""),93.73)</f>
        <v>93.73</v>
      </c>
      <c r="AC535" s="1">
        <f ca="1">IFERROR(__xludf.DUMMYFUNCTION("""COMPUTED_VALUE"""),113.18)</f>
        <v>113.18</v>
      </c>
    </row>
    <row r="536" spans="1:29" x14ac:dyDescent="0.25">
      <c r="A536" s="2">
        <f ca="1">IFERROR(__xludf.DUMMYFUNCTION("""COMPUTED_VALUE"""),44606.6666666666)</f>
        <v>44606.666666666599</v>
      </c>
      <c r="B536" s="1">
        <f ca="1">IFERROR(__xludf.DUMMYFUNCTION("""COMPUTED_VALUE"""),168.88)</f>
        <v>168.88</v>
      </c>
      <c r="C536" s="1">
        <f ca="1">IFERROR(__xludf.DUMMYFUNCTION("""COMPUTED_VALUE"""),295)</f>
        <v>295</v>
      </c>
      <c r="D536" s="1">
        <f ca="1">IFERROR(__xludf.DUMMYFUNCTION("""COMPUTED_VALUE"""),155.17)</f>
        <v>155.16999999999999</v>
      </c>
      <c r="E536" s="1">
        <f ca="1">IFERROR(__xludf.DUMMYFUNCTION("""COMPUTED_VALUE"""),24.27)</f>
        <v>24.27</v>
      </c>
      <c r="F536" s="1">
        <f ca="1">IFERROR(__xludf.DUMMYFUNCTION("""COMPUTED_VALUE"""),217.7)</f>
        <v>217.7</v>
      </c>
      <c r="G536" s="1">
        <f ca="1">IFERROR(__xludf.DUMMYFUNCTION("""COMPUTED_VALUE"""),135.3)</f>
        <v>135.30000000000001</v>
      </c>
      <c r="H536" s="1">
        <f ca="1">IFERROR(__xludf.DUMMYFUNCTION("""COMPUTED_VALUE"""),291.92)</f>
        <v>291.92</v>
      </c>
      <c r="I536" s="1">
        <f ca="1">IFERROR(__xludf.DUMMYFUNCTION("""COMPUTED_VALUE"""),166.7)</f>
        <v>166.7</v>
      </c>
      <c r="J536" s="1">
        <f ca="1">IFERROR(__xludf.DUMMYFUNCTION("""COMPUTED_VALUE"""),506.56)</f>
        <v>506.56</v>
      </c>
      <c r="K536" s="1">
        <f ca="1">IFERROR(__xludf.DUMMYFUNCTION("""COMPUTED_VALUE"""),57.86)</f>
        <v>57.86</v>
      </c>
      <c r="L536" s="1">
        <f ca="1">IFERROR(__xludf.DUMMYFUNCTION("""COMPUTED_VALUE"""),474.01)</f>
        <v>474.01</v>
      </c>
      <c r="M536" s="1">
        <f ca="1">IFERROR(__xludf.DUMMYFUNCTION("""COMPUTED_VALUE"""),396.57)</f>
        <v>396.57</v>
      </c>
      <c r="N536" s="1">
        <f ca="1">IFERROR(__xludf.DUMMYFUNCTION("""COMPUTED_VALUE"""),152.49)</f>
        <v>152.49</v>
      </c>
      <c r="O536" s="1">
        <f ca="1">IFERROR(__xludf.DUMMYFUNCTION("""COMPUTED_VALUE"""),225.34)</f>
        <v>225.34</v>
      </c>
      <c r="P536" s="1">
        <f ca="1">IFERROR(__xludf.DUMMYFUNCTION("""COMPUTED_VALUE"""),165.6)</f>
        <v>165.6</v>
      </c>
      <c r="Q536" s="1">
        <f ca="1">IFERROR(__xludf.DUMMYFUNCTION("""COMPUTED_VALUE"""),474.4)</f>
        <v>474.4</v>
      </c>
      <c r="R536" s="1">
        <f ca="1">IFERROR(__xludf.DUMMYFUNCTION("""COMPUTED_VALUE"""),78.98)</f>
        <v>78.98</v>
      </c>
      <c r="S536" s="1">
        <f ca="1">IFERROR(__xludf.DUMMYFUNCTION("""COMPUTED_VALUE"""),74.92)</f>
        <v>74.92</v>
      </c>
      <c r="T536" s="1">
        <f ca="1">IFERROR(__xludf.DUMMYFUNCTION("""COMPUTED_VALUE"""),44.65)</f>
        <v>44.65</v>
      </c>
      <c r="U536" s="1">
        <f ca="1">IFERROR(__xludf.DUMMYFUNCTION("""COMPUTED_VALUE"""),141.59)</f>
        <v>141.59</v>
      </c>
      <c r="V536" s="1">
        <f ca="1">IFERROR(__xludf.DUMMYFUNCTION("""COMPUTED_VALUE"""),199.89)</f>
        <v>199.89</v>
      </c>
      <c r="W536" s="1">
        <f ca="1">IFERROR(__xludf.DUMMYFUNCTION("""COMPUTED_VALUE"""),386.97)</f>
        <v>386.97</v>
      </c>
      <c r="X536" s="1">
        <f ca="1">IFERROR(__xludf.DUMMYFUNCTION("""COMPUTED_VALUE"""),627.91)</f>
        <v>627.91</v>
      </c>
      <c r="Y536" s="1">
        <f ca="1">IFERROR(__xludf.DUMMYFUNCTION("""COMPUTED_VALUE"""),119.77)</f>
        <v>119.77</v>
      </c>
      <c r="Z536" s="1">
        <f ca="1">IFERROR(__xludf.DUMMYFUNCTION("""COMPUTED_VALUE"""),360.24)</f>
        <v>360.24</v>
      </c>
      <c r="AA536" s="1">
        <f ca="1">IFERROR(__xludf.DUMMYFUNCTION("""COMPUTED_VALUE"""),49.8)</f>
        <v>49.8</v>
      </c>
      <c r="AB536" s="1">
        <f ca="1">IFERROR(__xludf.DUMMYFUNCTION("""COMPUTED_VALUE"""),93.65)</f>
        <v>93.65</v>
      </c>
      <c r="AC536" s="1">
        <f ca="1">IFERROR(__xludf.DUMMYFUNCTION("""COMPUTED_VALUE"""),114.27)</f>
        <v>114.27</v>
      </c>
    </row>
    <row r="537" spans="1:29" x14ac:dyDescent="0.25">
      <c r="A537" s="2">
        <f ca="1">IFERROR(__xludf.DUMMYFUNCTION("""COMPUTED_VALUE"""),44607.6666666666)</f>
        <v>44607.666666666599</v>
      </c>
      <c r="B537" s="1">
        <f ca="1">IFERROR(__xludf.DUMMYFUNCTION("""COMPUTED_VALUE"""),172.79)</f>
        <v>172.79</v>
      </c>
      <c r="C537" s="1">
        <f ca="1">IFERROR(__xludf.DUMMYFUNCTION("""COMPUTED_VALUE"""),300.47)</f>
        <v>300.47000000000003</v>
      </c>
      <c r="D537" s="1">
        <f ca="1">IFERROR(__xludf.DUMMYFUNCTION("""COMPUTED_VALUE"""),156.51)</f>
        <v>156.51</v>
      </c>
      <c r="E537" s="1">
        <f ca="1">IFERROR(__xludf.DUMMYFUNCTION("""COMPUTED_VALUE"""),26.5)</f>
        <v>26.5</v>
      </c>
      <c r="F537" s="1">
        <f ca="1">IFERROR(__xludf.DUMMYFUNCTION("""COMPUTED_VALUE"""),221)</f>
        <v>221</v>
      </c>
      <c r="G537" s="1">
        <f ca="1">IFERROR(__xludf.DUMMYFUNCTION("""COMPUTED_VALUE"""),136.43)</f>
        <v>136.43</v>
      </c>
      <c r="H537" s="1">
        <f ca="1">IFERROR(__xludf.DUMMYFUNCTION("""COMPUTED_VALUE"""),307.48)</f>
        <v>307.48</v>
      </c>
      <c r="I537" s="1">
        <f ca="1">IFERROR(__xludf.DUMMYFUNCTION("""COMPUTED_VALUE"""),165.96)</f>
        <v>165.96</v>
      </c>
      <c r="J537" s="1">
        <f ca="1">IFERROR(__xludf.DUMMYFUNCTION("""COMPUTED_VALUE"""),513.92)</f>
        <v>513.91999999999996</v>
      </c>
      <c r="K537" s="1">
        <f ca="1">IFERROR(__xludf.DUMMYFUNCTION("""COMPUTED_VALUE"""),60.28)</f>
        <v>60.28</v>
      </c>
      <c r="L537" s="1">
        <f ca="1">IFERROR(__xludf.DUMMYFUNCTION("""COMPUTED_VALUE"""),479.5)</f>
        <v>479.5</v>
      </c>
      <c r="M537" s="1">
        <f ca="1">IFERROR(__xludf.DUMMYFUNCTION("""COMPUTED_VALUE"""),407.46)</f>
        <v>407.46</v>
      </c>
      <c r="N537" s="1">
        <f ca="1">IFERROR(__xludf.DUMMYFUNCTION("""COMPUTED_VALUE"""),154.72)</f>
        <v>154.72</v>
      </c>
      <c r="O537" s="1">
        <f ca="1">IFERROR(__xludf.DUMMYFUNCTION("""COMPUTED_VALUE"""),227.82)</f>
        <v>227.82</v>
      </c>
      <c r="P537" s="1">
        <f ca="1">IFERROR(__xludf.DUMMYFUNCTION("""COMPUTED_VALUE"""),167.31)</f>
        <v>167.31</v>
      </c>
      <c r="Q537" s="1">
        <f ca="1">IFERROR(__xludf.DUMMYFUNCTION("""COMPUTED_VALUE"""),478.23)</f>
        <v>478.23</v>
      </c>
      <c r="R537" s="1">
        <f ca="1">IFERROR(__xludf.DUMMYFUNCTION("""COMPUTED_VALUE"""),77.99)</f>
        <v>77.989999999999995</v>
      </c>
      <c r="S537" s="1">
        <f ca="1">IFERROR(__xludf.DUMMYFUNCTION("""COMPUTED_VALUE"""),75.09)</f>
        <v>75.09</v>
      </c>
      <c r="T537" s="1">
        <f ca="1">IFERROR(__xludf.DUMMYFUNCTION("""COMPUTED_VALUE"""),44.79)</f>
        <v>44.79</v>
      </c>
      <c r="U537" s="1">
        <f ca="1">IFERROR(__xludf.DUMMYFUNCTION("""COMPUTED_VALUE"""),145.58)</f>
        <v>145.58000000000001</v>
      </c>
      <c r="V537" s="1">
        <f ca="1">IFERROR(__xludf.DUMMYFUNCTION("""COMPUTED_VALUE"""),203.41)</f>
        <v>203.41</v>
      </c>
      <c r="W537" s="1">
        <f ca="1">IFERROR(__xludf.DUMMYFUNCTION("""COMPUTED_VALUE"""),382.22)</f>
        <v>382.22</v>
      </c>
      <c r="X537" s="1">
        <f ca="1">IFERROR(__xludf.DUMMYFUNCTION("""COMPUTED_VALUE"""),656.41)</f>
        <v>656.41</v>
      </c>
      <c r="Y537" s="1">
        <f ca="1">IFERROR(__xludf.DUMMYFUNCTION("""COMPUTED_VALUE"""),124.52)</f>
        <v>124.52</v>
      </c>
      <c r="Z537" s="1">
        <f ca="1">IFERROR(__xludf.DUMMYFUNCTION("""COMPUTED_VALUE"""),363.94)</f>
        <v>363.94</v>
      </c>
      <c r="AA537" s="1">
        <f ca="1">IFERROR(__xludf.DUMMYFUNCTION("""COMPUTED_VALUE"""),49.79)</f>
        <v>49.79</v>
      </c>
      <c r="AB537" s="1">
        <f ca="1">IFERROR(__xludf.DUMMYFUNCTION("""COMPUTED_VALUE"""),94.51)</f>
        <v>94.51</v>
      </c>
      <c r="AC537" s="1">
        <f ca="1">IFERROR(__xludf.DUMMYFUNCTION("""COMPUTED_VALUE"""),121.47)</f>
        <v>121.47</v>
      </c>
    </row>
    <row r="538" spans="1:29" x14ac:dyDescent="0.25">
      <c r="A538" s="2">
        <f ca="1">IFERROR(__xludf.DUMMYFUNCTION("""COMPUTED_VALUE"""),44608.6666666666)</f>
        <v>44608.666666666599</v>
      </c>
      <c r="B538" s="1">
        <f ca="1">IFERROR(__xludf.DUMMYFUNCTION("""COMPUTED_VALUE"""),172.55)</f>
        <v>172.55</v>
      </c>
      <c r="C538" s="1">
        <f ca="1">IFERROR(__xludf.DUMMYFUNCTION("""COMPUTED_VALUE"""),299.5)</f>
        <v>299.5</v>
      </c>
      <c r="D538" s="1">
        <f ca="1">IFERROR(__xludf.DUMMYFUNCTION("""COMPUTED_VALUE"""),158.1)</f>
        <v>158.1</v>
      </c>
      <c r="E538" s="1">
        <f ca="1">IFERROR(__xludf.DUMMYFUNCTION("""COMPUTED_VALUE"""),26.51)</f>
        <v>26.51</v>
      </c>
      <c r="F538" s="1">
        <f ca="1">IFERROR(__xludf.DUMMYFUNCTION("""COMPUTED_VALUE"""),216.54)</f>
        <v>216.54</v>
      </c>
      <c r="G538" s="1">
        <f ca="1">IFERROR(__xludf.DUMMYFUNCTION("""COMPUTED_VALUE"""),137.49)</f>
        <v>137.49</v>
      </c>
      <c r="H538" s="1">
        <f ca="1">IFERROR(__xludf.DUMMYFUNCTION("""COMPUTED_VALUE"""),307.8)</f>
        <v>307.8</v>
      </c>
      <c r="I538" s="1">
        <f ca="1">IFERROR(__xludf.DUMMYFUNCTION("""COMPUTED_VALUE"""),166.3)</f>
        <v>166.3</v>
      </c>
      <c r="J538" s="1">
        <f ca="1">IFERROR(__xludf.DUMMYFUNCTION("""COMPUTED_VALUE"""),512.4)</f>
        <v>512.4</v>
      </c>
      <c r="K538" s="1">
        <f ca="1">IFERROR(__xludf.DUMMYFUNCTION("""COMPUTED_VALUE"""),59.72)</f>
        <v>59.72</v>
      </c>
      <c r="L538" s="1">
        <f ca="1">IFERROR(__xludf.DUMMYFUNCTION("""COMPUTED_VALUE"""),477.7)</f>
        <v>477.7</v>
      </c>
      <c r="M538" s="1">
        <f ca="1">IFERROR(__xludf.DUMMYFUNCTION("""COMPUTED_VALUE"""),398.08)</f>
        <v>398.08</v>
      </c>
      <c r="N538" s="1">
        <f ca="1">IFERROR(__xludf.DUMMYFUNCTION("""COMPUTED_VALUE"""),155)</f>
        <v>155</v>
      </c>
      <c r="O538" s="1">
        <f ca="1">IFERROR(__xludf.DUMMYFUNCTION("""COMPUTED_VALUE"""),228.82)</f>
        <v>228.82</v>
      </c>
      <c r="P538" s="1">
        <f ca="1">IFERROR(__xludf.DUMMYFUNCTION("""COMPUTED_VALUE"""),167.21)</f>
        <v>167.21</v>
      </c>
      <c r="Q538" s="1">
        <f ca="1">IFERROR(__xludf.DUMMYFUNCTION("""COMPUTED_VALUE"""),480.05)</f>
        <v>480.05</v>
      </c>
      <c r="R538" s="1">
        <f ca="1">IFERROR(__xludf.DUMMYFUNCTION("""COMPUTED_VALUE"""),78.35)</f>
        <v>78.349999999999994</v>
      </c>
      <c r="S538" s="1">
        <f ca="1">IFERROR(__xludf.DUMMYFUNCTION("""COMPUTED_VALUE"""),75.23)</f>
        <v>75.23</v>
      </c>
      <c r="T538" s="1">
        <f ca="1">IFERROR(__xludf.DUMMYFUNCTION("""COMPUTED_VALUE"""),44.51)</f>
        <v>44.51</v>
      </c>
      <c r="U538" s="1">
        <f ca="1">IFERROR(__xludf.DUMMYFUNCTION("""COMPUTED_VALUE"""),146.49)</f>
        <v>146.49</v>
      </c>
      <c r="V538" s="1">
        <f ca="1">IFERROR(__xludf.DUMMYFUNCTION("""COMPUTED_VALUE"""),203.64)</f>
        <v>203.64</v>
      </c>
      <c r="W538" s="1">
        <f ca="1">IFERROR(__xludf.DUMMYFUNCTION("""COMPUTED_VALUE"""),386.9)</f>
        <v>386.9</v>
      </c>
      <c r="X538" s="1">
        <f ca="1">IFERROR(__xludf.DUMMYFUNCTION("""COMPUTED_VALUE"""),663.86)</f>
        <v>663.86</v>
      </c>
      <c r="Y538" s="1">
        <f ca="1">IFERROR(__xludf.DUMMYFUNCTION("""COMPUTED_VALUE"""),123.6)</f>
        <v>123.6</v>
      </c>
      <c r="Z538" s="1">
        <f ca="1">IFERROR(__xludf.DUMMYFUNCTION("""COMPUTED_VALUE"""),360.05)</f>
        <v>360.05</v>
      </c>
      <c r="AA538" s="1">
        <f ca="1">IFERROR(__xludf.DUMMYFUNCTION("""COMPUTED_VALUE"""),49.68)</f>
        <v>49.68</v>
      </c>
      <c r="AB538" s="1">
        <f ca="1">IFERROR(__xludf.DUMMYFUNCTION("""COMPUTED_VALUE"""),95.18)</f>
        <v>95.18</v>
      </c>
      <c r="AC538" s="1">
        <f ca="1">IFERROR(__xludf.DUMMYFUNCTION("""COMPUTED_VALUE"""),117.69)</f>
        <v>117.69</v>
      </c>
    </row>
    <row r="539" spans="1:29" x14ac:dyDescent="0.25">
      <c r="A539" s="2">
        <f ca="1">IFERROR(__xludf.DUMMYFUNCTION("""COMPUTED_VALUE"""),44609.6666666666)</f>
        <v>44609.666666666599</v>
      </c>
      <c r="B539" s="1">
        <f ca="1">IFERROR(__xludf.DUMMYFUNCTION("""COMPUTED_VALUE"""),168.88)</f>
        <v>168.88</v>
      </c>
      <c r="C539" s="1">
        <f ca="1">IFERROR(__xludf.DUMMYFUNCTION("""COMPUTED_VALUE"""),290.73)</f>
        <v>290.73</v>
      </c>
      <c r="D539" s="1">
        <f ca="1">IFERROR(__xludf.DUMMYFUNCTION("""COMPUTED_VALUE"""),154.65)</f>
        <v>154.65</v>
      </c>
      <c r="E539" s="1">
        <f ca="1">IFERROR(__xludf.DUMMYFUNCTION("""COMPUTED_VALUE"""),24.51)</f>
        <v>24.51</v>
      </c>
      <c r="F539" s="1">
        <f ca="1">IFERROR(__xludf.DUMMYFUNCTION("""COMPUTED_VALUE"""),207.71)</f>
        <v>207.71</v>
      </c>
      <c r="G539" s="1">
        <f ca="1">IFERROR(__xludf.DUMMYFUNCTION("""COMPUTED_VALUE"""),132.31)</f>
        <v>132.31</v>
      </c>
      <c r="H539" s="1">
        <f ca="1">IFERROR(__xludf.DUMMYFUNCTION("""COMPUTED_VALUE"""),292.12)</f>
        <v>292.12</v>
      </c>
      <c r="I539" s="1">
        <f ca="1">IFERROR(__xludf.DUMMYFUNCTION("""COMPUTED_VALUE"""),166.75)</f>
        <v>166.75</v>
      </c>
      <c r="J539" s="1">
        <f ca="1">IFERROR(__xludf.DUMMYFUNCTION("""COMPUTED_VALUE"""),515.01)</f>
        <v>515.01</v>
      </c>
      <c r="K539" s="1">
        <f ca="1">IFERROR(__xludf.DUMMYFUNCTION("""COMPUTED_VALUE"""),57.9)</f>
        <v>57.9</v>
      </c>
      <c r="L539" s="1">
        <f ca="1">IFERROR(__xludf.DUMMYFUNCTION("""COMPUTED_VALUE"""),457.71)</f>
        <v>457.71</v>
      </c>
      <c r="M539" s="1">
        <f ca="1">IFERROR(__xludf.DUMMYFUNCTION("""COMPUTED_VALUE"""),386.67)</f>
        <v>386.67</v>
      </c>
      <c r="N539" s="1">
        <f ca="1">IFERROR(__xludf.DUMMYFUNCTION("""COMPUTED_VALUE"""),151.43)</f>
        <v>151.43</v>
      </c>
      <c r="O539" s="1">
        <f ca="1">IFERROR(__xludf.DUMMYFUNCTION("""COMPUTED_VALUE"""),224.61)</f>
        <v>224.61</v>
      </c>
      <c r="P539" s="1">
        <f ca="1">IFERROR(__xludf.DUMMYFUNCTION("""COMPUTED_VALUE"""),166.19)</f>
        <v>166.19</v>
      </c>
      <c r="Q539" s="1">
        <f ca="1">IFERROR(__xludf.DUMMYFUNCTION("""COMPUTED_VALUE"""),470.34)</f>
        <v>470.34</v>
      </c>
      <c r="R539" s="1">
        <f ca="1">IFERROR(__xludf.DUMMYFUNCTION("""COMPUTED_VALUE"""),78.23)</f>
        <v>78.23</v>
      </c>
      <c r="S539" s="1">
        <f ca="1">IFERROR(__xludf.DUMMYFUNCTION("""COMPUTED_VALUE"""),75.38)</f>
        <v>75.38</v>
      </c>
      <c r="T539" s="1">
        <f ca="1">IFERROR(__xludf.DUMMYFUNCTION("""COMPUTED_VALUE"""),46.29)</f>
        <v>46.29</v>
      </c>
      <c r="U539" s="1">
        <f ca="1">IFERROR(__xludf.DUMMYFUNCTION("""COMPUTED_VALUE"""),142.8)</f>
        <v>142.80000000000001</v>
      </c>
      <c r="V539" s="1">
        <f ca="1">IFERROR(__xludf.DUMMYFUNCTION("""COMPUTED_VALUE"""),194.74)</f>
        <v>194.74</v>
      </c>
      <c r="W539" s="1">
        <f ca="1">IFERROR(__xludf.DUMMYFUNCTION("""COMPUTED_VALUE"""),388.77)</f>
        <v>388.77</v>
      </c>
      <c r="X539" s="1">
        <f ca="1">IFERROR(__xludf.DUMMYFUNCTION("""COMPUTED_VALUE"""),650.43)</f>
        <v>650.42999999999995</v>
      </c>
      <c r="Y539" s="1">
        <f ca="1">IFERROR(__xludf.DUMMYFUNCTION("""COMPUTED_VALUE"""),119.76)</f>
        <v>119.76</v>
      </c>
      <c r="Z539" s="1">
        <f ca="1">IFERROR(__xludf.DUMMYFUNCTION("""COMPUTED_VALUE"""),349.06)</f>
        <v>349.06</v>
      </c>
      <c r="AA539" s="1">
        <f ca="1">IFERROR(__xludf.DUMMYFUNCTION("""COMPUTED_VALUE"""),48.9)</f>
        <v>48.9</v>
      </c>
      <c r="AB539" s="1">
        <f ca="1">IFERROR(__xludf.DUMMYFUNCTION("""COMPUTED_VALUE"""),93.05)</f>
        <v>93.05</v>
      </c>
      <c r="AC539" s="1">
        <f ca="1">IFERROR(__xludf.DUMMYFUNCTION("""COMPUTED_VALUE"""),112.37)</f>
        <v>112.37</v>
      </c>
    </row>
    <row r="540" spans="1:29" x14ac:dyDescent="0.25">
      <c r="A540" s="2">
        <f ca="1">IFERROR(__xludf.DUMMYFUNCTION("""COMPUTED_VALUE"""),44610.6666666666)</f>
        <v>44610.666666666599</v>
      </c>
      <c r="B540" s="1">
        <f ca="1">IFERROR(__xludf.DUMMYFUNCTION("""COMPUTED_VALUE"""),167.3)</f>
        <v>167.3</v>
      </c>
      <c r="C540" s="1">
        <f ca="1">IFERROR(__xludf.DUMMYFUNCTION("""COMPUTED_VALUE"""),287.93)</f>
        <v>287.93</v>
      </c>
      <c r="D540" s="1">
        <f ca="1">IFERROR(__xludf.DUMMYFUNCTION("""COMPUTED_VALUE"""),152.6)</f>
        <v>152.6</v>
      </c>
      <c r="E540" s="1">
        <f ca="1">IFERROR(__xludf.DUMMYFUNCTION("""COMPUTED_VALUE"""),23.64)</f>
        <v>23.64</v>
      </c>
      <c r="F540" s="1">
        <f ca="1">IFERROR(__xludf.DUMMYFUNCTION("""COMPUTED_VALUE"""),206.16)</f>
        <v>206.16</v>
      </c>
      <c r="G540" s="1">
        <f ca="1">IFERROR(__xludf.DUMMYFUNCTION("""COMPUTED_VALUE"""),130.47)</f>
        <v>130.47</v>
      </c>
      <c r="H540" s="1">
        <f ca="1">IFERROR(__xludf.DUMMYFUNCTION("""COMPUTED_VALUE"""),285.66)</f>
        <v>285.66000000000003</v>
      </c>
      <c r="I540" s="1">
        <f ca="1">IFERROR(__xludf.DUMMYFUNCTION("""COMPUTED_VALUE"""),167.71)</f>
        <v>167.71</v>
      </c>
      <c r="J540" s="1">
        <f ca="1">IFERROR(__xludf.DUMMYFUNCTION("""COMPUTED_VALUE"""),512.67)</f>
        <v>512.66999999999996</v>
      </c>
      <c r="K540" s="1">
        <f ca="1">IFERROR(__xludf.DUMMYFUNCTION("""COMPUTED_VALUE"""),58)</f>
        <v>58</v>
      </c>
      <c r="L540" s="1">
        <f ca="1">IFERROR(__xludf.DUMMYFUNCTION("""COMPUTED_VALUE"""),442.56)</f>
        <v>442.56</v>
      </c>
      <c r="M540" s="1">
        <f ca="1">IFERROR(__xludf.DUMMYFUNCTION("""COMPUTED_VALUE"""),391.29)</f>
        <v>391.29</v>
      </c>
      <c r="N540" s="1">
        <f ca="1">IFERROR(__xludf.DUMMYFUNCTION("""COMPUTED_VALUE"""),152.14)</f>
        <v>152.13999999999999</v>
      </c>
      <c r="O540" s="1">
        <f ca="1">IFERROR(__xludf.DUMMYFUNCTION("""COMPUTED_VALUE"""),222.69)</f>
        <v>222.69</v>
      </c>
      <c r="P540" s="1">
        <f ca="1">IFERROR(__xludf.DUMMYFUNCTION("""COMPUTED_VALUE"""),163.36)</f>
        <v>163.36000000000001</v>
      </c>
      <c r="Q540" s="1">
        <f ca="1">IFERROR(__xludf.DUMMYFUNCTION("""COMPUTED_VALUE"""),467.81)</f>
        <v>467.81</v>
      </c>
      <c r="R540" s="1">
        <f ca="1">IFERROR(__xludf.DUMMYFUNCTION("""COMPUTED_VALUE"""),77.36)</f>
        <v>77.36</v>
      </c>
      <c r="S540" s="1">
        <f ca="1">IFERROR(__xludf.DUMMYFUNCTION("""COMPUTED_VALUE"""),74.15)</f>
        <v>74.150000000000006</v>
      </c>
      <c r="T540" s="1">
        <f ca="1">IFERROR(__xludf.DUMMYFUNCTION("""COMPUTED_VALUE"""),46)</f>
        <v>46</v>
      </c>
      <c r="U540" s="1">
        <f ca="1">IFERROR(__xludf.DUMMYFUNCTION("""COMPUTED_VALUE"""),142.95)</f>
        <v>142.94999999999999</v>
      </c>
      <c r="V540" s="1">
        <f ca="1">IFERROR(__xludf.DUMMYFUNCTION("""COMPUTED_VALUE"""),191.95)</f>
        <v>191.95</v>
      </c>
      <c r="W540" s="1">
        <f ca="1">IFERROR(__xludf.DUMMYFUNCTION("""COMPUTED_VALUE"""),386.46)</f>
        <v>386.46</v>
      </c>
      <c r="X540" s="1">
        <f ca="1">IFERROR(__xludf.DUMMYFUNCTION("""COMPUTED_VALUE"""),647.83)</f>
        <v>647.83000000000004</v>
      </c>
      <c r="Y540" s="1">
        <f ca="1">IFERROR(__xludf.DUMMYFUNCTION("""COMPUTED_VALUE"""),119.31)</f>
        <v>119.31</v>
      </c>
      <c r="Z540" s="1">
        <f ca="1">IFERROR(__xludf.DUMMYFUNCTION("""COMPUTED_VALUE"""),346.04)</f>
        <v>346.04</v>
      </c>
      <c r="AA540" s="1">
        <f ca="1">IFERROR(__xludf.DUMMYFUNCTION("""COMPUTED_VALUE"""),48.53)</f>
        <v>48.53</v>
      </c>
      <c r="AB540" s="1">
        <f ca="1">IFERROR(__xludf.DUMMYFUNCTION("""COMPUTED_VALUE"""),93.34)</f>
        <v>93.34</v>
      </c>
      <c r="AC540" s="1">
        <f ca="1">IFERROR(__xludf.DUMMYFUNCTION("""COMPUTED_VALUE"""),113.83)</f>
        <v>113.83</v>
      </c>
    </row>
    <row r="541" spans="1:29" x14ac:dyDescent="0.25">
      <c r="A541" s="2">
        <f ca="1">IFERROR(__xludf.DUMMYFUNCTION("""COMPUTED_VALUE"""),44614.6666666666)</f>
        <v>44614.666666666599</v>
      </c>
      <c r="B541" s="1">
        <f ca="1">IFERROR(__xludf.DUMMYFUNCTION("""COMPUTED_VALUE"""),164.32)</f>
        <v>164.32</v>
      </c>
      <c r="C541" s="1">
        <f ca="1">IFERROR(__xludf.DUMMYFUNCTION("""COMPUTED_VALUE"""),287.72)</f>
        <v>287.72000000000003</v>
      </c>
      <c r="D541" s="1">
        <f ca="1">IFERROR(__xludf.DUMMYFUNCTION("""COMPUTED_VALUE"""),150.2)</f>
        <v>150.19999999999999</v>
      </c>
      <c r="E541" s="1">
        <f ca="1">IFERROR(__xludf.DUMMYFUNCTION("""COMPUTED_VALUE"""),23.39)</f>
        <v>23.39</v>
      </c>
      <c r="F541" s="1">
        <f ca="1">IFERROR(__xludf.DUMMYFUNCTION("""COMPUTED_VALUE"""),202.08)</f>
        <v>202.08</v>
      </c>
      <c r="G541" s="1">
        <f ca="1">IFERROR(__xludf.DUMMYFUNCTION("""COMPUTED_VALUE"""),129.4)</f>
        <v>129.4</v>
      </c>
      <c r="H541" s="1">
        <f ca="1">IFERROR(__xludf.DUMMYFUNCTION("""COMPUTED_VALUE"""),273.84)</f>
        <v>273.83999999999997</v>
      </c>
      <c r="I541" s="1">
        <f ca="1">IFERROR(__xludf.DUMMYFUNCTION("""COMPUTED_VALUE"""),168.35)</f>
        <v>168.35</v>
      </c>
      <c r="J541" s="1">
        <f ca="1">IFERROR(__xludf.DUMMYFUNCTION("""COMPUTED_VALUE"""),502.18)</f>
        <v>502.18</v>
      </c>
      <c r="K541" s="1">
        <f ca="1">IFERROR(__xludf.DUMMYFUNCTION("""COMPUTED_VALUE"""),57.75)</f>
        <v>57.75</v>
      </c>
      <c r="L541" s="1">
        <f ca="1">IFERROR(__xludf.DUMMYFUNCTION("""COMPUTED_VALUE"""),438.4)</f>
        <v>438.4</v>
      </c>
      <c r="M541" s="1">
        <f ca="1">IFERROR(__xludf.DUMMYFUNCTION("""COMPUTED_VALUE"""),377.38)</f>
        <v>377.38</v>
      </c>
      <c r="N541" s="1">
        <f ca="1">IFERROR(__xludf.DUMMYFUNCTION("""COMPUTED_VALUE"""),151.87)</f>
        <v>151.87</v>
      </c>
      <c r="O541" s="1">
        <f ca="1">IFERROR(__xludf.DUMMYFUNCTION("""COMPUTED_VALUE"""),221.32)</f>
        <v>221.32</v>
      </c>
      <c r="P541" s="1">
        <f ca="1">IFERROR(__xludf.DUMMYFUNCTION("""COMPUTED_VALUE"""),161.14)</f>
        <v>161.13999999999999</v>
      </c>
      <c r="Q541" s="1">
        <f ca="1">IFERROR(__xludf.DUMMYFUNCTION("""COMPUTED_VALUE"""),462.51)</f>
        <v>462.51</v>
      </c>
      <c r="R541" s="1">
        <f ca="1">IFERROR(__xludf.DUMMYFUNCTION("""COMPUTED_VALUE"""),76.46)</f>
        <v>76.459999999999994</v>
      </c>
      <c r="S541" s="1">
        <f ca="1">IFERROR(__xludf.DUMMYFUNCTION("""COMPUTED_VALUE"""),73.78)</f>
        <v>73.78</v>
      </c>
      <c r="T541" s="1">
        <f ca="1">IFERROR(__xludf.DUMMYFUNCTION("""COMPUTED_VALUE"""),45.48)</f>
        <v>45.48</v>
      </c>
      <c r="U541" s="1">
        <f ca="1">IFERROR(__xludf.DUMMYFUNCTION("""COMPUTED_VALUE"""),138.19)</f>
        <v>138.19</v>
      </c>
      <c r="V541" s="1">
        <f ca="1">IFERROR(__xludf.DUMMYFUNCTION("""COMPUTED_VALUE"""),191.21)</f>
        <v>191.21</v>
      </c>
      <c r="W541" s="1">
        <f ca="1">IFERROR(__xludf.DUMMYFUNCTION("""COMPUTED_VALUE"""),386.2)</f>
        <v>386.2</v>
      </c>
      <c r="X541" s="1">
        <f ca="1">IFERROR(__xludf.DUMMYFUNCTION("""COMPUTED_VALUE"""),640.27)</f>
        <v>640.27</v>
      </c>
      <c r="Y541" s="1">
        <f ca="1">IFERROR(__xludf.DUMMYFUNCTION("""COMPUTED_VALUE"""),116.91)</f>
        <v>116.91</v>
      </c>
      <c r="Z541" s="1">
        <f ca="1">IFERROR(__xludf.DUMMYFUNCTION("""COMPUTED_VALUE"""),344.27)</f>
        <v>344.27</v>
      </c>
      <c r="AA541" s="1">
        <f ca="1">IFERROR(__xludf.DUMMYFUNCTION("""COMPUTED_VALUE"""),47.53)</f>
        <v>47.53</v>
      </c>
      <c r="AB541" s="1">
        <f ca="1">IFERROR(__xludf.DUMMYFUNCTION("""COMPUTED_VALUE"""),93.11)</f>
        <v>93.11</v>
      </c>
      <c r="AC541" s="1">
        <f ca="1">IFERROR(__xludf.DUMMYFUNCTION("""COMPUTED_VALUE"""),115.65)</f>
        <v>115.65</v>
      </c>
    </row>
    <row r="542" spans="1:29" x14ac:dyDescent="0.25">
      <c r="A542" s="2">
        <f ca="1">IFERROR(__xludf.DUMMYFUNCTION("""COMPUTED_VALUE"""),44615.6666666666)</f>
        <v>44615.666666666599</v>
      </c>
      <c r="B542" s="1">
        <f ca="1">IFERROR(__xludf.DUMMYFUNCTION("""COMPUTED_VALUE"""),160.07)</f>
        <v>160.07</v>
      </c>
      <c r="C542" s="1">
        <f ca="1">IFERROR(__xludf.DUMMYFUNCTION("""COMPUTED_VALUE"""),280.27)</f>
        <v>280.27</v>
      </c>
      <c r="D542" s="1">
        <f ca="1">IFERROR(__xludf.DUMMYFUNCTION("""COMPUTED_VALUE"""),144.83)</f>
        <v>144.83000000000001</v>
      </c>
      <c r="E542" s="1">
        <f ca="1">IFERROR(__xludf.DUMMYFUNCTION("""COMPUTED_VALUE"""),22.39)</f>
        <v>22.39</v>
      </c>
      <c r="F542" s="1">
        <f ca="1">IFERROR(__xludf.DUMMYFUNCTION("""COMPUTED_VALUE"""),198.45)</f>
        <v>198.45</v>
      </c>
      <c r="G542" s="1">
        <f ca="1">IFERROR(__xludf.DUMMYFUNCTION("""COMPUTED_VALUE"""),127.59)</f>
        <v>127.59</v>
      </c>
      <c r="H542" s="1">
        <f ca="1">IFERROR(__xludf.DUMMYFUNCTION("""COMPUTED_VALUE"""),254.68)</f>
        <v>254.68</v>
      </c>
      <c r="I542" s="1">
        <f ca="1">IFERROR(__xludf.DUMMYFUNCTION("""COMPUTED_VALUE"""),166.69)</f>
        <v>166.69</v>
      </c>
      <c r="J542" s="1">
        <f ca="1">IFERROR(__xludf.DUMMYFUNCTION("""COMPUTED_VALUE"""),495.26)</f>
        <v>495.26</v>
      </c>
      <c r="K542" s="1">
        <f ca="1">IFERROR(__xludf.DUMMYFUNCTION("""COMPUTED_VALUE"""),56.52)</f>
        <v>56.52</v>
      </c>
      <c r="L542" s="1">
        <f ca="1">IFERROR(__xludf.DUMMYFUNCTION("""COMPUTED_VALUE"""),429.45)</f>
        <v>429.45</v>
      </c>
      <c r="M542" s="1">
        <f ca="1">IFERROR(__xludf.DUMMYFUNCTION("""COMPUTED_VALUE"""),367.46)</f>
        <v>367.46</v>
      </c>
      <c r="N542" s="1">
        <f ca="1">IFERROR(__xludf.DUMMYFUNCTION("""COMPUTED_VALUE"""),148.69)</f>
        <v>148.69</v>
      </c>
      <c r="O542" s="1">
        <f ca="1">IFERROR(__xludf.DUMMYFUNCTION("""COMPUTED_VALUE"""),215.95)</f>
        <v>215.95</v>
      </c>
      <c r="P542" s="1">
        <f ca="1">IFERROR(__xludf.DUMMYFUNCTION("""COMPUTED_VALUE"""),161.22)</f>
        <v>161.22</v>
      </c>
      <c r="Q542" s="1">
        <f ca="1">IFERROR(__xludf.DUMMYFUNCTION("""COMPUTED_VALUE"""),459.62)</f>
        <v>459.62</v>
      </c>
      <c r="R542" s="1">
        <f ca="1">IFERROR(__xludf.DUMMYFUNCTION("""COMPUTED_VALUE"""),76.77)</f>
        <v>76.77</v>
      </c>
      <c r="S542" s="1">
        <f ca="1">IFERROR(__xludf.DUMMYFUNCTION("""COMPUTED_VALUE"""),72.32)</f>
        <v>72.319999999999993</v>
      </c>
      <c r="T542" s="1">
        <f ca="1">IFERROR(__xludf.DUMMYFUNCTION("""COMPUTED_VALUE"""),45.02)</f>
        <v>45.02</v>
      </c>
      <c r="U542" s="1">
        <f ca="1">IFERROR(__xludf.DUMMYFUNCTION("""COMPUTED_VALUE"""),136.83)</f>
        <v>136.83000000000001</v>
      </c>
      <c r="V542" s="1">
        <f ca="1">IFERROR(__xludf.DUMMYFUNCTION("""COMPUTED_VALUE"""),186.67)</f>
        <v>186.67</v>
      </c>
      <c r="W542" s="1">
        <f ca="1">IFERROR(__xludf.DUMMYFUNCTION("""COMPUTED_VALUE"""),388.9)</f>
        <v>388.9</v>
      </c>
      <c r="X542" s="1">
        <f ca="1">IFERROR(__xludf.DUMMYFUNCTION("""COMPUTED_VALUE"""),631.73)</f>
        <v>631.73</v>
      </c>
      <c r="Y542" s="1">
        <f ca="1">IFERROR(__xludf.DUMMYFUNCTION("""COMPUTED_VALUE"""),115.9)</f>
        <v>115.9</v>
      </c>
      <c r="Z542" s="1">
        <f ca="1">IFERROR(__xludf.DUMMYFUNCTION("""COMPUTED_VALUE"""),341.19)</f>
        <v>341.19</v>
      </c>
      <c r="AA542" s="1">
        <f ca="1">IFERROR(__xludf.DUMMYFUNCTION("""COMPUTED_VALUE"""),46.87)</f>
        <v>46.87</v>
      </c>
      <c r="AB542" s="1">
        <f ca="1">IFERROR(__xludf.DUMMYFUNCTION("""COMPUTED_VALUE"""),89.65)</f>
        <v>89.65</v>
      </c>
      <c r="AC542" s="1">
        <f ca="1">IFERROR(__xludf.DUMMYFUNCTION("""COMPUTED_VALUE"""),109.76)</f>
        <v>109.76</v>
      </c>
    </row>
    <row r="543" spans="1:29" x14ac:dyDescent="0.25">
      <c r="A543" s="2">
        <f ca="1">IFERROR(__xludf.DUMMYFUNCTION("""COMPUTED_VALUE"""),44616.6666666666)</f>
        <v>44616.666666666599</v>
      </c>
      <c r="B543" s="1">
        <f ca="1">IFERROR(__xludf.DUMMYFUNCTION("""COMPUTED_VALUE"""),162.74)</f>
        <v>162.74</v>
      </c>
      <c r="C543" s="1">
        <f ca="1">IFERROR(__xludf.DUMMYFUNCTION("""COMPUTED_VALUE"""),294.59)</f>
        <v>294.58999999999997</v>
      </c>
      <c r="D543" s="1">
        <f ca="1">IFERROR(__xludf.DUMMYFUNCTION("""COMPUTED_VALUE"""),151.36)</f>
        <v>151.36000000000001</v>
      </c>
      <c r="E543" s="1">
        <f ca="1">IFERROR(__xludf.DUMMYFUNCTION("""COMPUTED_VALUE"""),23.75)</f>
        <v>23.75</v>
      </c>
      <c r="F543" s="1">
        <f ca="1">IFERROR(__xludf.DUMMYFUNCTION("""COMPUTED_VALUE"""),207.6)</f>
        <v>207.6</v>
      </c>
      <c r="G543" s="1">
        <f ca="1">IFERROR(__xludf.DUMMYFUNCTION("""COMPUTED_VALUE"""),132.67)</f>
        <v>132.66999999999999</v>
      </c>
      <c r="H543" s="1">
        <f ca="1">IFERROR(__xludf.DUMMYFUNCTION("""COMPUTED_VALUE"""),266.92)</f>
        <v>266.92</v>
      </c>
      <c r="I543" s="1">
        <f ca="1">IFERROR(__xludf.DUMMYFUNCTION("""COMPUTED_VALUE"""),163.79)</f>
        <v>163.79</v>
      </c>
      <c r="J543" s="1">
        <f ca="1">IFERROR(__xludf.DUMMYFUNCTION("""COMPUTED_VALUE"""),505.58)</f>
        <v>505.58</v>
      </c>
      <c r="K543" s="1">
        <f ca="1">IFERROR(__xludf.DUMMYFUNCTION("""COMPUTED_VALUE"""),58)</f>
        <v>58</v>
      </c>
      <c r="L543" s="1">
        <f ca="1">IFERROR(__xludf.DUMMYFUNCTION("""COMPUTED_VALUE"""),463.82)</f>
        <v>463.82</v>
      </c>
      <c r="M543" s="1">
        <f ca="1">IFERROR(__xludf.DUMMYFUNCTION("""COMPUTED_VALUE"""),390.03)</f>
        <v>390.03</v>
      </c>
      <c r="N543" s="1">
        <f ca="1">IFERROR(__xludf.DUMMYFUNCTION("""COMPUTED_VALUE"""),144.55)</f>
        <v>144.55000000000001</v>
      </c>
      <c r="O543" s="1">
        <f ca="1">IFERROR(__xludf.DUMMYFUNCTION("""COMPUTED_VALUE"""),217.3)</f>
        <v>217.3</v>
      </c>
      <c r="P543" s="1">
        <f ca="1">IFERROR(__xludf.DUMMYFUNCTION("""COMPUTED_VALUE"""),158.14)</f>
        <v>158.13999999999999</v>
      </c>
      <c r="Q543" s="1">
        <f ca="1">IFERROR(__xludf.DUMMYFUNCTION("""COMPUTED_VALUE"""),455.89)</f>
        <v>455.89</v>
      </c>
      <c r="R543" s="1">
        <f ca="1">IFERROR(__xludf.DUMMYFUNCTION("""COMPUTED_VALUE"""),75.8)</f>
        <v>75.8</v>
      </c>
      <c r="S543" s="1">
        <f ca="1">IFERROR(__xludf.DUMMYFUNCTION("""COMPUTED_VALUE"""),75.44)</f>
        <v>75.44</v>
      </c>
      <c r="T543" s="1">
        <f ca="1">IFERROR(__xludf.DUMMYFUNCTION("""COMPUTED_VALUE"""),44.84)</f>
        <v>44.84</v>
      </c>
      <c r="U543" s="1">
        <f ca="1">IFERROR(__xludf.DUMMYFUNCTION("""COMPUTED_VALUE"""),137.17)</f>
        <v>137.16999999999999</v>
      </c>
      <c r="V543" s="1">
        <f ca="1">IFERROR(__xludf.DUMMYFUNCTION("""COMPUTED_VALUE"""),184.69)</f>
        <v>184.69</v>
      </c>
      <c r="W543" s="1">
        <f ca="1">IFERROR(__xludf.DUMMYFUNCTION("""COMPUTED_VALUE"""),395.71)</f>
        <v>395.71</v>
      </c>
      <c r="X543" s="1">
        <f ca="1">IFERROR(__xludf.DUMMYFUNCTION("""COMPUTED_VALUE"""),656.84)</f>
        <v>656.84</v>
      </c>
      <c r="Y543" s="1">
        <f ca="1">IFERROR(__xludf.DUMMYFUNCTION("""COMPUTED_VALUE"""),111.88)</f>
        <v>111.88</v>
      </c>
      <c r="Z543" s="1">
        <f ca="1">IFERROR(__xludf.DUMMYFUNCTION("""COMPUTED_VALUE"""),340.19)</f>
        <v>340.19</v>
      </c>
      <c r="AA543" s="1">
        <f ca="1">IFERROR(__xludf.DUMMYFUNCTION("""COMPUTED_VALUE"""),45.96)</f>
        <v>45.96</v>
      </c>
      <c r="AB543" s="1">
        <f ca="1">IFERROR(__xludf.DUMMYFUNCTION("""COMPUTED_VALUE"""),91.01)</f>
        <v>91.01</v>
      </c>
      <c r="AC543" s="1">
        <f ca="1">IFERROR(__xludf.DUMMYFUNCTION("""COMPUTED_VALUE"""),116.61)</f>
        <v>116.61</v>
      </c>
    </row>
    <row r="544" spans="1:29" x14ac:dyDescent="0.25">
      <c r="A544" s="2">
        <f ca="1">IFERROR(__xludf.DUMMYFUNCTION("""COMPUTED_VALUE"""),44617.6666666666)</f>
        <v>44617.666666666599</v>
      </c>
      <c r="B544" s="1">
        <f ca="1">IFERROR(__xludf.DUMMYFUNCTION("""COMPUTED_VALUE"""),164.85)</f>
        <v>164.85</v>
      </c>
      <c r="C544" s="1">
        <f ca="1">IFERROR(__xludf.DUMMYFUNCTION("""COMPUTED_VALUE"""),297.31)</f>
        <v>297.31</v>
      </c>
      <c r="D544" s="1">
        <f ca="1">IFERROR(__xludf.DUMMYFUNCTION("""COMPUTED_VALUE"""),153.79)</f>
        <v>153.79</v>
      </c>
      <c r="E544" s="1">
        <f ca="1">IFERROR(__xludf.DUMMYFUNCTION("""COMPUTED_VALUE"""),24.16)</f>
        <v>24.16</v>
      </c>
      <c r="F544" s="1">
        <f ca="1">IFERROR(__xludf.DUMMYFUNCTION("""COMPUTED_VALUE"""),210.48)</f>
        <v>210.48</v>
      </c>
      <c r="G544" s="1">
        <f ca="1">IFERROR(__xludf.DUMMYFUNCTION("""COMPUTED_VALUE"""),134.52)</f>
        <v>134.52000000000001</v>
      </c>
      <c r="H544" s="1">
        <f ca="1">IFERROR(__xludf.DUMMYFUNCTION("""COMPUTED_VALUE"""),269.96)</f>
        <v>269.95999999999998</v>
      </c>
      <c r="I544" s="1">
        <f ca="1">IFERROR(__xludf.DUMMYFUNCTION("""COMPUTED_VALUE"""),168.38)</f>
        <v>168.38</v>
      </c>
      <c r="J544" s="1">
        <f ca="1">IFERROR(__xludf.DUMMYFUNCTION("""COMPUTED_VALUE"""),517.49)</f>
        <v>517.49</v>
      </c>
      <c r="K544" s="1">
        <f ca="1">IFERROR(__xludf.DUMMYFUNCTION("""COMPUTED_VALUE"""),58.8)</f>
        <v>58.8</v>
      </c>
      <c r="L544" s="1">
        <f ca="1">IFERROR(__xludf.DUMMYFUNCTION("""COMPUTED_VALUE"""),465.54)</f>
        <v>465.54</v>
      </c>
      <c r="M544" s="1">
        <f ca="1">IFERROR(__xludf.DUMMYFUNCTION("""COMPUTED_VALUE"""),390.8)</f>
        <v>390.8</v>
      </c>
      <c r="N544" s="1">
        <f ca="1">IFERROR(__xludf.DUMMYFUNCTION("""COMPUTED_VALUE"""),147.97)</f>
        <v>147.97</v>
      </c>
      <c r="O544" s="1">
        <f ca="1">IFERROR(__xludf.DUMMYFUNCTION("""COMPUTED_VALUE"""),219.27)</f>
        <v>219.27</v>
      </c>
      <c r="P544" s="1">
        <f ca="1">IFERROR(__xludf.DUMMYFUNCTION("""COMPUTED_VALUE"""),166)</f>
        <v>166</v>
      </c>
      <c r="Q544" s="1">
        <f ca="1">IFERROR(__xludf.DUMMYFUNCTION("""COMPUTED_VALUE"""),475.75)</f>
        <v>475.75</v>
      </c>
      <c r="R544" s="1">
        <f ca="1">IFERROR(__xludf.DUMMYFUNCTION("""COMPUTED_VALUE"""),77.84)</f>
        <v>77.84</v>
      </c>
      <c r="S544" s="1">
        <f ca="1">IFERROR(__xludf.DUMMYFUNCTION("""COMPUTED_VALUE"""),77.16)</f>
        <v>77.16</v>
      </c>
      <c r="T544" s="1">
        <f ca="1">IFERROR(__xludf.DUMMYFUNCTION("""COMPUTED_VALUE"""),45.46)</f>
        <v>45.46</v>
      </c>
      <c r="U544" s="1">
        <f ca="1">IFERROR(__xludf.DUMMYFUNCTION("""COMPUTED_VALUE"""),138.8)</f>
        <v>138.80000000000001</v>
      </c>
      <c r="V544" s="1">
        <f ca="1">IFERROR(__xludf.DUMMYFUNCTION("""COMPUTED_VALUE"""),187.06)</f>
        <v>187.06</v>
      </c>
      <c r="W544" s="1">
        <f ca="1">IFERROR(__xludf.DUMMYFUNCTION("""COMPUTED_VALUE"""),409.49)</f>
        <v>409.49</v>
      </c>
      <c r="X544" s="1">
        <f ca="1">IFERROR(__xludf.DUMMYFUNCTION("""COMPUTED_VALUE"""),667.12)</f>
        <v>667.12</v>
      </c>
      <c r="Y544" s="1">
        <f ca="1">IFERROR(__xludf.DUMMYFUNCTION("""COMPUTED_VALUE"""),111.23)</f>
        <v>111.23</v>
      </c>
      <c r="Z544" s="1">
        <f ca="1">IFERROR(__xludf.DUMMYFUNCTION("""COMPUTED_VALUE"""),350.12)</f>
        <v>350.12</v>
      </c>
      <c r="AA544" s="1">
        <f ca="1">IFERROR(__xludf.DUMMYFUNCTION("""COMPUTED_VALUE"""),47.72)</f>
        <v>47.72</v>
      </c>
      <c r="AB544" s="1">
        <f ca="1">IFERROR(__xludf.DUMMYFUNCTION("""COMPUTED_VALUE"""),92.58)</f>
        <v>92.58</v>
      </c>
      <c r="AC544" s="1">
        <f ca="1">IFERROR(__xludf.DUMMYFUNCTION("""COMPUTED_VALUE"""),121.06)</f>
        <v>121.06</v>
      </c>
    </row>
    <row r="545" spans="1:29" x14ac:dyDescent="0.25">
      <c r="A545" s="2">
        <f ca="1">IFERROR(__xludf.DUMMYFUNCTION("""COMPUTED_VALUE"""),44620.6666666666)</f>
        <v>44620.666666666599</v>
      </c>
      <c r="B545" s="1">
        <f ca="1">IFERROR(__xludf.DUMMYFUNCTION("""COMPUTED_VALUE"""),165.12)</f>
        <v>165.12</v>
      </c>
      <c r="C545" s="1">
        <f ca="1">IFERROR(__xludf.DUMMYFUNCTION("""COMPUTED_VALUE"""),298.79)</f>
        <v>298.79000000000002</v>
      </c>
      <c r="D545" s="1">
        <f ca="1">IFERROR(__xludf.DUMMYFUNCTION("""COMPUTED_VALUE"""),153.56)</f>
        <v>153.56</v>
      </c>
      <c r="E545" s="1">
        <f ca="1">IFERROR(__xludf.DUMMYFUNCTION("""COMPUTED_VALUE"""),24.39)</f>
        <v>24.39</v>
      </c>
      <c r="F545" s="1">
        <f ca="1">IFERROR(__xludf.DUMMYFUNCTION("""COMPUTED_VALUE"""),211.03)</f>
        <v>211.03</v>
      </c>
      <c r="G545" s="1">
        <f ca="1">IFERROR(__xludf.DUMMYFUNCTION("""COMPUTED_VALUE"""),134.89)</f>
        <v>134.88999999999999</v>
      </c>
      <c r="H545" s="1">
        <f ca="1">IFERROR(__xludf.DUMMYFUNCTION("""COMPUTED_VALUE"""),290.14)</f>
        <v>290.14</v>
      </c>
      <c r="I545" s="1">
        <f ca="1">IFERROR(__xludf.DUMMYFUNCTION("""COMPUTED_VALUE"""),163.74)</f>
        <v>163.74</v>
      </c>
      <c r="J545" s="1">
        <f ca="1">IFERROR(__xludf.DUMMYFUNCTION("""COMPUTED_VALUE"""),519.25)</f>
        <v>519.25</v>
      </c>
      <c r="K545" s="1">
        <f ca="1">IFERROR(__xludf.DUMMYFUNCTION("""COMPUTED_VALUE"""),58.74)</f>
        <v>58.74</v>
      </c>
      <c r="L545" s="1">
        <f ca="1">IFERROR(__xludf.DUMMYFUNCTION("""COMPUTED_VALUE"""),467.68)</f>
        <v>467.68</v>
      </c>
      <c r="M545" s="1">
        <f ca="1">IFERROR(__xludf.DUMMYFUNCTION("""COMPUTED_VALUE"""),394.52)</f>
        <v>394.52</v>
      </c>
      <c r="N545" s="1">
        <f ca="1">IFERROR(__xludf.DUMMYFUNCTION("""COMPUTED_VALUE"""),141.8)</f>
        <v>141.80000000000001</v>
      </c>
      <c r="O545" s="1">
        <f ca="1">IFERROR(__xludf.DUMMYFUNCTION("""COMPUTED_VALUE"""),216.12)</f>
        <v>216.12</v>
      </c>
      <c r="P545" s="1">
        <f ca="1">IFERROR(__xludf.DUMMYFUNCTION("""COMPUTED_VALUE"""),164.57)</f>
        <v>164.57</v>
      </c>
      <c r="Q545" s="1">
        <f ca="1">IFERROR(__xludf.DUMMYFUNCTION("""COMPUTED_VALUE"""),475.87)</f>
        <v>475.87</v>
      </c>
      <c r="R545" s="1">
        <f ca="1">IFERROR(__xludf.DUMMYFUNCTION("""COMPUTED_VALUE"""),78.42)</f>
        <v>78.42</v>
      </c>
      <c r="S545" s="1">
        <f ca="1">IFERROR(__xludf.DUMMYFUNCTION("""COMPUTED_VALUE"""),78.27)</f>
        <v>78.27</v>
      </c>
      <c r="T545" s="1">
        <f ca="1">IFERROR(__xludf.DUMMYFUNCTION("""COMPUTED_VALUE"""),45.05)</f>
        <v>45.05</v>
      </c>
      <c r="U545" s="1">
        <f ca="1">IFERROR(__xludf.DUMMYFUNCTION("""COMPUTED_VALUE"""),136.55)</f>
        <v>136.55000000000001</v>
      </c>
      <c r="V545" s="1">
        <f ca="1">IFERROR(__xludf.DUMMYFUNCTION("""COMPUTED_VALUE"""),187.58)</f>
        <v>187.58</v>
      </c>
      <c r="W545" s="1">
        <f ca="1">IFERROR(__xludf.DUMMYFUNCTION("""COMPUTED_VALUE"""),433.8)</f>
        <v>433.8</v>
      </c>
      <c r="X545" s="1">
        <f ca="1">IFERROR(__xludf.DUMMYFUNCTION("""COMPUTED_VALUE"""),666.51)</f>
        <v>666.51</v>
      </c>
      <c r="Y545" s="1">
        <f ca="1">IFERROR(__xludf.DUMMYFUNCTION("""COMPUTED_VALUE"""),107.01)</f>
        <v>107.01</v>
      </c>
      <c r="Z545" s="1">
        <f ca="1">IFERROR(__xludf.DUMMYFUNCTION("""COMPUTED_VALUE"""),341.29)</f>
        <v>341.29</v>
      </c>
      <c r="AA545" s="1">
        <f ca="1">IFERROR(__xludf.DUMMYFUNCTION("""COMPUTED_VALUE"""),46.94)</f>
        <v>46.94</v>
      </c>
      <c r="AB545" s="1">
        <f ca="1">IFERROR(__xludf.DUMMYFUNCTION("""COMPUTED_VALUE"""),91.79)</f>
        <v>91.79</v>
      </c>
      <c r="AC545" s="1">
        <f ca="1">IFERROR(__xludf.DUMMYFUNCTION("""COMPUTED_VALUE"""),123.34)</f>
        <v>123.34</v>
      </c>
    </row>
    <row r="546" spans="1:29" x14ac:dyDescent="0.25">
      <c r="A546" s="2">
        <f ca="1">IFERROR(__xludf.DUMMYFUNCTION("""COMPUTED_VALUE"""),44621.6666666666)</f>
        <v>44621.666666666599</v>
      </c>
      <c r="B546" s="1">
        <f ca="1">IFERROR(__xludf.DUMMYFUNCTION("""COMPUTED_VALUE"""),163.2)</f>
        <v>163.19999999999999</v>
      </c>
      <c r="C546" s="1">
        <f ca="1">IFERROR(__xludf.DUMMYFUNCTION("""COMPUTED_VALUE"""),294.95)</f>
        <v>294.95</v>
      </c>
      <c r="D546" s="1">
        <f ca="1">IFERROR(__xludf.DUMMYFUNCTION("""COMPUTED_VALUE"""),151.14)</f>
        <v>151.13999999999999</v>
      </c>
      <c r="E546" s="1">
        <f ca="1">IFERROR(__xludf.DUMMYFUNCTION("""COMPUTED_VALUE"""),23.48)</f>
        <v>23.48</v>
      </c>
      <c r="F546" s="1">
        <f ca="1">IFERROR(__xludf.DUMMYFUNCTION("""COMPUTED_VALUE"""),203.49)</f>
        <v>203.49</v>
      </c>
      <c r="G546" s="1">
        <f ca="1">IFERROR(__xludf.DUMMYFUNCTION("""COMPUTED_VALUE"""),134.17)</f>
        <v>134.16999999999999</v>
      </c>
      <c r="H546" s="1">
        <f ca="1">IFERROR(__xludf.DUMMYFUNCTION("""COMPUTED_VALUE"""),288.12)</f>
        <v>288.12</v>
      </c>
      <c r="I546" s="1">
        <f ca="1">IFERROR(__xludf.DUMMYFUNCTION("""COMPUTED_VALUE"""),162.27)</f>
        <v>162.27000000000001</v>
      </c>
      <c r="J546" s="1">
        <f ca="1">IFERROR(__xludf.DUMMYFUNCTION("""COMPUTED_VALUE"""),522.93)</f>
        <v>522.92999999999995</v>
      </c>
      <c r="K546" s="1">
        <f ca="1">IFERROR(__xludf.DUMMYFUNCTION("""COMPUTED_VALUE"""),57.01)</f>
        <v>57.01</v>
      </c>
      <c r="L546" s="1">
        <f ca="1">IFERROR(__xludf.DUMMYFUNCTION("""COMPUTED_VALUE"""),466.68)</f>
        <v>466.68</v>
      </c>
      <c r="M546" s="1">
        <f ca="1">IFERROR(__xludf.DUMMYFUNCTION("""COMPUTED_VALUE"""),386.24)</f>
        <v>386.24</v>
      </c>
      <c r="N546" s="1">
        <f ca="1">IFERROR(__xludf.DUMMYFUNCTION("""COMPUTED_VALUE"""),136.45)</f>
        <v>136.44999999999999</v>
      </c>
      <c r="O546" s="1">
        <f ca="1">IFERROR(__xludf.DUMMYFUNCTION("""COMPUTED_VALUE"""),208.97)</f>
        <v>208.97</v>
      </c>
      <c r="P546" s="1">
        <f ca="1">IFERROR(__xludf.DUMMYFUNCTION("""COMPUTED_VALUE"""),164)</f>
        <v>164</v>
      </c>
      <c r="Q546" s="1">
        <f ca="1">IFERROR(__xludf.DUMMYFUNCTION("""COMPUTED_VALUE"""),476.25)</f>
        <v>476.25</v>
      </c>
      <c r="R546" s="1">
        <f ca="1">IFERROR(__xludf.DUMMYFUNCTION("""COMPUTED_VALUE"""),79.17)</f>
        <v>79.17</v>
      </c>
      <c r="S546" s="1">
        <f ca="1">IFERROR(__xludf.DUMMYFUNCTION("""COMPUTED_VALUE"""),77.44)</f>
        <v>77.44</v>
      </c>
      <c r="T546" s="1">
        <f ca="1">IFERROR(__xludf.DUMMYFUNCTION("""COMPUTED_VALUE"""),45.33)</f>
        <v>45.33</v>
      </c>
      <c r="U546" s="1">
        <f ca="1">IFERROR(__xludf.DUMMYFUNCTION("""COMPUTED_VALUE"""),132.22)</f>
        <v>132.22</v>
      </c>
      <c r="V546" s="1">
        <f ca="1">IFERROR(__xludf.DUMMYFUNCTION("""COMPUTED_VALUE"""),182.83)</f>
        <v>182.83</v>
      </c>
      <c r="W546" s="1">
        <f ca="1">IFERROR(__xludf.DUMMYFUNCTION("""COMPUTED_VALUE"""),456.61)</f>
        <v>456.61</v>
      </c>
      <c r="X546" s="1">
        <f ca="1">IFERROR(__xludf.DUMMYFUNCTION("""COMPUTED_VALUE"""),634.21)</f>
        <v>634.21</v>
      </c>
      <c r="Y546" s="1">
        <f ca="1">IFERROR(__xludf.DUMMYFUNCTION("""COMPUTED_VALUE"""),108.05)</f>
        <v>108.05</v>
      </c>
      <c r="Z546" s="1">
        <f ca="1">IFERROR(__xludf.DUMMYFUNCTION("""COMPUTED_VALUE"""),328.2)</f>
        <v>328.2</v>
      </c>
      <c r="AA546" s="1">
        <f ca="1">IFERROR(__xludf.DUMMYFUNCTION("""COMPUTED_VALUE"""),45.75)</f>
        <v>45.75</v>
      </c>
      <c r="AB546" s="1">
        <f ca="1">IFERROR(__xludf.DUMMYFUNCTION("""COMPUTED_VALUE"""),90.14)</f>
        <v>90.14</v>
      </c>
      <c r="AC546" s="1">
        <f ca="1">IFERROR(__xludf.DUMMYFUNCTION("""COMPUTED_VALUE"""),113.83)</f>
        <v>113.83</v>
      </c>
    </row>
    <row r="547" spans="1:29" x14ac:dyDescent="0.25">
      <c r="A547" s="2">
        <f ca="1">IFERROR(__xludf.DUMMYFUNCTION("""COMPUTED_VALUE"""),44622.6666666666)</f>
        <v>44622.666666666599</v>
      </c>
      <c r="B547" s="1">
        <f ca="1">IFERROR(__xludf.DUMMYFUNCTION("""COMPUTED_VALUE"""),166.56)</f>
        <v>166.56</v>
      </c>
      <c r="C547" s="1">
        <f ca="1">IFERROR(__xludf.DUMMYFUNCTION("""COMPUTED_VALUE"""),300.19)</f>
        <v>300.19</v>
      </c>
      <c r="D547" s="1">
        <f ca="1">IFERROR(__xludf.DUMMYFUNCTION("""COMPUTED_VALUE"""),152.05)</f>
        <v>152.05000000000001</v>
      </c>
      <c r="E547" s="1">
        <f ca="1">IFERROR(__xludf.DUMMYFUNCTION("""COMPUTED_VALUE"""),24.22)</f>
        <v>24.22</v>
      </c>
      <c r="F547" s="1">
        <f ca="1">IFERROR(__xludf.DUMMYFUNCTION("""COMPUTED_VALUE"""),208.11)</f>
        <v>208.11</v>
      </c>
      <c r="G547" s="1">
        <f ca="1">IFERROR(__xludf.DUMMYFUNCTION("""COMPUTED_VALUE"""),134.75)</f>
        <v>134.75</v>
      </c>
      <c r="H547" s="1">
        <f ca="1">IFERROR(__xludf.DUMMYFUNCTION("""COMPUTED_VALUE"""),293.3)</f>
        <v>293.3</v>
      </c>
      <c r="I547" s="1">
        <f ca="1">IFERROR(__xludf.DUMMYFUNCTION("""COMPUTED_VALUE"""),164.52)</f>
        <v>164.52</v>
      </c>
      <c r="J547" s="1">
        <f ca="1">IFERROR(__xludf.DUMMYFUNCTION("""COMPUTED_VALUE"""),528)</f>
        <v>528</v>
      </c>
      <c r="K547" s="1">
        <f ca="1">IFERROR(__xludf.DUMMYFUNCTION("""COMPUTED_VALUE"""),58.58)</f>
        <v>58.58</v>
      </c>
      <c r="L547" s="1">
        <f ca="1">IFERROR(__xludf.DUMMYFUNCTION("""COMPUTED_VALUE"""),471.18)</f>
        <v>471.18</v>
      </c>
      <c r="M547" s="1">
        <f ca="1">IFERROR(__xludf.DUMMYFUNCTION("""COMPUTED_VALUE"""),380.03)</f>
        <v>380.03</v>
      </c>
      <c r="N547" s="1">
        <f ca="1">IFERROR(__xludf.DUMMYFUNCTION("""COMPUTED_VALUE"""),139.28)</f>
        <v>139.28</v>
      </c>
      <c r="O547" s="1">
        <f ca="1">IFERROR(__xludf.DUMMYFUNCTION("""COMPUTED_VALUE"""),208.48)</f>
        <v>208.48</v>
      </c>
      <c r="P547" s="1">
        <f ca="1">IFERROR(__xludf.DUMMYFUNCTION("""COMPUTED_VALUE"""),166.04)</f>
        <v>166.04</v>
      </c>
      <c r="Q547" s="1">
        <f ca="1">IFERROR(__xludf.DUMMYFUNCTION("""COMPUTED_VALUE"""),485.38)</f>
        <v>485.38</v>
      </c>
      <c r="R547" s="1">
        <f ca="1">IFERROR(__xludf.DUMMYFUNCTION("""COMPUTED_VALUE"""),80.53)</f>
        <v>80.53</v>
      </c>
      <c r="S547" s="1">
        <f ca="1">IFERROR(__xludf.DUMMYFUNCTION("""COMPUTED_VALUE"""),77.55)</f>
        <v>77.55</v>
      </c>
      <c r="T547" s="1">
        <f ca="1">IFERROR(__xludf.DUMMYFUNCTION("""COMPUTED_VALUE"""),45.39)</f>
        <v>45.39</v>
      </c>
      <c r="U547" s="1">
        <f ca="1">IFERROR(__xludf.DUMMYFUNCTION("""COMPUTED_VALUE"""),135.68)</f>
        <v>135.68</v>
      </c>
      <c r="V547" s="1">
        <f ca="1">IFERROR(__xludf.DUMMYFUNCTION("""COMPUTED_VALUE"""),192.61)</f>
        <v>192.61</v>
      </c>
      <c r="W547" s="1">
        <f ca="1">IFERROR(__xludf.DUMMYFUNCTION("""COMPUTED_VALUE"""),450)</f>
        <v>450</v>
      </c>
      <c r="X547" s="1">
        <f ca="1">IFERROR(__xludf.DUMMYFUNCTION("""COMPUTED_VALUE"""),655.37)</f>
        <v>655.37</v>
      </c>
      <c r="Y547" s="1">
        <f ca="1">IFERROR(__xludf.DUMMYFUNCTION("""COMPUTED_VALUE"""),109.61)</f>
        <v>109.61</v>
      </c>
      <c r="Z547" s="1">
        <f ca="1">IFERROR(__xludf.DUMMYFUNCTION("""COMPUTED_VALUE"""),336.38)</f>
        <v>336.38</v>
      </c>
      <c r="AA547" s="1">
        <f ca="1">IFERROR(__xludf.DUMMYFUNCTION("""COMPUTED_VALUE"""),47.7)</f>
        <v>47.7</v>
      </c>
      <c r="AB547" s="1">
        <f ca="1">IFERROR(__xludf.DUMMYFUNCTION("""COMPUTED_VALUE"""),92.77)</f>
        <v>92.77</v>
      </c>
      <c r="AC547" s="1">
        <f ca="1">IFERROR(__xludf.DUMMYFUNCTION("""COMPUTED_VALUE"""),118.28)</f>
        <v>118.28</v>
      </c>
    </row>
    <row r="548" spans="1:29" x14ac:dyDescent="0.25">
      <c r="A548" s="2">
        <f ca="1">IFERROR(__xludf.DUMMYFUNCTION("""COMPUTED_VALUE"""),44623.6666666666)</f>
        <v>44623.666666666599</v>
      </c>
      <c r="B548" s="1">
        <f ca="1">IFERROR(__xludf.DUMMYFUNCTION("""COMPUTED_VALUE"""),166.23)</f>
        <v>166.23</v>
      </c>
      <c r="C548" s="1">
        <f ca="1">IFERROR(__xludf.DUMMYFUNCTION("""COMPUTED_VALUE"""),295.92)</f>
        <v>295.92</v>
      </c>
      <c r="D548" s="1">
        <f ca="1">IFERROR(__xludf.DUMMYFUNCTION("""COMPUTED_VALUE"""),147.9)</f>
        <v>147.9</v>
      </c>
      <c r="E548" s="1">
        <f ca="1">IFERROR(__xludf.DUMMYFUNCTION("""COMPUTED_VALUE"""),23.71)</f>
        <v>23.71</v>
      </c>
      <c r="F548" s="1">
        <f ca="1">IFERROR(__xludf.DUMMYFUNCTION("""COMPUTED_VALUE"""),202.97)</f>
        <v>202.97</v>
      </c>
      <c r="G548" s="1">
        <f ca="1">IFERROR(__xludf.DUMMYFUNCTION("""COMPUTED_VALUE"""),134.31)</f>
        <v>134.31</v>
      </c>
      <c r="H548" s="1">
        <f ca="1">IFERROR(__xludf.DUMMYFUNCTION("""COMPUTED_VALUE"""),279.76)</f>
        <v>279.76</v>
      </c>
      <c r="I548" s="1">
        <f ca="1">IFERROR(__xludf.DUMMYFUNCTION("""COMPUTED_VALUE"""),163.27)</f>
        <v>163.27000000000001</v>
      </c>
      <c r="J548" s="1">
        <f ca="1">IFERROR(__xludf.DUMMYFUNCTION("""COMPUTED_VALUE"""),533.05)</f>
        <v>533.04999999999995</v>
      </c>
      <c r="K548" s="1">
        <f ca="1">IFERROR(__xludf.DUMMYFUNCTION("""COMPUTED_VALUE"""),57.86)</f>
        <v>57.86</v>
      </c>
      <c r="L548" s="1">
        <f ca="1">IFERROR(__xludf.DUMMYFUNCTION("""COMPUTED_VALUE"""),459.08)</f>
        <v>459.08</v>
      </c>
      <c r="M548" s="1">
        <f ca="1">IFERROR(__xludf.DUMMYFUNCTION("""COMPUTED_VALUE"""),368.07)</f>
        <v>368.07</v>
      </c>
      <c r="N548" s="1">
        <f ca="1">IFERROR(__xludf.DUMMYFUNCTION("""COMPUTED_VALUE"""),138.29)</f>
        <v>138.29</v>
      </c>
      <c r="O548" s="1">
        <f ca="1">IFERROR(__xludf.DUMMYFUNCTION("""COMPUTED_VALUE"""),207.23)</f>
        <v>207.23</v>
      </c>
      <c r="P548" s="1">
        <f ca="1">IFERROR(__xludf.DUMMYFUNCTION("""COMPUTED_VALUE"""),168.48)</f>
        <v>168.48</v>
      </c>
      <c r="Q548" s="1">
        <f ca="1">IFERROR(__xludf.DUMMYFUNCTION("""COMPUTED_VALUE"""),486.59)</f>
        <v>486.59</v>
      </c>
      <c r="R548" s="1">
        <f ca="1">IFERROR(__xludf.DUMMYFUNCTION("""COMPUTED_VALUE"""),81.04)</f>
        <v>81.040000000000006</v>
      </c>
      <c r="S548" s="1">
        <f ca="1">IFERROR(__xludf.DUMMYFUNCTION("""COMPUTED_VALUE"""),78.79)</f>
        <v>78.790000000000006</v>
      </c>
      <c r="T548" s="1">
        <f ca="1">IFERROR(__xludf.DUMMYFUNCTION("""COMPUTED_VALUE"""),46.43)</f>
        <v>46.43</v>
      </c>
      <c r="U548" s="1">
        <f ca="1">IFERROR(__xludf.DUMMYFUNCTION("""COMPUTED_VALUE"""),133.97)</f>
        <v>133.97</v>
      </c>
      <c r="V548" s="1">
        <f ca="1">IFERROR(__xludf.DUMMYFUNCTION("""COMPUTED_VALUE"""),194.85)</f>
        <v>194.85</v>
      </c>
      <c r="W548" s="1">
        <f ca="1">IFERROR(__xludf.DUMMYFUNCTION("""COMPUTED_VALUE"""),447.82)</f>
        <v>447.82</v>
      </c>
      <c r="X548" s="1">
        <f ca="1">IFERROR(__xludf.DUMMYFUNCTION("""COMPUTED_VALUE"""),630.79)</f>
        <v>630.79</v>
      </c>
      <c r="Y548" s="1">
        <f ca="1">IFERROR(__xludf.DUMMYFUNCTION("""COMPUTED_VALUE"""),108.79)</f>
        <v>108.79</v>
      </c>
      <c r="Z548" s="1">
        <f ca="1">IFERROR(__xludf.DUMMYFUNCTION("""COMPUTED_VALUE"""),333.42)</f>
        <v>333.42</v>
      </c>
      <c r="AA548" s="1">
        <f ca="1">IFERROR(__xludf.DUMMYFUNCTION("""COMPUTED_VALUE"""),47.83)</f>
        <v>47.83</v>
      </c>
      <c r="AB548" s="1">
        <f ca="1">IFERROR(__xludf.DUMMYFUNCTION("""COMPUTED_VALUE"""),91.53)</f>
        <v>91.53</v>
      </c>
      <c r="AC548" s="1">
        <f ca="1">IFERROR(__xludf.DUMMYFUNCTION("""COMPUTED_VALUE"""),111.98)</f>
        <v>111.98</v>
      </c>
    </row>
    <row r="549" spans="1:29" x14ac:dyDescent="0.25">
      <c r="A549" s="2">
        <f ca="1">IFERROR(__xludf.DUMMYFUNCTION("""COMPUTED_VALUE"""),44624.6666666666)</f>
        <v>44624.666666666599</v>
      </c>
      <c r="B549" s="1">
        <f ca="1">IFERROR(__xludf.DUMMYFUNCTION("""COMPUTED_VALUE"""),163.17)</f>
        <v>163.16999999999999</v>
      </c>
      <c r="C549" s="1">
        <f ca="1">IFERROR(__xludf.DUMMYFUNCTION("""COMPUTED_VALUE"""),289.86)</f>
        <v>289.86</v>
      </c>
      <c r="D549" s="1">
        <f ca="1">IFERROR(__xludf.DUMMYFUNCTION("""COMPUTED_VALUE"""),145.64)</f>
        <v>145.63999999999999</v>
      </c>
      <c r="E549" s="1">
        <f ca="1">IFERROR(__xludf.DUMMYFUNCTION("""COMPUTED_VALUE"""),22.94)</f>
        <v>22.94</v>
      </c>
      <c r="F549" s="1">
        <f ca="1">IFERROR(__xludf.DUMMYFUNCTION("""COMPUTED_VALUE"""),200.06)</f>
        <v>200.06</v>
      </c>
      <c r="G549" s="1">
        <f ca="1">IFERROR(__xludf.DUMMYFUNCTION("""COMPUTED_VALUE"""),132.12)</f>
        <v>132.12</v>
      </c>
      <c r="H549" s="1">
        <f ca="1">IFERROR(__xludf.DUMMYFUNCTION("""COMPUTED_VALUE"""),279.43)</f>
        <v>279.43</v>
      </c>
      <c r="I549" s="1">
        <f ca="1">IFERROR(__xludf.DUMMYFUNCTION("""COMPUTED_VALUE"""),165.75)</f>
        <v>165.75</v>
      </c>
      <c r="J549" s="1">
        <f ca="1">IFERROR(__xludf.DUMMYFUNCTION("""COMPUTED_VALUE"""),525.5)</f>
        <v>525.5</v>
      </c>
      <c r="K549" s="1">
        <f ca="1">IFERROR(__xludf.DUMMYFUNCTION("""COMPUTED_VALUE"""),59.6)</f>
        <v>59.6</v>
      </c>
      <c r="L549" s="1">
        <f ca="1">IFERROR(__xludf.DUMMYFUNCTION("""COMPUTED_VALUE"""),452.13)</f>
        <v>452.13</v>
      </c>
      <c r="M549" s="1">
        <f ca="1">IFERROR(__xludf.DUMMYFUNCTION("""COMPUTED_VALUE"""),361.73)</f>
        <v>361.73</v>
      </c>
      <c r="N549" s="1">
        <f ca="1">IFERROR(__xludf.DUMMYFUNCTION("""COMPUTED_VALUE"""),134.4)</f>
        <v>134.4</v>
      </c>
      <c r="O549" s="1">
        <f ca="1">IFERROR(__xludf.DUMMYFUNCTION("""COMPUTED_VALUE"""),200.29)</f>
        <v>200.29</v>
      </c>
      <c r="P549" s="1">
        <f ca="1">IFERROR(__xludf.DUMMYFUNCTION("""COMPUTED_VALUE"""),169.48)</f>
        <v>169.48</v>
      </c>
      <c r="Q549" s="1">
        <f ca="1">IFERROR(__xludf.DUMMYFUNCTION("""COMPUTED_VALUE"""),498.65)</f>
        <v>498.65</v>
      </c>
      <c r="R549" s="1">
        <f ca="1">IFERROR(__xludf.DUMMYFUNCTION("""COMPUTED_VALUE"""),84.09)</f>
        <v>84.09</v>
      </c>
      <c r="S549" s="1">
        <f ca="1">IFERROR(__xludf.DUMMYFUNCTION("""COMPUTED_VALUE"""),80.21)</f>
        <v>80.209999999999994</v>
      </c>
      <c r="T549" s="1">
        <f ca="1">IFERROR(__xludf.DUMMYFUNCTION("""COMPUTED_VALUE"""),47.61)</f>
        <v>47.61</v>
      </c>
      <c r="U549" s="1">
        <f ca="1">IFERROR(__xludf.DUMMYFUNCTION("""COMPUTED_VALUE"""),131.18)</f>
        <v>131.18</v>
      </c>
      <c r="V549" s="1">
        <f ca="1">IFERROR(__xludf.DUMMYFUNCTION("""COMPUTED_VALUE"""),195.66)</f>
        <v>195.66</v>
      </c>
      <c r="W549" s="1">
        <f ca="1">IFERROR(__xludf.DUMMYFUNCTION("""COMPUTED_VALUE"""),458.15)</f>
        <v>458.15</v>
      </c>
      <c r="X549" s="1">
        <f ca="1">IFERROR(__xludf.DUMMYFUNCTION("""COMPUTED_VALUE"""),594.32)</f>
        <v>594.32000000000005</v>
      </c>
      <c r="Y549" s="1">
        <f ca="1">IFERROR(__xludf.DUMMYFUNCTION("""COMPUTED_VALUE"""),105.06)</f>
        <v>105.06</v>
      </c>
      <c r="Z549" s="1">
        <f ca="1">IFERROR(__xludf.DUMMYFUNCTION("""COMPUTED_VALUE"""),329.67)</f>
        <v>329.67</v>
      </c>
      <c r="AA549" s="1">
        <f ca="1">IFERROR(__xludf.DUMMYFUNCTION("""COMPUTED_VALUE"""),48.65)</f>
        <v>48.65</v>
      </c>
      <c r="AB549" s="1">
        <f ca="1">IFERROR(__xludf.DUMMYFUNCTION("""COMPUTED_VALUE"""),90.03)</f>
        <v>90.03</v>
      </c>
      <c r="AC549" s="1">
        <f ca="1">IFERROR(__xludf.DUMMYFUNCTION("""COMPUTED_VALUE"""),108.41)</f>
        <v>108.41</v>
      </c>
    </row>
    <row r="550" spans="1:29" x14ac:dyDescent="0.25">
      <c r="A550" s="2">
        <f ca="1">IFERROR(__xludf.DUMMYFUNCTION("""COMPUTED_VALUE"""),44627.6666666666)</f>
        <v>44627.666666666599</v>
      </c>
      <c r="B550" s="1">
        <f ca="1">IFERROR(__xludf.DUMMYFUNCTION("""COMPUTED_VALUE"""),159.3)</f>
        <v>159.30000000000001</v>
      </c>
      <c r="C550" s="1">
        <f ca="1">IFERROR(__xludf.DUMMYFUNCTION("""COMPUTED_VALUE"""),278.91)</f>
        <v>278.91000000000003</v>
      </c>
      <c r="D550" s="1">
        <f ca="1">IFERROR(__xludf.DUMMYFUNCTION("""COMPUTED_VALUE"""),137.45)</f>
        <v>137.44999999999999</v>
      </c>
      <c r="E550" s="1">
        <f ca="1">IFERROR(__xludf.DUMMYFUNCTION("""COMPUTED_VALUE"""),21.35)</f>
        <v>21.35</v>
      </c>
      <c r="F550" s="1">
        <f ca="1">IFERROR(__xludf.DUMMYFUNCTION("""COMPUTED_VALUE"""),187.47)</f>
        <v>187.47</v>
      </c>
      <c r="G550" s="1">
        <f ca="1">IFERROR(__xludf.DUMMYFUNCTION("""COMPUTED_VALUE"""),126.46)</f>
        <v>126.46</v>
      </c>
      <c r="H550" s="1">
        <f ca="1">IFERROR(__xludf.DUMMYFUNCTION("""COMPUTED_VALUE"""),268.19)</f>
        <v>268.19</v>
      </c>
      <c r="I550" s="1">
        <f ca="1">IFERROR(__xludf.DUMMYFUNCTION("""COMPUTED_VALUE"""),162.45)</f>
        <v>162.44999999999999</v>
      </c>
      <c r="J550" s="1">
        <f ca="1">IFERROR(__xludf.DUMMYFUNCTION("""COMPUTED_VALUE"""),528.52)</f>
        <v>528.52</v>
      </c>
      <c r="K550" s="1">
        <f ca="1">IFERROR(__xludf.DUMMYFUNCTION("""COMPUTED_VALUE"""),57.07)</f>
        <v>57.07</v>
      </c>
      <c r="L550" s="1">
        <f ca="1">IFERROR(__xludf.DUMMYFUNCTION("""COMPUTED_VALUE"""),437.97)</f>
        <v>437.97</v>
      </c>
      <c r="M550" s="1">
        <f ca="1">IFERROR(__xludf.DUMMYFUNCTION("""COMPUTED_VALUE"""),350.26)</f>
        <v>350.26</v>
      </c>
      <c r="N550" s="1">
        <f ca="1">IFERROR(__xludf.DUMMYFUNCTION("""COMPUTED_VALUE"""),129.21)</f>
        <v>129.21</v>
      </c>
      <c r="O550" s="1">
        <f ca="1">IFERROR(__xludf.DUMMYFUNCTION("""COMPUTED_VALUE"""),190.7)</f>
        <v>190.7</v>
      </c>
      <c r="P550" s="1">
        <f ca="1">IFERROR(__xludf.DUMMYFUNCTION("""COMPUTED_VALUE"""),172.21)</f>
        <v>172.21</v>
      </c>
      <c r="Q550" s="1">
        <f ca="1">IFERROR(__xludf.DUMMYFUNCTION("""COMPUTED_VALUE"""),486.87)</f>
        <v>486.87</v>
      </c>
      <c r="R550" s="1">
        <f ca="1">IFERROR(__xludf.DUMMYFUNCTION("""COMPUTED_VALUE"""),87.12)</f>
        <v>87.12</v>
      </c>
      <c r="S550" s="1">
        <f ca="1">IFERROR(__xludf.DUMMYFUNCTION("""COMPUTED_VALUE"""),84.18)</f>
        <v>84.18</v>
      </c>
      <c r="T550" s="1">
        <f ca="1">IFERROR(__xludf.DUMMYFUNCTION("""COMPUTED_VALUE"""),47.22)</f>
        <v>47.22</v>
      </c>
      <c r="U550" s="1">
        <f ca="1">IFERROR(__xludf.DUMMYFUNCTION("""COMPUTED_VALUE"""),124.44)</f>
        <v>124.44</v>
      </c>
      <c r="V550" s="1">
        <f ca="1">IFERROR(__xludf.DUMMYFUNCTION("""COMPUTED_VALUE"""),196.7)</f>
        <v>196.7</v>
      </c>
      <c r="W550" s="1">
        <f ca="1">IFERROR(__xludf.DUMMYFUNCTION("""COMPUTED_VALUE"""),466.15)</f>
        <v>466.15</v>
      </c>
      <c r="X550" s="1">
        <f ca="1">IFERROR(__xludf.DUMMYFUNCTION("""COMPUTED_VALUE"""),574.34)</f>
        <v>574.34</v>
      </c>
      <c r="Y550" s="1">
        <f ca="1">IFERROR(__xludf.DUMMYFUNCTION("""COMPUTED_VALUE"""),99.29)</f>
        <v>99.29</v>
      </c>
      <c r="Z550" s="1">
        <f ca="1">IFERROR(__xludf.DUMMYFUNCTION("""COMPUTED_VALUE"""),321.89)</f>
        <v>321.89</v>
      </c>
      <c r="AA550" s="1">
        <f ca="1">IFERROR(__xludf.DUMMYFUNCTION("""COMPUTED_VALUE"""),47.98)</f>
        <v>47.98</v>
      </c>
      <c r="AB550" s="1">
        <f ca="1">IFERROR(__xludf.DUMMYFUNCTION("""COMPUTED_VALUE"""),84.46)</f>
        <v>84.46</v>
      </c>
      <c r="AC550" s="1">
        <f ca="1">IFERROR(__xludf.DUMMYFUNCTION("""COMPUTED_VALUE"""),102.95)</f>
        <v>102.95</v>
      </c>
    </row>
    <row r="551" spans="1:29" x14ac:dyDescent="0.25">
      <c r="A551" s="2">
        <f ca="1">IFERROR(__xludf.DUMMYFUNCTION("""COMPUTED_VALUE"""),44628.6666666666)</f>
        <v>44628.666666666599</v>
      </c>
      <c r="B551" s="1">
        <f ca="1">IFERROR(__xludf.DUMMYFUNCTION("""COMPUTED_VALUE"""),157.44)</f>
        <v>157.44</v>
      </c>
      <c r="C551" s="1">
        <f ca="1">IFERROR(__xludf.DUMMYFUNCTION("""COMPUTED_VALUE"""),275.85)</f>
        <v>275.85000000000002</v>
      </c>
      <c r="D551" s="1">
        <f ca="1">IFERROR(__xludf.DUMMYFUNCTION("""COMPUTED_VALUE"""),136.01)</f>
        <v>136.01</v>
      </c>
      <c r="E551" s="1">
        <f ca="1">IFERROR(__xludf.DUMMYFUNCTION("""COMPUTED_VALUE"""),21.51)</f>
        <v>21.51</v>
      </c>
      <c r="F551" s="1">
        <f ca="1">IFERROR(__xludf.DUMMYFUNCTION("""COMPUTED_VALUE"""),190.29)</f>
        <v>190.29</v>
      </c>
      <c r="G551" s="1">
        <f ca="1">IFERROR(__xludf.DUMMYFUNCTION("""COMPUTED_VALUE"""),127.28)</f>
        <v>127.28</v>
      </c>
      <c r="H551" s="1">
        <f ca="1">IFERROR(__xludf.DUMMYFUNCTION("""COMPUTED_VALUE"""),274.8)</f>
        <v>274.8</v>
      </c>
      <c r="I551" s="1">
        <f ca="1">IFERROR(__xludf.DUMMYFUNCTION("""COMPUTED_VALUE"""),157.87)</f>
        <v>157.87</v>
      </c>
      <c r="J551" s="1">
        <f ca="1">IFERROR(__xludf.DUMMYFUNCTION("""COMPUTED_VALUE"""),523.36)</f>
        <v>523.36</v>
      </c>
      <c r="K551" s="1">
        <f ca="1">IFERROR(__xludf.DUMMYFUNCTION("""COMPUTED_VALUE"""),57.6)</f>
        <v>57.6</v>
      </c>
      <c r="L551" s="1">
        <f ca="1">IFERROR(__xludf.DUMMYFUNCTION("""COMPUTED_VALUE"""),431.53)</f>
        <v>431.53</v>
      </c>
      <c r="M551" s="1">
        <f ca="1">IFERROR(__xludf.DUMMYFUNCTION("""COMPUTED_VALUE"""),341.76)</f>
        <v>341.76</v>
      </c>
      <c r="N551" s="1">
        <f ca="1">IFERROR(__xludf.DUMMYFUNCTION("""COMPUTED_VALUE"""),128.3)</f>
        <v>128.30000000000001</v>
      </c>
      <c r="O551" s="1">
        <f ca="1">IFERROR(__xludf.DUMMYFUNCTION("""COMPUTED_VALUE"""),191.71)</f>
        <v>191.71</v>
      </c>
      <c r="P551" s="1">
        <f ca="1">IFERROR(__xludf.DUMMYFUNCTION("""COMPUTED_VALUE"""),168.72)</f>
        <v>168.72</v>
      </c>
      <c r="Q551" s="1">
        <f ca="1">IFERROR(__xludf.DUMMYFUNCTION("""COMPUTED_VALUE"""),473.46)</f>
        <v>473.46</v>
      </c>
      <c r="R551" s="1">
        <f ca="1">IFERROR(__xludf.DUMMYFUNCTION("""COMPUTED_VALUE"""),87.78)</f>
        <v>87.78</v>
      </c>
      <c r="S551" s="1">
        <f ca="1">IFERROR(__xludf.DUMMYFUNCTION("""COMPUTED_VALUE"""),81.95)</f>
        <v>81.95</v>
      </c>
      <c r="T551" s="1">
        <f ca="1">IFERROR(__xludf.DUMMYFUNCTION("""COMPUTED_VALUE"""),46.25)</f>
        <v>46.25</v>
      </c>
      <c r="U551" s="1">
        <f ca="1">IFERROR(__xludf.DUMMYFUNCTION("""COMPUTED_VALUE"""),121.21)</f>
        <v>121.21</v>
      </c>
      <c r="V551" s="1">
        <f ca="1">IFERROR(__xludf.DUMMYFUNCTION("""COMPUTED_VALUE"""),210)</f>
        <v>210</v>
      </c>
      <c r="W551" s="1">
        <f ca="1">IFERROR(__xludf.DUMMYFUNCTION("""COMPUTED_VALUE"""),448.99)</f>
        <v>448.99</v>
      </c>
      <c r="X551" s="1">
        <f ca="1">IFERROR(__xludf.DUMMYFUNCTION("""COMPUTED_VALUE"""),573.04)</f>
        <v>573.04</v>
      </c>
      <c r="Y551" s="1">
        <f ca="1">IFERROR(__xludf.DUMMYFUNCTION("""COMPUTED_VALUE"""),100)</f>
        <v>100</v>
      </c>
      <c r="Z551" s="1">
        <f ca="1">IFERROR(__xludf.DUMMYFUNCTION("""COMPUTED_VALUE"""),321.37)</f>
        <v>321.37</v>
      </c>
      <c r="AA551" s="1">
        <f ca="1">IFERROR(__xludf.DUMMYFUNCTION("""COMPUTED_VALUE"""),47.44)</f>
        <v>47.44</v>
      </c>
      <c r="AB551" s="1">
        <f ca="1">IFERROR(__xludf.DUMMYFUNCTION("""COMPUTED_VALUE"""),84)</f>
        <v>84</v>
      </c>
      <c r="AC551" s="1">
        <f ca="1">IFERROR(__xludf.DUMMYFUNCTION("""COMPUTED_VALUE"""),105.53)</f>
        <v>105.53</v>
      </c>
    </row>
    <row r="552" spans="1:29" x14ac:dyDescent="0.25">
      <c r="A552" s="2">
        <f ca="1">IFERROR(__xludf.DUMMYFUNCTION("""COMPUTED_VALUE"""),44629.6666666666)</f>
        <v>44629.666666666599</v>
      </c>
      <c r="B552" s="1">
        <f ca="1">IFERROR(__xludf.DUMMYFUNCTION("""COMPUTED_VALUE"""),162.95)</f>
        <v>162.94999999999999</v>
      </c>
      <c r="C552" s="1">
        <f ca="1">IFERROR(__xludf.DUMMYFUNCTION("""COMPUTED_VALUE"""),288.5)</f>
        <v>288.5</v>
      </c>
      <c r="D552" s="1">
        <f ca="1">IFERROR(__xludf.DUMMYFUNCTION("""COMPUTED_VALUE"""),139.28)</f>
        <v>139.28</v>
      </c>
      <c r="E552" s="1">
        <f ca="1">IFERROR(__xludf.DUMMYFUNCTION("""COMPUTED_VALUE"""),23.01)</f>
        <v>23.01</v>
      </c>
      <c r="F552" s="1">
        <f ca="1">IFERROR(__xludf.DUMMYFUNCTION("""COMPUTED_VALUE"""),198.5)</f>
        <v>198.5</v>
      </c>
      <c r="G552" s="1">
        <f ca="1">IFERROR(__xludf.DUMMYFUNCTION("""COMPUTED_VALUE"""),133.87)</f>
        <v>133.87</v>
      </c>
      <c r="H552" s="1">
        <f ca="1">IFERROR(__xludf.DUMMYFUNCTION("""COMPUTED_VALUE"""),286.32)</f>
        <v>286.32</v>
      </c>
      <c r="I552" s="1">
        <f ca="1">IFERROR(__xludf.DUMMYFUNCTION("""COMPUTED_VALUE"""),157.4)</f>
        <v>157.4</v>
      </c>
      <c r="J552" s="1">
        <f ca="1">IFERROR(__xludf.DUMMYFUNCTION("""COMPUTED_VALUE"""),527.65)</f>
        <v>527.65</v>
      </c>
      <c r="K552" s="1">
        <f ca="1">IFERROR(__xludf.DUMMYFUNCTION("""COMPUTED_VALUE"""),59.7)</f>
        <v>59.7</v>
      </c>
      <c r="L552" s="1">
        <f ca="1">IFERROR(__xludf.DUMMYFUNCTION("""COMPUTED_VALUE"""),450.87)</f>
        <v>450.87</v>
      </c>
      <c r="M552" s="1">
        <f ca="1">IFERROR(__xludf.DUMMYFUNCTION("""COMPUTED_VALUE"""),358.79)</f>
        <v>358.79</v>
      </c>
      <c r="N552" s="1">
        <f ca="1">IFERROR(__xludf.DUMMYFUNCTION("""COMPUTED_VALUE"""),133.44)</f>
        <v>133.44</v>
      </c>
      <c r="O552" s="1">
        <f ca="1">IFERROR(__xludf.DUMMYFUNCTION("""COMPUTED_VALUE"""),199.76)</f>
        <v>199.76</v>
      </c>
      <c r="P552" s="1">
        <f ca="1">IFERROR(__xludf.DUMMYFUNCTION("""COMPUTED_VALUE"""),169.36)</f>
        <v>169.36</v>
      </c>
      <c r="Q552" s="1">
        <f ca="1">IFERROR(__xludf.DUMMYFUNCTION("""COMPUTED_VALUE"""),485.57)</f>
        <v>485.57</v>
      </c>
      <c r="R552" s="1">
        <f ca="1">IFERROR(__xludf.DUMMYFUNCTION("""COMPUTED_VALUE"""),82.79)</f>
        <v>82.79</v>
      </c>
      <c r="S552" s="1">
        <f ca="1">IFERROR(__xludf.DUMMYFUNCTION("""COMPUTED_VALUE"""),80.32)</f>
        <v>80.319999999999993</v>
      </c>
      <c r="T552" s="1">
        <f ca="1">IFERROR(__xludf.DUMMYFUNCTION("""COMPUTED_VALUE"""),46.49)</f>
        <v>46.49</v>
      </c>
      <c r="U552" s="1">
        <f ca="1">IFERROR(__xludf.DUMMYFUNCTION("""COMPUTED_VALUE"""),126.95)</f>
        <v>126.95</v>
      </c>
      <c r="V552" s="1">
        <f ca="1">IFERROR(__xludf.DUMMYFUNCTION("""COMPUTED_VALUE"""),209.78)</f>
        <v>209.78</v>
      </c>
      <c r="W552" s="1">
        <f ca="1">IFERROR(__xludf.DUMMYFUNCTION("""COMPUTED_VALUE"""),448.72)</f>
        <v>448.72</v>
      </c>
      <c r="X552" s="1">
        <f ca="1">IFERROR(__xludf.DUMMYFUNCTION("""COMPUTED_VALUE"""),621.34)</f>
        <v>621.34</v>
      </c>
      <c r="Y552" s="1">
        <f ca="1">IFERROR(__xludf.DUMMYFUNCTION("""COMPUTED_VALUE"""),104.95)</f>
        <v>104.95</v>
      </c>
      <c r="Z552" s="1">
        <f ca="1">IFERROR(__xludf.DUMMYFUNCTION("""COMPUTED_VALUE"""),333.59)</f>
        <v>333.59</v>
      </c>
      <c r="AA552" s="1">
        <f ca="1">IFERROR(__xludf.DUMMYFUNCTION("""COMPUTED_VALUE"""),48.75)</f>
        <v>48.75</v>
      </c>
      <c r="AB552" s="1">
        <f ca="1">IFERROR(__xludf.DUMMYFUNCTION("""COMPUTED_VALUE"""),87.6)</f>
        <v>87.6</v>
      </c>
      <c r="AC552" s="1">
        <f ca="1">IFERROR(__xludf.DUMMYFUNCTION("""COMPUTED_VALUE"""),111.05)</f>
        <v>111.05</v>
      </c>
    </row>
    <row r="553" spans="1:29" x14ac:dyDescent="0.25">
      <c r="A553" s="2">
        <f ca="1">IFERROR(__xludf.DUMMYFUNCTION("""COMPUTED_VALUE"""),44630.6666666666)</f>
        <v>44630.666666666599</v>
      </c>
      <c r="B553" s="1">
        <f ca="1">IFERROR(__xludf.DUMMYFUNCTION("""COMPUTED_VALUE"""),158.52)</f>
        <v>158.52000000000001</v>
      </c>
      <c r="C553" s="1">
        <f ca="1">IFERROR(__xludf.DUMMYFUNCTION("""COMPUTED_VALUE"""),285.59)</f>
        <v>285.58999999999997</v>
      </c>
      <c r="D553" s="1">
        <f ca="1">IFERROR(__xludf.DUMMYFUNCTION("""COMPUTED_VALUE"""),146.82)</f>
        <v>146.82</v>
      </c>
      <c r="E553" s="1">
        <f ca="1">IFERROR(__xludf.DUMMYFUNCTION("""COMPUTED_VALUE"""),22.66)</f>
        <v>22.66</v>
      </c>
      <c r="F553" s="1">
        <f ca="1">IFERROR(__xludf.DUMMYFUNCTION("""COMPUTED_VALUE"""),195.21)</f>
        <v>195.21</v>
      </c>
      <c r="G553" s="1">
        <f ca="1">IFERROR(__xludf.DUMMYFUNCTION("""COMPUTED_VALUE"""),132.68)</f>
        <v>132.68</v>
      </c>
      <c r="H553" s="1">
        <f ca="1">IFERROR(__xludf.DUMMYFUNCTION("""COMPUTED_VALUE"""),279.43)</f>
        <v>279.43</v>
      </c>
      <c r="I553" s="1">
        <f ca="1">IFERROR(__xludf.DUMMYFUNCTION("""COMPUTED_VALUE"""),154.51)</f>
        <v>154.51</v>
      </c>
      <c r="J553" s="1">
        <f ca="1">IFERROR(__xludf.DUMMYFUNCTION("""COMPUTED_VALUE"""),532.72)</f>
        <v>532.72</v>
      </c>
      <c r="K553" s="1">
        <f ca="1">IFERROR(__xludf.DUMMYFUNCTION("""COMPUTED_VALUE"""),58.77)</f>
        <v>58.77</v>
      </c>
      <c r="L553" s="1">
        <f ca="1">IFERROR(__xludf.DUMMYFUNCTION("""COMPUTED_VALUE"""),438.95)</f>
        <v>438.95</v>
      </c>
      <c r="M553" s="1">
        <f ca="1">IFERROR(__xludf.DUMMYFUNCTION("""COMPUTED_VALUE"""),356.77)</f>
        <v>356.77</v>
      </c>
      <c r="N553" s="1">
        <f ca="1">IFERROR(__xludf.DUMMYFUNCTION("""COMPUTED_VALUE"""),131.86)</f>
        <v>131.86000000000001</v>
      </c>
      <c r="O553" s="1">
        <f ca="1">IFERROR(__xludf.DUMMYFUNCTION("""COMPUTED_VALUE"""),197.97)</f>
        <v>197.97</v>
      </c>
      <c r="P553" s="1">
        <f ca="1">IFERROR(__xludf.DUMMYFUNCTION("""COMPUTED_VALUE"""),169.66)</f>
        <v>169.66</v>
      </c>
      <c r="Q553" s="1">
        <f ca="1">IFERROR(__xludf.DUMMYFUNCTION("""COMPUTED_VALUE"""),491.44)</f>
        <v>491.44</v>
      </c>
      <c r="R553" s="1">
        <f ca="1">IFERROR(__xludf.DUMMYFUNCTION("""COMPUTED_VALUE"""),85.36)</f>
        <v>85.36</v>
      </c>
      <c r="S553" s="1">
        <f ca="1">IFERROR(__xludf.DUMMYFUNCTION("""COMPUTED_VALUE"""),80.16)</f>
        <v>80.16</v>
      </c>
      <c r="T553" s="1">
        <f ca="1">IFERROR(__xludf.DUMMYFUNCTION("""COMPUTED_VALUE"""),47.54)</f>
        <v>47.54</v>
      </c>
      <c r="U553" s="1">
        <f ca="1">IFERROR(__xludf.DUMMYFUNCTION("""COMPUTED_VALUE"""),126.03)</f>
        <v>126.03</v>
      </c>
      <c r="V553" s="1">
        <f ca="1">IFERROR(__xludf.DUMMYFUNCTION("""COMPUTED_VALUE"""),211.79)</f>
        <v>211.79</v>
      </c>
      <c r="W553" s="1">
        <f ca="1">IFERROR(__xludf.DUMMYFUNCTION("""COMPUTED_VALUE"""),444.36)</f>
        <v>444.36</v>
      </c>
      <c r="X553" s="1">
        <f ca="1">IFERROR(__xludf.DUMMYFUNCTION("""COMPUTED_VALUE"""),600.07)</f>
        <v>600.07000000000005</v>
      </c>
      <c r="Y553" s="1">
        <f ca="1">IFERROR(__xludf.DUMMYFUNCTION("""COMPUTED_VALUE"""),103.96)</f>
        <v>103.96</v>
      </c>
      <c r="Z553" s="1">
        <f ca="1">IFERROR(__xludf.DUMMYFUNCTION("""COMPUTED_VALUE"""),329.9)</f>
        <v>329.9</v>
      </c>
      <c r="AA553" s="1">
        <f ca="1">IFERROR(__xludf.DUMMYFUNCTION("""COMPUTED_VALUE"""),49.2)</f>
        <v>49.2</v>
      </c>
      <c r="AB553" s="1">
        <f ca="1">IFERROR(__xludf.DUMMYFUNCTION("""COMPUTED_VALUE"""),87.16)</f>
        <v>87.16</v>
      </c>
      <c r="AC553" s="1">
        <f ca="1">IFERROR(__xludf.DUMMYFUNCTION("""COMPUTED_VALUE"""),106.46)</f>
        <v>106.46</v>
      </c>
    </row>
    <row r="554" spans="1:29" x14ac:dyDescent="0.25">
      <c r="A554" s="2">
        <f ca="1">IFERROR(__xludf.DUMMYFUNCTION("""COMPUTED_VALUE"""),44631.6666666666)</f>
        <v>44631.666666666599</v>
      </c>
      <c r="B554" s="1">
        <f ca="1">IFERROR(__xludf.DUMMYFUNCTION("""COMPUTED_VALUE"""),154.73)</f>
        <v>154.72999999999999</v>
      </c>
      <c r="C554" s="1">
        <f ca="1">IFERROR(__xludf.DUMMYFUNCTION("""COMPUTED_VALUE"""),280.07)</f>
        <v>280.07</v>
      </c>
      <c r="D554" s="1">
        <f ca="1">IFERROR(__xludf.DUMMYFUNCTION("""COMPUTED_VALUE"""),145.52)</f>
        <v>145.52000000000001</v>
      </c>
      <c r="E554" s="1">
        <f ca="1">IFERROR(__xludf.DUMMYFUNCTION("""COMPUTED_VALUE"""),22.1)</f>
        <v>22.1</v>
      </c>
      <c r="F554" s="1">
        <f ca="1">IFERROR(__xludf.DUMMYFUNCTION("""COMPUTED_VALUE"""),187.61)</f>
        <v>187.61</v>
      </c>
      <c r="G554" s="1">
        <f ca="1">IFERROR(__xludf.DUMMYFUNCTION("""COMPUTED_VALUE"""),130.48)</f>
        <v>130.47999999999999</v>
      </c>
      <c r="H554" s="1">
        <f ca="1">IFERROR(__xludf.DUMMYFUNCTION("""COMPUTED_VALUE"""),265.12)</f>
        <v>265.12</v>
      </c>
      <c r="I554" s="1">
        <f ca="1">IFERROR(__xludf.DUMMYFUNCTION("""COMPUTED_VALUE"""),153.73)</f>
        <v>153.72999999999999</v>
      </c>
      <c r="J554" s="1">
        <f ca="1">IFERROR(__xludf.DUMMYFUNCTION("""COMPUTED_VALUE"""),527.42)</f>
        <v>527.41999999999996</v>
      </c>
      <c r="K554" s="1">
        <f ca="1">IFERROR(__xludf.DUMMYFUNCTION("""COMPUTED_VALUE"""),57.79)</f>
        <v>57.79</v>
      </c>
      <c r="L554" s="1">
        <f ca="1">IFERROR(__xludf.DUMMYFUNCTION("""COMPUTED_VALUE"""),416.38)</f>
        <v>416.38</v>
      </c>
      <c r="M554" s="1">
        <f ca="1">IFERROR(__xludf.DUMMYFUNCTION("""COMPUTED_VALUE"""),340.32)</f>
        <v>340.32</v>
      </c>
      <c r="N554" s="1">
        <f ca="1">IFERROR(__xludf.DUMMYFUNCTION("""COMPUTED_VALUE"""),128.89)</f>
        <v>128.88999999999999</v>
      </c>
      <c r="O554" s="1">
        <f ca="1">IFERROR(__xludf.DUMMYFUNCTION("""COMPUTED_VALUE"""),196.71)</f>
        <v>196.71</v>
      </c>
      <c r="P554" s="1">
        <f ca="1">IFERROR(__xludf.DUMMYFUNCTION("""COMPUTED_VALUE"""),169.35)</f>
        <v>169.35</v>
      </c>
      <c r="Q554" s="1">
        <f ca="1">IFERROR(__xludf.DUMMYFUNCTION("""COMPUTED_VALUE"""),482.87)</f>
        <v>482.87</v>
      </c>
      <c r="R554" s="1">
        <f ca="1">IFERROR(__xludf.DUMMYFUNCTION("""COMPUTED_VALUE"""),84.92)</f>
        <v>84.92</v>
      </c>
      <c r="S554" s="1">
        <f ca="1">IFERROR(__xludf.DUMMYFUNCTION("""COMPUTED_VALUE"""),79.3)</f>
        <v>79.3</v>
      </c>
      <c r="T554" s="1">
        <f ca="1">IFERROR(__xludf.DUMMYFUNCTION("""COMPUTED_VALUE"""),47.36)</f>
        <v>47.36</v>
      </c>
      <c r="U554" s="1">
        <f ca="1">IFERROR(__xludf.DUMMYFUNCTION("""COMPUTED_VALUE"""),122.63)</f>
        <v>122.63</v>
      </c>
      <c r="V554" s="1">
        <f ca="1">IFERROR(__xludf.DUMMYFUNCTION("""COMPUTED_VALUE"""),214.83)</f>
        <v>214.83</v>
      </c>
      <c r="W554" s="1">
        <f ca="1">IFERROR(__xludf.DUMMYFUNCTION("""COMPUTED_VALUE"""),439.04)</f>
        <v>439.04</v>
      </c>
      <c r="X554" s="1">
        <f ca="1">IFERROR(__xludf.DUMMYFUNCTION("""COMPUTED_VALUE"""),585.85)</f>
        <v>585.85</v>
      </c>
      <c r="Y554" s="1">
        <f ca="1">IFERROR(__xludf.DUMMYFUNCTION("""COMPUTED_VALUE"""),101.41)</f>
        <v>101.41</v>
      </c>
      <c r="Z554" s="1">
        <f ca="1">IFERROR(__xludf.DUMMYFUNCTION("""COMPUTED_VALUE"""),327)</f>
        <v>327</v>
      </c>
      <c r="AA554" s="1">
        <f ca="1">IFERROR(__xludf.DUMMYFUNCTION("""COMPUTED_VALUE"""),50.27)</f>
        <v>50.27</v>
      </c>
      <c r="AB554" s="1">
        <f ca="1">IFERROR(__xludf.DUMMYFUNCTION("""COMPUTED_VALUE"""),82.73)</f>
        <v>82.73</v>
      </c>
      <c r="AC554" s="1">
        <f ca="1">IFERROR(__xludf.DUMMYFUNCTION("""COMPUTED_VALUE"""),104.29)</f>
        <v>104.29</v>
      </c>
    </row>
    <row r="555" spans="1:29" x14ac:dyDescent="0.25">
      <c r="A555" s="2">
        <f ca="1">IFERROR(__xludf.DUMMYFUNCTION("""COMPUTED_VALUE"""),44634.6666666666)</f>
        <v>44634.666666666599</v>
      </c>
      <c r="B555" s="1">
        <f ca="1">IFERROR(__xludf.DUMMYFUNCTION("""COMPUTED_VALUE"""),150.62)</f>
        <v>150.62</v>
      </c>
      <c r="C555" s="1">
        <f ca="1">IFERROR(__xludf.DUMMYFUNCTION("""COMPUTED_VALUE"""),276.44)</f>
        <v>276.44</v>
      </c>
      <c r="D555" s="1">
        <f ca="1">IFERROR(__xludf.DUMMYFUNCTION("""COMPUTED_VALUE"""),141.85)</f>
        <v>141.85</v>
      </c>
      <c r="E555" s="1">
        <f ca="1">IFERROR(__xludf.DUMMYFUNCTION("""COMPUTED_VALUE"""),21.33)</f>
        <v>21.33</v>
      </c>
      <c r="F555" s="1">
        <f ca="1">IFERROR(__xludf.DUMMYFUNCTION("""COMPUTED_VALUE"""),186.63)</f>
        <v>186.63</v>
      </c>
      <c r="G555" s="1">
        <f ca="1">IFERROR(__xludf.DUMMYFUNCTION("""COMPUTED_VALUE"""),126.74)</f>
        <v>126.74</v>
      </c>
      <c r="H555" s="1">
        <f ca="1">IFERROR(__xludf.DUMMYFUNCTION("""COMPUTED_VALUE"""),255.46)</f>
        <v>255.46</v>
      </c>
      <c r="I555" s="1">
        <f ca="1">IFERROR(__xludf.DUMMYFUNCTION("""COMPUTED_VALUE"""),155.89)</f>
        <v>155.88999999999999</v>
      </c>
      <c r="J555" s="1">
        <f ca="1">IFERROR(__xludf.DUMMYFUNCTION("""COMPUTED_VALUE"""),525.95)</f>
        <v>525.95000000000005</v>
      </c>
      <c r="K555" s="1">
        <f ca="1">IFERROR(__xludf.DUMMYFUNCTION("""COMPUTED_VALUE"""),56.78)</f>
        <v>56.78</v>
      </c>
      <c r="L555" s="1">
        <f ca="1">IFERROR(__xludf.DUMMYFUNCTION("""COMPUTED_VALUE"""),411.5)</f>
        <v>411.5</v>
      </c>
      <c r="M555" s="1">
        <f ca="1">IFERROR(__xludf.DUMMYFUNCTION("""COMPUTED_VALUE"""),331.01)</f>
        <v>331.01</v>
      </c>
      <c r="N555" s="1">
        <f ca="1">IFERROR(__xludf.DUMMYFUNCTION("""COMPUTED_VALUE"""),130.17)</f>
        <v>130.16999999999999</v>
      </c>
      <c r="O555" s="1">
        <f ca="1">IFERROR(__xludf.DUMMYFUNCTION("""COMPUTED_VALUE"""),200.33)</f>
        <v>200.33</v>
      </c>
      <c r="P555" s="1">
        <f ca="1">IFERROR(__xludf.DUMMYFUNCTION("""COMPUTED_VALUE"""),171.69)</f>
        <v>171.69</v>
      </c>
      <c r="Q555" s="1">
        <f ca="1">IFERROR(__xludf.DUMMYFUNCTION("""COMPUTED_VALUE"""),487.92)</f>
        <v>487.92</v>
      </c>
      <c r="R555" s="1">
        <f ca="1">IFERROR(__xludf.DUMMYFUNCTION("""COMPUTED_VALUE"""),81.88)</f>
        <v>81.88</v>
      </c>
      <c r="S555" s="1">
        <f ca="1">IFERROR(__xludf.DUMMYFUNCTION("""COMPUTED_VALUE"""),79.28)</f>
        <v>79.28</v>
      </c>
      <c r="T555" s="1">
        <f ca="1">IFERROR(__xludf.DUMMYFUNCTION("""COMPUTED_VALUE"""),48.02)</f>
        <v>48.02</v>
      </c>
      <c r="U555" s="1">
        <f ca="1">IFERROR(__xludf.DUMMYFUNCTION("""COMPUTED_VALUE"""),117.57)</f>
        <v>117.57</v>
      </c>
      <c r="V555" s="1">
        <f ca="1">IFERROR(__xludf.DUMMYFUNCTION("""COMPUTED_VALUE"""),215.44)</f>
        <v>215.44</v>
      </c>
      <c r="W555" s="1">
        <f ca="1">IFERROR(__xludf.DUMMYFUNCTION("""COMPUTED_VALUE"""),444.45)</f>
        <v>444.45</v>
      </c>
      <c r="X555" s="1">
        <f ca="1">IFERROR(__xludf.DUMMYFUNCTION("""COMPUTED_VALUE"""),577.55)</f>
        <v>577.54999999999995</v>
      </c>
      <c r="Y555" s="1">
        <f ca="1">IFERROR(__xludf.DUMMYFUNCTION("""COMPUTED_VALUE"""),99.3)</f>
        <v>99.3</v>
      </c>
      <c r="Z555" s="1">
        <f ca="1">IFERROR(__xludf.DUMMYFUNCTION("""COMPUTED_VALUE"""),324.98)</f>
        <v>324.98</v>
      </c>
      <c r="AA555" s="1">
        <f ca="1">IFERROR(__xludf.DUMMYFUNCTION("""COMPUTED_VALUE"""),52.25)</f>
        <v>52.25</v>
      </c>
      <c r="AB555" s="1">
        <f ca="1">IFERROR(__xludf.DUMMYFUNCTION("""COMPUTED_VALUE"""),79.29)</f>
        <v>79.290000000000006</v>
      </c>
      <c r="AC555" s="1">
        <f ca="1">IFERROR(__xludf.DUMMYFUNCTION("""COMPUTED_VALUE"""),102.25)</f>
        <v>102.25</v>
      </c>
    </row>
    <row r="556" spans="1:29" x14ac:dyDescent="0.25">
      <c r="A556" s="2">
        <f ca="1">IFERROR(__xludf.DUMMYFUNCTION("""COMPUTED_VALUE"""),44635.6666666666)</f>
        <v>44635.666666666599</v>
      </c>
      <c r="B556" s="1">
        <f ca="1">IFERROR(__xludf.DUMMYFUNCTION("""COMPUTED_VALUE"""),155.09)</f>
        <v>155.09</v>
      </c>
      <c r="C556" s="1">
        <f ca="1">IFERROR(__xludf.DUMMYFUNCTION("""COMPUTED_VALUE"""),287.15)</f>
        <v>287.14999999999998</v>
      </c>
      <c r="D556" s="1">
        <f ca="1">IFERROR(__xludf.DUMMYFUNCTION("""COMPUTED_VALUE"""),147.37)</f>
        <v>147.37</v>
      </c>
      <c r="E556" s="1">
        <f ca="1">IFERROR(__xludf.DUMMYFUNCTION("""COMPUTED_VALUE"""),22.97)</f>
        <v>22.97</v>
      </c>
      <c r="F556" s="1">
        <f ca="1">IFERROR(__xludf.DUMMYFUNCTION("""COMPUTED_VALUE"""),192.03)</f>
        <v>192.03</v>
      </c>
      <c r="G556" s="1">
        <f ca="1">IFERROR(__xludf.DUMMYFUNCTION("""COMPUTED_VALUE"""),129.66)</f>
        <v>129.66</v>
      </c>
      <c r="H556" s="1">
        <f ca="1">IFERROR(__xludf.DUMMYFUNCTION("""COMPUTED_VALUE"""),267.3)</f>
        <v>267.3</v>
      </c>
      <c r="I556" s="1">
        <f ca="1">IFERROR(__xludf.DUMMYFUNCTION("""COMPUTED_VALUE"""),159)</f>
        <v>159</v>
      </c>
      <c r="J556" s="1">
        <f ca="1">IFERROR(__xludf.DUMMYFUNCTION("""COMPUTED_VALUE"""),542.32)</f>
        <v>542.32000000000005</v>
      </c>
      <c r="K556" s="1">
        <f ca="1">IFERROR(__xludf.DUMMYFUNCTION("""COMPUTED_VALUE"""),59.28)</f>
        <v>59.28</v>
      </c>
      <c r="L556" s="1">
        <f ca="1">IFERROR(__xludf.DUMMYFUNCTION("""COMPUTED_VALUE"""),421.66)</f>
        <v>421.66</v>
      </c>
      <c r="M556" s="1">
        <f ca="1">IFERROR(__xludf.DUMMYFUNCTION("""COMPUTED_VALUE"""),343.75)</f>
        <v>343.75</v>
      </c>
      <c r="N556" s="1">
        <f ca="1">IFERROR(__xludf.DUMMYFUNCTION("""COMPUTED_VALUE"""),132.48)</f>
        <v>132.47999999999999</v>
      </c>
      <c r="O556" s="1">
        <f ca="1">IFERROR(__xludf.DUMMYFUNCTION("""COMPUTED_VALUE"""),206.14)</f>
        <v>206.14</v>
      </c>
      <c r="P556" s="1">
        <f ca="1">IFERROR(__xludf.DUMMYFUNCTION("""COMPUTED_VALUE"""),176.14)</f>
        <v>176.14</v>
      </c>
      <c r="Q556" s="1">
        <f ca="1">IFERROR(__xludf.DUMMYFUNCTION("""COMPUTED_VALUE"""),497.91)</f>
        <v>497.91</v>
      </c>
      <c r="R556" s="1">
        <f ca="1">IFERROR(__xludf.DUMMYFUNCTION("""COMPUTED_VALUE"""),77.22)</f>
        <v>77.22</v>
      </c>
      <c r="S556" s="1">
        <f ca="1">IFERROR(__xludf.DUMMYFUNCTION("""COMPUTED_VALUE"""),81.98)</f>
        <v>81.98</v>
      </c>
      <c r="T556" s="1">
        <f ca="1">IFERROR(__xludf.DUMMYFUNCTION("""COMPUTED_VALUE"""),48.59)</f>
        <v>48.59</v>
      </c>
      <c r="U556" s="1">
        <f ca="1">IFERROR(__xludf.DUMMYFUNCTION("""COMPUTED_VALUE"""),119.4)</f>
        <v>119.4</v>
      </c>
      <c r="V556" s="1">
        <f ca="1">IFERROR(__xludf.DUMMYFUNCTION("""COMPUTED_VALUE"""),216.46)</f>
        <v>216.46</v>
      </c>
      <c r="W556" s="1">
        <f ca="1">IFERROR(__xludf.DUMMYFUNCTION("""COMPUTED_VALUE"""),448.67)</f>
        <v>448.67</v>
      </c>
      <c r="X556" s="1">
        <f ca="1">IFERROR(__xludf.DUMMYFUNCTION("""COMPUTED_VALUE"""),596.7)</f>
        <v>596.70000000000005</v>
      </c>
      <c r="Y556" s="1">
        <f ca="1">IFERROR(__xludf.DUMMYFUNCTION("""COMPUTED_VALUE"""),102.09)</f>
        <v>102.09</v>
      </c>
      <c r="Z556" s="1">
        <f ca="1">IFERROR(__xludf.DUMMYFUNCTION("""COMPUTED_VALUE"""),329.16)</f>
        <v>329.16</v>
      </c>
      <c r="AA556" s="1">
        <f ca="1">IFERROR(__xludf.DUMMYFUNCTION("""COMPUTED_VALUE"""),52.21)</f>
        <v>52.21</v>
      </c>
      <c r="AB556" s="1">
        <f ca="1">IFERROR(__xludf.DUMMYFUNCTION("""COMPUTED_VALUE"""),83.12)</f>
        <v>83.12</v>
      </c>
      <c r="AC556" s="1">
        <f ca="1">IFERROR(__xludf.DUMMYFUNCTION("""COMPUTED_VALUE"""),109.33)</f>
        <v>109.33</v>
      </c>
    </row>
    <row r="557" spans="1:29" x14ac:dyDescent="0.25">
      <c r="A557" s="2">
        <f ca="1">IFERROR(__xludf.DUMMYFUNCTION("""COMPUTED_VALUE"""),44636.6666666666)</f>
        <v>44636.666666666599</v>
      </c>
      <c r="B557" s="1">
        <f ca="1">IFERROR(__xludf.DUMMYFUNCTION("""COMPUTED_VALUE"""),159.59)</f>
        <v>159.59</v>
      </c>
      <c r="C557" s="1">
        <f ca="1">IFERROR(__xludf.DUMMYFUNCTION("""COMPUTED_VALUE"""),294.39)</f>
        <v>294.39</v>
      </c>
      <c r="D557" s="1">
        <f ca="1">IFERROR(__xludf.DUMMYFUNCTION("""COMPUTED_VALUE"""),153.1)</f>
        <v>153.1</v>
      </c>
      <c r="E557" s="1">
        <f ca="1">IFERROR(__xludf.DUMMYFUNCTION("""COMPUTED_VALUE"""),24.5)</f>
        <v>24.5</v>
      </c>
      <c r="F557" s="1">
        <f ca="1">IFERROR(__xludf.DUMMYFUNCTION("""COMPUTED_VALUE"""),203.63)</f>
        <v>203.63</v>
      </c>
      <c r="G557" s="1">
        <f ca="1">IFERROR(__xludf.DUMMYFUNCTION("""COMPUTED_VALUE"""),133.69)</f>
        <v>133.69</v>
      </c>
      <c r="H557" s="1">
        <f ca="1">IFERROR(__xludf.DUMMYFUNCTION("""COMPUTED_VALUE"""),280.08)</f>
        <v>280.08</v>
      </c>
      <c r="I557" s="1">
        <f ca="1">IFERROR(__xludf.DUMMYFUNCTION("""COMPUTED_VALUE"""),159.7)</f>
        <v>159.69999999999999</v>
      </c>
      <c r="J557" s="1">
        <f ca="1">IFERROR(__xludf.DUMMYFUNCTION("""COMPUTED_VALUE"""),543.39)</f>
        <v>543.39</v>
      </c>
      <c r="K557" s="1">
        <f ca="1">IFERROR(__xludf.DUMMYFUNCTION("""COMPUTED_VALUE"""),60.71)</f>
        <v>60.71</v>
      </c>
      <c r="L557" s="1">
        <f ca="1">IFERROR(__xludf.DUMMYFUNCTION("""COMPUTED_VALUE"""),442.36)</f>
        <v>442.36</v>
      </c>
      <c r="M557" s="1">
        <f ca="1">IFERROR(__xludf.DUMMYFUNCTION("""COMPUTED_VALUE"""),357.53)</f>
        <v>357.53</v>
      </c>
      <c r="N557" s="1">
        <f ca="1">IFERROR(__xludf.DUMMYFUNCTION("""COMPUTED_VALUE"""),138.4)</f>
        <v>138.4</v>
      </c>
      <c r="O557" s="1">
        <f ca="1">IFERROR(__xludf.DUMMYFUNCTION("""COMPUTED_VALUE"""),211.87)</f>
        <v>211.87</v>
      </c>
      <c r="P557" s="1">
        <f ca="1">IFERROR(__xludf.DUMMYFUNCTION("""COMPUTED_VALUE"""),174.52)</f>
        <v>174.52</v>
      </c>
      <c r="Q557" s="1">
        <f ca="1">IFERROR(__xludf.DUMMYFUNCTION("""COMPUTED_VALUE"""),498.26)</f>
        <v>498.26</v>
      </c>
      <c r="R557" s="1">
        <f ca="1">IFERROR(__xludf.DUMMYFUNCTION("""COMPUTED_VALUE"""),76.93)</f>
        <v>76.930000000000007</v>
      </c>
      <c r="S557" s="1">
        <f ca="1">IFERROR(__xludf.DUMMYFUNCTION("""COMPUTED_VALUE"""),82.51)</f>
        <v>82.51</v>
      </c>
      <c r="T557" s="1">
        <f ca="1">IFERROR(__xludf.DUMMYFUNCTION("""COMPUTED_VALUE"""),48.45)</f>
        <v>48.45</v>
      </c>
      <c r="U557" s="1">
        <f ca="1">IFERROR(__xludf.DUMMYFUNCTION("""COMPUTED_VALUE"""),125.19)</f>
        <v>125.19</v>
      </c>
      <c r="V557" s="1">
        <f ca="1">IFERROR(__xludf.DUMMYFUNCTION("""COMPUTED_VALUE"""),216.08)</f>
        <v>216.08</v>
      </c>
      <c r="W557" s="1">
        <f ca="1">IFERROR(__xludf.DUMMYFUNCTION("""COMPUTED_VALUE"""),421.34)</f>
        <v>421.34</v>
      </c>
      <c r="X557" s="1">
        <f ca="1">IFERROR(__xludf.DUMMYFUNCTION("""COMPUTED_VALUE"""),650.63)</f>
        <v>650.63</v>
      </c>
      <c r="Y557" s="1">
        <f ca="1">IFERROR(__xludf.DUMMYFUNCTION("""COMPUTED_VALUE"""),105.69)</f>
        <v>105.69</v>
      </c>
      <c r="Z557" s="1">
        <f ca="1">IFERROR(__xludf.DUMMYFUNCTION("""COMPUTED_VALUE"""),340.76)</f>
        <v>340.76</v>
      </c>
      <c r="AA557" s="1">
        <f ca="1">IFERROR(__xludf.DUMMYFUNCTION("""COMPUTED_VALUE"""),52.92)</f>
        <v>52.92</v>
      </c>
      <c r="AB557" s="1">
        <f ca="1">IFERROR(__xludf.DUMMYFUNCTION("""COMPUTED_VALUE"""),87.41)</f>
        <v>87.41</v>
      </c>
      <c r="AC557" s="1">
        <f ca="1">IFERROR(__xludf.DUMMYFUNCTION("""COMPUTED_VALUE"""),115.37)</f>
        <v>115.37</v>
      </c>
    </row>
    <row r="558" spans="1:29" x14ac:dyDescent="0.25">
      <c r="A558" s="2">
        <f ca="1">IFERROR(__xludf.DUMMYFUNCTION("""COMPUTED_VALUE"""),44637.6666666666)</f>
        <v>44637.666666666599</v>
      </c>
      <c r="B558" s="1">
        <f ca="1">IFERROR(__xludf.DUMMYFUNCTION("""COMPUTED_VALUE"""),160.62)</f>
        <v>160.62</v>
      </c>
      <c r="C558" s="1">
        <f ca="1">IFERROR(__xludf.DUMMYFUNCTION("""COMPUTED_VALUE"""),295.22)</f>
        <v>295.22000000000003</v>
      </c>
      <c r="D558" s="1">
        <f ca="1">IFERROR(__xludf.DUMMYFUNCTION("""COMPUTED_VALUE"""),157.24)</f>
        <v>157.24</v>
      </c>
      <c r="E558" s="1">
        <f ca="1">IFERROR(__xludf.DUMMYFUNCTION("""COMPUTED_VALUE"""),24.77)</f>
        <v>24.77</v>
      </c>
      <c r="F558" s="1">
        <f ca="1">IFERROR(__xludf.DUMMYFUNCTION("""COMPUTED_VALUE"""),207.84)</f>
        <v>207.84</v>
      </c>
      <c r="G558" s="1">
        <f ca="1">IFERROR(__xludf.DUMMYFUNCTION("""COMPUTED_VALUE"""),134.6)</f>
        <v>134.6</v>
      </c>
      <c r="H558" s="1">
        <f ca="1">IFERROR(__xludf.DUMMYFUNCTION("""COMPUTED_VALUE"""),290.53)</f>
        <v>290.52999999999997</v>
      </c>
      <c r="I558" s="1">
        <f ca="1">IFERROR(__xludf.DUMMYFUNCTION("""COMPUTED_VALUE"""),160.94)</f>
        <v>160.94</v>
      </c>
      <c r="J558" s="1">
        <f ca="1">IFERROR(__xludf.DUMMYFUNCTION("""COMPUTED_VALUE"""),552.79)</f>
        <v>552.79</v>
      </c>
      <c r="K558" s="1">
        <f ca="1">IFERROR(__xludf.DUMMYFUNCTION("""COMPUTED_VALUE"""),60.27)</f>
        <v>60.27</v>
      </c>
      <c r="L558" s="1">
        <f ca="1">IFERROR(__xludf.DUMMYFUNCTION("""COMPUTED_VALUE"""),444.36)</f>
        <v>444.36</v>
      </c>
      <c r="M558" s="1">
        <f ca="1">IFERROR(__xludf.DUMMYFUNCTION("""COMPUTED_VALUE"""),371.4)</f>
        <v>371.4</v>
      </c>
      <c r="N558" s="1">
        <f ca="1">IFERROR(__xludf.DUMMYFUNCTION("""COMPUTED_VALUE"""),140.15)</f>
        <v>140.15</v>
      </c>
      <c r="O558" s="1">
        <f ca="1">IFERROR(__xludf.DUMMYFUNCTION("""COMPUTED_VALUE"""),213.45)</f>
        <v>213.45</v>
      </c>
      <c r="P558" s="1">
        <f ca="1">IFERROR(__xludf.DUMMYFUNCTION("""COMPUTED_VALUE"""),176.8)</f>
        <v>176.8</v>
      </c>
      <c r="Q558" s="1">
        <f ca="1">IFERROR(__xludf.DUMMYFUNCTION("""COMPUTED_VALUE"""),507.02)</f>
        <v>507.02</v>
      </c>
      <c r="R558" s="1">
        <f ca="1">IFERROR(__xludf.DUMMYFUNCTION("""COMPUTED_VALUE"""),78.98)</f>
        <v>78.98</v>
      </c>
      <c r="S558" s="1">
        <f ca="1">IFERROR(__xludf.DUMMYFUNCTION("""COMPUTED_VALUE"""),82.69)</f>
        <v>82.69</v>
      </c>
      <c r="T558" s="1">
        <f ca="1">IFERROR(__xludf.DUMMYFUNCTION("""COMPUTED_VALUE"""),48.34)</f>
        <v>48.34</v>
      </c>
      <c r="U558" s="1">
        <f ca="1">IFERROR(__xludf.DUMMYFUNCTION("""COMPUTED_VALUE"""),127.41)</f>
        <v>127.41</v>
      </c>
      <c r="V558" s="1">
        <f ca="1">IFERROR(__xludf.DUMMYFUNCTION("""COMPUTED_VALUE"""),221.7)</f>
        <v>221.7</v>
      </c>
      <c r="W558" s="1">
        <f ca="1">IFERROR(__xludf.DUMMYFUNCTION("""COMPUTED_VALUE"""),428.59)</f>
        <v>428.59</v>
      </c>
      <c r="X558" s="1">
        <f ca="1">IFERROR(__xludf.DUMMYFUNCTION("""COMPUTED_VALUE"""),654.1)</f>
        <v>654.1</v>
      </c>
      <c r="Y558" s="1">
        <f ca="1">IFERROR(__xludf.DUMMYFUNCTION("""COMPUTED_VALUE"""),106.49)</f>
        <v>106.49</v>
      </c>
      <c r="Z558" s="1">
        <f ca="1">IFERROR(__xludf.DUMMYFUNCTION("""COMPUTED_VALUE"""),343.27)</f>
        <v>343.27</v>
      </c>
      <c r="AA558" s="1">
        <f ca="1">IFERROR(__xludf.DUMMYFUNCTION("""COMPUTED_VALUE"""),54.24)</f>
        <v>54.24</v>
      </c>
      <c r="AB558" s="1">
        <f ca="1">IFERROR(__xludf.DUMMYFUNCTION("""COMPUTED_VALUE"""),87.66)</f>
        <v>87.66</v>
      </c>
      <c r="AC558" s="1">
        <f ca="1">IFERROR(__xludf.DUMMYFUNCTION("""COMPUTED_VALUE"""),111.69)</f>
        <v>111.69</v>
      </c>
    </row>
    <row r="559" spans="1:29" x14ac:dyDescent="0.25">
      <c r="A559" s="2">
        <f ca="1">IFERROR(__xludf.DUMMYFUNCTION("""COMPUTED_VALUE"""),44638.6666666666)</f>
        <v>44638.666666666599</v>
      </c>
      <c r="B559" s="1">
        <f ca="1">IFERROR(__xludf.DUMMYFUNCTION("""COMPUTED_VALUE"""),163.98)</f>
        <v>163.98</v>
      </c>
      <c r="C559" s="1">
        <f ca="1">IFERROR(__xludf.DUMMYFUNCTION("""COMPUTED_VALUE"""),300.43)</f>
        <v>300.43</v>
      </c>
      <c r="D559" s="1">
        <f ca="1">IFERROR(__xludf.DUMMYFUNCTION("""COMPUTED_VALUE"""),161.25)</f>
        <v>161.25</v>
      </c>
      <c r="E559" s="1">
        <f ca="1">IFERROR(__xludf.DUMMYFUNCTION("""COMPUTED_VALUE"""),26.45)</f>
        <v>26.45</v>
      </c>
      <c r="F559" s="1">
        <f ca="1">IFERROR(__xludf.DUMMYFUNCTION("""COMPUTED_VALUE"""),216.49)</f>
        <v>216.49</v>
      </c>
      <c r="G559" s="1">
        <f ca="1">IFERROR(__xludf.DUMMYFUNCTION("""COMPUTED_VALUE"""),136.8)</f>
        <v>136.80000000000001</v>
      </c>
      <c r="H559" s="1">
        <f ca="1">IFERROR(__xludf.DUMMYFUNCTION("""COMPUTED_VALUE"""),301.8)</f>
        <v>301.8</v>
      </c>
      <c r="I559" s="1">
        <f ca="1">IFERROR(__xludf.DUMMYFUNCTION("""COMPUTED_VALUE"""),162.79)</f>
        <v>162.79</v>
      </c>
      <c r="J559" s="1">
        <f ca="1">IFERROR(__xludf.DUMMYFUNCTION("""COMPUTED_VALUE"""),561.35)</f>
        <v>561.35</v>
      </c>
      <c r="K559" s="1">
        <f ca="1">IFERROR(__xludf.DUMMYFUNCTION("""COMPUTED_VALUE"""),61.04)</f>
        <v>61.04</v>
      </c>
      <c r="L559" s="1">
        <f ca="1">IFERROR(__xludf.DUMMYFUNCTION("""COMPUTED_VALUE"""),453.33)</f>
        <v>453.33</v>
      </c>
      <c r="M559" s="1">
        <f ca="1">IFERROR(__xludf.DUMMYFUNCTION("""COMPUTED_VALUE"""),380.6)</f>
        <v>380.6</v>
      </c>
      <c r="N559" s="1">
        <f ca="1">IFERROR(__xludf.DUMMYFUNCTION("""COMPUTED_VALUE"""),140.1)</f>
        <v>140.1</v>
      </c>
      <c r="O559" s="1">
        <f ca="1">IFERROR(__xludf.DUMMYFUNCTION("""COMPUTED_VALUE"""),219.11)</f>
        <v>219.11</v>
      </c>
      <c r="P559" s="1">
        <f ca="1">IFERROR(__xludf.DUMMYFUNCTION("""COMPUTED_VALUE"""),174.84)</f>
        <v>174.84</v>
      </c>
      <c r="Q559" s="1">
        <f ca="1">IFERROR(__xludf.DUMMYFUNCTION("""COMPUTED_VALUE"""),506.12)</f>
        <v>506.12</v>
      </c>
      <c r="R559" s="1">
        <f ca="1">IFERROR(__xludf.DUMMYFUNCTION("""COMPUTED_VALUE"""),78.67)</f>
        <v>78.67</v>
      </c>
      <c r="S559" s="1">
        <f ca="1">IFERROR(__xludf.DUMMYFUNCTION("""COMPUTED_VALUE"""),82.37)</f>
        <v>82.37</v>
      </c>
      <c r="T559" s="1">
        <f ca="1">IFERROR(__xludf.DUMMYFUNCTION("""COMPUTED_VALUE"""),48.48)</f>
        <v>48.48</v>
      </c>
      <c r="U559" s="1">
        <f ca="1">IFERROR(__xludf.DUMMYFUNCTION("""COMPUTED_VALUE"""),131.24)</f>
        <v>131.24</v>
      </c>
      <c r="V559" s="1">
        <f ca="1">IFERROR(__xludf.DUMMYFUNCTION("""COMPUTED_VALUE"""),220.91)</f>
        <v>220.91</v>
      </c>
      <c r="W559" s="1">
        <f ca="1">IFERROR(__xludf.DUMMYFUNCTION("""COMPUTED_VALUE"""),426.18)</f>
        <v>426.18</v>
      </c>
      <c r="X559" s="1">
        <f ca="1">IFERROR(__xludf.DUMMYFUNCTION("""COMPUTED_VALUE"""),679.86)</f>
        <v>679.86</v>
      </c>
      <c r="Y559" s="1">
        <f ca="1">IFERROR(__xludf.DUMMYFUNCTION("""COMPUTED_VALUE"""),106.72)</f>
        <v>106.72</v>
      </c>
      <c r="Z559" s="1">
        <f ca="1">IFERROR(__xludf.DUMMYFUNCTION("""COMPUTED_VALUE"""),345.38)</f>
        <v>345.38</v>
      </c>
      <c r="AA559" s="1">
        <f ca="1">IFERROR(__xludf.DUMMYFUNCTION("""COMPUTED_VALUE"""),54.51)</f>
        <v>54.51</v>
      </c>
      <c r="AB559" s="1">
        <f ca="1">IFERROR(__xludf.DUMMYFUNCTION("""COMPUTED_VALUE"""),89.6)</f>
        <v>89.6</v>
      </c>
      <c r="AC559" s="1">
        <f ca="1">IFERROR(__xludf.DUMMYFUNCTION("""COMPUTED_VALUE"""),113.46)</f>
        <v>113.46</v>
      </c>
    </row>
    <row r="560" spans="1:29" x14ac:dyDescent="0.25">
      <c r="A560" s="2">
        <f ca="1">IFERROR(__xludf.DUMMYFUNCTION("""COMPUTED_VALUE"""),44641.6666666666)</f>
        <v>44641.666666666599</v>
      </c>
      <c r="B560" s="1">
        <f ca="1">IFERROR(__xludf.DUMMYFUNCTION("""COMPUTED_VALUE"""),165.38)</f>
        <v>165.38</v>
      </c>
      <c r="C560" s="1">
        <f ca="1">IFERROR(__xludf.DUMMYFUNCTION("""COMPUTED_VALUE"""),299.16)</f>
        <v>299.16000000000003</v>
      </c>
      <c r="D560" s="1">
        <f ca="1">IFERROR(__xludf.DUMMYFUNCTION("""COMPUTED_VALUE"""),161.49)</f>
        <v>161.49</v>
      </c>
      <c r="E560" s="1">
        <f ca="1">IFERROR(__xludf.DUMMYFUNCTION("""COMPUTED_VALUE"""),26.73)</f>
        <v>26.73</v>
      </c>
      <c r="F560" s="1">
        <f ca="1">IFERROR(__xludf.DUMMYFUNCTION("""COMPUTED_VALUE"""),211.49)</f>
        <v>211.49</v>
      </c>
      <c r="G560" s="1">
        <f ca="1">IFERROR(__xludf.DUMMYFUNCTION("""COMPUTED_VALUE"""),136.48)</f>
        <v>136.47999999999999</v>
      </c>
      <c r="H560" s="1">
        <f ca="1">IFERROR(__xludf.DUMMYFUNCTION("""COMPUTED_VALUE"""),307.05)</f>
        <v>307.05</v>
      </c>
      <c r="I560" s="1">
        <f ca="1">IFERROR(__xludf.DUMMYFUNCTION("""COMPUTED_VALUE"""),162.56)</f>
        <v>162.56</v>
      </c>
      <c r="J560" s="1">
        <f ca="1">IFERROR(__xludf.DUMMYFUNCTION("""COMPUTED_VALUE"""),555.53)</f>
        <v>555.53</v>
      </c>
      <c r="K560" s="1">
        <f ca="1">IFERROR(__xludf.DUMMYFUNCTION("""COMPUTED_VALUE"""),60.13)</f>
        <v>60.13</v>
      </c>
      <c r="L560" s="1">
        <f ca="1">IFERROR(__xludf.DUMMYFUNCTION("""COMPUTED_VALUE"""),453.59)</f>
        <v>453.59</v>
      </c>
      <c r="M560" s="1">
        <f ca="1">IFERROR(__xludf.DUMMYFUNCTION("""COMPUTED_VALUE"""),374.59)</f>
        <v>374.59</v>
      </c>
      <c r="N560" s="1">
        <f ca="1">IFERROR(__xludf.DUMMYFUNCTION("""COMPUTED_VALUE"""),139.65)</f>
        <v>139.65</v>
      </c>
      <c r="O560" s="1">
        <f ca="1">IFERROR(__xludf.DUMMYFUNCTION("""COMPUTED_VALUE"""),217.04)</f>
        <v>217.04</v>
      </c>
      <c r="P560" s="1">
        <f ca="1">IFERROR(__xludf.DUMMYFUNCTION("""COMPUTED_VALUE"""),175.83)</f>
        <v>175.83</v>
      </c>
      <c r="Q560" s="1">
        <f ca="1">IFERROR(__xludf.DUMMYFUNCTION("""COMPUTED_VALUE"""),507.66)</f>
        <v>507.66</v>
      </c>
      <c r="R560" s="1">
        <f ca="1">IFERROR(__xludf.DUMMYFUNCTION("""COMPUTED_VALUE"""),82.2)</f>
        <v>82.2</v>
      </c>
      <c r="S560" s="1">
        <f ca="1">IFERROR(__xludf.DUMMYFUNCTION("""COMPUTED_VALUE"""),81.8)</f>
        <v>81.8</v>
      </c>
      <c r="T560" s="1">
        <f ca="1">IFERROR(__xludf.DUMMYFUNCTION("""COMPUTED_VALUE"""),48.08)</f>
        <v>48.08</v>
      </c>
      <c r="U560" s="1">
        <f ca="1">IFERROR(__xludf.DUMMYFUNCTION("""COMPUTED_VALUE"""),130.19)</f>
        <v>130.19</v>
      </c>
      <c r="V560" s="1">
        <f ca="1">IFERROR(__xludf.DUMMYFUNCTION("""COMPUTED_VALUE"""),223.71)</f>
        <v>223.71</v>
      </c>
      <c r="W560" s="1">
        <f ca="1">IFERROR(__xludf.DUMMYFUNCTION("""COMPUTED_VALUE"""),440)</f>
        <v>440</v>
      </c>
      <c r="X560" s="1">
        <f ca="1">IFERROR(__xludf.DUMMYFUNCTION("""COMPUTED_VALUE"""),682.91)</f>
        <v>682.91</v>
      </c>
      <c r="Y560" s="1">
        <f ca="1">IFERROR(__xludf.DUMMYFUNCTION("""COMPUTED_VALUE"""),106.92)</f>
        <v>106.92</v>
      </c>
      <c r="Z560" s="1">
        <f ca="1">IFERROR(__xludf.DUMMYFUNCTION("""COMPUTED_VALUE"""),339)</f>
        <v>339</v>
      </c>
      <c r="AA560" s="1">
        <f ca="1">IFERROR(__xludf.DUMMYFUNCTION("""COMPUTED_VALUE"""),54.19)</f>
        <v>54.19</v>
      </c>
      <c r="AB560" s="1">
        <f ca="1">IFERROR(__xludf.DUMMYFUNCTION("""COMPUTED_VALUE"""),86.86)</f>
        <v>86.86</v>
      </c>
      <c r="AC560" s="1">
        <f ca="1">IFERROR(__xludf.DUMMYFUNCTION("""COMPUTED_VALUE"""),115.92)</f>
        <v>115.92</v>
      </c>
    </row>
    <row r="561" spans="1:29" x14ac:dyDescent="0.25">
      <c r="A561" s="2">
        <f ca="1">IFERROR(__xludf.DUMMYFUNCTION("""COMPUTED_VALUE"""),44642.6666666666)</f>
        <v>44642.666666666599</v>
      </c>
      <c r="B561" s="1">
        <f ca="1">IFERROR(__xludf.DUMMYFUNCTION("""COMPUTED_VALUE"""),168.82)</f>
        <v>168.82</v>
      </c>
      <c r="C561" s="1">
        <f ca="1">IFERROR(__xludf.DUMMYFUNCTION("""COMPUTED_VALUE"""),304.06)</f>
        <v>304.06</v>
      </c>
      <c r="D561" s="1">
        <f ca="1">IFERROR(__xludf.DUMMYFUNCTION("""COMPUTED_VALUE"""),164.89)</f>
        <v>164.89</v>
      </c>
      <c r="E561" s="1">
        <f ca="1">IFERROR(__xludf.DUMMYFUNCTION("""COMPUTED_VALUE"""),26.52)</f>
        <v>26.52</v>
      </c>
      <c r="F561" s="1">
        <f ca="1">IFERROR(__xludf.DUMMYFUNCTION("""COMPUTED_VALUE"""),216.65)</f>
        <v>216.65</v>
      </c>
      <c r="G561" s="1">
        <f ca="1">IFERROR(__xludf.DUMMYFUNCTION("""COMPUTED_VALUE"""),140.28)</f>
        <v>140.28</v>
      </c>
      <c r="H561" s="1">
        <f ca="1">IFERROR(__xludf.DUMMYFUNCTION("""COMPUTED_VALUE"""),331.33)</f>
        <v>331.33</v>
      </c>
      <c r="I561" s="1">
        <f ca="1">IFERROR(__xludf.DUMMYFUNCTION("""COMPUTED_VALUE"""),164.34)</f>
        <v>164.34</v>
      </c>
      <c r="J561" s="1">
        <f ca="1">IFERROR(__xludf.DUMMYFUNCTION("""COMPUTED_VALUE"""),559.42)</f>
        <v>559.41999999999996</v>
      </c>
      <c r="K561" s="1">
        <f ca="1">IFERROR(__xludf.DUMMYFUNCTION("""COMPUTED_VALUE"""),61.13)</f>
        <v>61.13</v>
      </c>
      <c r="L561" s="1">
        <f ca="1">IFERROR(__xludf.DUMMYFUNCTION("""COMPUTED_VALUE"""),466.45)</f>
        <v>466.45</v>
      </c>
      <c r="M561" s="1">
        <f ca="1">IFERROR(__xludf.DUMMYFUNCTION("""COMPUTED_VALUE"""),382.92)</f>
        <v>382.92</v>
      </c>
      <c r="N561" s="1">
        <f ca="1">IFERROR(__xludf.DUMMYFUNCTION("""COMPUTED_VALUE"""),142.62)</f>
        <v>142.62</v>
      </c>
      <c r="O561" s="1">
        <f ca="1">IFERROR(__xludf.DUMMYFUNCTION("""COMPUTED_VALUE"""),218.47)</f>
        <v>218.47</v>
      </c>
      <c r="P561" s="1">
        <f ca="1">IFERROR(__xludf.DUMMYFUNCTION("""COMPUTED_VALUE"""),175)</f>
        <v>175</v>
      </c>
      <c r="Q561" s="1">
        <f ca="1">IFERROR(__xludf.DUMMYFUNCTION("""COMPUTED_VALUE"""),505.32)</f>
        <v>505.32</v>
      </c>
      <c r="R561" s="1">
        <f ca="1">IFERROR(__xludf.DUMMYFUNCTION("""COMPUTED_VALUE"""),81.84)</f>
        <v>81.84</v>
      </c>
      <c r="S561" s="1">
        <f ca="1">IFERROR(__xludf.DUMMYFUNCTION("""COMPUTED_VALUE"""),82.85)</f>
        <v>82.85</v>
      </c>
      <c r="T561" s="1">
        <f ca="1">IFERROR(__xludf.DUMMYFUNCTION("""COMPUTED_VALUE"""),47.93)</f>
        <v>47.93</v>
      </c>
      <c r="U561" s="1">
        <f ca="1">IFERROR(__xludf.DUMMYFUNCTION("""COMPUTED_VALUE"""),133.09)</f>
        <v>133.09</v>
      </c>
      <c r="V561" s="1">
        <f ca="1">IFERROR(__xludf.DUMMYFUNCTION("""COMPUTED_VALUE"""),222.71)</f>
        <v>222.71</v>
      </c>
      <c r="W561" s="1">
        <f ca="1">IFERROR(__xludf.DUMMYFUNCTION("""COMPUTED_VALUE"""),440.59)</f>
        <v>440.59</v>
      </c>
      <c r="X561" s="1">
        <f ca="1">IFERROR(__xludf.DUMMYFUNCTION("""COMPUTED_VALUE"""),688.74)</f>
        <v>688.74</v>
      </c>
      <c r="Y561" s="1">
        <f ca="1">IFERROR(__xludf.DUMMYFUNCTION("""COMPUTED_VALUE"""),107.04)</f>
        <v>107.04</v>
      </c>
      <c r="Z561" s="1">
        <f ca="1">IFERROR(__xludf.DUMMYFUNCTION("""COMPUTED_VALUE"""),343.01)</f>
        <v>343.01</v>
      </c>
      <c r="AA561" s="1">
        <f ca="1">IFERROR(__xludf.DUMMYFUNCTION("""COMPUTED_VALUE"""),53.04)</f>
        <v>53.04</v>
      </c>
      <c r="AB561" s="1">
        <f ca="1">IFERROR(__xludf.DUMMYFUNCTION("""COMPUTED_VALUE"""),87.89)</f>
        <v>87.89</v>
      </c>
      <c r="AC561" s="1">
        <f ca="1">IFERROR(__xludf.DUMMYFUNCTION("""COMPUTED_VALUE"""),114.78)</f>
        <v>114.78</v>
      </c>
    </row>
    <row r="562" spans="1:29" x14ac:dyDescent="0.25">
      <c r="A562" s="2">
        <f ca="1">IFERROR(__xludf.DUMMYFUNCTION("""COMPUTED_VALUE"""),44643.6666666666)</f>
        <v>44643.666666666599</v>
      </c>
      <c r="B562" s="1">
        <f ca="1">IFERROR(__xludf.DUMMYFUNCTION("""COMPUTED_VALUE"""),170.21)</f>
        <v>170.21</v>
      </c>
      <c r="C562" s="1">
        <f ca="1">IFERROR(__xludf.DUMMYFUNCTION("""COMPUTED_VALUE"""),299.49)</f>
        <v>299.49</v>
      </c>
      <c r="D562" s="1">
        <f ca="1">IFERROR(__xludf.DUMMYFUNCTION("""COMPUTED_VALUE"""),163.41)</f>
        <v>163.41</v>
      </c>
      <c r="E562" s="1">
        <f ca="1">IFERROR(__xludf.DUMMYFUNCTION("""COMPUTED_VALUE"""),25.63)</f>
        <v>25.63</v>
      </c>
      <c r="F562" s="1">
        <f ca="1">IFERROR(__xludf.DUMMYFUNCTION("""COMPUTED_VALUE"""),213.46)</f>
        <v>213.46</v>
      </c>
      <c r="G562" s="1">
        <f ca="1">IFERROR(__xludf.DUMMYFUNCTION("""COMPUTED_VALUE"""),138.5)</f>
        <v>138.5</v>
      </c>
      <c r="H562" s="1">
        <f ca="1">IFERROR(__xludf.DUMMYFUNCTION("""COMPUTED_VALUE"""),333.04)</f>
        <v>333.04</v>
      </c>
      <c r="I562" s="1">
        <f ca="1">IFERROR(__xludf.DUMMYFUNCTION("""COMPUTED_VALUE"""),163.48)</f>
        <v>163.47999999999999</v>
      </c>
      <c r="J562" s="1">
        <f ca="1">IFERROR(__xludf.DUMMYFUNCTION("""COMPUTED_VALUE"""),554.02)</f>
        <v>554.02</v>
      </c>
      <c r="K562" s="1">
        <f ca="1">IFERROR(__xludf.DUMMYFUNCTION("""COMPUTED_VALUE"""),59.94)</f>
        <v>59.94</v>
      </c>
      <c r="L562" s="1">
        <f ca="1">IFERROR(__xludf.DUMMYFUNCTION("""COMPUTED_VALUE"""),422.9)</f>
        <v>422.9</v>
      </c>
      <c r="M562" s="1">
        <f ca="1">IFERROR(__xludf.DUMMYFUNCTION("""COMPUTED_VALUE"""),374.49)</f>
        <v>374.49</v>
      </c>
      <c r="N562" s="1">
        <f ca="1">IFERROR(__xludf.DUMMYFUNCTION("""COMPUTED_VALUE"""),139.78)</f>
        <v>139.78</v>
      </c>
      <c r="O562" s="1">
        <f ca="1">IFERROR(__xludf.DUMMYFUNCTION("""COMPUTED_VALUE"""),214.68)</f>
        <v>214.68</v>
      </c>
      <c r="P562" s="1">
        <f ca="1">IFERROR(__xludf.DUMMYFUNCTION("""COMPUTED_VALUE"""),174.34)</f>
        <v>174.34</v>
      </c>
      <c r="Q562" s="1">
        <f ca="1">IFERROR(__xludf.DUMMYFUNCTION("""COMPUTED_VALUE"""),503.23)</f>
        <v>503.23</v>
      </c>
      <c r="R562" s="1">
        <f ca="1">IFERROR(__xludf.DUMMYFUNCTION("""COMPUTED_VALUE"""),83.13)</f>
        <v>83.13</v>
      </c>
      <c r="S562" s="1">
        <f ca="1">IFERROR(__xludf.DUMMYFUNCTION("""COMPUTED_VALUE"""),82.57)</f>
        <v>82.57</v>
      </c>
      <c r="T562" s="1">
        <f ca="1">IFERROR(__xludf.DUMMYFUNCTION("""COMPUTED_VALUE"""),47.32)</f>
        <v>47.32</v>
      </c>
      <c r="U562" s="1">
        <f ca="1">IFERROR(__xludf.DUMMYFUNCTION("""COMPUTED_VALUE"""),133)</f>
        <v>133</v>
      </c>
      <c r="V562" s="1">
        <f ca="1">IFERROR(__xludf.DUMMYFUNCTION("""COMPUTED_VALUE"""),222.17)</f>
        <v>222.17</v>
      </c>
      <c r="W562" s="1">
        <f ca="1">IFERROR(__xludf.DUMMYFUNCTION("""COMPUTED_VALUE"""),445.25)</f>
        <v>445.25</v>
      </c>
      <c r="X562" s="1">
        <f ca="1">IFERROR(__xludf.DUMMYFUNCTION("""COMPUTED_VALUE"""),665.36)</f>
        <v>665.36</v>
      </c>
      <c r="Y562" s="1">
        <f ca="1">IFERROR(__xludf.DUMMYFUNCTION("""COMPUTED_VALUE"""),105.35)</f>
        <v>105.35</v>
      </c>
      <c r="Z562" s="1">
        <f ca="1">IFERROR(__xludf.DUMMYFUNCTION("""COMPUTED_VALUE"""),335.61)</f>
        <v>335.61</v>
      </c>
      <c r="AA562" s="1">
        <f ca="1">IFERROR(__xludf.DUMMYFUNCTION("""COMPUTED_VALUE"""),52.19)</f>
        <v>52.19</v>
      </c>
      <c r="AB562" s="1">
        <f ca="1">IFERROR(__xludf.DUMMYFUNCTION("""COMPUTED_VALUE"""),86.22)</f>
        <v>86.22</v>
      </c>
      <c r="AC562" s="1">
        <f ca="1">IFERROR(__xludf.DUMMYFUNCTION("""COMPUTED_VALUE"""),113.92)</f>
        <v>113.92</v>
      </c>
    </row>
    <row r="563" spans="1:29" x14ac:dyDescent="0.25">
      <c r="A563" s="2">
        <f ca="1">IFERROR(__xludf.DUMMYFUNCTION("""COMPUTED_VALUE"""),44644.6666666666)</f>
        <v>44644.666666666599</v>
      </c>
      <c r="B563" s="1">
        <f ca="1">IFERROR(__xludf.DUMMYFUNCTION("""COMPUTED_VALUE"""),174.07)</f>
        <v>174.07</v>
      </c>
      <c r="C563" s="1">
        <f ca="1">IFERROR(__xludf.DUMMYFUNCTION("""COMPUTED_VALUE"""),304.1)</f>
        <v>304.10000000000002</v>
      </c>
      <c r="D563" s="1">
        <f ca="1">IFERROR(__xludf.DUMMYFUNCTION("""COMPUTED_VALUE"""),163.65)</f>
        <v>163.65</v>
      </c>
      <c r="E563" s="1">
        <f ca="1">IFERROR(__xludf.DUMMYFUNCTION("""COMPUTED_VALUE"""),28.15)</f>
        <v>28.15</v>
      </c>
      <c r="F563" s="1">
        <f ca="1">IFERROR(__xludf.DUMMYFUNCTION("""COMPUTED_VALUE"""),219.57)</f>
        <v>219.57</v>
      </c>
      <c r="G563" s="1">
        <f ca="1">IFERROR(__xludf.DUMMYFUNCTION("""COMPUTED_VALUE"""),141.31)</f>
        <v>141.31</v>
      </c>
      <c r="H563" s="1">
        <f ca="1">IFERROR(__xludf.DUMMYFUNCTION("""COMPUTED_VALUE"""),337.97)</f>
        <v>337.97</v>
      </c>
      <c r="I563" s="1">
        <f ca="1">IFERROR(__xludf.DUMMYFUNCTION("""COMPUTED_VALUE"""),164.47)</f>
        <v>164.47</v>
      </c>
      <c r="J563" s="1">
        <f ca="1">IFERROR(__xludf.DUMMYFUNCTION("""COMPUTED_VALUE"""),558.11)</f>
        <v>558.11</v>
      </c>
      <c r="K563" s="1">
        <f ca="1">IFERROR(__xludf.DUMMYFUNCTION("""COMPUTED_VALUE"""),62.64)</f>
        <v>62.64</v>
      </c>
      <c r="L563" s="1">
        <f ca="1">IFERROR(__xludf.DUMMYFUNCTION("""COMPUTED_VALUE"""),432.14)</f>
        <v>432.14</v>
      </c>
      <c r="M563" s="1">
        <f ca="1">IFERROR(__xludf.DUMMYFUNCTION("""COMPUTED_VALUE"""),375.71)</f>
        <v>375.71</v>
      </c>
      <c r="N563" s="1">
        <f ca="1">IFERROR(__xludf.DUMMYFUNCTION("""COMPUTED_VALUE"""),140.69)</f>
        <v>140.69</v>
      </c>
      <c r="O563" s="1">
        <f ca="1">IFERROR(__xludf.DUMMYFUNCTION("""COMPUTED_VALUE"""),217.31)</f>
        <v>217.31</v>
      </c>
      <c r="P563" s="1">
        <f ca="1">IFERROR(__xludf.DUMMYFUNCTION("""COMPUTED_VALUE"""),175.24)</f>
        <v>175.24</v>
      </c>
      <c r="Q563" s="1">
        <f ca="1">IFERROR(__xludf.DUMMYFUNCTION("""COMPUTED_VALUE"""),513.46)</f>
        <v>513.46</v>
      </c>
      <c r="R563" s="1">
        <f ca="1">IFERROR(__xludf.DUMMYFUNCTION("""COMPUTED_VALUE"""),83.38)</f>
        <v>83.38</v>
      </c>
      <c r="S563" s="1">
        <f ca="1">IFERROR(__xludf.DUMMYFUNCTION("""COMPUTED_VALUE"""),83.7)</f>
        <v>83.7</v>
      </c>
      <c r="T563" s="1">
        <f ca="1">IFERROR(__xludf.DUMMYFUNCTION("""COMPUTED_VALUE"""),47.61)</f>
        <v>47.61</v>
      </c>
      <c r="U563" s="1">
        <f ca="1">IFERROR(__xludf.DUMMYFUNCTION("""COMPUTED_VALUE"""),132.08)</f>
        <v>132.08000000000001</v>
      </c>
      <c r="V563" s="1">
        <f ca="1">IFERROR(__xludf.DUMMYFUNCTION("""COMPUTED_VALUE"""),222.21)</f>
        <v>222.21</v>
      </c>
      <c r="W563" s="1">
        <f ca="1">IFERROR(__xludf.DUMMYFUNCTION("""COMPUTED_VALUE"""),449.73)</f>
        <v>449.73</v>
      </c>
      <c r="X563" s="1">
        <f ca="1">IFERROR(__xludf.DUMMYFUNCTION("""COMPUTED_VALUE"""),690.54)</f>
        <v>690.54</v>
      </c>
      <c r="Y563" s="1">
        <f ca="1">IFERROR(__xludf.DUMMYFUNCTION("""COMPUTED_VALUE"""),107.92)</f>
        <v>107.92</v>
      </c>
      <c r="Z563" s="1">
        <f ca="1">IFERROR(__xludf.DUMMYFUNCTION("""COMPUTED_VALUE"""),336.23)</f>
        <v>336.23</v>
      </c>
      <c r="AA563" s="1">
        <f ca="1">IFERROR(__xludf.DUMMYFUNCTION("""COMPUTED_VALUE"""),52.59)</f>
        <v>52.59</v>
      </c>
      <c r="AB563" s="1">
        <f ca="1">IFERROR(__xludf.DUMMYFUNCTION("""COMPUTED_VALUE"""),87.12)</f>
        <v>87.12</v>
      </c>
      <c r="AC563" s="1">
        <f ca="1">IFERROR(__xludf.DUMMYFUNCTION("""COMPUTED_VALUE"""),120.53)</f>
        <v>120.53</v>
      </c>
    </row>
    <row r="564" spans="1:29" x14ac:dyDescent="0.25">
      <c r="A564" s="2">
        <f ca="1">IFERROR(__xludf.DUMMYFUNCTION("""COMPUTED_VALUE"""),44645.6666666666)</f>
        <v>44645.666666666599</v>
      </c>
      <c r="B564" s="1">
        <f ca="1">IFERROR(__xludf.DUMMYFUNCTION("""COMPUTED_VALUE"""),174.72)</f>
        <v>174.72</v>
      </c>
      <c r="C564" s="1">
        <f ca="1">IFERROR(__xludf.DUMMYFUNCTION("""COMPUTED_VALUE"""),303.68)</f>
        <v>303.68</v>
      </c>
      <c r="D564" s="1">
        <f ca="1">IFERROR(__xludf.DUMMYFUNCTION("""COMPUTED_VALUE"""),164.77)</f>
        <v>164.77</v>
      </c>
      <c r="E564" s="1">
        <f ca="1">IFERROR(__xludf.DUMMYFUNCTION("""COMPUTED_VALUE"""),27.69)</f>
        <v>27.69</v>
      </c>
      <c r="F564" s="1">
        <f ca="1">IFERROR(__xludf.DUMMYFUNCTION("""COMPUTED_VALUE"""),221.82)</f>
        <v>221.82</v>
      </c>
      <c r="G564" s="1">
        <f ca="1">IFERROR(__xludf.DUMMYFUNCTION("""COMPUTED_VALUE"""),141.52)</f>
        <v>141.52000000000001</v>
      </c>
      <c r="H564" s="1">
        <f ca="1">IFERROR(__xludf.DUMMYFUNCTION("""COMPUTED_VALUE"""),336.88)</f>
        <v>336.88</v>
      </c>
      <c r="I564" s="1">
        <f ca="1">IFERROR(__xludf.DUMMYFUNCTION("""COMPUTED_VALUE"""),165.24)</f>
        <v>165.24</v>
      </c>
      <c r="J564" s="1">
        <f ca="1">IFERROR(__xludf.DUMMYFUNCTION("""COMPUTED_VALUE"""),555.71)</f>
        <v>555.71</v>
      </c>
      <c r="K564" s="1">
        <f ca="1">IFERROR(__xludf.DUMMYFUNCTION("""COMPUTED_VALUE"""),62.89)</f>
        <v>62.89</v>
      </c>
      <c r="L564" s="1">
        <f ca="1">IFERROR(__xludf.DUMMYFUNCTION("""COMPUTED_VALUE"""),431.62)</f>
        <v>431.62</v>
      </c>
      <c r="M564" s="1">
        <f ca="1">IFERROR(__xludf.DUMMYFUNCTION("""COMPUTED_VALUE"""),373.85)</f>
        <v>373.85</v>
      </c>
      <c r="N564" s="1">
        <f ca="1">IFERROR(__xludf.DUMMYFUNCTION("""COMPUTED_VALUE"""),141.92)</f>
        <v>141.91999999999999</v>
      </c>
      <c r="O564" s="1">
        <f ca="1">IFERROR(__xludf.DUMMYFUNCTION("""COMPUTED_VALUE"""),218.43)</f>
        <v>218.43</v>
      </c>
      <c r="P564" s="1">
        <f ca="1">IFERROR(__xludf.DUMMYFUNCTION("""COMPUTED_VALUE"""),176.92)</f>
        <v>176.92</v>
      </c>
      <c r="Q564" s="1">
        <f ca="1">IFERROR(__xludf.DUMMYFUNCTION("""COMPUTED_VALUE"""),513.03)</f>
        <v>513.03</v>
      </c>
      <c r="R564" s="1">
        <f ca="1">IFERROR(__xludf.DUMMYFUNCTION("""COMPUTED_VALUE"""),85.2)</f>
        <v>85.2</v>
      </c>
      <c r="S564" s="1">
        <f ca="1">IFERROR(__xludf.DUMMYFUNCTION("""COMPUTED_VALUE"""),83.94)</f>
        <v>83.94</v>
      </c>
      <c r="T564" s="1">
        <f ca="1">IFERROR(__xludf.DUMMYFUNCTION("""COMPUTED_VALUE"""),47.82)</f>
        <v>47.82</v>
      </c>
      <c r="U564" s="1">
        <f ca="1">IFERROR(__xludf.DUMMYFUNCTION("""COMPUTED_VALUE"""),133.7)</f>
        <v>133.69999999999999</v>
      </c>
      <c r="V564" s="1">
        <f ca="1">IFERROR(__xludf.DUMMYFUNCTION("""COMPUTED_VALUE"""),223.36)</f>
        <v>223.36</v>
      </c>
      <c r="W564" s="1">
        <f ca="1">IFERROR(__xludf.DUMMYFUNCTION("""COMPUTED_VALUE"""),453.66)</f>
        <v>453.66</v>
      </c>
      <c r="X564" s="1">
        <f ca="1">IFERROR(__xludf.DUMMYFUNCTION("""COMPUTED_VALUE"""),687.36)</f>
        <v>687.36</v>
      </c>
      <c r="Y564" s="1">
        <f ca="1">IFERROR(__xludf.DUMMYFUNCTION("""COMPUTED_VALUE"""),106.73)</f>
        <v>106.73</v>
      </c>
      <c r="Z564" s="1">
        <f ca="1">IFERROR(__xludf.DUMMYFUNCTION("""COMPUTED_VALUE"""),337.49)</f>
        <v>337.49</v>
      </c>
      <c r="AA564" s="1">
        <f ca="1">IFERROR(__xludf.DUMMYFUNCTION("""COMPUTED_VALUE"""),52.78)</f>
        <v>52.78</v>
      </c>
      <c r="AB564" s="1">
        <f ca="1">IFERROR(__xludf.DUMMYFUNCTION("""COMPUTED_VALUE"""),87.45)</f>
        <v>87.45</v>
      </c>
      <c r="AC564" s="1">
        <f ca="1">IFERROR(__xludf.DUMMYFUNCTION("""COMPUTED_VALUE"""),119.67)</f>
        <v>119.67</v>
      </c>
    </row>
    <row r="565" spans="1:29" x14ac:dyDescent="0.25">
      <c r="A565" s="2">
        <f ca="1">IFERROR(__xludf.DUMMYFUNCTION("""COMPUTED_VALUE"""),44648.6666666666)</f>
        <v>44648.666666666599</v>
      </c>
      <c r="B565" s="1">
        <f ca="1">IFERROR(__xludf.DUMMYFUNCTION("""COMPUTED_VALUE"""),175.6)</f>
        <v>175.6</v>
      </c>
      <c r="C565" s="1">
        <f ca="1">IFERROR(__xludf.DUMMYFUNCTION("""COMPUTED_VALUE"""),310.7)</f>
        <v>310.7</v>
      </c>
      <c r="D565" s="1">
        <f ca="1">IFERROR(__xludf.DUMMYFUNCTION("""COMPUTED_VALUE"""),168.99)</f>
        <v>168.99</v>
      </c>
      <c r="E565" s="1">
        <f ca="1">IFERROR(__xludf.DUMMYFUNCTION("""COMPUTED_VALUE"""),28.22)</f>
        <v>28.22</v>
      </c>
      <c r="F565" s="1">
        <f ca="1">IFERROR(__xludf.DUMMYFUNCTION("""COMPUTED_VALUE"""),223.59)</f>
        <v>223.59</v>
      </c>
      <c r="G565" s="1">
        <f ca="1">IFERROR(__xludf.DUMMYFUNCTION("""COMPUTED_VALUE"""),141.95)</f>
        <v>141.94999999999999</v>
      </c>
      <c r="H565" s="1">
        <f ca="1">IFERROR(__xludf.DUMMYFUNCTION("""COMPUTED_VALUE"""),363.95)</f>
        <v>363.95</v>
      </c>
      <c r="I565" s="1">
        <f ca="1">IFERROR(__xludf.DUMMYFUNCTION("""COMPUTED_VALUE"""),165.73)</f>
        <v>165.73</v>
      </c>
      <c r="J565" s="1">
        <f ca="1">IFERROR(__xludf.DUMMYFUNCTION("""COMPUTED_VALUE"""),565.21)</f>
        <v>565.21</v>
      </c>
      <c r="K565" s="1">
        <f ca="1">IFERROR(__xludf.DUMMYFUNCTION("""COMPUTED_VALUE"""),63.29)</f>
        <v>63.29</v>
      </c>
      <c r="L565" s="1">
        <f ca="1">IFERROR(__xludf.DUMMYFUNCTION("""COMPUTED_VALUE"""),450.01)</f>
        <v>450.01</v>
      </c>
      <c r="M565" s="1">
        <f ca="1">IFERROR(__xludf.DUMMYFUNCTION("""COMPUTED_VALUE"""),378.51)</f>
        <v>378.51</v>
      </c>
      <c r="N565" s="1">
        <f ca="1">IFERROR(__xludf.DUMMYFUNCTION("""COMPUTED_VALUE"""),140.87)</f>
        <v>140.87</v>
      </c>
      <c r="O565" s="1">
        <f ca="1">IFERROR(__xludf.DUMMYFUNCTION("""COMPUTED_VALUE"""),220.77)</f>
        <v>220.77</v>
      </c>
      <c r="P565" s="1">
        <f ca="1">IFERROR(__xludf.DUMMYFUNCTION("""COMPUTED_VALUE"""),177.83)</f>
        <v>177.83</v>
      </c>
      <c r="Q565" s="1">
        <f ca="1">IFERROR(__xludf.DUMMYFUNCTION("""COMPUTED_VALUE"""),513.2)</f>
        <v>513.20000000000005</v>
      </c>
      <c r="R565" s="1">
        <f ca="1">IFERROR(__xludf.DUMMYFUNCTION("""COMPUTED_VALUE"""),82.81)</f>
        <v>82.81</v>
      </c>
      <c r="S565" s="1">
        <f ca="1">IFERROR(__xludf.DUMMYFUNCTION("""COMPUTED_VALUE"""),84.43)</f>
        <v>84.43</v>
      </c>
      <c r="T565" s="1">
        <f ca="1">IFERROR(__xludf.DUMMYFUNCTION("""COMPUTED_VALUE"""),48.67)</f>
        <v>48.67</v>
      </c>
      <c r="U565" s="1">
        <f ca="1">IFERROR(__xludf.DUMMYFUNCTION("""COMPUTED_VALUE"""),134.81)</f>
        <v>134.81</v>
      </c>
      <c r="V565" s="1">
        <f ca="1">IFERROR(__xludf.DUMMYFUNCTION("""COMPUTED_VALUE"""),221.85)</f>
        <v>221.85</v>
      </c>
      <c r="W565" s="1">
        <f ca="1">IFERROR(__xludf.DUMMYFUNCTION("""COMPUTED_VALUE"""),444.98)</f>
        <v>444.98</v>
      </c>
      <c r="X565" s="1">
        <f ca="1">IFERROR(__xludf.DUMMYFUNCTION("""COMPUTED_VALUE"""),694.83)</f>
        <v>694.83</v>
      </c>
      <c r="Y565" s="1">
        <f ca="1">IFERROR(__xludf.DUMMYFUNCTION("""COMPUTED_VALUE"""),106.33)</f>
        <v>106.33</v>
      </c>
      <c r="Z565" s="1">
        <f ca="1">IFERROR(__xludf.DUMMYFUNCTION("""COMPUTED_VALUE"""),335.3)</f>
        <v>335.3</v>
      </c>
      <c r="AA565" s="1">
        <f ca="1">IFERROR(__xludf.DUMMYFUNCTION("""COMPUTED_VALUE"""),53.28)</f>
        <v>53.28</v>
      </c>
      <c r="AB565" s="1">
        <f ca="1">IFERROR(__xludf.DUMMYFUNCTION("""COMPUTED_VALUE"""),88.38)</f>
        <v>88.38</v>
      </c>
      <c r="AC565" s="1">
        <f ca="1">IFERROR(__xludf.DUMMYFUNCTION("""COMPUTED_VALUE"""),120.24)</f>
        <v>120.24</v>
      </c>
    </row>
    <row r="566" spans="1:29" x14ac:dyDescent="0.25">
      <c r="A566" s="2">
        <f ca="1">IFERROR(__xludf.DUMMYFUNCTION("""COMPUTED_VALUE"""),44649.6666666666)</f>
        <v>44649.666666666599</v>
      </c>
      <c r="B566" s="1">
        <f ca="1">IFERROR(__xludf.DUMMYFUNCTION("""COMPUTED_VALUE"""),178.96)</f>
        <v>178.96</v>
      </c>
      <c r="C566" s="1">
        <f ca="1">IFERROR(__xludf.DUMMYFUNCTION("""COMPUTED_VALUE"""),315.41)</f>
        <v>315.41000000000003</v>
      </c>
      <c r="D566" s="1">
        <f ca="1">IFERROR(__xludf.DUMMYFUNCTION("""COMPUTED_VALUE"""),169.32)</f>
        <v>169.32</v>
      </c>
      <c r="E566" s="1">
        <f ca="1">IFERROR(__xludf.DUMMYFUNCTION("""COMPUTED_VALUE"""),28.66)</f>
        <v>28.66</v>
      </c>
      <c r="F566" s="1">
        <f ca="1">IFERROR(__xludf.DUMMYFUNCTION("""COMPUTED_VALUE"""),229.86)</f>
        <v>229.86</v>
      </c>
      <c r="G566" s="1">
        <f ca="1">IFERROR(__xludf.DUMMYFUNCTION("""COMPUTED_VALUE"""),143.25)</f>
        <v>143.25</v>
      </c>
      <c r="H566" s="1">
        <f ca="1">IFERROR(__xludf.DUMMYFUNCTION("""COMPUTED_VALUE"""),366.52)</f>
        <v>366.52</v>
      </c>
      <c r="I566" s="1">
        <f ca="1">IFERROR(__xludf.DUMMYFUNCTION("""COMPUTED_VALUE"""),168.19)</f>
        <v>168.19</v>
      </c>
      <c r="J566" s="1">
        <f ca="1">IFERROR(__xludf.DUMMYFUNCTION("""COMPUTED_VALUE"""),569.98)</f>
        <v>569.98</v>
      </c>
      <c r="K566" s="1">
        <f ca="1">IFERROR(__xludf.DUMMYFUNCTION("""COMPUTED_VALUE"""),64.15)</f>
        <v>64.150000000000006</v>
      </c>
      <c r="L566" s="1">
        <f ca="1">IFERROR(__xludf.DUMMYFUNCTION("""COMPUTED_VALUE"""),466.33)</f>
        <v>466.33</v>
      </c>
      <c r="M566" s="1">
        <f ca="1">IFERROR(__xludf.DUMMYFUNCTION("""COMPUTED_VALUE"""),391.82)</f>
        <v>391.82</v>
      </c>
      <c r="N566" s="1">
        <f ca="1">IFERROR(__xludf.DUMMYFUNCTION("""COMPUTED_VALUE"""),141.18)</f>
        <v>141.18</v>
      </c>
      <c r="O566" s="1">
        <f ca="1">IFERROR(__xludf.DUMMYFUNCTION("""COMPUTED_VALUE"""),228.12)</f>
        <v>228.12</v>
      </c>
      <c r="P566" s="1">
        <f ca="1">IFERROR(__xludf.DUMMYFUNCTION("""COMPUTED_VALUE"""),177.74)</f>
        <v>177.74</v>
      </c>
      <c r="Q566" s="1">
        <f ca="1">IFERROR(__xludf.DUMMYFUNCTION("""COMPUTED_VALUE"""),510.73)</f>
        <v>510.73</v>
      </c>
      <c r="R566" s="1">
        <f ca="1">IFERROR(__xludf.DUMMYFUNCTION("""COMPUTED_VALUE"""),82.37)</f>
        <v>82.37</v>
      </c>
      <c r="S566" s="1">
        <f ca="1">IFERROR(__xludf.DUMMYFUNCTION("""COMPUTED_VALUE"""),84.62)</f>
        <v>84.62</v>
      </c>
      <c r="T566" s="1">
        <f ca="1">IFERROR(__xludf.DUMMYFUNCTION("""COMPUTED_VALUE"""),49.08)</f>
        <v>49.08</v>
      </c>
      <c r="U566" s="1">
        <f ca="1">IFERROR(__xludf.DUMMYFUNCTION("""COMPUTED_VALUE"""),139.14)</f>
        <v>139.13999999999999</v>
      </c>
      <c r="V566" s="1">
        <f ca="1">IFERROR(__xludf.DUMMYFUNCTION("""COMPUTED_VALUE"""),221.04)</f>
        <v>221.04</v>
      </c>
      <c r="W566" s="1">
        <f ca="1">IFERROR(__xludf.DUMMYFUNCTION("""COMPUTED_VALUE"""),437.15)</f>
        <v>437.15</v>
      </c>
      <c r="X566" s="1">
        <f ca="1">IFERROR(__xludf.DUMMYFUNCTION("""COMPUTED_VALUE"""),709.14)</f>
        <v>709.14</v>
      </c>
      <c r="Y566" s="1">
        <f ca="1">IFERROR(__xludf.DUMMYFUNCTION("""COMPUTED_VALUE"""),109.25)</f>
        <v>109.25</v>
      </c>
      <c r="Z566" s="1">
        <f ca="1">IFERROR(__xludf.DUMMYFUNCTION("""COMPUTED_VALUE"""),339.66)</f>
        <v>339.66</v>
      </c>
      <c r="AA566" s="1">
        <f ca="1">IFERROR(__xludf.DUMMYFUNCTION("""COMPUTED_VALUE"""),52.74)</f>
        <v>52.74</v>
      </c>
      <c r="AB566" s="1">
        <f ca="1">IFERROR(__xludf.DUMMYFUNCTION("""COMPUTED_VALUE"""),91.23)</f>
        <v>91.23</v>
      </c>
      <c r="AC566" s="1">
        <f ca="1">IFERROR(__xludf.DUMMYFUNCTION("""COMPUTED_VALUE"""),123.23)</f>
        <v>123.23</v>
      </c>
    </row>
    <row r="567" spans="1:29" x14ac:dyDescent="0.25">
      <c r="A567" s="2">
        <f ca="1">IFERROR(__xludf.DUMMYFUNCTION("""COMPUTED_VALUE"""),44650.6666666666)</f>
        <v>44650.666666666599</v>
      </c>
      <c r="B567" s="1">
        <f ca="1">IFERROR(__xludf.DUMMYFUNCTION("""COMPUTED_VALUE"""),177.77)</f>
        <v>177.77</v>
      </c>
      <c r="C567" s="1">
        <f ca="1">IFERROR(__xludf.DUMMYFUNCTION("""COMPUTED_VALUE"""),313.86)</f>
        <v>313.86</v>
      </c>
      <c r="D567" s="1">
        <f ca="1">IFERROR(__xludf.DUMMYFUNCTION("""COMPUTED_VALUE"""),166.3)</f>
        <v>166.3</v>
      </c>
      <c r="E567" s="1">
        <f ca="1">IFERROR(__xludf.DUMMYFUNCTION("""COMPUTED_VALUE"""),27.69)</f>
        <v>27.69</v>
      </c>
      <c r="F567" s="1">
        <f ca="1">IFERROR(__xludf.DUMMYFUNCTION("""COMPUTED_VALUE"""),227.85)</f>
        <v>227.85</v>
      </c>
      <c r="G567" s="1">
        <f ca="1">IFERROR(__xludf.DUMMYFUNCTION("""COMPUTED_VALUE"""),142.64)</f>
        <v>142.63999999999999</v>
      </c>
      <c r="H567" s="1">
        <f ca="1">IFERROR(__xludf.DUMMYFUNCTION("""COMPUTED_VALUE"""),364.66)</f>
        <v>364.66</v>
      </c>
      <c r="I567" s="1">
        <f ca="1">IFERROR(__xludf.DUMMYFUNCTION("""COMPUTED_VALUE"""),167.96)</f>
        <v>167.96</v>
      </c>
      <c r="J567" s="1">
        <f ca="1">IFERROR(__xludf.DUMMYFUNCTION("""COMPUTED_VALUE"""),576.47)</f>
        <v>576.47</v>
      </c>
      <c r="K567" s="1">
        <f ca="1">IFERROR(__xludf.DUMMYFUNCTION("""COMPUTED_VALUE"""),63.11)</f>
        <v>63.11</v>
      </c>
      <c r="L567" s="1">
        <f ca="1">IFERROR(__xludf.DUMMYFUNCTION("""COMPUTED_VALUE"""),460.06)</f>
        <v>460.06</v>
      </c>
      <c r="M567" s="1">
        <f ca="1">IFERROR(__xludf.DUMMYFUNCTION("""COMPUTED_VALUE"""),381.47)</f>
        <v>381.47</v>
      </c>
      <c r="N567" s="1">
        <f ca="1">IFERROR(__xludf.DUMMYFUNCTION("""COMPUTED_VALUE"""),140.54)</f>
        <v>140.54</v>
      </c>
      <c r="O567" s="1">
        <f ca="1">IFERROR(__xludf.DUMMYFUNCTION("""COMPUTED_VALUE"""),223.95)</f>
        <v>223.95</v>
      </c>
      <c r="P567" s="1">
        <f ca="1">IFERROR(__xludf.DUMMYFUNCTION("""COMPUTED_VALUE"""),179.59)</f>
        <v>179.59</v>
      </c>
      <c r="Q567" s="1">
        <f ca="1">IFERROR(__xludf.DUMMYFUNCTION("""COMPUTED_VALUE"""),520.82)</f>
        <v>520.82000000000005</v>
      </c>
      <c r="R567" s="1">
        <f ca="1">IFERROR(__xludf.DUMMYFUNCTION("""COMPUTED_VALUE"""),83.78)</f>
        <v>83.78</v>
      </c>
      <c r="S567" s="1">
        <f ca="1">IFERROR(__xludf.DUMMYFUNCTION("""COMPUTED_VALUE"""),85.5)</f>
        <v>85.5</v>
      </c>
      <c r="T567" s="1">
        <f ca="1">IFERROR(__xludf.DUMMYFUNCTION("""COMPUTED_VALUE"""),49.96)</f>
        <v>49.96</v>
      </c>
      <c r="U567" s="1">
        <f ca="1">IFERROR(__xludf.DUMMYFUNCTION("""COMPUTED_VALUE"""),138.54)</f>
        <v>138.54</v>
      </c>
      <c r="V567" s="1">
        <f ca="1">IFERROR(__xludf.DUMMYFUNCTION("""COMPUTED_VALUE"""),223.08)</f>
        <v>223.08</v>
      </c>
      <c r="W567" s="1">
        <f ca="1">IFERROR(__xludf.DUMMYFUNCTION("""COMPUTED_VALUE"""),445.95)</f>
        <v>445.95</v>
      </c>
      <c r="X567" s="1">
        <f ca="1">IFERROR(__xludf.DUMMYFUNCTION("""COMPUTED_VALUE"""),684.56)</f>
        <v>684.56</v>
      </c>
      <c r="Y567" s="1">
        <f ca="1">IFERROR(__xludf.DUMMYFUNCTION("""COMPUTED_VALUE"""),106.73)</f>
        <v>106.73</v>
      </c>
      <c r="Z567" s="1">
        <f ca="1">IFERROR(__xludf.DUMMYFUNCTION("""COMPUTED_VALUE"""),335.59)</f>
        <v>335.59</v>
      </c>
      <c r="AA567" s="1">
        <f ca="1">IFERROR(__xludf.DUMMYFUNCTION("""COMPUTED_VALUE"""),52.44)</f>
        <v>52.44</v>
      </c>
      <c r="AB567" s="1">
        <f ca="1">IFERROR(__xludf.DUMMYFUNCTION("""COMPUTED_VALUE"""),91.03)</f>
        <v>91.03</v>
      </c>
      <c r="AC567" s="1">
        <f ca="1">IFERROR(__xludf.DUMMYFUNCTION("""COMPUTED_VALUE"""),119.22)</f>
        <v>119.22</v>
      </c>
    </row>
    <row r="568" spans="1:29" x14ac:dyDescent="0.25">
      <c r="A568" s="2">
        <f ca="1">IFERROR(__xludf.DUMMYFUNCTION("""COMPUTED_VALUE"""),44651.6666666666)</f>
        <v>44651.666666666599</v>
      </c>
      <c r="B568" s="1">
        <f ca="1">IFERROR(__xludf.DUMMYFUNCTION("""COMPUTED_VALUE"""),174.61)</f>
        <v>174.61</v>
      </c>
      <c r="C568" s="1">
        <f ca="1">IFERROR(__xludf.DUMMYFUNCTION("""COMPUTED_VALUE"""),308.31)</f>
        <v>308.31</v>
      </c>
      <c r="D568" s="1">
        <f ca="1">IFERROR(__xludf.DUMMYFUNCTION("""COMPUTED_VALUE"""),163)</f>
        <v>163</v>
      </c>
      <c r="E568" s="1">
        <f ca="1">IFERROR(__xludf.DUMMYFUNCTION("""COMPUTED_VALUE"""),27.29)</f>
        <v>27.29</v>
      </c>
      <c r="F568" s="1">
        <f ca="1">IFERROR(__xludf.DUMMYFUNCTION("""COMPUTED_VALUE"""),222.36)</f>
        <v>222.36</v>
      </c>
      <c r="G568" s="1">
        <f ca="1">IFERROR(__xludf.DUMMYFUNCTION("""COMPUTED_VALUE"""),139.65)</f>
        <v>139.65</v>
      </c>
      <c r="H568" s="1">
        <f ca="1">IFERROR(__xludf.DUMMYFUNCTION("""COMPUTED_VALUE"""),359.2)</f>
        <v>359.2</v>
      </c>
      <c r="I568" s="1">
        <f ca="1">IFERROR(__xludf.DUMMYFUNCTION("""COMPUTED_VALUE"""),167.38)</f>
        <v>167.38</v>
      </c>
      <c r="J568" s="1">
        <f ca="1">IFERROR(__xludf.DUMMYFUNCTION("""COMPUTED_VALUE"""),575.85)</f>
        <v>575.85</v>
      </c>
      <c r="K568" s="1">
        <f ca="1">IFERROR(__xludf.DUMMYFUNCTION("""COMPUTED_VALUE"""),62.97)</f>
        <v>62.97</v>
      </c>
      <c r="L568" s="1">
        <f ca="1">IFERROR(__xludf.DUMMYFUNCTION("""COMPUTED_VALUE"""),455.62)</f>
        <v>455.62</v>
      </c>
      <c r="M568" s="1">
        <f ca="1">IFERROR(__xludf.DUMMYFUNCTION("""COMPUTED_VALUE"""),374.59)</f>
        <v>374.59</v>
      </c>
      <c r="N568" s="1">
        <f ca="1">IFERROR(__xludf.DUMMYFUNCTION("""COMPUTED_VALUE"""),136.32)</f>
        <v>136.32</v>
      </c>
      <c r="O568" s="1">
        <f ca="1">IFERROR(__xludf.DUMMYFUNCTION("""COMPUTED_VALUE"""),221.77)</f>
        <v>221.77</v>
      </c>
      <c r="P568" s="1">
        <f ca="1">IFERROR(__xludf.DUMMYFUNCTION("""COMPUTED_VALUE"""),177.23)</f>
        <v>177.23</v>
      </c>
      <c r="Q568" s="1">
        <f ca="1">IFERROR(__xludf.DUMMYFUNCTION("""COMPUTED_VALUE"""),509.97)</f>
        <v>509.97</v>
      </c>
      <c r="R568" s="1">
        <f ca="1">IFERROR(__xludf.DUMMYFUNCTION("""COMPUTED_VALUE"""),82.59)</f>
        <v>82.59</v>
      </c>
      <c r="S568" s="1">
        <f ca="1">IFERROR(__xludf.DUMMYFUNCTION("""COMPUTED_VALUE"""),84.71)</f>
        <v>84.71</v>
      </c>
      <c r="T568" s="1">
        <f ca="1">IFERROR(__xludf.DUMMYFUNCTION("""COMPUTED_VALUE"""),49.64)</f>
        <v>49.64</v>
      </c>
      <c r="U568" s="1">
        <f ca="1">IFERROR(__xludf.DUMMYFUNCTION("""COMPUTED_VALUE"""),134.56)</f>
        <v>134.56</v>
      </c>
      <c r="V568" s="1">
        <f ca="1">IFERROR(__xludf.DUMMYFUNCTION("""COMPUTED_VALUE"""),222.82)</f>
        <v>222.82</v>
      </c>
      <c r="W568" s="1">
        <f ca="1">IFERROR(__xludf.DUMMYFUNCTION("""COMPUTED_VALUE"""),441.4)</f>
        <v>441.4</v>
      </c>
      <c r="X568" s="1">
        <f ca="1">IFERROR(__xludf.DUMMYFUNCTION("""COMPUTED_VALUE"""),667.93)</f>
        <v>667.93</v>
      </c>
      <c r="Y568" s="1">
        <f ca="1">IFERROR(__xludf.DUMMYFUNCTION("""COMPUTED_VALUE"""),104.26)</f>
        <v>104.26</v>
      </c>
      <c r="Z568" s="1">
        <f ca="1">IFERROR(__xludf.DUMMYFUNCTION("""COMPUTED_VALUE"""),330.1)</f>
        <v>330.1</v>
      </c>
      <c r="AA568" s="1">
        <f ca="1">IFERROR(__xludf.DUMMYFUNCTION("""COMPUTED_VALUE"""),51.77)</f>
        <v>51.77</v>
      </c>
      <c r="AB568" s="1">
        <f ca="1">IFERROR(__xludf.DUMMYFUNCTION("""COMPUTED_VALUE"""),90.97)</f>
        <v>90.97</v>
      </c>
      <c r="AC568" s="1">
        <f ca="1">IFERROR(__xludf.DUMMYFUNCTION("""COMPUTED_VALUE"""),109.34)</f>
        <v>109.34</v>
      </c>
    </row>
    <row r="569" spans="1:29" x14ac:dyDescent="0.25">
      <c r="A569" s="2">
        <f ca="1">IFERROR(__xludf.DUMMYFUNCTION("""COMPUTED_VALUE"""),44652.6666666666)</f>
        <v>44652.666666666599</v>
      </c>
      <c r="B569" s="1">
        <f ca="1">IFERROR(__xludf.DUMMYFUNCTION("""COMPUTED_VALUE"""),174.31)</f>
        <v>174.31</v>
      </c>
      <c r="C569" s="1">
        <f ca="1">IFERROR(__xludf.DUMMYFUNCTION("""COMPUTED_VALUE"""),309.42)</f>
        <v>309.42</v>
      </c>
      <c r="D569" s="1">
        <f ca="1">IFERROR(__xludf.DUMMYFUNCTION("""COMPUTED_VALUE"""),163.56)</f>
        <v>163.56</v>
      </c>
      <c r="E569" s="1">
        <f ca="1">IFERROR(__xludf.DUMMYFUNCTION("""COMPUTED_VALUE"""),26.71)</f>
        <v>26.71</v>
      </c>
      <c r="F569" s="1">
        <f ca="1">IFERROR(__xludf.DUMMYFUNCTION("""COMPUTED_VALUE"""),224.85)</f>
        <v>224.85</v>
      </c>
      <c r="G569" s="1">
        <f ca="1">IFERROR(__xludf.DUMMYFUNCTION("""COMPUTED_VALUE"""),140.7)</f>
        <v>140.69999999999999</v>
      </c>
      <c r="H569" s="1">
        <f ca="1">IFERROR(__xludf.DUMMYFUNCTION("""COMPUTED_VALUE"""),361.53)</f>
        <v>361.53</v>
      </c>
      <c r="I569" s="1">
        <f ca="1">IFERROR(__xludf.DUMMYFUNCTION("""COMPUTED_VALUE"""),169.76)</f>
        <v>169.76</v>
      </c>
      <c r="J569" s="1">
        <f ca="1">IFERROR(__xludf.DUMMYFUNCTION("""COMPUTED_VALUE"""),575.57)</f>
        <v>575.57000000000005</v>
      </c>
      <c r="K569" s="1">
        <f ca="1">IFERROR(__xludf.DUMMYFUNCTION("""COMPUTED_VALUE"""),62.7)</f>
        <v>62.7</v>
      </c>
      <c r="L569" s="1">
        <f ca="1">IFERROR(__xludf.DUMMYFUNCTION("""COMPUTED_VALUE"""),458.19)</f>
        <v>458.19</v>
      </c>
      <c r="M569" s="1">
        <f ca="1">IFERROR(__xludf.DUMMYFUNCTION("""COMPUTED_VALUE"""),373.47)</f>
        <v>373.47</v>
      </c>
      <c r="N569" s="1">
        <f ca="1">IFERROR(__xludf.DUMMYFUNCTION("""COMPUTED_VALUE"""),135.31)</f>
        <v>135.31</v>
      </c>
      <c r="O569" s="1">
        <f ca="1">IFERROR(__xludf.DUMMYFUNCTION("""COMPUTED_VALUE"""),226.36)</f>
        <v>226.36</v>
      </c>
      <c r="P569" s="1">
        <f ca="1">IFERROR(__xludf.DUMMYFUNCTION("""COMPUTED_VALUE"""),178.19)</f>
        <v>178.19</v>
      </c>
      <c r="Q569" s="1">
        <f ca="1">IFERROR(__xludf.DUMMYFUNCTION("""COMPUTED_VALUE"""),512.59)</f>
        <v>512.59</v>
      </c>
      <c r="R569" s="1">
        <f ca="1">IFERROR(__xludf.DUMMYFUNCTION("""COMPUTED_VALUE"""),83.12)</f>
        <v>83.12</v>
      </c>
      <c r="S569" s="1">
        <f ca="1">IFERROR(__xludf.DUMMYFUNCTION("""COMPUTED_VALUE"""),85.71)</f>
        <v>85.71</v>
      </c>
      <c r="T569" s="1">
        <f ca="1">IFERROR(__xludf.DUMMYFUNCTION("""COMPUTED_VALUE"""),50.34)</f>
        <v>50.34</v>
      </c>
      <c r="U569" s="1">
        <f ca="1">IFERROR(__xludf.DUMMYFUNCTION("""COMPUTED_VALUE"""),133.52)</f>
        <v>133.52000000000001</v>
      </c>
      <c r="V569" s="1">
        <f ca="1">IFERROR(__xludf.DUMMYFUNCTION("""COMPUTED_VALUE"""),219.77)</f>
        <v>219.77</v>
      </c>
      <c r="W569" s="1">
        <f ca="1">IFERROR(__xludf.DUMMYFUNCTION("""COMPUTED_VALUE"""),445.98)</f>
        <v>445.98</v>
      </c>
      <c r="X569" s="1">
        <f ca="1">IFERROR(__xludf.DUMMYFUNCTION("""COMPUTED_VALUE"""),667.73)</f>
        <v>667.73</v>
      </c>
      <c r="Y569" s="1">
        <f ca="1">IFERROR(__xludf.DUMMYFUNCTION("""COMPUTED_VALUE"""),102.79)</f>
        <v>102.79</v>
      </c>
      <c r="Z569" s="1">
        <f ca="1">IFERROR(__xludf.DUMMYFUNCTION("""COMPUTED_VALUE"""),330.22)</f>
        <v>330.22</v>
      </c>
      <c r="AA569" s="1">
        <f ca="1">IFERROR(__xludf.DUMMYFUNCTION("""COMPUTED_VALUE"""),51.57)</f>
        <v>51.57</v>
      </c>
      <c r="AB569" s="1">
        <f ca="1">IFERROR(__xludf.DUMMYFUNCTION("""COMPUTED_VALUE"""),91.49)</f>
        <v>91.49</v>
      </c>
      <c r="AC569" s="1">
        <f ca="1">IFERROR(__xludf.DUMMYFUNCTION("""COMPUTED_VALUE"""),108.19)</f>
        <v>108.19</v>
      </c>
    </row>
    <row r="570" spans="1:29" x14ac:dyDescent="0.25">
      <c r="A570" s="2">
        <f ca="1">IFERROR(__xludf.DUMMYFUNCTION("""COMPUTED_VALUE"""),44655.6666666666)</f>
        <v>44655.666666666599</v>
      </c>
      <c r="B570" s="1">
        <f ca="1">IFERROR(__xludf.DUMMYFUNCTION("""COMPUTED_VALUE"""),178.44)</f>
        <v>178.44</v>
      </c>
      <c r="C570" s="1">
        <f ca="1">IFERROR(__xludf.DUMMYFUNCTION("""COMPUTED_VALUE"""),314.97)</f>
        <v>314.97000000000003</v>
      </c>
      <c r="D570" s="1">
        <f ca="1">IFERROR(__xludf.DUMMYFUNCTION("""COMPUTED_VALUE"""),168.35)</f>
        <v>168.35</v>
      </c>
      <c r="E570" s="1">
        <f ca="1">IFERROR(__xludf.DUMMYFUNCTION("""COMPUTED_VALUE"""),27.36)</f>
        <v>27.36</v>
      </c>
      <c r="F570" s="1">
        <f ca="1">IFERROR(__xludf.DUMMYFUNCTION("""COMPUTED_VALUE"""),233.89)</f>
        <v>233.89</v>
      </c>
      <c r="G570" s="1">
        <f ca="1">IFERROR(__xludf.DUMMYFUNCTION("""COMPUTED_VALUE"""),143.64)</f>
        <v>143.63999999999999</v>
      </c>
      <c r="H570" s="1">
        <f ca="1">IFERROR(__xludf.DUMMYFUNCTION("""COMPUTED_VALUE"""),381.82)</f>
        <v>381.82</v>
      </c>
      <c r="I570" s="1">
        <f ca="1">IFERROR(__xludf.DUMMYFUNCTION("""COMPUTED_VALUE"""),169.32)</f>
        <v>169.32</v>
      </c>
      <c r="J570" s="1">
        <f ca="1">IFERROR(__xludf.DUMMYFUNCTION("""COMPUTED_VALUE"""),575.13)</f>
        <v>575.13</v>
      </c>
      <c r="K570" s="1">
        <f ca="1">IFERROR(__xludf.DUMMYFUNCTION("""COMPUTED_VALUE"""),63.49)</f>
        <v>63.49</v>
      </c>
      <c r="L570" s="1">
        <f ca="1">IFERROR(__xludf.DUMMYFUNCTION("""COMPUTED_VALUE"""),468.81)</f>
        <v>468.81</v>
      </c>
      <c r="M570" s="1">
        <f ca="1">IFERROR(__xludf.DUMMYFUNCTION("""COMPUTED_VALUE"""),391.5)</f>
        <v>391.5</v>
      </c>
      <c r="N570" s="1">
        <f ca="1">IFERROR(__xludf.DUMMYFUNCTION("""COMPUTED_VALUE"""),135.91)</f>
        <v>135.91</v>
      </c>
      <c r="O570" s="1">
        <f ca="1">IFERROR(__xludf.DUMMYFUNCTION("""COMPUTED_VALUE"""),227.74)</f>
        <v>227.74</v>
      </c>
      <c r="P570" s="1">
        <f ca="1">IFERROR(__xludf.DUMMYFUNCTION("""COMPUTED_VALUE"""),176.47)</f>
        <v>176.47</v>
      </c>
      <c r="Q570" s="1">
        <f ca="1">IFERROR(__xludf.DUMMYFUNCTION("""COMPUTED_VALUE"""),510.02)</f>
        <v>510.02</v>
      </c>
      <c r="R570" s="1">
        <f ca="1">IFERROR(__xludf.DUMMYFUNCTION("""COMPUTED_VALUE"""),83.16)</f>
        <v>83.16</v>
      </c>
      <c r="S570" s="1">
        <f ca="1">IFERROR(__xludf.DUMMYFUNCTION("""COMPUTED_VALUE"""),85.62)</f>
        <v>85.62</v>
      </c>
      <c r="T570" s="1">
        <f ca="1">IFERROR(__xludf.DUMMYFUNCTION("""COMPUTED_VALUE"""),50.35)</f>
        <v>50.35</v>
      </c>
      <c r="U570" s="1">
        <f ca="1">IFERROR(__xludf.DUMMYFUNCTION("""COMPUTED_VALUE"""),134.34)</f>
        <v>134.34</v>
      </c>
      <c r="V570" s="1">
        <f ca="1">IFERROR(__xludf.DUMMYFUNCTION("""COMPUTED_VALUE"""),220.81)</f>
        <v>220.81</v>
      </c>
      <c r="W570" s="1">
        <f ca="1">IFERROR(__xludf.DUMMYFUNCTION("""COMPUTED_VALUE"""),444.01)</f>
        <v>444.01</v>
      </c>
      <c r="X570" s="1">
        <f ca="1">IFERROR(__xludf.DUMMYFUNCTION("""COMPUTED_VALUE"""),680.83)</f>
        <v>680.83</v>
      </c>
      <c r="Y570" s="1">
        <f ca="1">IFERROR(__xludf.DUMMYFUNCTION("""COMPUTED_VALUE"""),104.79)</f>
        <v>104.79</v>
      </c>
      <c r="Z570" s="1">
        <f ca="1">IFERROR(__xludf.DUMMYFUNCTION("""COMPUTED_VALUE"""),328.21)</f>
        <v>328.21</v>
      </c>
      <c r="AA570" s="1">
        <f ca="1">IFERROR(__xludf.DUMMYFUNCTION("""COMPUTED_VALUE"""),50.94)</f>
        <v>50.94</v>
      </c>
      <c r="AB570" s="1">
        <f ca="1">IFERROR(__xludf.DUMMYFUNCTION("""COMPUTED_VALUE"""),88.09)</f>
        <v>88.09</v>
      </c>
      <c r="AC570" s="1">
        <f ca="1">IFERROR(__xludf.DUMMYFUNCTION("""COMPUTED_VALUE"""),110.53)</f>
        <v>110.53</v>
      </c>
    </row>
    <row r="571" spans="1:29" x14ac:dyDescent="0.25">
      <c r="A571" s="2">
        <f ca="1">IFERROR(__xludf.DUMMYFUNCTION("""COMPUTED_VALUE"""),44656.6666666666)</f>
        <v>44656.666666666599</v>
      </c>
      <c r="B571" s="1">
        <f ca="1">IFERROR(__xludf.DUMMYFUNCTION("""COMPUTED_VALUE"""),175.06)</f>
        <v>175.06</v>
      </c>
      <c r="C571" s="1">
        <f ca="1">IFERROR(__xludf.DUMMYFUNCTION("""COMPUTED_VALUE"""),310.88)</f>
        <v>310.88</v>
      </c>
      <c r="D571" s="1">
        <f ca="1">IFERROR(__xludf.DUMMYFUNCTION("""COMPUTED_VALUE"""),164.06)</f>
        <v>164.06</v>
      </c>
      <c r="E571" s="1">
        <f ca="1">IFERROR(__xludf.DUMMYFUNCTION("""COMPUTED_VALUE"""),25.93)</f>
        <v>25.93</v>
      </c>
      <c r="F571" s="1">
        <f ca="1">IFERROR(__xludf.DUMMYFUNCTION("""COMPUTED_VALUE"""),231.84)</f>
        <v>231.84</v>
      </c>
      <c r="G571" s="1">
        <f ca="1">IFERROR(__xludf.DUMMYFUNCTION("""COMPUTED_VALUE"""),141.06)</f>
        <v>141.06</v>
      </c>
      <c r="H571" s="1">
        <f ca="1">IFERROR(__xludf.DUMMYFUNCTION("""COMPUTED_VALUE"""),363.75)</f>
        <v>363.75</v>
      </c>
      <c r="I571" s="1">
        <f ca="1">IFERROR(__xludf.DUMMYFUNCTION("""COMPUTED_VALUE"""),169.5)</f>
        <v>169.5</v>
      </c>
      <c r="J571" s="1">
        <f ca="1">IFERROR(__xludf.DUMMYFUNCTION("""COMPUTED_VALUE"""),575.32)</f>
        <v>575.32000000000005</v>
      </c>
      <c r="K571" s="1">
        <f ca="1">IFERROR(__xludf.DUMMYFUNCTION("""COMPUTED_VALUE"""),61.41)</f>
        <v>61.41</v>
      </c>
      <c r="L571" s="1">
        <f ca="1">IFERROR(__xludf.DUMMYFUNCTION("""COMPUTED_VALUE"""),458.58)</f>
        <v>458.58</v>
      </c>
      <c r="M571" s="1">
        <f ca="1">IFERROR(__xludf.DUMMYFUNCTION("""COMPUTED_VALUE"""),380.15)</f>
        <v>380.15</v>
      </c>
      <c r="N571" s="1">
        <f ca="1">IFERROR(__xludf.DUMMYFUNCTION("""COMPUTED_VALUE"""),133.34)</f>
        <v>133.34</v>
      </c>
      <c r="O571" s="1">
        <f ca="1">IFERROR(__xludf.DUMMYFUNCTION("""COMPUTED_VALUE"""),226.09)</f>
        <v>226.09</v>
      </c>
      <c r="P571" s="1">
        <f ca="1">IFERROR(__xludf.DUMMYFUNCTION("""COMPUTED_VALUE"""),177.61)</f>
        <v>177.61</v>
      </c>
      <c r="Q571" s="1">
        <f ca="1">IFERROR(__xludf.DUMMYFUNCTION("""COMPUTED_VALUE"""),517.76)</f>
        <v>517.76</v>
      </c>
      <c r="R571" s="1">
        <f ca="1">IFERROR(__xludf.DUMMYFUNCTION("""COMPUTED_VALUE"""),82.73)</f>
        <v>82.73</v>
      </c>
      <c r="S571" s="1">
        <f ca="1">IFERROR(__xludf.DUMMYFUNCTION("""COMPUTED_VALUE"""),86.33)</f>
        <v>86.33</v>
      </c>
      <c r="T571" s="1">
        <f ca="1">IFERROR(__xludf.DUMMYFUNCTION("""COMPUTED_VALUE"""),50.49)</f>
        <v>50.49</v>
      </c>
      <c r="U571" s="1">
        <f ca="1">IFERROR(__xludf.DUMMYFUNCTION("""COMPUTED_VALUE"""),132.3)</f>
        <v>132.30000000000001</v>
      </c>
      <c r="V571" s="1">
        <f ca="1">IFERROR(__xludf.DUMMYFUNCTION("""COMPUTED_VALUE"""),216.02)</f>
        <v>216.02</v>
      </c>
      <c r="W571" s="1">
        <f ca="1">IFERROR(__xludf.DUMMYFUNCTION("""COMPUTED_VALUE"""),447.24)</f>
        <v>447.24</v>
      </c>
      <c r="X571" s="1">
        <f ca="1">IFERROR(__xludf.DUMMYFUNCTION("""COMPUTED_VALUE"""),646.46)</f>
        <v>646.46</v>
      </c>
      <c r="Y571" s="1">
        <f ca="1">IFERROR(__xludf.DUMMYFUNCTION("""COMPUTED_VALUE"""),102.5)</f>
        <v>102.5</v>
      </c>
      <c r="Z571" s="1">
        <f ca="1">IFERROR(__xludf.DUMMYFUNCTION("""COMPUTED_VALUE"""),323.96)</f>
        <v>323.95999999999998</v>
      </c>
      <c r="AA571" s="1">
        <f ca="1">IFERROR(__xludf.DUMMYFUNCTION("""COMPUTED_VALUE"""),51.24)</f>
        <v>51.24</v>
      </c>
      <c r="AB571" s="1">
        <f ca="1">IFERROR(__xludf.DUMMYFUNCTION("""COMPUTED_VALUE"""),84.12)</f>
        <v>84.12</v>
      </c>
      <c r="AC571" s="1">
        <f ca="1">IFERROR(__xludf.DUMMYFUNCTION("""COMPUTED_VALUE"""),106.82)</f>
        <v>106.82</v>
      </c>
    </row>
    <row r="572" spans="1:29" x14ac:dyDescent="0.25">
      <c r="A572" s="2">
        <f ca="1">IFERROR(__xludf.DUMMYFUNCTION("""COMPUTED_VALUE"""),44657.6666666666)</f>
        <v>44657.666666666599</v>
      </c>
      <c r="B572" s="1">
        <f ca="1">IFERROR(__xludf.DUMMYFUNCTION("""COMPUTED_VALUE"""),171.83)</f>
        <v>171.83</v>
      </c>
      <c r="C572" s="1">
        <f ca="1">IFERROR(__xludf.DUMMYFUNCTION("""COMPUTED_VALUE"""),299.5)</f>
        <v>299.5</v>
      </c>
      <c r="D572" s="1">
        <f ca="1">IFERROR(__xludf.DUMMYFUNCTION("""COMPUTED_VALUE"""),158.76)</f>
        <v>158.76</v>
      </c>
      <c r="E572" s="1">
        <f ca="1">IFERROR(__xludf.DUMMYFUNCTION("""COMPUTED_VALUE"""),24.41)</f>
        <v>24.41</v>
      </c>
      <c r="F572" s="1">
        <f ca="1">IFERROR(__xludf.DUMMYFUNCTION("""COMPUTED_VALUE"""),223.3)</f>
        <v>223.3</v>
      </c>
      <c r="G572" s="1">
        <f ca="1">IFERROR(__xludf.DUMMYFUNCTION("""COMPUTED_VALUE"""),137.18)</f>
        <v>137.18</v>
      </c>
      <c r="H572" s="1">
        <f ca="1">IFERROR(__xludf.DUMMYFUNCTION("""COMPUTED_VALUE"""),348.59)</f>
        <v>348.59</v>
      </c>
      <c r="I572" s="1">
        <f ca="1">IFERROR(__xludf.DUMMYFUNCTION("""COMPUTED_VALUE"""),172.39)</f>
        <v>172.39</v>
      </c>
      <c r="J572" s="1">
        <f ca="1">IFERROR(__xludf.DUMMYFUNCTION("""COMPUTED_VALUE"""),584.79)</f>
        <v>584.79</v>
      </c>
      <c r="K572" s="1">
        <f ca="1">IFERROR(__xludf.DUMMYFUNCTION("""COMPUTED_VALUE"""),60.2)</f>
        <v>60.2</v>
      </c>
      <c r="L572" s="1">
        <f ca="1">IFERROR(__xludf.DUMMYFUNCTION("""COMPUTED_VALUE"""),444.33)</f>
        <v>444.33</v>
      </c>
      <c r="M572" s="1">
        <f ca="1">IFERROR(__xludf.DUMMYFUNCTION("""COMPUTED_VALUE"""),368.35)</f>
        <v>368.35</v>
      </c>
      <c r="N572" s="1">
        <f ca="1">IFERROR(__xludf.DUMMYFUNCTION("""COMPUTED_VALUE"""),131.49)</f>
        <v>131.49</v>
      </c>
      <c r="O572" s="1">
        <f ca="1">IFERROR(__xludf.DUMMYFUNCTION("""COMPUTED_VALUE"""),219.01)</f>
        <v>219.01</v>
      </c>
      <c r="P572" s="1">
        <f ca="1">IFERROR(__xludf.DUMMYFUNCTION("""COMPUTED_VALUE"""),182.23)</f>
        <v>182.23</v>
      </c>
      <c r="Q572" s="1">
        <f ca="1">IFERROR(__xludf.DUMMYFUNCTION("""COMPUTED_VALUE"""),531.75)</f>
        <v>531.75</v>
      </c>
      <c r="R572" s="1">
        <f ca="1">IFERROR(__xludf.DUMMYFUNCTION("""COMPUTED_VALUE"""),83.65)</f>
        <v>83.65</v>
      </c>
      <c r="S572" s="1">
        <f ca="1">IFERROR(__xludf.DUMMYFUNCTION("""COMPUTED_VALUE"""),86.49)</f>
        <v>86.49</v>
      </c>
      <c r="T572" s="1">
        <f ca="1">IFERROR(__xludf.DUMMYFUNCTION("""COMPUTED_VALUE"""),51.66)</f>
        <v>51.66</v>
      </c>
      <c r="U572" s="1">
        <f ca="1">IFERROR(__xludf.DUMMYFUNCTION("""COMPUTED_VALUE"""),128.36)</f>
        <v>128.36000000000001</v>
      </c>
      <c r="V572" s="1">
        <f ca="1">IFERROR(__xludf.DUMMYFUNCTION("""COMPUTED_VALUE"""),216.21)</f>
        <v>216.21</v>
      </c>
      <c r="W572" s="1">
        <f ca="1">IFERROR(__xludf.DUMMYFUNCTION("""COMPUTED_VALUE"""),454.58)</f>
        <v>454.58</v>
      </c>
      <c r="X572" s="1">
        <f ca="1">IFERROR(__xludf.DUMMYFUNCTION("""COMPUTED_VALUE"""),628.51)</f>
        <v>628.51</v>
      </c>
      <c r="Y572" s="1">
        <f ca="1">IFERROR(__xludf.DUMMYFUNCTION("""COMPUTED_VALUE"""),101.18)</f>
        <v>101.18</v>
      </c>
      <c r="Z572" s="1">
        <f ca="1">IFERROR(__xludf.DUMMYFUNCTION("""COMPUTED_VALUE"""),316.26)</f>
        <v>316.26</v>
      </c>
      <c r="AA572" s="1">
        <f ca="1">IFERROR(__xludf.DUMMYFUNCTION("""COMPUTED_VALUE"""),52.87)</f>
        <v>52.87</v>
      </c>
      <c r="AB572" s="1">
        <f ca="1">IFERROR(__xludf.DUMMYFUNCTION("""COMPUTED_VALUE"""),83.36)</f>
        <v>83.36</v>
      </c>
      <c r="AC572" s="1">
        <f ca="1">IFERROR(__xludf.DUMMYFUNCTION("""COMPUTED_VALUE"""),103.67)</f>
        <v>103.67</v>
      </c>
    </row>
    <row r="573" spans="1:29" x14ac:dyDescent="0.25">
      <c r="A573" s="2">
        <f ca="1">IFERROR(__xludf.DUMMYFUNCTION("""COMPUTED_VALUE"""),44658.6666666666)</f>
        <v>44658.666666666599</v>
      </c>
      <c r="B573" s="1">
        <f ca="1">IFERROR(__xludf.DUMMYFUNCTION("""COMPUTED_VALUE"""),172.14)</f>
        <v>172.14</v>
      </c>
      <c r="C573" s="1">
        <f ca="1">IFERROR(__xludf.DUMMYFUNCTION("""COMPUTED_VALUE"""),301.37)</f>
        <v>301.37</v>
      </c>
      <c r="D573" s="1">
        <f ca="1">IFERROR(__xludf.DUMMYFUNCTION("""COMPUTED_VALUE"""),157.78)</f>
        <v>157.78</v>
      </c>
      <c r="E573" s="1">
        <f ca="1">IFERROR(__xludf.DUMMYFUNCTION("""COMPUTED_VALUE"""),24.21)</f>
        <v>24.21</v>
      </c>
      <c r="F573" s="1">
        <f ca="1">IFERROR(__xludf.DUMMYFUNCTION("""COMPUTED_VALUE"""),222.95)</f>
        <v>222.95</v>
      </c>
      <c r="G573" s="1">
        <f ca="1">IFERROR(__xludf.DUMMYFUNCTION("""COMPUTED_VALUE"""),136.47)</f>
        <v>136.47</v>
      </c>
      <c r="H573" s="1">
        <f ca="1">IFERROR(__xludf.DUMMYFUNCTION("""COMPUTED_VALUE"""),352.42)</f>
        <v>352.42</v>
      </c>
      <c r="I573" s="1">
        <f ca="1">IFERROR(__xludf.DUMMYFUNCTION("""COMPUTED_VALUE"""),172.55)</f>
        <v>172.55</v>
      </c>
      <c r="J573" s="1">
        <f ca="1">IFERROR(__xludf.DUMMYFUNCTION("""COMPUTED_VALUE"""),608.05)</f>
        <v>608.04999999999995</v>
      </c>
      <c r="K573" s="1">
        <f ca="1">IFERROR(__xludf.DUMMYFUNCTION("""COMPUTED_VALUE"""),60.31)</f>
        <v>60.31</v>
      </c>
      <c r="L573" s="1">
        <f ca="1">IFERROR(__xludf.DUMMYFUNCTION("""COMPUTED_VALUE"""),452.72)</f>
        <v>452.72</v>
      </c>
      <c r="M573" s="1">
        <f ca="1">IFERROR(__xludf.DUMMYFUNCTION("""COMPUTED_VALUE"""),362.15)</f>
        <v>362.15</v>
      </c>
      <c r="N573" s="1">
        <f ca="1">IFERROR(__xludf.DUMMYFUNCTION("""COMPUTED_VALUE"""),131.09)</f>
        <v>131.09</v>
      </c>
      <c r="O573" s="1">
        <f ca="1">IFERROR(__xludf.DUMMYFUNCTION("""COMPUTED_VALUE"""),216.15)</f>
        <v>216.15</v>
      </c>
      <c r="P573" s="1">
        <f ca="1">IFERROR(__xludf.DUMMYFUNCTION("""COMPUTED_VALUE"""),181.76)</f>
        <v>181.76</v>
      </c>
      <c r="Q573" s="1">
        <f ca="1">IFERROR(__xludf.DUMMYFUNCTION("""COMPUTED_VALUE"""),536.95)</f>
        <v>536.95000000000005</v>
      </c>
      <c r="R573" s="1">
        <f ca="1">IFERROR(__xludf.DUMMYFUNCTION("""COMPUTED_VALUE"""),85.05)</f>
        <v>85.05</v>
      </c>
      <c r="S573" s="1">
        <f ca="1">IFERROR(__xludf.DUMMYFUNCTION("""COMPUTED_VALUE"""),87.08)</f>
        <v>87.08</v>
      </c>
      <c r="T573" s="1">
        <f ca="1">IFERROR(__xludf.DUMMYFUNCTION("""COMPUTED_VALUE"""),52.18)</f>
        <v>52.18</v>
      </c>
      <c r="U573" s="1">
        <f ca="1">IFERROR(__xludf.DUMMYFUNCTION("""COMPUTED_VALUE"""),129.38)</f>
        <v>129.38</v>
      </c>
      <c r="V573" s="1">
        <f ca="1">IFERROR(__xludf.DUMMYFUNCTION("""COMPUTED_VALUE"""),215.9)</f>
        <v>215.9</v>
      </c>
      <c r="W573" s="1">
        <f ca="1">IFERROR(__xludf.DUMMYFUNCTION("""COMPUTED_VALUE"""),465.51)</f>
        <v>465.51</v>
      </c>
      <c r="X573" s="1">
        <f ca="1">IFERROR(__xludf.DUMMYFUNCTION("""COMPUTED_VALUE"""),625.3)</f>
        <v>625.29999999999995</v>
      </c>
      <c r="Y573" s="1">
        <f ca="1">IFERROR(__xludf.DUMMYFUNCTION("""COMPUTED_VALUE"""),100.52)</f>
        <v>100.52</v>
      </c>
      <c r="Z573" s="1">
        <f ca="1">IFERROR(__xludf.DUMMYFUNCTION("""COMPUTED_VALUE"""),314.15)</f>
        <v>314.14999999999998</v>
      </c>
      <c r="AA573" s="1">
        <f ca="1">IFERROR(__xludf.DUMMYFUNCTION("""COMPUTED_VALUE"""),55.16)</f>
        <v>55.16</v>
      </c>
      <c r="AB573" s="1">
        <f ca="1">IFERROR(__xludf.DUMMYFUNCTION("""COMPUTED_VALUE"""),83.12)</f>
        <v>83.12</v>
      </c>
      <c r="AC573" s="1">
        <f ca="1">IFERROR(__xludf.DUMMYFUNCTION("""COMPUTED_VALUE"""),103.72)</f>
        <v>103.72</v>
      </c>
    </row>
    <row r="574" spans="1:29" x14ac:dyDescent="0.25">
      <c r="A574" s="2">
        <f ca="1">IFERROR(__xludf.DUMMYFUNCTION("""COMPUTED_VALUE"""),44659.6666666666)</f>
        <v>44659.666666666599</v>
      </c>
      <c r="B574" s="1">
        <f ca="1">IFERROR(__xludf.DUMMYFUNCTION("""COMPUTED_VALUE"""),170.09)</f>
        <v>170.09</v>
      </c>
      <c r="C574" s="1">
        <f ca="1">IFERROR(__xludf.DUMMYFUNCTION("""COMPUTED_VALUE"""),296.97)</f>
        <v>296.97000000000003</v>
      </c>
      <c r="D574" s="1">
        <f ca="1">IFERROR(__xludf.DUMMYFUNCTION("""COMPUTED_VALUE"""),154.46)</f>
        <v>154.46</v>
      </c>
      <c r="E574" s="1">
        <f ca="1">IFERROR(__xludf.DUMMYFUNCTION("""COMPUTED_VALUE"""),23.12)</f>
        <v>23.12</v>
      </c>
      <c r="F574" s="1">
        <f ca="1">IFERROR(__xludf.DUMMYFUNCTION("""COMPUTED_VALUE"""),222.33)</f>
        <v>222.33</v>
      </c>
      <c r="G574" s="1">
        <f ca="1">IFERROR(__xludf.DUMMYFUNCTION("""COMPUTED_VALUE"""),134.01)</f>
        <v>134.01</v>
      </c>
      <c r="H574" s="1">
        <f ca="1">IFERROR(__xludf.DUMMYFUNCTION("""COMPUTED_VALUE"""),341.83)</f>
        <v>341.83</v>
      </c>
      <c r="I574" s="1">
        <f ca="1">IFERROR(__xludf.DUMMYFUNCTION("""COMPUTED_VALUE"""),173.13)</f>
        <v>173.13</v>
      </c>
      <c r="J574" s="1">
        <f ca="1">IFERROR(__xludf.DUMMYFUNCTION("""COMPUTED_VALUE"""),600.04)</f>
        <v>600.04</v>
      </c>
      <c r="K574" s="1">
        <f ca="1">IFERROR(__xludf.DUMMYFUNCTION("""COMPUTED_VALUE"""),58.7)</f>
        <v>58.7</v>
      </c>
      <c r="L574" s="1">
        <f ca="1">IFERROR(__xludf.DUMMYFUNCTION("""COMPUTED_VALUE"""),445.34)</f>
        <v>445.34</v>
      </c>
      <c r="M574" s="1">
        <f ca="1">IFERROR(__xludf.DUMMYFUNCTION("""COMPUTED_VALUE"""),355.88)</f>
        <v>355.88</v>
      </c>
      <c r="N574" s="1">
        <f ca="1">IFERROR(__xludf.DUMMYFUNCTION("""COMPUTED_VALUE"""),133.49)</f>
        <v>133.49</v>
      </c>
      <c r="O574" s="1">
        <f ca="1">IFERROR(__xludf.DUMMYFUNCTION("""COMPUTED_VALUE"""),216.98)</f>
        <v>216.98</v>
      </c>
      <c r="P574" s="1">
        <f ca="1">IFERROR(__xludf.DUMMYFUNCTION("""COMPUTED_VALUE"""),182.12)</f>
        <v>182.12</v>
      </c>
      <c r="Q574" s="1">
        <f ca="1">IFERROR(__xludf.DUMMYFUNCTION("""COMPUTED_VALUE"""),545.96)</f>
        <v>545.96</v>
      </c>
      <c r="R574" s="1">
        <f ca="1">IFERROR(__xludf.DUMMYFUNCTION("""COMPUTED_VALUE"""),86.84)</f>
        <v>86.84</v>
      </c>
      <c r="S574" s="1">
        <f ca="1">IFERROR(__xludf.DUMMYFUNCTION("""COMPUTED_VALUE"""),86.09)</f>
        <v>86.09</v>
      </c>
      <c r="T574" s="1">
        <f ca="1">IFERROR(__xludf.DUMMYFUNCTION("""COMPUTED_VALUE"""),52.47)</f>
        <v>52.47</v>
      </c>
      <c r="U574" s="1">
        <f ca="1">IFERROR(__xludf.DUMMYFUNCTION("""COMPUTED_VALUE"""),128.15)</f>
        <v>128.15</v>
      </c>
      <c r="V574" s="1">
        <f ca="1">IFERROR(__xludf.DUMMYFUNCTION("""COMPUTED_VALUE"""),217.03)</f>
        <v>217.03</v>
      </c>
      <c r="W574" s="1">
        <f ca="1">IFERROR(__xludf.DUMMYFUNCTION("""COMPUTED_VALUE"""),461.52)</f>
        <v>461.52</v>
      </c>
      <c r="X574" s="1">
        <f ca="1">IFERROR(__xludf.DUMMYFUNCTION("""COMPUTED_VALUE"""),610.93)</f>
        <v>610.92999999999995</v>
      </c>
      <c r="Y574" s="1">
        <f ca="1">IFERROR(__xludf.DUMMYFUNCTION("""COMPUTED_VALUE"""),99.29)</f>
        <v>99.29</v>
      </c>
      <c r="Z574" s="1">
        <f ca="1">IFERROR(__xludf.DUMMYFUNCTION("""COMPUTED_VALUE"""),321.39)</f>
        <v>321.39</v>
      </c>
      <c r="AA574" s="1">
        <f ca="1">IFERROR(__xludf.DUMMYFUNCTION("""COMPUTED_VALUE"""),55.17)</f>
        <v>55.17</v>
      </c>
      <c r="AB574" s="1">
        <f ca="1">IFERROR(__xludf.DUMMYFUNCTION("""COMPUTED_VALUE"""),81.52)</f>
        <v>81.52</v>
      </c>
      <c r="AC574" s="1">
        <f ca="1">IFERROR(__xludf.DUMMYFUNCTION("""COMPUTED_VALUE"""),101)</f>
        <v>101</v>
      </c>
    </row>
    <row r="575" spans="1:29" x14ac:dyDescent="0.25">
      <c r="A575" s="2">
        <f ca="1">IFERROR(__xludf.DUMMYFUNCTION("""COMPUTED_VALUE"""),44662.6666666666)</f>
        <v>44662.666666666599</v>
      </c>
      <c r="B575" s="1">
        <f ca="1">IFERROR(__xludf.DUMMYFUNCTION("""COMPUTED_VALUE"""),165.75)</f>
        <v>165.75</v>
      </c>
      <c r="C575" s="1">
        <f ca="1">IFERROR(__xludf.DUMMYFUNCTION("""COMPUTED_VALUE"""),285.26)</f>
        <v>285.26</v>
      </c>
      <c r="D575" s="1">
        <f ca="1">IFERROR(__xludf.DUMMYFUNCTION("""COMPUTED_VALUE"""),151.12)</f>
        <v>151.12</v>
      </c>
      <c r="E575" s="1">
        <f ca="1">IFERROR(__xludf.DUMMYFUNCTION("""COMPUTED_VALUE"""),21.92)</f>
        <v>21.92</v>
      </c>
      <c r="F575" s="1">
        <f ca="1">IFERROR(__xludf.DUMMYFUNCTION("""COMPUTED_VALUE"""),216.46)</f>
        <v>216.46</v>
      </c>
      <c r="G575" s="1">
        <f ca="1">IFERROR(__xludf.DUMMYFUNCTION("""COMPUTED_VALUE"""),129.8)</f>
        <v>129.80000000000001</v>
      </c>
      <c r="H575" s="1">
        <f ca="1">IFERROR(__xludf.DUMMYFUNCTION("""COMPUTED_VALUE"""),325.31)</f>
        <v>325.31</v>
      </c>
      <c r="I575" s="1">
        <f ca="1">IFERROR(__xludf.DUMMYFUNCTION("""COMPUTED_VALUE"""),172.6)</f>
        <v>172.6</v>
      </c>
      <c r="J575" s="1">
        <f ca="1">IFERROR(__xludf.DUMMYFUNCTION("""COMPUTED_VALUE"""),584.67)</f>
        <v>584.66999999999996</v>
      </c>
      <c r="K575" s="1">
        <f ca="1">IFERROR(__xludf.DUMMYFUNCTION("""COMPUTED_VALUE"""),58.06)</f>
        <v>58.06</v>
      </c>
      <c r="L575" s="1">
        <f ca="1">IFERROR(__xludf.DUMMYFUNCTION("""COMPUTED_VALUE"""),434.44)</f>
        <v>434.44</v>
      </c>
      <c r="M575" s="1">
        <f ca="1">IFERROR(__xludf.DUMMYFUNCTION("""COMPUTED_VALUE"""),348)</f>
        <v>348</v>
      </c>
      <c r="N575" s="1">
        <f ca="1">IFERROR(__xludf.DUMMYFUNCTION("""COMPUTED_VALUE"""),133)</f>
        <v>133</v>
      </c>
      <c r="O575" s="1">
        <f ca="1">IFERROR(__xludf.DUMMYFUNCTION("""COMPUTED_VALUE"""),214.75)</f>
        <v>214.75</v>
      </c>
      <c r="P575" s="1">
        <f ca="1">IFERROR(__xludf.DUMMYFUNCTION("""COMPUTED_VALUE"""),179.84)</f>
        <v>179.84</v>
      </c>
      <c r="Q575" s="1">
        <f ca="1">IFERROR(__xludf.DUMMYFUNCTION("""COMPUTED_VALUE"""),537.44)</f>
        <v>537.44000000000005</v>
      </c>
      <c r="R575" s="1">
        <f ca="1">IFERROR(__xludf.DUMMYFUNCTION("""COMPUTED_VALUE"""),83.85)</f>
        <v>83.85</v>
      </c>
      <c r="S575" s="1">
        <f ca="1">IFERROR(__xludf.DUMMYFUNCTION("""COMPUTED_VALUE"""),84.58)</f>
        <v>84.58</v>
      </c>
      <c r="T575" s="1">
        <f ca="1">IFERROR(__xludf.DUMMYFUNCTION("""COMPUTED_VALUE"""),51.43)</f>
        <v>51.43</v>
      </c>
      <c r="U575" s="1">
        <f ca="1">IFERROR(__xludf.DUMMYFUNCTION("""COMPUTED_VALUE"""),124.98)</f>
        <v>124.98</v>
      </c>
      <c r="V575" s="1">
        <f ca="1">IFERROR(__xludf.DUMMYFUNCTION("""COMPUTED_VALUE"""),216.05)</f>
        <v>216.05</v>
      </c>
      <c r="W575" s="1">
        <f ca="1">IFERROR(__xludf.DUMMYFUNCTION("""COMPUTED_VALUE"""),464.25)</f>
        <v>464.25</v>
      </c>
      <c r="X575" s="1">
        <f ca="1">IFERROR(__xludf.DUMMYFUNCTION("""COMPUTED_VALUE"""),597.74)</f>
        <v>597.74</v>
      </c>
      <c r="Y575" s="1">
        <f ca="1">IFERROR(__xludf.DUMMYFUNCTION("""COMPUTED_VALUE"""),97.57)</f>
        <v>97.57</v>
      </c>
      <c r="Z575" s="1">
        <f ca="1">IFERROR(__xludf.DUMMYFUNCTION("""COMPUTED_VALUE"""),320.76)</f>
        <v>320.76</v>
      </c>
      <c r="AA575" s="1">
        <f ca="1">IFERROR(__xludf.DUMMYFUNCTION("""COMPUTED_VALUE"""),53.93)</f>
        <v>53.93</v>
      </c>
      <c r="AB575" s="1">
        <f ca="1">IFERROR(__xludf.DUMMYFUNCTION("""COMPUTED_VALUE"""),80.68)</f>
        <v>80.680000000000007</v>
      </c>
      <c r="AC575" s="1">
        <f ca="1">IFERROR(__xludf.DUMMYFUNCTION("""COMPUTED_VALUE"""),97.37)</f>
        <v>97.37</v>
      </c>
    </row>
    <row r="576" spans="1:29" x14ac:dyDescent="0.25">
      <c r="A576" s="2">
        <f ca="1">IFERROR(__xludf.DUMMYFUNCTION("""COMPUTED_VALUE"""),44663.6666666666)</f>
        <v>44663.666666666599</v>
      </c>
      <c r="B576" s="1">
        <f ca="1">IFERROR(__xludf.DUMMYFUNCTION("""COMPUTED_VALUE"""),167.66)</f>
        <v>167.66</v>
      </c>
      <c r="C576" s="1">
        <f ca="1">IFERROR(__xludf.DUMMYFUNCTION("""COMPUTED_VALUE"""),282.06)</f>
        <v>282.06</v>
      </c>
      <c r="D576" s="1">
        <f ca="1">IFERROR(__xludf.DUMMYFUNCTION("""COMPUTED_VALUE"""),150.79)</f>
        <v>150.79</v>
      </c>
      <c r="E576" s="1">
        <f ca="1">IFERROR(__xludf.DUMMYFUNCTION("""COMPUTED_VALUE"""),21.5)</f>
        <v>21.5</v>
      </c>
      <c r="F576" s="1">
        <f ca="1">IFERROR(__xludf.DUMMYFUNCTION("""COMPUTED_VALUE"""),214.14)</f>
        <v>214.14</v>
      </c>
      <c r="G576" s="1">
        <f ca="1">IFERROR(__xludf.DUMMYFUNCTION("""COMPUTED_VALUE"""),128.37)</f>
        <v>128.37</v>
      </c>
      <c r="H576" s="1">
        <f ca="1">IFERROR(__xludf.DUMMYFUNCTION("""COMPUTED_VALUE"""),328.98)</f>
        <v>328.98</v>
      </c>
      <c r="I576" s="1">
        <f ca="1">IFERROR(__xludf.DUMMYFUNCTION("""COMPUTED_VALUE"""),173.3)</f>
        <v>173.3</v>
      </c>
      <c r="J576" s="1">
        <f ca="1">IFERROR(__xludf.DUMMYFUNCTION("""COMPUTED_VALUE"""),581.36)</f>
        <v>581.36</v>
      </c>
      <c r="K576" s="1">
        <f ca="1">IFERROR(__xludf.DUMMYFUNCTION("""COMPUTED_VALUE"""),58.51)</f>
        <v>58.51</v>
      </c>
      <c r="L576" s="1">
        <f ca="1">IFERROR(__xludf.DUMMYFUNCTION("""COMPUTED_VALUE"""),426.77)</f>
        <v>426.77</v>
      </c>
      <c r="M576" s="1">
        <f ca="1">IFERROR(__xludf.DUMMYFUNCTION("""COMPUTED_VALUE"""),344.1)</f>
        <v>344.1</v>
      </c>
      <c r="N576" s="1">
        <f ca="1">IFERROR(__xludf.DUMMYFUNCTION("""COMPUTED_VALUE"""),131.54)</f>
        <v>131.54</v>
      </c>
      <c r="O576" s="1">
        <f ca="1">IFERROR(__xludf.DUMMYFUNCTION("""COMPUTED_VALUE"""),211.4)</f>
        <v>211.4</v>
      </c>
      <c r="P576" s="1">
        <f ca="1">IFERROR(__xludf.DUMMYFUNCTION("""COMPUTED_VALUE"""),179.9)</f>
        <v>179.9</v>
      </c>
      <c r="Q576" s="1">
        <f ca="1">IFERROR(__xludf.DUMMYFUNCTION("""COMPUTED_VALUE"""),533.71)</f>
        <v>533.71</v>
      </c>
      <c r="R576" s="1">
        <f ca="1">IFERROR(__xludf.DUMMYFUNCTION("""COMPUTED_VALUE"""),85.6)</f>
        <v>85.6</v>
      </c>
      <c r="S576" s="1">
        <f ca="1">IFERROR(__xludf.DUMMYFUNCTION("""COMPUTED_VALUE"""),83.89)</f>
        <v>83.89</v>
      </c>
      <c r="T576" s="1">
        <f ca="1">IFERROR(__xludf.DUMMYFUNCTION("""COMPUTED_VALUE"""),51.08)</f>
        <v>51.08</v>
      </c>
      <c r="U576" s="1">
        <f ca="1">IFERROR(__xludf.DUMMYFUNCTION("""COMPUTED_VALUE"""),125.04)</f>
        <v>125.04</v>
      </c>
      <c r="V576" s="1">
        <f ca="1">IFERROR(__xludf.DUMMYFUNCTION("""COMPUTED_VALUE"""),216.7)</f>
        <v>216.7</v>
      </c>
      <c r="W576" s="1">
        <f ca="1">IFERROR(__xludf.DUMMYFUNCTION("""COMPUTED_VALUE"""),467.55)</f>
        <v>467.55</v>
      </c>
      <c r="X576" s="1">
        <f ca="1">IFERROR(__xludf.DUMMYFUNCTION("""COMPUTED_VALUE"""),594)</f>
        <v>594</v>
      </c>
      <c r="Y576" s="1">
        <f ca="1">IFERROR(__xludf.DUMMYFUNCTION("""COMPUTED_VALUE"""),97.44)</f>
        <v>97.44</v>
      </c>
      <c r="Z576" s="1">
        <f ca="1">IFERROR(__xludf.DUMMYFUNCTION("""COMPUTED_VALUE"""),319.78)</f>
        <v>319.77999999999997</v>
      </c>
      <c r="AA576" s="1">
        <f ca="1">IFERROR(__xludf.DUMMYFUNCTION("""COMPUTED_VALUE"""),53.11)</f>
        <v>53.11</v>
      </c>
      <c r="AB576" s="1">
        <f ca="1">IFERROR(__xludf.DUMMYFUNCTION("""COMPUTED_VALUE"""),79.79)</f>
        <v>79.790000000000006</v>
      </c>
      <c r="AC576" s="1">
        <f ca="1">IFERROR(__xludf.DUMMYFUNCTION("""COMPUTED_VALUE"""),95.1)</f>
        <v>95.1</v>
      </c>
    </row>
    <row r="577" spans="1:29" x14ac:dyDescent="0.25">
      <c r="A577" s="2">
        <f ca="1">IFERROR(__xludf.DUMMYFUNCTION("""COMPUTED_VALUE"""),44664.6666666666)</f>
        <v>44664.666666666599</v>
      </c>
      <c r="B577" s="1">
        <f ca="1">IFERROR(__xludf.DUMMYFUNCTION("""COMPUTED_VALUE"""),170.4)</f>
        <v>170.4</v>
      </c>
      <c r="C577" s="1">
        <f ca="1">IFERROR(__xludf.DUMMYFUNCTION("""COMPUTED_VALUE"""),287.62)</f>
        <v>287.62</v>
      </c>
      <c r="D577" s="1">
        <f ca="1">IFERROR(__xludf.DUMMYFUNCTION("""COMPUTED_VALUE"""),155.54)</f>
        <v>155.54</v>
      </c>
      <c r="E577" s="1">
        <f ca="1">IFERROR(__xludf.DUMMYFUNCTION("""COMPUTED_VALUE"""),22.2)</f>
        <v>22.2</v>
      </c>
      <c r="F577" s="1">
        <f ca="1">IFERROR(__xludf.DUMMYFUNCTION("""COMPUTED_VALUE"""),214.99)</f>
        <v>214.99</v>
      </c>
      <c r="G577" s="1">
        <f ca="1">IFERROR(__xludf.DUMMYFUNCTION("""COMPUTED_VALUE"""),130.29)</f>
        <v>130.29</v>
      </c>
      <c r="H577" s="1">
        <f ca="1">IFERROR(__xludf.DUMMYFUNCTION("""COMPUTED_VALUE"""),340.79)</f>
        <v>340.79</v>
      </c>
      <c r="I577" s="1">
        <f ca="1">IFERROR(__xludf.DUMMYFUNCTION("""COMPUTED_VALUE"""),173)</f>
        <v>173</v>
      </c>
      <c r="J577" s="1">
        <f ca="1">IFERROR(__xludf.DUMMYFUNCTION("""COMPUTED_VALUE"""),591.09)</f>
        <v>591.09</v>
      </c>
      <c r="K577" s="1">
        <f ca="1">IFERROR(__xludf.DUMMYFUNCTION("""COMPUTED_VALUE"""),59.25)</f>
        <v>59.25</v>
      </c>
      <c r="L577" s="1">
        <f ca="1">IFERROR(__xludf.DUMMYFUNCTION("""COMPUTED_VALUE"""),431.67)</f>
        <v>431.67</v>
      </c>
      <c r="M577" s="1">
        <f ca="1">IFERROR(__xludf.DUMMYFUNCTION("""COMPUTED_VALUE"""),350.43)</f>
        <v>350.43</v>
      </c>
      <c r="N577" s="1">
        <f ca="1">IFERROR(__xludf.DUMMYFUNCTION("""COMPUTED_VALUE"""),127.3)</f>
        <v>127.3</v>
      </c>
      <c r="O577" s="1">
        <f ca="1">IFERROR(__xludf.DUMMYFUNCTION("""COMPUTED_VALUE"""),213.27)</f>
        <v>213.27</v>
      </c>
      <c r="P577" s="1">
        <f ca="1">IFERROR(__xludf.DUMMYFUNCTION("""COMPUTED_VALUE"""),180.66)</f>
        <v>180.66</v>
      </c>
      <c r="Q577" s="1">
        <f ca="1">IFERROR(__xludf.DUMMYFUNCTION("""COMPUTED_VALUE"""),537)</f>
        <v>537</v>
      </c>
      <c r="R577" s="1">
        <f ca="1">IFERROR(__xludf.DUMMYFUNCTION("""COMPUTED_VALUE"""),86.81)</f>
        <v>86.81</v>
      </c>
      <c r="S577" s="1">
        <f ca="1">IFERROR(__xludf.DUMMYFUNCTION("""COMPUTED_VALUE"""),83.55)</f>
        <v>83.55</v>
      </c>
      <c r="T577" s="1">
        <f ca="1">IFERROR(__xludf.DUMMYFUNCTION("""COMPUTED_VALUE"""),52.41)</f>
        <v>52.41</v>
      </c>
      <c r="U577" s="1">
        <f ca="1">IFERROR(__xludf.DUMMYFUNCTION("""COMPUTED_VALUE"""),127.49)</f>
        <v>127.49</v>
      </c>
      <c r="V577" s="1">
        <f ca="1">IFERROR(__xludf.DUMMYFUNCTION("""COMPUTED_VALUE"""),218.27)</f>
        <v>218.27</v>
      </c>
      <c r="W577" s="1">
        <f ca="1">IFERROR(__xludf.DUMMYFUNCTION("""COMPUTED_VALUE"""),469.19)</f>
        <v>469.19</v>
      </c>
      <c r="X577" s="1">
        <f ca="1">IFERROR(__xludf.DUMMYFUNCTION("""COMPUTED_VALUE"""),612.76)</f>
        <v>612.76</v>
      </c>
      <c r="Y577" s="1">
        <f ca="1">IFERROR(__xludf.DUMMYFUNCTION("""COMPUTED_VALUE"""),101.5)</f>
        <v>101.5</v>
      </c>
      <c r="Z577" s="1">
        <f ca="1">IFERROR(__xludf.DUMMYFUNCTION("""COMPUTED_VALUE"""),321.97)</f>
        <v>321.97000000000003</v>
      </c>
      <c r="AA577" s="1">
        <f ca="1">IFERROR(__xludf.DUMMYFUNCTION("""COMPUTED_VALUE"""),53.1)</f>
        <v>53.1</v>
      </c>
      <c r="AB577" s="1">
        <f ca="1">IFERROR(__xludf.DUMMYFUNCTION("""COMPUTED_VALUE"""),80.92)</f>
        <v>80.92</v>
      </c>
      <c r="AC577" s="1">
        <f ca="1">IFERROR(__xludf.DUMMYFUNCTION("""COMPUTED_VALUE"""),97.74)</f>
        <v>97.74</v>
      </c>
    </row>
    <row r="578" spans="1:29" x14ac:dyDescent="0.25">
      <c r="A578" s="2">
        <f ca="1">IFERROR(__xludf.DUMMYFUNCTION("""COMPUTED_VALUE"""),44665.6666666666)</f>
        <v>44665.666666666599</v>
      </c>
      <c r="B578" s="1">
        <f ca="1">IFERROR(__xludf.DUMMYFUNCTION("""COMPUTED_VALUE"""),165.29)</f>
        <v>165.29</v>
      </c>
      <c r="C578" s="1">
        <f ca="1">IFERROR(__xludf.DUMMYFUNCTION("""COMPUTED_VALUE"""),279.83)</f>
        <v>279.83</v>
      </c>
      <c r="D578" s="1">
        <f ca="1">IFERROR(__xludf.DUMMYFUNCTION("""COMPUTED_VALUE"""),151.71)</f>
        <v>151.71</v>
      </c>
      <c r="E578" s="1">
        <f ca="1">IFERROR(__xludf.DUMMYFUNCTION("""COMPUTED_VALUE"""),21.26)</f>
        <v>21.26</v>
      </c>
      <c r="F578" s="1">
        <f ca="1">IFERROR(__xludf.DUMMYFUNCTION("""COMPUTED_VALUE"""),210.18)</f>
        <v>210.18</v>
      </c>
      <c r="G578" s="1">
        <f ca="1">IFERROR(__xludf.DUMMYFUNCTION("""COMPUTED_VALUE"""),127.25)</f>
        <v>127.25</v>
      </c>
      <c r="H578" s="1">
        <f ca="1">IFERROR(__xludf.DUMMYFUNCTION("""COMPUTED_VALUE"""),328.33)</f>
        <v>328.33</v>
      </c>
      <c r="I578" s="1">
        <f ca="1">IFERROR(__xludf.DUMMYFUNCTION("""COMPUTED_VALUE"""),171.9)</f>
        <v>171.9</v>
      </c>
      <c r="J578" s="1">
        <f ca="1">IFERROR(__xludf.DUMMYFUNCTION("""COMPUTED_VALUE"""),590.39)</f>
        <v>590.39</v>
      </c>
      <c r="K578" s="1">
        <f ca="1">IFERROR(__xludf.DUMMYFUNCTION("""COMPUTED_VALUE"""),57.39)</f>
        <v>57.39</v>
      </c>
      <c r="L578" s="1">
        <f ca="1">IFERROR(__xludf.DUMMYFUNCTION("""COMPUTED_VALUE"""),420.44)</f>
        <v>420.44</v>
      </c>
      <c r="M578" s="1">
        <f ca="1">IFERROR(__xludf.DUMMYFUNCTION("""COMPUTED_VALUE"""),341.13)</f>
        <v>341.13</v>
      </c>
      <c r="N578" s="1">
        <f ca="1">IFERROR(__xludf.DUMMYFUNCTION("""COMPUTED_VALUE"""),126.12)</f>
        <v>126.12</v>
      </c>
      <c r="O578" s="1">
        <f ca="1">IFERROR(__xludf.DUMMYFUNCTION("""COMPUTED_VALUE"""),212.79)</f>
        <v>212.79</v>
      </c>
      <c r="P578" s="1">
        <f ca="1">IFERROR(__xludf.DUMMYFUNCTION("""COMPUTED_VALUE"""),179.9)</f>
        <v>179.9</v>
      </c>
      <c r="Q578" s="1">
        <f ca="1">IFERROR(__xludf.DUMMYFUNCTION("""COMPUTED_VALUE"""),534.82)</f>
        <v>534.82000000000005</v>
      </c>
      <c r="R578" s="1">
        <f ca="1">IFERROR(__xludf.DUMMYFUNCTION("""COMPUTED_VALUE"""),87.83)</f>
        <v>87.83</v>
      </c>
      <c r="S578" s="1">
        <f ca="1">IFERROR(__xludf.DUMMYFUNCTION("""COMPUTED_VALUE"""),82.81)</f>
        <v>82.81</v>
      </c>
      <c r="T578" s="1">
        <f ca="1">IFERROR(__xludf.DUMMYFUNCTION("""COMPUTED_VALUE"""),52.36)</f>
        <v>52.36</v>
      </c>
      <c r="U578" s="1">
        <f ca="1">IFERROR(__xludf.DUMMYFUNCTION("""COMPUTED_VALUE"""),133.46)</f>
        <v>133.46</v>
      </c>
      <c r="V578" s="1">
        <f ca="1">IFERROR(__xludf.DUMMYFUNCTION("""COMPUTED_VALUE"""),227.81)</f>
        <v>227.81</v>
      </c>
      <c r="W578" s="1">
        <f ca="1">IFERROR(__xludf.DUMMYFUNCTION("""COMPUTED_VALUE"""),467.66)</f>
        <v>467.66</v>
      </c>
      <c r="X578" s="1">
        <f ca="1">IFERROR(__xludf.DUMMYFUNCTION("""COMPUTED_VALUE"""),597.87)</f>
        <v>597.87</v>
      </c>
      <c r="Y578" s="1">
        <f ca="1">IFERROR(__xludf.DUMMYFUNCTION("""COMPUTED_VALUE"""),98.36)</f>
        <v>98.36</v>
      </c>
      <c r="Z578" s="1">
        <f ca="1">IFERROR(__xludf.DUMMYFUNCTION("""COMPUTED_VALUE"""),321.64)</f>
        <v>321.64</v>
      </c>
      <c r="AA578" s="1">
        <f ca="1">IFERROR(__xludf.DUMMYFUNCTION("""COMPUTED_VALUE"""),53.12)</f>
        <v>53.12</v>
      </c>
      <c r="AB578" s="1">
        <f ca="1">IFERROR(__xludf.DUMMYFUNCTION("""COMPUTED_VALUE"""),79.5)</f>
        <v>79.5</v>
      </c>
      <c r="AC578" s="1">
        <f ca="1">IFERROR(__xludf.DUMMYFUNCTION("""COMPUTED_VALUE"""),93.06)</f>
        <v>93.06</v>
      </c>
    </row>
    <row r="579" spans="1:29" x14ac:dyDescent="0.25">
      <c r="A579" s="2">
        <f ca="1">IFERROR(__xludf.DUMMYFUNCTION("""COMPUTED_VALUE"""),44669.6666666666)</f>
        <v>44669.666666666599</v>
      </c>
      <c r="B579" s="1">
        <f ca="1">IFERROR(__xludf.DUMMYFUNCTION("""COMPUTED_VALUE"""),165.07)</f>
        <v>165.07</v>
      </c>
      <c r="C579" s="1">
        <f ca="1">IFERROR(__xludf.DUMMYFUNCTION("""COMPUTED_VALUE"""),280.52)</f>
        <v>280.52</v>
      </c>
      <c r="D579" s="1">
        <f ca="1">IFERROR(__xludf.DUMMYFUNCTION("""COMPUTED_VALUE"""),152.79)</f>
        <v>152.79</v>
      </c>
      <c r="E579" s="1">
        <f ca="1">IFERROR(__xludf.DUMMYFUNCTION("""COMPUTED_VALUE"""),21.78)</f>
        <v>21.78</v>
      </c>
      <c r="F579" s="1">
        <f ca="1">IFERROR(__xludf.DUMMYFUNCTION("""COMPUTED_VALUE"""),210.77)</f>
        <v>210.77</v>
      </c>
      <c r="G579" s="1">
        <f ca="1">IFERROR(__xludf.DUMMYFUNCTION("""COMPUTED_VALUE"""),127.96)</f>
        <v>127.96</v>
      </c>
      <c r="H579" s="1">
        <f ca="1">IFERROR(__xludf.DUMMYFUNCTION("""COMPUTED_VALUE"""),334.76)</f>
        <v>334.76</v>
      </c>
      <c r="I579" s="1">
        <f ca="1">IFERROR(__xludf.DUMMYFUNCTION("""COMPUTED_VALUE"""),170.42)</f>
        <v>170.42</v>
      </c>
      <c r="J579" s="1">
        <f ca="1">IFERROR(__xludf.DUMMYFUNCTION("""COMPUTED_VALUE"""),582.12)</f>
        <v>582.12</v>
      </c>
      <c r="K579" s="1">
        <f ca="1">IFERROR(__xludf.DUMMYFUNCTION("""COMPUTED_VALUE"""),58.65)</f>
        <v>58.65</v>
      </c>
      <c r="L579" s="1">
        <f ca="1">IFERROR(__xludf.DUMMYFUNCTION("""COMPUTED_VALUE"""),425.47)</f>
        <v>425.47</v>
      </c>
      <c r="M579" s="1">
        <f ca="1">IFERROR(__xludf.DUMMYFUNCTION("""COMPUTED_VALUE"""),337.86)</f>
        <v>337.86</v>
      </c>
      <c r="N579" s="1">
        <f ca="1">IFERROR(__xludf.DUMMYFUNCTION("""COMPUTED_VALUE"""),128.46)</f>
        <v>128.46</v>
      </c>
      <c r="O579" s="1">
        <f ca="1">IFERROR(__xludf.DUMMYFUNCTION("""COMPUTED_VALUE"""),213.17)</f>
        <v>213.17</v>
      </c>
      <c r="P579" s="1">
        <f ca="1">IFERROR(__xludf.DUMMYFUNCTION("""COMPUTED_VALUE"""),177.66)</f>
        <v>177.66</v>
      </c>
      <c r="Q579" s="1">
        <f ca="1">IFERROR(__xludf.DUMMYFUNCTION("""COMPUTED_VALUE"""),534.08)</f>
        <v>534.08000000000004</v>
      </c>
      <c r="R579" s="1">
        <f ca="1">IFERROR(__xludf.DUMMYFUNCTION("""COMPUTED_VALUE"""),88.55)</f>
        <v>88.55</v>
      </c>
      <c r="S579" s="1">
        <f ca="1">IFERROR(__xludf.DUMMYFUNCTION("""COMPUTED_VALUE"""),81.71)</f>
        <v>81.709999999999994</v>
      </c>
      <c r="T579" s="1">
        <f ca="1">IFERROR(__xludf.DUMMYFUNCTION("""COMPUTED_VALUE"""),51.96)</f>
        <v>51.96</v>
      </c>
      <c r="U579" s="1">
        <f ca="1">IFERROR(__xludf.DUMMYFUNCTION("""COMPUTED_VALUE"""),131.63)</f>
        <v>131.63</v>
      </c>
      <c r="V579" s="1">
        <f ca="1">IFERROR(__xludf.DUMMYFUNCTION("""COMPUTED_VALUE"""),229.92)</f>
        <v>229.92</v>
      </c>
      <c r="W579" s="1">
        <f ca="1">IFERROR(__xludf.DUMMYFUNCTION("""COMPUTED_VALUE"""),467.44)</f>
        <v>467.44</v>
      </c>
      <c r="X579" s="1">
        <f ca="1">IFERROR(__xludf.DUMMYFUNCTION("""COMPUTED_VALUE"""),605.58)</f>
        <v>605.58000000000004</v>
      </c>
      <c r="Y579" s="1">
        <f ca="1">IFERROR(__xludf.DUMMYFUNCTION("""COMPUTED_VALUE"""),98.77)</f>
        <v>98.77</v>
      </c>
      <c r="Z579" s="1">
        <f ca="1">IFERROR(__xludf.DUMMYFUNCTION("""COMPUTED_VALUE"""),329.88)</f>
        <v>329.88</v>
      </c>
      <c r="AA579" s="1">
        <f ca="1">IFERROR(__xludf.DUMMYFUNCTION("""COMPUTED_VALUE"""),51.84)</f>
        <v>51.84</v>
      </c>
      <c r="AB579" s="1">
        <f ca="1">IFERROR(__xludf.DUMMYFUNCTION("""COMPUTED_VALUE"""),79.6)</f>
        <v>79.599999999999994</v>
      </c>
      <c r="AC579" s="1">
        <f ca="1">IFERROR(__xludf.DUMMYFUNCTION("""COMPUTED_VALUE"""),93.89)</f>
        <v>93.89</v>
      </c>
    </row>
    <row r="580" spans="1:29" x14ac:dyDescent="0.25">
      <c r="A580" s="2">
        <f ca="1">IFERROR(__xludf.DUMMYFUNCTION("""COMPUTED_VALUE"""),44670.6666666666)</f>
        <v>44670.666666666599</v>
      </c>
      <c r="B580" s="1">
        <f ca="1">IFERROR(__xludf.DUMMYFUNCTION("""COMPUTED_VALUE"""),167.4)</f>
        <v>167.4</v>
      </c>
      <c r="C580" s="1">
        <f ca="1">IFERROR(__xludf.DUMMYFUNCTION("""COMPUTED_VALUE"""),285.3)</f>
        <v>285.3</v>
      </c>
      <c r="D580" s="1">
        <f ca="1">IFERROR(__xludf.DUMMYFUNCTION("""COMPUTED_VALUE"""),158.12)</f>
        <v>158.12</v>
      </c>
      <c r="E580" s="1">
        <f ca="1">IFERROR(__xludf.DUMMYFUNCTION("""COMPUTED_VALUE"""),22.2)</f>
        <v>22.2</v>
      </c>
      <c r="F580" s="1">
        <f ca="1">IFERROR(__xludf.DUMMYFUNCTION("""COMPUTED_VALUE"""),217.31)</f>
        <v>217.31</v>
      </c>
      <c r="G580" s="1">
        <f ca="1">IFERROR(__xludf.DUMMYFUNCTION("""COMPUTED_VALUE"""),130.53)</f>
        <v>130.53</v>
      </c>
      <c r="H580" s="1">
        <f ca="1">IFERROR(__xludf.DUMMYFUNCTION("""COMPUTED_VALUE"""),342.72)</f>
        <v>342.72</v>
      </c>
      <c r="I580" s="1">
        <f ca="1">IFERROR(__xludf.DUMMYFUNCTION("""COMPUTED_VALUE"""),172.9)</f>
        <v>172.9</v>
      </c>
      <c r="J580" s="1">
        <f ca="1">IFERROR(__xludf.DUMMYFUNCTION("""COMPUTED_VALUE"""),594.3)</f>
        <v>594.29999999999995</v>
      </c>
      <c r="K580" s="1">
        <f ca="1">IFERROR(__xludf.DUMMYFUNCTION("""COMPUTED_VALUE"""),59.76)</f>
        <v>59.76</v>
      </c>
      <c r="L580" s="1">
        <f ca="1">IFERROR(__xludf.DUMMYFUNCTION("""COMPUTED_VALUE"""),436.4)</f>
        <v>436.4</v>
      </c>
      <c r="M580" s="1">
        <f ca="1">IFERROR(__xludf.DUMMYFUNCTION("""COMPUTED_VALUE"""),348.61)</f>
        <v>348.61</v>
      </c>
      <c r="N580" s="1">
        <f ca="1">IFERROR(__xludf.DUMMYFUNCTION("""COMPUTED_VALUE"""),131.12)</f>
        <v>131.12</v>
      </c>
      <c r="O580" s="1">
        <f ca="1">IFERROR(__xludf.DUMMYFUNCTION("""COMPUTED_VALUE"""),215.7)</f>
        <v>215.7</v>
      </c>
      <c r="P580" s="1">
        <f ca="1">IFERROR(__xludf.DUMMYFUNCTION("""COMPUTED_VALUE"""),183.08)</f>
        <v>183.08</v>
      </c>
      <c r="Q580" s="1">
        <f ca="1">IFERROR(__xludf.DUMMYFUNCTION("""COMPUTED_VALUE"""),537.7)</f>
        <v>537.70000000000005</v>
      </c>
      <c r="R580" s="1">
        <f ca="1">IFERROR(__xludf.DUMMYFUNCTION("""COMPUTED_VALUE"""),87.76)</f>
        <v>87.76</v>
      </c>
      <c r="S580" s="1">
        <f ca="1">IFERROR(__xludf.DUMMYFUNCTION("""COMPUTED_VALUE"""),81.83)</f>
        <v>81.83</v>
      </c>
      <c r="T580" s="1">
        <f ca="1">IFERROR(__xludf.DUMMYFUNCTION("""COMPUTED_VALUE"""),52.55)</f>
        <v>52.55</v>
      </c>
      <c r="U580" s="1">
        <f ca="1">IFERROR(__xludf.DUMMYFUNCTION("""COMPUTED_VALUE"""),137.05)</f>
        <v>137.05000000000001</v>
      </c>
      <c r="V580" s="1">
        <f ca="1">IFERROR(__xludf.DUMMYFUNCTION("""COMPUTED_VALUE"""),232.16)</f>
        <v>232.16</v>
      </c>
      <c r="W580" s="1">
        <f ca="1">IFERROR(__xludf.DUMMYFUNCTION("""COMPUTED_VALUE"""),459.9)</f>
        <v>459.9</v>
      </c>
      <c r="X580" s="1">
        <f ca="1">IFERROR(__xludf.DUMMYFUNCTION("""COMPUTED_VALUE"""),617.15)</f>
        <v>617.15</v>
      </c>
      <c r="Y580" s="1">
        <f ca="1">IFERROR(__xludf.DUMMYFUNCTION("""COMPUTED_VALUE"""),99.45)</f>
        <v>99.45</v>
      </c>
      <c r="Z580" s="1">
        <f ca="1">IFERROR(__xludf.DUMMYFUNCTION("""COMPUTED_VALUE"""),335.95)</f>
        <v>335.95</v>
      </c>
      <c r="AA580" s="1">
        <f ca="1">IFERROR(__xludf.DUMMYFUNCTION("""COMPUTED_VALUE"""),50.18)</f>
        <v>50.18</v>
      </c>
      <c r="AB580" s="1">
        <f ca="1">IFERROR(__xludf.DUMMYFUNCTION("""COMPUTED_VALUE"""),81.22)</f>
        <v>81.22</v>
      </c>
      <c r="AC580" s="1">
        <f ca="1">IFERROR(__xludf.DUMMYFUNCTION("""COMPUTED_VALUE"""),96.93)</f>
        <v>96.93</v>
      </c>
    </row>
    <row r="581" spans="1:29" x14ac:dyDescent="0.25">
      <c r="A581" s="2">
        <f ca="1">IFERROR(__xludf.DUMMYFUNCTION("""COMPUTED_VALUE"""),44671.6666666666)</f>
        <v>44671.666666666599</v>
      </c>
      <c r="B581" s="1">
        <f ca="1">IFERROR(__xludf.DUMMYFUNCTION("""COMPUTED_VALUE"""),167.23)</f>
        <v>167.23</v>
      </c>
      <c r="C581" s="1">
        <f ca="1">IFERROR(__xludf.DUMMYFUNCTION("""COMPUTED_VALUE"""),286.36)</f>
        <v>286.36</v>
      </c>
      <c r="D581" s="1">
        <f ca="1">IFERROR(__xludf.DUMMYFUNCTION("""COMPUTED_VALUE"""),154)</f>
        <v>154</v>
      </c>
      <c r="E581" s="1">
        <f ca="1">IFERROR(__xludf.DUMMYFUNCTION("""COMPUTED_VALUE"""),21.48)</f>
        <v>21.48</v>
      </c>
      <c r="F581" s="1">
        <f ca="1">IFERROR(__xludf.DUMMYFUNCTION("""COMPUTED_VALUE"""),200.42)</f>
        <v>200.42</v>
      </c>
      <c r="G581" s="1">
        <f ca="1">IFERROR(__xludf.DUMMYFUNCTION("""COMPUTED_VALUE"""),128.25)</f>
        <v>128.25</v>
      </c>
      <c r="H581" s="1">
        <f ca="1">IFERROR(__xludf.DUMMYFUNCTION("""COMPUTED_VALUE"""),325.73)</f>
        <v>325.73</v>
      </c>
      <c r="I581" s="1">
        <f ca="1">IFERROR(__xludf.DUMMYFUNCTION("""COMPUTED_VALUE"""),175.47)</f>
        <v>175.47</v>
      </c>
      <c r="J581" s="1">
        <f ca="1">IFERROR(__xludf.DUMMYFUNCTION("""COMPUTED_VALUE"""),603.53)</f>
        <v>603.53</v>
      </c>
      <c r="K581" s="1">
        <f ca="1">IFERROR(__xludf.DUMMYFUNCTION("""COMPUTED_VALUE"""),59.77)</f>
        <v>59.77</v>
      </c>
      <c r="L581" s="1">
        <f ca="1">IFERROR(__xludf.DUMMYFUNCTION("""COMPUTED_VALUE"""),428.11)</f>
        <v>428.11</v>
      </c>
      <c r="M581" s="1">
        <f ca="1">IFERROR(__xludf.DUMMYFUNCTION("""COMPUTED_VALUE"""),226.19)</f>
        <v>226.19</v>
      </c>
      <c r="N581" s="1">
        <f ca="1">IFERROR(__xludf.DUMMYFUNCTION("""COMPUTED_VALUE"""),131.58)</f>
        <v>131.58000000000001</v>
      </c>
      <c r="O581" s="1">
        <f ca="1">IFERROR(__xludf.DUMMYFUNCTION("""COMPUTED_VALUE"""),217.79)</f>
        <v>217.79</v>
      </c>
      <c r="P581" s="1">
        <f ca="1">IFERROR(__xludf.DUMMYFUNCTION("""COMPUTED_VALUE"""),183.89)</f>
        <v>183.89</v>
      </c>
      <c r="Q581" s="1">
        <f ca="1">IFERROR(__xludf.DUMMYFUNCTION("""COMPUTED_VALUE"""),546.01)</f>
        <v>546.01</v>
      </c>
      <c r="R581" s="1">
        <f ca="1">IFERROR(__xludf.DUMMYFUNCTION("""COMPUTED_VALUE"""),87.96)</f>
        <v>87.96</v>
      </c>
      <c r="S581" s="1">
        <f ca="1">IFERROR(__xludf.DUMMYFUNCTION("""COMPUTED_VALUE"""),81.51)</f>
        <v>81.510000000000005</v>
      </c>
      <c r="T581" s="1">
        <f ca="1">IFERROR(__xludf.DUMMYFUNCTION("""COMPUTED_VALUE"""),53.21)</f>
        <v>53.21</v>
      </c>
      <c r="U581" s="1">
        <f ca="1">IFERROR(__xludf.DUMMYFUNCTION("""COMPUTED_VALUE"""),135.87)</f>
        <v>135.87</v>
      </c>
      <c r="V581" s="1">
        <f ca="1">IFERROR(__xludf.DUMMYFUNCTION("""COMPUTED_VALUE"""),235.08)</f>
        <v>235.08</v>
      </c>
      <c r="W581" s="1">
        <f ca="1">IFERROR(__xludf.DUMMYFUNCTION("""COMPUTED_VALUE"""),453.87)</f>
        <v>453.87</v>
      </c>
      <c r="X581" s="1">
        <f ca="1">IFERROR(__xludf.DUMMYFUNCTION("""COMPUTED_VALUE"""),633.91)</f>
        <v>633.91</v>
      </c>
      <c r="Y581" s="1">
        <f ca="1">IFERROR(__xludf.DUMMYFUNCTION("""COMPUTED_VALUE"""),99.01)</f>
        <v>99.01</v>
      </c>
      <c r="Z581" s="1">
        <f ca="1">IFERROR(__xludf.DUMMYFUNCTION("""COMPUTED_VALUE"""),341.06)</f>
        <v>341.06</v>
      </c>
      <c r="AA581" s="1">
        <f ca="1">IFERROR(__xludf.DUMMYFUNCTION("""COMPUTED_VALUE"""),49.75)</f>
        <v>49.75</v>
      </c>
      <c r="AB581" s="1">
        <f ca="1">IFERROR(__xludf.DUMMYFUNCTION("""COMPUTED_VALUE"""),80.17)</f>
        <v>80.17</v>
      </c>
      <c r="AC581" s="1">
        <f ca="1">IFERROR(__xludf.DUMMYFUNCTION("""COMPUTED_VALUE"""),94.02)</f>
        <v>94.02</v>
      </c>
    </row>
    <row r="582" spans="1:29" x14ac:dyDescent="0.25">
      <c r="A582" s="2">
        <f ca="1">IFERROR(__xludf.DUMMYFUNCTION("""COMPUTED_VALUE"""),44672.6666666666)</f>
        <v>44672.666666666599</v>
      </c>
      <c r="B582" s="1">
        <f ca="1">IFERROR(__xludf.DUMMYFUNCTION("""COMPUTED_VALUE"""),166.42)</f>
        <v>166.42</v>
      </c>
      <c r="C582" s="1">
        <f ca="1">IFERROR(__xludf.DUMMYFUNCTION("""COMPUTED_VALUE"""),280.81)</f>
        <v>280.81</v>
      </c>
      <c r="D582" s="1">
        <f ca="1">IFERROR(__xludf.DUMMYFUNCTION("""COMPUTED_VALUE"""),148.3)</f>
        <v>148.30000000000001</v>
      </c>
      <c r="E582" s="1">
        <f ca="1">IFERROR(__xludf.DUMMYFUNCTION("""COMPUTED_VALUE"""),20.18)</f>
        <v>20.18</v>
      </c>
      <c r="F582" s="1">
        <f ca="1">IFERROR(__xludf.DUMMYFUNCTION("""COMPUTED_VALUE"""),188.07)</f>
        <v>188.07</v>
      </c>
      <c r="G582" s="1">
        <f ca="1">IFERROR(__xludf.DUMMYFUNCTION("""COMPUTED_VALUE"""),124.94)</f>
        <v>124.94</v>
      </c>
      <c r="H582" s="1">
        <f ca="1">IFERROR(__xludf.DUMMYFUNCTION("""COMPUTED_VALUE"""),336.26)</f>
        <v>336.26</v>
      </c>
      <c r="I582" s="1">
        <f ca="1">IFERROR(__xludf.DUMMYFUNCTION("""COMPUTED_VALUE"""),174.84)</f>
        <v>174.84</v>
      </c>
      <c r="J582" s="1">
        <f ca="1">IFERROR(__xludf.DUMMYFUNCTION("""COMPUTED_VALUE"""),591.74)</f>
        <v>591.74</v>
      </c>
      <c r="K582" s="1">
        <f ca="1">IFERROR(__xludf.DUMMYFUNCTION("""COMPUTED_VALUE"""),59.27)</f>
        <v>59.27</v>
      </c>
      <c r="L582" s="1">
        <f ca="1">IFERROR(__xludf.DUMMYFUNCTION("""COMPUTED_VALUE"""),417.48)</f>
        <v>417.48</v>
      </c>
      <c r="M582" s="1">
        <f ca="1">IFERROR(__xludf.DUMMYFUNCTION("""COMPUTED_VALUE"""),218.22)</f>
        <v>218.22</v>
      </c>
      <c r="N582" s="1">
        <f ca="1">IFERROR(__xludf.DUMMYFUNCTION("""COMPUTED_VALUE"""),130.56)</f>
        <v>130.56</v>
      </c>
      <c r="O582" s="1">
        <f ca="1">IFERROR(__xludf.DUMMYFUNCTION("""COMPUTED_VALUE"""),216.45)</f>
        <v>216.45</v>
      </c>
      <c r="P582" s="1">
        <f ca="1">IFERROR(__xludf.DUMMYFUNCTION("""COMPUTED_VALUE"""),183.36)</f>
        <v>183.36</v>
      </c>
      <c r="Q582" s="1">
        <f ca="1">IFERROR(__xludf.DUMMYFUNCTION("""COMPUTED_VALUE"""),537.44)</f>
        <v>537.44000000000005</v>
      </c>
      <c r="R582" s="1">
        <f ca="1">IFERROR(__xludf.DUMMYFUNCTION("""COMPUTED_VALUE"""),87.03)</f>
        <v>87.03</v>
      </c>
      <c r="S582" s="1">
        <f ca="1">IFERROR(__xludf.DUMMYFUNCTION("""COMPUTED_VALUE"""),76.18)</f>
        <v>76.180000000000007</v>
      </c>
      <c r="T582" s="1">
        <f ca="1">IFERROR(__xludf.DUMMYFUNCTION("""COMPUTED_VALUE"""),53.29)</f>
        <v>53.29</v>
      </c>
      <c r="U582" s="1">
        <f ca="1">IFERROR(__xludf.DUMMYFUNCTION("""COMPUTED_VALUE"""),135.46)</f>
        <v>135.46</v>
      </c>
      <c r="V582" s="1">
        <f ca="1">IFERROR(__xludf.DUMMYFUNCTION("""COMPUTED_VALUE"""),232.57)</f>
        <v>232.57</v>
      </c>
      <c r="W582" s="1">
        <f ca="1">IFERROR(__xludf.DUMMYFUNCTION("""COMPUTED_VALUE"""),439.54)</f>
        <v>439.54</v>
      </c>
      <c r="X582" s="1">
        <f ca="1">IFERROR(__xludf.DUMMYFUNCTION("""COMPUTED_VALUE"""),619.98)</f>
        <v>619.98</v>
      </c>
      <c r="Y582" s="1">
        <f ca="1">IFERROR(__xludf.DUMMYFUNCTION("""COMPUTED_VALUE"""),97.66)</f>
        <v>97.66</v>
      </c>
      <c r="Z582" s="1">
        <f ca="1">IFERROR(__xludf.DUMMYFUNCTION("""COMPUTED_VALUE"""),334.3)</f>
        <v>334.3</v>
      </c>
      <c r="AA582" s="1">
        <f ca="1">IFERROR(__xludf.DUMMYFUNCTION("""COMPUTED_VALUE"""),49.11)</f>
        <v>49.11</v>
      </c>
      <c r="AB582" s="1">
        <f ca="1">IFERROR(__xludf.DUMMYFUNCTION("""COMPUTED_VALUE"""),78.96)</f>
        <v>78.959999999999994</v>
      </c>
      <c r="AC582" s="1">
        <f ca="1">IFERROR(__xludf.DUMMYFUNCTION("""COMPUTED_VALUE"""),89.85)</f>
        <v>89.85</v>
      </c>
    </row>
    <row r="583" spans="1:29" x14ac:dyDescent="0.25">
      <c r="A583" s="2">
        <f ca="1">IFERROR(__xludf.DUMMYFUNCTION("""COMPUTED_VALUE"""),44673.6666666666)</f>
        <v>44673.666666666599</v>
      </c>
      <c r="B583" s="1">
        <f ca="1">IFERROR(__xludf.DUMMYFUNCTION("""COMPUTED_VALUE"""),161.79)</f>
        <v>161.79</v>
      </c>
      <c r="C583" s="1">
        <f ca="1">IFERROR(__xludf.DUMMYFUNCTION("""COMPUTED_VALUE"""),274.03)</f>
        <v>274.02999999999997</v>
      </c>
      <c r="D583" s="1">
        <f ca="1">IFERROR(__xludf.DUMMYFUNCTION("""COMPUTED_VALUE"""),144.35)</f>
        <v>144.35</v>
      </c>
      <c r="E583" s="1">
        <f ca="1">IFERROR(__xludf.DUMMYFUNCTION("""COMPUTED_VALUE"""),19.52)</f>
        <v>19.52</v>
      </c>
      <c r="F583" s="1">
        <f ca="1">IFERROR(__xludf.DUMMYFUNCTION("""COMPUTED_VALUE"""),184.11)</f>
        <v>184.11</v>
      </c>
      <c r="G583" s="1">
        <f ca="1">IFERROR(__xludf.DUMMYFUNCTION("""COMPUTED_VALUE"""),119.61)</f>
        <v>119.61</v>
      </c>
      <c r="H583" s="1">
        <f ca="1">IFERROR(__xludf.DUMMYFUNCTION("""COMPUTED_VALUE"""),335.02)</f>
        <v>335.02</v>
      </c>
      <c r="I583" s="1">
        <f ca="1">IFERROR(__xludf.DUMMYFUNCTION("""COMPUTED_VALUE"""),172.15)</f>
        <v>172.15</v>
      </c>
      <c r="J583" s="1">
        <f ca="1">IFERROR(__xludf.DUMMYFUNCTION("""COMPUTED_VALUE"""),571.7)</f>
        <v>571.70000000000005</v>
      </c>
      <c r="K583" s="1">
        <f ca="1">IFERROR(__xludf.DUMMYFUNCTION("""COMPUTED_VALUE"""),58.7)</f>
        <v>58.7</v>
      </c>
      <c r="L583" s="1">
        <f ca="1">IFERROR(__xludf.DUMMYFUNCTION("""COMPUTED_VALUE"""),408.67)</f>
        <v>408.67</v>
      </c>
      <c r="M583" s="1">
        <f ca="1">IFERROR(__xludf.DUMMYFUNCTION("""COMPUTED_VALUE"""),215.52)</f>
        <v>215.52</v>
      </c>
      <c r="N583" s="1">
        <f ca="1">IFERROR(__xludf.DUMMYFUNCTION("""COMPUTED_VALUE"""),126.81)</f>
        <v>126.81</v>
      </c>
      <c r="O583" s="1">
        <f ca="1">IFERROR(__xludf.DUMMYFUNCTION("""COMPUTED_VALUE"""),208.17)</f>
        <v>208.17</v>
      </c>
      <c r="P583" s="1">
        <f ca="1">IFERROR(__xludf.DUMMYFUNCTION("""COMPUTED_VALUE"""),181.54)</f>
        <v>181.54</v>
      </c>
      <c r="Q583" s="1">
        <f ca="1">IFERROR(__xludf.DUMMYFUNCTION("""COMPUTED_VALUE"""),520.94)</f>
        <v>520.94000000000005</v>
      </c>
      <c r="R583" s="1">
        <f ca="1">IFERROR(__xludf.DUMMYFUNCTION("""COMPUTED_VALUE"""),85.13)</f>
        <v>85.13</v>
      </c>
      <c r="S583" s="1">
        <f ca="1">IFERROR(__xludf.DUMMYFUNCTION("""COMPUTED_VALUE"""),73.95)</f>
        <v>73.95</v>
      </c>
      <c r="T583" s="1">
        <f ca="1">IFERROR(__xludf.DUMMYFUNCTION("""COMPUTED_VALUE"""),52.29)</f>
        <v>52.29</v>
      </c>
      <c r="U583" s="1">
        <f ca="1">IFERROR(__xludf.DUMMYFUNCTION("""COMPUTED_VALUE"""),129.07)</f>
        <v>129.07</v>
      </c>
      <c r="V583" s="1">
        <f ca="1">IFERROR(__xludf.DUMMYFUNCTION("""COMPUTED_VALUE"""),216.3)</f>
        <v>216.3</v>
      </c>
      <c r="W583" s="1">
        <f ca="1">IFERROR(__xludf.DUMMYFUNCTION("""COMPUTED_VALUE"""),445.79)</f>
        <v>445.79</v>
      </c>
      <c r="X583" s="1">
        <f ca="1">IFERROR(__xludf.DUMMYFUNCTION("""COMPUTED_VALUE"""),607.61)</f>
        <v>607.61</v>
      </c>
      <c r="Y583" s="1">
        <f ca="1">IFERROR(__xludf.DUMMYFUNCTION("""COMPUTED_VALUE"""),95.68)</f>
        <v>95.68</v>
      </c>
      <c r="Z583" s="1">
        <f ca="1">IFERROR(__xludf.DUMMYFUNCTION("""COMPUTED_VALUE"""),319.77)</f>
        <v>319.77</v>
      </c>
      <c r="AA583" s="1">
        <f ca="1">IFERROR(__xludf.DUMMYFUNCTION("""COMPUTED_VALUE"""),48.13)</f>
        <v>48.13</v>
      </c>
      <c r="AB583" s="1">
        <f ca="1">IFERROR(__xludf.DUMMYFUNCTION("""COMPUTED_VALUE"""),77.92)</f>
        <v>77.92</v>
      </c>
      <c r="AC583" s="1">
        <f ca="1">IFERROR(__xludf.DUMMYFUNCTION("""COMPUTED_VALUE"""),88.14)</f>
        <v>88.14</v>
      </c>
    </row>
    <row r="584" spans="1:29" x14ac:dyDescent="0.25">
      <c r="A584" s="2">
        <f ca="1">IFERROR(__xludf.DUMMYFUNCTION("""COMPUTED_VALUE"""),44676.6666666666)</f>
        <v>44676.666666666599</v>
      </c>
      <c r="B584" s="1">
        <f ca="1">IFERROR(__xludf.DUMMYFUNCTION("""COMPUTED_VALUE"""),162.88)</f>
        <v>162.88</v>
      </c>
      <c r="C584" s="1">
        <f ca="1">IFERROR(__xludf.DUMMYFUNCTION("""COMPUTED_VALUE"""),280.72)</f>
        <v>280.72000000000003</v>
      </c>
      <c r="D584" s="1">
        <f ca="1">IFERROR(__xludf.DUMMYFUNCTION("""COMPUTED_VALUE"""),146.07)</f>
        <v>146.07</v>
      </c>
      <c r="E584" s="1">
        <f ca="1">IFERROR(__xludf.DUMMYFUNCTION("""COMPUTED_VALUE"""),19.9)</f>
        <v>19.899999999999999</v>
      </c>
      <c r="F584" s="1">
        <f ca="1">IFERROR(__xludf.DUMMYFUNCTION("""COMPUTED_VALUE"""),186.99)</f>
        <v>186.99</v>
      </c>
      <c r="G584" s="1">
        <f ca="1">IFERROR(__xludf.DUMMYFUNCTION("""COMPUTED_VALUE"""),123.25)</f>
        <v>123.25</v>
      </c>
      <c r="H584" s="1">
        <f ca="1">IFERROR(__xludf.DUMMYFUNCTION("""COMPUTED_VALUE"""),332.67)</f>
        <v>332.67</v>
      </c>
      <c r="I584" s="1">
        <f ca="1">IFERROR(__xludf.DUMMYFUNCTION("""COMPUTED_VALUE"""),173.74)</f>
        <v>173.74</v>
      </c>
      <c r="J584" s="1">
        <f ca="1">IFERROR(__xludf.DUMMYFUNCTION("""COMPUTED_VALUE"""),568.21)</f>
        <v>568.21</v>
      </c>
      <c r="K584" s="1">
        <f ca="1">IFERROR(__xludf.DUMMYFUNCTION("""COMPUTED_VALUE"""),58.79)</f>
        <v>58.79</v>
      </c>
      <c r="L584" s="1">
        <f ca="1">IFERROR(__xludf.DUMMYFUNCTION("""COMPUTED_VALUE"""),413.95)</f>
        <v>413.95</v>
      </c>
      <c r="M584" s="1">
        <f ca="1">IFERROR(__xludf.DUMMYFUNCTION("""COMPUTED_VALUE"""),209.91)</f>
        <v>209.91</v>
      </c>
      <c r="N584" s="1">
        <f ca="1">IFERROR(__xludf.DUMMYFUNCTION("""COMPUTED_VALUE"""),126.77)</f>
        <v>126.77</v>
      </c>
      <c r="O584" s="1">
        <f ca="1">IFERROR(__xludf.DUMMYFUNCTION("""COMPUTED_VALUE"""),209.95)</f>
        <v>209.95</v>
      </c>
      <c r="P584" s="1">
        <f ca="1">IFERROR(__xludf.DUMMYFUNCTION("""COMPUTED_VALUE"""),186.01)</f>
        <v>186.01</v>
      </c>
      <c r="Q584" s="1">
        <f ca="1">IFERROR(__xludf.DUMMYFUNCTION("""COMPUTED_VALUE"""),524.27)</f>
        <v>524.27</v>
      </c>
      <c r="R584" s="1">
        <f ca="1">IFERROR(__xludf.DUMMYFUNCTION("""COMPUTED_VALUE"""),82.26)</f>
        <v>82.26</v>
      </c>
      <c r="S584" s="1">
        <f ca="1">IFERROR(__xludf.DUMMYFUNCTION("""COMPUTED_VALUE"""),74.04)</f>
        <v>74.040000000000006</v>
      </c>
      <c r="T584" s="1">
        <f ca="1">IFERROR(__xludf.DUMMYFUNCTION("""COMPUTED_VALUE"""),52.31)</f>
        <v>52.31</v>
      </c>
      <c r="U584" s="1">
        <f ca="1">IFERROR(__xludf.DUMMYFUNCTION("""COMPUTED_VALUE"""),127.94)</f>
        <v>127.94</v>
      </c>
      <c r="V584" s="1">
        <f ca="1">IFERROR(__xludf.DUMMYFUNCTION("""COMPUTED_VALUE"""),216.7)</f>
        <v>216.7</v>
      </c>
      <c r="W584" s="1">
        <f ca="1">IFERROR(__xludf.DUMMYFUNCTION("""COMPUTED_VALUE"""),442.89)</f>
        <v>442.89</v>
      </c>
      <c r="X584" s="1">
        <f ca="1">IFERROR(__xludf.DUMMYFUNCTION("""COMPUTED_VALUE"""),599.82)</f>
        <v>599.82000000000005</v>
      </c>
      <c r="Y584" s="1">
        <f ca="1">IFERROR(__xludf.DUMMYFUNCTION("""COMPUTED_VALUE"""),96.24)</f>
        <v>96.24</v>
      </c>
      <c r="Z584" s="1">
        <f ca="1">IFERROR(__xludf.DUMMYFUNCTION("""COMPUTED_VALUE"""),321.42)</f>
        <v>321.42</v>
      </c>
      <c r="AA584" s="1">
        <f ca="1">IFERROR(__xludf.DUMMYFUNCTION("""COMPUTED_VALUE"""),48.95)</f>
        <v>48.95</v>
      </c>
      <c r="AB584" s="1">
        <f ca="1">IFERROR(__xludf.DUMMYFUNCTION("""COMPUTED_VALUE"""),77.98)</f>
        <v>77.98</v>
      </c>
      <c r="AC584" s="1">
        <f ca="1">IFERROR(__xludf.DUMMYFUNCTION("""COMPUTED_VALUE"""),90.69)</f>
        <v>90.69</v>
      </c>
    </row>
    <row r="585" spans="1:29" x14ac:dyDescent="0.25">
      <c r="A585" s="2">
        <f ca="1">IFERROR(__xludf.DUMMYFUNCTION("""COMPUTED_VALUE"""),44677.6666666666)</f>
        <v>44677.666666666599</v>
      </c>
      <c r="B585" s="1">
        <f ca="1">IFERROR(__xludf.DUMMYFUNCTION("""COMPUTED_VALUE"""),156.8)</f>
        <v>156.80000000000001</v>
      </c>
      <c r="C585" s="1">
        <f ca="1">IFERROR(__xludf.DUMMYFUNCTION("""COMPUTED_VALUE"""),270.22)</f>
        <v>270.22000000000003</v>
      </c>
      <c r="D585" s="1">
        <f ca="1">IFERROR(__xludf.DUMMYFUNCTION("""COMPUTED_VALUE"""),139.39)</f>
        <v>139.38999999999999</v>
      </c>
      <c r="E585" s="1">
        <f ca="1">IFERROR(__xludf.DUMMYFUNCTION("""COMPUTED_VALUE"""),18.79)</f>
        <v>18.79</v>
      </c>
      <c r="F585" s="1">
        <f ca="1">IFERROR(__xludf.DUMMYFUNCTION("""COMPUTED_VALUE"""),180.95)</f>
        <v>180.95</v>
      </c>
      <c r="G585" s="1">
        <f ca="1">IFERROR(__xludf.DUMMYFUNCTION("""COMPUTED_VALUE"""),119.51)</f>
        <v>119.51</v>
      </c>
      <c r="H585" s="1">
        <f ca="1">IFERROR(__xludf.DUMMYFUNCTION("""COMPUTED_VALUE"""),292.14)</f>
        <v>292.14</v>
      </c>
      <c r="I585" s="1">
        <f ca="1">IFERROR(__xludf.DUMMYFUNCTION("""COMPUTED_VALUE"""),173.3)</f>
        <v>173.3</v>
      </c>
      <c r="J585" s="1">
        <f ca="1">IFERROR(__xludf.DUMMYFUNCTION("""COMPUTED_VALUE"""),553.76)</f>
        <v>553.76</v>
      </c>
      <c r="K585" s="1">
        <f ca="1">IFERROR(__xludf.DUMMYFUNCTION("""COMPUTED_VALUE"""),56.01)</f>
        <v>56.01</v>
      </c>
      <c r="L585" s="1">
        <f ca="1">IFERROR(__xludf.DUMMYFUNCTION("""COMPUTED_VALUE"""),399.12)</f>
        <v>399.12</v>
      </c>
      <c r="M585" s="1">
        <f ca="1">IFERROR(__xludf.DUMMYFUNCTION("""COMPUTED_VALUE"""),198.4)</f>
        <v>198.4</v>
      </c>
      <c r="N585" s="1">
        <f ca="1">IFERROR(__xludf.DUMMYFUNCTION("""COMPUTED_VALUE"""),123.02)</f>
        <v>123.02</v>
      </c>
      <c r="O585" s="1">
        <f ca="1">IFERROR(__xludf.DUMMYFUNCTION("""COMPUTED_VALUE"""),201.1)</f>
        <v>201.1</v>
      </c>
      <c r="P585" s="1">
        <f ca="1">IFERROR(__xludf.DUMMYFUNCTION("""COMPUTED_VALUE"""),184.68)</f>
        <v>184.68</v>
      </c>
      <c r="Q585" s="1">
        <f ca="1">IFERROR(__xludf.DUMMYFUNCTION("""COMPUTED_VALUE"""),513.78)</f>
        <v>513.78</v>
      </c>
      <c r="R585" s="1">
        <f ca="1">IFERROR(__xludf.DUMMYFUNCTION("""COMPUTED_VALUE"""),82.29)</f>
        <v>82.29</v>
      </c>
      <c r="S585" s="1">
        <f ca="1">IFERROR(__xludf.DUMMYFUNCTION("""COMPUTED_VALUE"""),73.57)</f>
        <v>73.569999999999993</v>
      </c>
      <c r="T585" s="1">
        <f ca="1">IFERROR(__xludf.DUMMYFUNCTION("""COMPUTED_VALUE"""),51.77)</f>
        <v>51.77</v>
      </c>
      <c r="U585" s="1">
        <f ca="1">IFERROR(__xludf.DUMMYFUNCTION("""COMPUTED_VALUE"""),120.52)</f>
        <v>120.52</v>
      </c>
      <c r="V585" s="1">
        <f ca="1">IFERROR(__xludf.DUMMYFUNCTION("""COMPUTED_VALUE"""),210.3)</f>
        <v>210.3</v>
      </c>
      <c r="W585" s="1">
        <f ca="1">IFERROR(__xludf.DUMMYFUNCTION("""COMPUTED_VALUE"""),446.09)</f>
        <v>446.09</v>
      </c>
      <c r="X585" s="1">
        <f ca="1">IFERROR(__xludf.DUMMYFUNCTION("""COMPUTED_VALUE"""),560.43)</f>
        <v>560.42999999999995</v>
      </c>
      <c r="Y585" s="1">
        <f ca="1">IFERROR(__xludf.DUMMYFUNCTION("""COMPUTED_VALUE"""),92.77)</f>
        <v>92.77</v>
      </c>
      <c r="Z585" s="1">
        <f ca="1">IFERROR(__xludf.DUMMYFUNCTION("""COMPUTED_VALUE"""),313.12)</f>
        <v>313.12</v>
      </c>
      <c r="AA585" s="1">
        <f ca="1">IFERROR(__xludf.DUMMYFUNCTION("""COMPUTED_VALUE"""),49.03)</f>
        <v>49.03</v>
      </c>
      <c r="AB585" s="1">
        <f ca="1">IFERROR(__xludf.DUMMYFUNCTION("""COMPUTED_VALUE"""),75.63)</f>
        <v>75.63</v>
      </c>
      <c r="AC585" s="1">
        <f ca="1">IFERROR(__xludf.DUMMYFUNCTION("""COMPUTED_VALUE"""),85.16)</f>
        <v>85.16</v>
      </c>
    </row>
    <row r="586" spans="1:29" x14ac:dyDescent="0.25">
      <c r="A586" s="2">
        <f ca="1">IFERROR(__xludf.DUMMYFUNCTION("""COMPUTED_VALUE"""),44678.6666666666)</f>
        <v>44678.666666666599</v>
      </c>
      <c r="B586" s="1">
        <f ca="1">IFERROR(__xludf.DUMMYFUNCTION("""COMPUTED_VALUE"""),156.57)</f>
        <v>156.57</v>
      </c>
      <c r="C586" s="1">
        <f ca="1">IFERROR(__xludf.DUMMYFUNCTION("""COMPUTED_VALUE"""),283.22)</f>
        <v>283.22000000000003</v>
      </c>
      <c r="D586" s="1">
        <f ca="1">IFERROR(__xludf.DUMMYFUNCTION("""COMPUTED_VALUE"""),138.17)</f>
        <v>138.16999999999999</v>
      </c>
      <c r="E586" s="1">
        <f ca="1">IFERROR(__xludf.DUMMYFUNCTION("""COMPUTED_VALUE"""),18.42)</f>
        <v>18.420000000000002</v>
      </c>
      <c r="F586" s="1">
        <f ca="1">IFERROR(__xludf.DUMMYFUNCTION("""COMPUTED_VALUE"""),174.95)</f>
        <v>174.95</v>
      </c>
      <c r="G586" s="1">
        <f ca="1">IFERROR(__xludf.DUMMYFUNCTION("""COMPUTED_VALUE"""),115.02)</f>
        <v>115.02</v>
      </c>
      <c r="H586" s="1">
        <f ca="1">IFERROR(__xludf.DUMMYFUNCTION("""COMPUTED_VALUE"""),293.84)</f>
        <v>293.83999999999997</v>
      </c>
      <c r="I586" s="1">
        <f ca="1">IFERROR(__xludf.DUMMYFUNCTION("""COMPUTED_VALUE"""),174.85)</f>
        <v>174.85</v>
      </c>
      <c r="J586" s="1">
        <f ca="1">IFERROR(__xludf.DUMMYFUNCTION("""COMPUTED_VALUE"""),554.08)</f>
        <v>554.08000000000004</v>
      </c>
      <c r="K586" s="1">
        <f ca="1">IFERROR(__xludf.DUMMYFUNCTION("""COMPUTED_VALUE"""),55.95)</f>
        <v>55.95</v>
      </c>
      <c r="L586" s="1">
        <f ca="1">IFERROR(__xludf.DUMMYFUNCTION("""COMPUTED_VALUE"""),397.9)</f>
        <v>397.9</v>
      </c>
      <c r="M586" s="1">
        <f ca="1">IFERROR(__xludf.DUMMYFUNCTION("""COMPUTED_VALUE"""),188.54)</f>
        <v>188.54</v>
      </c>
      <c r="N586" s="1">
        <f ca="1">IFERROR(__xludf.DUMMYFUNCTION("""COMPUTED_VALUE"""),121.42)</f>
        <v>121.42</v>
      </c>
      <c r="O586" s="1">
        <f ca="1">IFERROR(__xludf.DUMMYFUNCTION("""COMPUTED_VALUE"""),214.11)</f>
        <v>214.11</v>
      </c>
      <c r="P586" s="1">
        <f ca="1">IFERROR(__xludf.DUMMYFUNCTION("""COMPUTED_VALUE"""),182.1)</f>
        <v>182.1</v>
      </c>
      <c r="Q586" s="1">
        <f ca="1">IFERROR(__xludf.DUMMYFUNCTION("""COMPUTED_VALUE"""),513.81)</f>
        <v>513.80999999999995</v>
      </c>
      <c r="R586" s="1">
        <f ca="1">IFERROR(__xludf.DUMMYFUNCTION("""COMPUTED_VALUE"""),84.64)</f>
        <v>84.64</v>
      </c>
      <c r="S586" s="1">
        <f ca="1">IFERROR(__xludf.DUMMYFUNCTION("""COMPUTED_VALUE"""),73.27)</f>
        <v>73.27</v>
      </c>
      <c r="T586" s="1">
        <f ca="1">IFERROR(__xludf.DUMMYFUNCTION("""COMPUTED_VALUE"""),51.41)</f>
        <v>51.41</v>
      </c>
      <c r="U586" s="1">
        <f ca="1">IFERROR(__xludf.DUMMYFUNCTION("""COMPUTED_VALUE"""),121.24)</f>
        <v>121.24</v>
      </c>
      <c r="V586" s="1">
        <f ca="1">IFERROR(__xludf.DUMMYFUNCTION("""COMPUTED_VALUE"""),213.96)</f>
        <v>213.96</v>
      </c>
      <c r="W586" s="1">
        <f ca="1">IFERROR(__xludf.DUMMYFUNCTION("""COMPUTED_VALUE"""),444.98)</f>
        <v>444.98</v>
      </c>
      <c r="X586" s="1">
        <f ca="1">IFERROR(__xludf.DUMMYFUNCTION("""COMPUTED_VALUE"""),556.88)</f>
        <v>556.88</v>
      </c>
      <c r="Y586" s="1">
        <f ca="1">IFERROR(__xludf.DUMMYFUNCTION("""COMPUTED_VALUE"""),90.26)</f>
        <v>90.26</v>
      </c>
      <c r="Z586" s="1">
        <f ca="1">IFERROR(__xludf.DUMMYFUNCTION("""COMPUTED_VALUE"""),313.23)</f>
        <v>313.23</v>
      </c>
      <c r="AA586" s="1">
        <f ca="1">IFERROR(__xludf.DUMMYFUNCTION("""COMPUTED_VALUE"""),49.74)</f>
        <v>49.74</v>
      </c>
      <c r="AB586" s="1">
        <f ca="1">IFERROR(__xludf.DUMMYFUNCTION("""COMPUTED_VALUE"""),74.74)</f>
        <v>74.739999999999995</v>
      </c>
      <c r="AC586" s="1">
        <f ca="1">IFERROR(__xludf.DUMMYFUNCTION("""COMPUTED_VALUE"""),84.91)</f>
        <v>84.91</v>
      </c>
    </row>
    <row r="587" spans="1:29" x14ac:dyDescent="0.25">
      <c r="A587" s="2">
        <f ca="1">IFERROR(__xludf.DUMMYFUNCTION("""COMPUTED_VALUE"""),44679.6666666666)</f>
        <v>44679.666666666599</v>
      </c>
      <c r="B587" s="1">
        <f ca="1">IFERROR(__xludf.DUMMYFUNCTION("""COMPUTED_VALUE"""),163.64)</f>
        <v>163.63999999999999</v>
      </c>
      <c r="C587" s="1">
        <f ca="1">IFERROR(__xludf.DUMMYFUNCTION("""COMPUTED_VALUE"""),289.63)</f>
        <v>289.63</v>
      </c>
      <c r="D587" s="1">
        <f ca="1">IFERROR(__xludf.DUMMYFUNCTION("""COMPUTED_VALUE"""),144.6)</f>
        <v>144.6</v>
      </c>
      <c r="E587" s="1">
        <f ca="1">IFERROR(__xludf.DUMMYFUNCTION("""COMPUTED_VALUE"""),19.78)</f>
        <v>19.78</v>
      </c>
      <c r="F587" s="1">
        <f ca="1">IFERROR(__xludf.DUMMYFUNCTION("""COMPUTED_VALUE"""),205.73)</f>
        <v>205.73</v>
      </c>
      <c r="G587" s="1">
        <f ca="1">IFERROR(__xludf.DUMMYFUNCTION("""COMPUTED_VALUE"""),119.41)</f>
        <v>119.41</v>
      </c>
      <c r="H587" s="1">
        <f ca="1">IFERROR(__xludf.DUMMYFUNCTION("""COMPUTED_VALUE"""),292.5)</f>
        <v>292.5</v>
      </c>
      <c r="I587" s="1">
        <f ca="1">IFERROR(__xludf.DUMMYFUNCTION("""COMPUTED_VALUE"""),177.5)</f>
        <v>177.5</v>
      </c>
      <c r="J587" s="1">
        <f ca="1">IFERROR(__xludf.DUMMYFUNCTION("""COMPUTED_VALUE"""),562)</f>
        <v>562</v>
      </c>
      <c r="K587" s="1">
        <f ca="1">IFERROR(__xludf.DUMMYFUNCTION("""COMPUTED_VALUE"""),57.89)</f>
        <v>57.89</v>
      </c>
      <c r="L587" s="1">
        <f ca="1">IFERROR(__xludf.DUMMYFUNCTION("""COMPUTED_VALUE"""),410.53)</f>
        <v>410.53</v>
      </c>
      <c r="M587" s="1">
        <f ca="1">IFERROR(__xludf.DUMMYFUNCTION("""COMPUTED_VALUE"""),199.52)</f>
        <v>199.52</v>
      </c>
      <c r="N587" s="1">
        <f ca="1">IFERROR(__xludf.DUMMYFUNCTION("""COMPUTED_VALUE"""),123.34)</f>
        <v>123.34</v>
      </c>
      <c r="O587" s="1">
        <f ca="1">IFERROR(__xludf.DUMMYFUNCTION("""COMPUTED_VALUE"""),220.66)</f>
        <v>220.66</v>
      </c>
      <c r="P587" s="1">
        <f ca="1">IFERROR(__xludf.DUMMYFUNCTION("""COMPUTED_VALUE"""),183.46)</f>
        <v>183.46</v>
      </c>
      <c r="Q587" s="1">
        <f ca="1">IFERROR(__xludf.DUMMYFUNCTION("""COMPUTED_VALUE"""),524.42)</f>
        <v>524.41999999999996</v>
      </c>
      <c r="R587" s="1">
        <f ca="1">IFERROR(__xludf.DUMMYFUNCTION("""COMPUTED_VALUE"""),87.2)</f>
        <v>87.2</v>
      </c>
      <c r="S587" s="1">
        <f ca="1">IFERROR(__xludf.DUMMYFUNCTION("""COMPUTED_VALUE"""),73.49)</f>
        <v>73.489999999999995</v>
      </c>
      <c r="T587" s="1">
        <f ca="1">IFERROR(__xludf.DUMMYFUNCTION("""COMPUTED_VALUE"""),52.07)</f>
        <v>52.07</v>
      </c>
      <c r="U587" s="1">
        <f ca="1">IFERROR(__xludf.DUMMYFUNCTION("""COMPUTED_VALUE"""),127.05)</f>
        <v>127.05</v>
      </c>
      <c r="V587" s="1">
        <f ca="1">IFERROR(__xludf.DUMMYFUNCTION("""COMPUTED_VALUE"""),212.44)</f>
        <v>212.44</v>
      </c>
      <c r="W587" s="1">
        <f ca="1">IFERROR(__xludf.DUMMYFUNCTION("""COMPUTED_VALUE"""),441.71)</f>
        <v>441.71</v>
      </c>
      <c r="X587" s="1">
        <f ca="1">IFERROR(__xludf.DUMMYFUNCTION("""COMPUTED_VALUE"""),590.54)</f>
        <v>590.54</v>
      </c>
      <c r="Y587" s="1">
        <f ca="1">IFERROR(__xludf.DUMMYFUNCTION("""COMPUTED_VALUE"""),95.22)</f>
        <v>95.22</v>
      </c>
      <c r="Z587" s="1">
        <f ca="1">IFERROR(__xludf.DUMMYFUNCTION("""COMPUTED_VALUE"""),318.41)</f>
        <v>318.41000000000003</v>
      </c>
      <c r="AA587" s="1">
        <f ca="1">IFERROR(__xludf.DUMMYFUNCTION("""COMPUTED_VALUE"""),50.51)</f>
        <v>50.51</v>
      </c>
      <c r="AB587" s="1">
        <f ca="1">IFERROR(__xludf.DUMMYFUNCTION("""COMPUTED_VALUE"""),76.58)</f>
        <v>76.58</v>
      </c>
      <c r="AC587" s="1">
        <f ca="1">IFERROR(__xludf.DUMMYFUNCTION("""COMPUTED_VALUE"""),89.64)</f>
        <v>89.64</v>
      </c>
    </row>
    <row r="588" spans="1:29" x14ac:dyDescent="0.25">
      <c r="A588" s="2">
        <f ca="1">IFERROR(__xludf.DUMMYFUNCTION("""COMPUTED_VALUE"""),44680.6666666666)</f>
        <v>44680.666666666599</v>
      </c>
      <c r="B588" s="1">
        <f ca="1">IFERROR(__xludf.DUMMYFUNCTION("""COMPUTED_VALUE"""),157.65)</f>
        <v>157.65</v>
      </c>
      <c r="C588" s="1">
        <f ca="1">IFERROR(__xludf.DUMMYFUNCTION("""COMPUTED_VALUE"""),277.52)</f>
        <v>277.52</v>
      </c>
      <c r="D588" s="1">
        <f ca="1">IFERROR(__xludf.DUMMYFUNCTION("""COMPUTED_VALUE"""),124.28)</f>
        <v>124.28</v>
      </c>
      <c r="E588" s="1">
        <f ca="1">IFERROR(__xludf.DUMMYFUNCTION("""COMPUTED_VALUE"""),18.55)</f>
        <v>18.55</v>
      </c>
      <c r="F588" s="1">
        <f ca="1">IFERROR(__xludf.DUMMYFUNCTION("""COMPUTED_VALUE"""),200.47)</f>
        <v>200.47</v>
      </c>
      <c r="G588" s="1">
        <f ca="1">IFERROR(__xludf.DUMMYFUNCTION("""COMPUTED_VALUE"""),114.97)</f>
        <v>114.97</v>
      </c>
      <c r="H588" s="1">
        <f ca="1">IFERROR(__xludf.DUMMYFUNCTION("""COMPUTED_VALUE"""),290.25)</f>
        <v>290.25</v>
      </c>
      <c r="I588" s="1">
        <f ca="1">IFERROR(__xludf.DUMMYFUNCTION("""COMPUTED_VALUE"""),171.71)</f>
        <v>171.71</v>
      </c>
      <c r="J588" s="1">
        <f ca="1">IFERROR(__xludf.DUMMYFUNCTION("""COMPUTED_VALUE"""),531.72)</f>
        <v>531.72</v>
      </c>
      <c r="K588" s="1">
        <f ca="1">IFERROR(__xludf.DUMMYFUNCTION("""COMPUTED_VALUE"""),55.44)</f>
        <v>55.44</v>
      </c>
      <c r="L588" s="1">
        <f ca="1">IFERROR(__xludf.DUMMYFUNCTION("""COMPUTED_VALUE"""),395.95)</f>
        <v>395.95</v>
      </c>
      <c r="M588" s="1">
        <f ca="1">IFERROR(__xludf.DUMMYFUNCTION("""COMPUTED_VALUE"""),190.36)</f>
        <v>190.36</v>
      </c>
      <c r="N588" s="1">
        <f ca="1">IFERROR(__xludf.DUMMYFUNCTION("""COMPUTED_VALUE"""),119.36)</f>
        <v>119.36</v>
      </c>
      <c r="O588" s="1">
        <f ca="1">IFERROR(__xludf.DUMMYFUNCTION("""COMPUTED_VALUE"""),213.13)</f>
        <v>213.13</v>
      </c>
      <c r="P588" s="1">
        <f ca="1">IFERROR(__xludf.DUMMYFUNCTION("""COMPUTED_VALUE"""),180.46)</f>
        <v>180.46</v>
      </c>
      <c r="Q588" s="1">
        <f ca="1">IFERROR(__xludf.DUMMYFUNCTION("""COMPUTED_VALUE"""),508.55)</f>
        <v>508.55</v>
      </c>
      <c r="R588" s="1">
        <f ca="1">IFERROR(__xludf.DUMMYFUNCTION("""COMPUTED_VALUE"""),85.25)</f>
        <v>85.25</v>
      </c>
      <c r="S588" s="1">
        <f ca="1">IFERROR(__xludf.DUMMYFUNCTION("""COMPUTED_VALUE"""),71.02)</f>
        <v>71.02</v>
      </c>
      <c r="T588" s="1">
        <f ca="1">IFERROR(__xludf.DUMMYFUNCTION("""COMPUTED_VALUE"""),51)</f>
        <v>51</v>
      </c>
      <c r="U588" s="1">
        <f ca="1">IFERROR(__xludf.DUMMYFUNCTION("""COMPUTED_VALUE"""),124.7)</f>
        <v>124.7</v>
      </c>
      <c r="V588" s="1">
        <f ca="1">IFERROR(__xludf.DUMMYFUNCTION("""COMPUTED_VALUE"""),210.54)</f>
        <v>210.54</v>
      </c>
      <c r="W588" s="1">
        <f ca="1">IFERROR(__xludf.DUMMYFUNCTION("""COMPUTED_VALUE"""),432.12)</f>
        <v>432.12</v>
      </c>
      <c r="X588" s="1">
        <f ca="1">IFERROR(__xludf.DUMMYFUNCTION("""COMPUTED_VALUE"""),563.77)</f>
        <v>563.77</v>
      </c>
      <c r="Y588" s="1">
        <f ca="1">IFERROR(__xludf.DUMMYFUNCTION("""COMPUTED_VALUE"""),92.93)</f>
        <v>92.93</v>
      </c>
      <c r="Z588" s="1">
        <f ca="1">IFERROR(__xludf.DUMMYFUNCTION("""COMPUTED_VALUE"""),305.49)</f>
        <v>305.49</v>
      </c>
      <c r="AA588" s="1">
        <f ca="1">IFERROR(__xludf.DUMMYFUNCTION("""COMPUTED_VALUE"""),49.07)</f>
        <v>49.07</v>
      </c>
      <c r="AB588" s="1">
        <f ca="1">IFERROR(__xludf.DUMMYFUNCTION("""COMPUTED_VALUE"""),74.64)</f>
        <v>74.64</v>
      </c>
      <c r="AC588" s="1">
        <f ca="1">IFERROR(__xludf.DUMMYFUNCTION("""COMPUTED_VALUE"""),85.52)</f>
        <v>85.52</v>
      </c>
    </row>
    <row r="589" spans="1:29" x14ac:dyDescent="0.25">
      <c r="A589" s="2">
        <f ca="1">IFERROR(__xludf.DUMMYFUNCTION("""COMPUTED_VALUE"""),44683.6666666666)</f>
        <v>44683.666666666599</v>
      </c>
      <c r="B589" s="1">
        <f ca="1">IFERROR(__xludf.DUMMYFUNCTION("""COMPUTED_VALUE"""),157.96)</f>
        <v>157.96</v>
      </c>
      <c r="C589" s="1">
        <f ca="1">IFERROR(__xludf.DUMMYFUNCTION("""COMPUTED_VALUE"""),284.47)</f>
        <v>284.47000000000003</v>
      </c>
      <c r="D589" s="1">
        <f ca="1">IFERROR(__xludf.DUMMYFUNCTION("""COMPUTED_VALUE"""),124.5)</f>
        <v>124.5</v>
      </c>
      <c r="E589" s="1">
        <f ca="1">IFERROR(__xludf.DUMMYFUNCTION("""COMPUTED_VALUE"""),19.53)</f>
        <v>19.53</v>
      </c>
      <c r="F589" s="1">
        <f ca="1">IFERROR(__xludf.DUMMYFUNCTION("""COMPUTED_VALUE"""),211.13)</f>
        <v>211.13</v>
      </c>
      <c r="G589" s="1">
        <f ca="1">IFERROR(__xludf.DUMMYFUNCTION("""COMPUTED_VALUE"""),117.16)</f>
        <v>117.16</v>
      </c>
      <c r="H589" s="1">
        <f ca="1">IFERROR(__xludf.DUMMYFUNCTION("""COMPUTED_VALUE"""),300.98)</f>
        <v>300.98</v>
      </c>
      <c r="I589" s="1">
        <f ca="1">IFERROR(__xludf.DUMMYFUNCTION("""COMPUTED_VALUE"""),167.76)</f>
        <v>167.76</v>
      </c>
      <c r="J589" s="1">
        <f ca="1">IFERROR(__xludf.DUMMYFUNCTION("""COMPUTED_VALUE"""),528.95)</f>
        <v>528.95000000000005</v>
      </c>
      <c r="K589" s="1">
        <f ca="1">IFERROR(__xludf.DUMMYFUNCTION("""COMPUTED_VALUE"""),57.64)</f>
        <v>57.64</v>
      </c>
      <c r="L589" s="1">
        <f ca="1">IFERROR(__xludf.DUMMYFUNCTION("""COMPUTED_VALUE"""),407.29)</f>
        <v>407.29</v>
      </c>
      <c r="M589" s="1">
        <f ca="1">IFERROR(__xludf.DUMMYFUNCTION("""COMPUTED_VALUE"""),199.46)</f>
        <v>199.46</v>
      </c>
      <c r="N589" s="1">
        <f ca="1">IFERROR(__xludf.DUMMYFUNCTION("""COMPUTED_VALUE"""),120.45)</f>
        <v>120.45</v>
      </c>
      <c r="O589" s="1">
        <f ca="1">IFERROR(__xludf.DUMMYFUNCTION("""COMPUTED_VALUE"""),211.53)</f>
        <v>211.53</v>
      </c>
      <c r="P589" s="1">
        <f ca="1">IFERROR(__xludf.DUMMYFUNCTION("""COMPUTED_VALUE"""),178.64)</f>
        <v>178.64</v>
      </c>
      <c r="Q589" s="1">
        <f ca="1">IFERROR(__xludf.DUMMYFUNCTION("""COMPUTED_VALUE"""),501.15)</f>
        <v>501.15</v>
      </c>
      <c r="R589" s="1">
        <f ca="1">IFERROR(__xludf.DUMMYFUNCTION("""COMPUTED_VALUE"""),86.41)</f>
        <v>86.41</v>
      </c>
      <c r="S589" s="1">
        <f ca="1">IFERROR(__xludf.DUMMYFUNCTION("""COMPUTED_VALUE"""),69.87)</f>
        <v>69.87</v>
      </c>
      <c r="T589" s="1">
        <f ca="1">IFERROR(__xludf.DUMMYFUNCTION("""COMPUTED_VALUE"""),50.66)</f>
        <v>50.66</v>
      </c>
      <c r="U589" s="1">
        <f ca="1">IFERROR(__xludf.DUMMYFUNCTION("""COMPUTED_VALUE"""),126.08)</f>
        <v>126.08</v>
      </c>
      <c r="V589" s="1">
        <f ca="1">IFERROR(__xludf.DUMMYFUNCTION("""COMPUTED_VALUE"""),212.07)</f>
        <v>212.07</v>
      </c>
      <c r="W589" s="1">
        <f ca="1">IFERROR(__xludf.DUMMYFUNCTION("""COMPUTED_VALUE"""),430.81)</f>
        <v>430.81</v>
      </c>
      <c r="X589" s="1">
        <f ca="1">IFERROR(__xludf.DUMMYFUNCTION("""COMPUTED_VALUE"""),571.09)</f>
        <v>571.09</v>
      </c>
      <c r="Y589" s="1">
        <f ca="1">IFERROR(__xludf.DUMMYFUNCTION("""COMPUTED_VALUE"""),93.76)</f>
        <v>93.76</v>
      </c>
      <c r="Z589" s="1">
        <f ca="1">IFERROR(__xludf.DUMMYFUNCTION("""COMPUTED_VALUE"""),310.42)</f>
        <v>310.42</v>
      </c>
      <c r="AA589" s="1">
        <f ca="1">IFERROR(__xludf.DUMMYFUNCTION("""COMPUTED_VALUE"""),48.34)</f>
        <v>48.34</v>
      </c>
      <c r="AB589" s="1">
        <f ca="1">IFERROR(__xludf.DUMMYFUNCTION("""COMPUTED_VALUE"""),75.37)</f>
        <v>75.37</v>
      </c>
      <c r="AC589" s="1">
        <f ca="1">IFERROR(__xludf.DUMMYFUNCTION("""COMPUTED_VALUE"""),89.84)</f>
        <v>89.84</v>
      </c>
    </row>
    <row r="590" spans="1:29" x14ac:dyDescent="0.25">
      <c r="A590" s="2">
        <f ca="1">IFERROR(__xludf.DUMMYFUNCTION("""COMPUTED_VALUE"""),44684.6666666666)</f>
        <v>44684.666666666599</v>
      </c>
      <c r="B590" s="1">
        <f ca="1">IFERROR(__xludf.DUMMYFUNCTION("""COMPUTED_VALUE"""),159.48)</f>
        <v>159.47999999999999</v>
      </c>
      <c r="C590" s="1">
        <f ca="1">IFERROR(__xludf.DUMMYFUNCTION("""COMPUTED_VALUE"""),281.78)</f>
        <v>281.77999999999997</v>
      </c>
      <c r="D590" s="1">
        <f ca="1">IFERROR(__xludf.DUMMYFUNCTION("""COMPUTED_VALUE"""),124.25)</f>
        <v>124.25</v>
      </c>
      <c r="E590" s="1">
        <f ca="1">IFERROR(__xludf.DUMMYFUNCTION("""COMPUTED_VALUE"""),19.6)</f>
        <v>19.600000000000001</v>
      </c>
      <c r="F590" s="1">
        <f ca="1">IFERROR(__xludf.DUMMYFUNCTION("""COMPUTED_VALUE"""),212.03)</f>
        <v>212.03</v>
      </c>
      <c r="G590" s="1">
        <f ca="1">IFERROR(__xludf.DUMMYFUNCTION("""COMPUTED_VALUE"""),118.13)</f>
        <v>118.13</v>
      </c>
      <c r="H590" s="1">
        <f ca="1">IFERROR(__xludf.DUMMYFUNCTION("""COMPUTED_VALUE"""),303.08)</f>
        <v>303.08</v>
      </c>
      <c r="I590" s="1">
        <f ca="1">IFERROR(__xludf.DUMMYFUNCTION("""COMPUTED_VALUE"""),167.99)</f>
        <v>167.99</v>
      </c>
      <c r="J590" s="1">
        <f ca="1">IFERROR(__xludf.DUMMYFUNCTION("""COMPUTED_VALUE"""),528.08)</f>
        <v>528.08000000000004</v>
      </c>
      <c r="K590" s="1">
        <f ca="1">IFERROR(__xludf.DUMMYFUNCTION("""COMPUTED_VALUE"""),58.12)</f>
        <v>58.12</v>
      </c>
      <c r="L590" s="1">
        <f ca="1">IFERROR(__xludf.DUMMYFUNCTION("""COMPUTED_VALUE"""),407.58)</f>
        <v>407.58</v>
      </c>
      <c r="M590" s="1">
        <f ca="1">IFERROR(__xludf.DUMMYFUNCTION("""COMPUTED_VALUE"""),199.87)</f>
        <v>199.87</v>
      </c>
      <c r="N590" s="1">
        <f ca="1">IFERROR(__xludf.DUMMYFUNCTION("""COMPUTED_VALUE"""),123.03)</f>
        <v>123.03</v>
      </c>
      <c r="O590" s="1">
        <f ca="1">IFERROR(__xludf.DUMMYFUNCTION("""COMPUTED_VALUE"""),208.56)</f>
        <v>208.56</v>
      </c>
      <c r="P590" s="1">
        <f ca="1">IFERROR(__xludf.DUMMYFUNCTION("""COMPUTED_VALUE"""),178.29)</f>
        <v>178.29</v>
      </c>
      <c r="Q590" s="1">
        <f ca="1">IFERROR(__xludf.DUMMYFUNCTION("""COMPUTED_VALUE"""),499.62)</f>
        <v>499.62</v>
      </c>
      <c r="R590" s="1">
        <f ca="1">IFERROR(__xludf.DUMMYFUNCTION("""COMPUTED_VALUE"""),88.19)</f>
        <v>88.19</v>
      </c>
      <c r="S590" s="1">
        <f ca="1">IFERROR(__xludf.DUMMYFUNCTION("""COMPUTED_VALUE"""),70.76)</f>
        <v>70.760000000000005</v>
      </c>
      <c r="T590" s="1">
        <f ca="1">IFERROR(__xludf.DUMMYFUNCTION("""COMPUTED_VALUE"""),50.84)</f>
        <v>50.84</v>
      </c>
      <c r="U590" s="1">
        <f ca="1">IFERROR(__xludf.DUMMYFUNCTION("""COMPUTED_VALUE"""),122.86)</f>
        <v>122.86</v>
      </c>
      <c r="V590" s="1">
        <f ca="1">IFERROR(__xludf.DUMMYFUNCTION("""COMPUTED_VALUE"""),213.62)</f>
        <v>213.62</v>
      </c>
      <c r="W590" s="1">
        <f ca="1">IFERROR(__xludf.DUMMYFUNCTION("""COMPUTED_VALUE"""),434.77)</f>
        <v>434.77</v>
      </c>
      <c r="X590" s="1">
        <f ca="1">IFERROR(__xludf.DUMMYFUNCTION("""COMPUTED_VALUE"""),570.68)</f>
        <v>570.67999999999995</v>
      </c>
      <c r="Y590" s="1">
        <f ca="1">IFERROR(__xludf.DUMMYFUNCTION("""COMPUTED_VALUE"""),93.63)</f>
        <v>93.63</v>
      </c>
      <c r="Z590" s="1">
        <f ca="1">IFERROR(__xludf.DUMMYFUNCTION("""COMPUTED_VALUE"""),314.66)</f>
        <v>314.66000000000003</v>
      </c>
      <c r="AA590" s="1">
        <f ca="1">IFERROR(__xludf.DUMMYFUNCTION("""COMPUTED_VALUE"""),49.29)</f>
        <v>49.29</v>
      </c>
      <c r="AB590" s="1">
        <f ca="1">IFERROR(__xludf.DUMMYFUNCTION("""COMPUTED_VALUE"""),74.33)</f>
        <v>74.33</v>
      </c>
      <c r="AC590" s="1">
        <f ca="1">IFERROR(__xludf.DUMMYFUNCTION("""COMPUTED_VALUE"""),91.13)</f>
        <v>91.13</v>
      </c>
    </row>
    <row r="591" spans="1:29" x14ac:dyDescent="0.25">
      <c r="A591" s="2">
        <f ca="1">IFERROR(__xludf.DUMMYFUNCTION("""COMPUTED_VALUE"""),44685.6666666666)</f>
        <v>44685.666666666599</v>
      </c>
      <c r="B591" s="1">
        <f ca="1">IFERROR(__xludf.DUMMYFUNCTION("""COMPUTED_VALUE"""),166.02)</f>
        <v>166.02</v>
      </c>
      <c r="C591" s="1">
        <f ca="1">IFERROR(__xludf.DUMMYFUNCTION("""COMPUTED_VALUE"""),289.98)</f>
        <v>289.98</v>
      </c>
      <c r="D591" s="1">
        <f ca="1">IFERROR(__xludf.DUMMYFUNCTION("""COMPUTED_VALUE"""),125.93)</f>
        <v>125.93</v>
      </c>
      <c r="E591" s="1">
        <f ca="1">IFERROR(__xludf.DUMMYFUNCTION("""COMPUTED_VALUE"""),20.33)</f>
        <v>20.329999999999998</v>
      </c>
      <c r="F591" s="1">
        <f ca="1">IFERROR(__xludf.DUMMYFUNCTION("""COMPUTED_VALUE"""),223.41)</f>
        <v>223.41</v>
      </c>
      <c r="G591" s="1">
        <f ca="1">IFERROR(__xludf.DUMMYFUNCTION("""COMPUTED_VALUE"""),122.58)</f>
        <v>122.58</v>
      </c>
      <c r="H591" s="1">
        <f ca="1">IFERROR(__xludf.DUMMYFUNCTION("""COMPUTED_VALUE"""),317.54)</f>
        <v>317.54000000000002</v>
      </c>
      <c r="I591" s="1">
        <f ca="1">IFERROR(__xludf.DUMMYFUNCTION("""COMPUTED_VALUE"""),173.86)</f>
        <v>173.86</v>
      </c>
      <c r="J591" s="1">
        <f ca="1">IFERROR(__xludf.DUMMYFUNCTION("""COMPUTED_VALUE"""),544.43)</f>
        <v>544.42999999999995</v>
      </c>
      <c r="K591" s="1">
        <f ca="1">IFERROR(__xludf.DUMMYFUNCTION("""COMPUTED_VALUE"""),60.37)</f>
        <v>60.37</v>
      </c>
      <c r="L591" s="1">
        <f ca="1">IFERROR(__xludf.DUMMYFUNCTION("""COMPUTED_VALUE"""),423.35)</f>
        <v>423.35</v>
      </c>
      <c r="M591" s="1">
        <f ca="1">IFERROR(__xludf.DUMMYFUNCTION("""COMPUTED_VALUE"""),204.01)</f>
        <v>204.01</v>
      </c>
      <c r="N591" s="1">
        <f ca="1">IFERROR(__xludf.DUMMYFUNCTION("""COMPUTED_VALUE"""),127.1)</f>
        <v>127.1</v>
      </c>
      <c r="O591" s="1">
        <f ca="1">IFERROR(__xludf.DUMMYFUNCTION("""COMPUTED_VALUE"""),214.52)</f>
        <v>214.52</v>
      </c>
      <c r="P591" s="1">
        <f ca="1">IFERROR(__xludf.DUMMYFUNCTION("""COMPUTED_VALUE"""),180.2)</f>
        <v>180.2</v>
      </c>
      <c r="Q591" s="1">
        <f ca="1">IFERROR(__xludf.DUMMYFUNCTION("""COMPUTED_VALUE"""),507.62)</f>
        <v>507.62</v>
      </c>
      <c r="R591" s="1">
        <f ca="1">IFERROR(__xludf.DUMMYFUNCTION("""COMPUTED_VALUE"""),91.7)</f>
        <v>91.7</v>
      </c>
      <c r="S591" s="1">
        <f ca="1">IFERROR(__xludf.DUMMYFUNCTION("""COMPUTED_VALUE"""),73.06)</f>
        <v>73.06</v>
      </c>
      <c r="T591" s="1">
        <f ca="1">IFERROR(__xludf.DUMMYFUNCTION("""COMPUTED_VALUE"""),51.54)</f>
        <v>51.54</v>
      </c>
      <c r="U591" s="1">
        <f ca="1">IFERROR(__xludf.DUMMYFUNCTION("""COMPUTED_VALUE"""),126.06)</f>
        <v>126.06</v>
      </c>
      <c r="V591" s="1">
        <f ca="1">IFERROR(__xludf.DUMMYFUNCTION("""COMPUTED_VALUE"""),222.59)</f>
        <v>222.59</v>
      </c>
      <c r="W591" s="1">
        <f ca="1">IFERROR(__xludf.DUMMYFUNCTION("""COMPUTED_VALUE"""),445.74)</f>
        <v>445.74</v>
      </c>
      <c r="X591" s="1">
        <f ca="1">IFERROR(__xludf.DUMMYFUNCTION("""COMPUTED_VALUE"""),592.64)</f>
        <v>592.64</v>
      </c>
      <c r="Y591" s="1">
        <f ca="1">IFERROR(__xludf.DUMMYFUNCTION("""COMPUTED_VALUE"""),95.99)</f>
        <v>95.99</v>
      </c>
      <c r="Z591" s="1">
        <f ca="1">IFERROR(__xludf.DUMMYFUNCTION("""COMPUTED_VALUE"""),324.11)</f>
        <v>324.11</v>
      </c>
      <c r="AA591" s="1">
        <f ca="1">IFERROR(__xludf.DUMMYFUNCTION("""COMPUTED_VALUE"""),49.66)</f>
        <v>49.66</v>
      </c>
      <c r="AB591" s="1">
        <f ca="1">IFERROR(__xludf.DUMMYFUNCTION("""COMPUTED_VALUE"""),81.64)</f>
        <v>81.64</v>
      </c>
      <c r="AC591" s="1">
        <f ca="1">IFERROR(__xludf.DUMMYFUNCTION("""COMPUTED_VALUE"""),99.42)</f>
        <v>99.42</v>
      </c>
    </row>
    <row r="592" spans="1:29" x14ac:dyDescent="0.25">
      <c r="A592" s="2">
        <f ca="1">IFERROR(__xludf.DUMMYFUNCTION("""COMPUTED_VALUE"""),44686.6666666666)</f>
        <v>44686.666666666599</v>
      </c>
      <c r="B592" s="1">
        <f ca="1">IFERROR(__xludf.DUMMYFUNCTION("""COMPUTED_VALUE"""),156.77)</f>
        <v>156.77000000000001</v>
      </c>
      <c r="C592" s="1">
        <f ca="1">IFERROR(__xludf.DUMMYFUNCTION("""COMPUTED_VALUE"""),277.35)</f>
        <v>277.35000000000002</v>
      </c>
      <c r="D592" s="1">
        <f ca="1">IFERROR(__xludf.DUMMYFUNCTION("""COMPUTED_VALUE"""),116.41)</f>
        <v>116.41</v>
      </c>
      <c r="E592" s="1">
        <f ca="1">IFERROR(__xludf.DUMMYFUNCTION("""COMPUTED_VALUE"""),18.84)</f>
        <v>18.84</v>
      </c>
      <c r="F592" s="1">
        <f ca="1">IFERROR(__xludf.DUMMYFUNCTION("""COMPUTED_VALUE"""),208.28)</f>
        <v>208.28</v>
      </c>
      <c r="G592" s="1">
        <f ca="1">IFERROR(__xludf.DUMMYFUNCTION("""COMPUTED_VALUE"""),116.75)</f>
        <v>116.75</v>
      </c>
      <c r="H592" s="1">
        <f ca="1">IFERROR(__xludf.DUMMYFUNCTION("""COMPUTED_VALUE"""),291.09)</f>
        <v>291.08999999999997</v>
      </c>
      <c r="I592" s="1">
        <f ca="1">IFERROR(__xludf.DUMMYFUNCTION("""COMPUTED_VALUE"""),170.39)</f>
        <v>170.39</v>
      </c>
      <c r="J592" s="1">
        <f ca="1">IFERROR(__xludf.DUMMYFUNCTION("""COMPUTED_VALUE"""),517.32)</f>
        <v>517.32000000000005</v>
      </c>
      <c r="K592" s="1">
        <f ca="1">IFERROR(__xludf.DUMMYFUNCTION("""COMPUTED_VALUE"""),58)</f>
        <v>58</v>
      </c>
      <c r="L592" s="1">
        <f ca="1">IFERROR(__xludf.DUMMYFUNCTION("""COMPUTED_VALUE"""),400.51)</f>
        <v>400.51</v>
      </c>
      <c r="M592" s="1">
        <f ca="1">IFERROR(__xludf.DUMMYFUNCTION("""COMPUTED_VALUE"""),188.32)</f>
        <v>188.32</v>
      </c>
      <c r="N592" s="1">
        <f ca="1">IFERROR(__xludf.DUMMYFUNCTION("""COMPUTED_VALUE"""),123.92)</f>
        <v>123.92</v>
      </c>
      <c r="O592" s="1">
        <f ca="1">IFERROR(__xludf.DUMMYFUNCTION("""COMPUTED_VALUE"""),205.24)</f>
        <v>205.24</v>
      </c>
      <c r="P592" s="1">
        <f ca="1">IFERROR(__xludf.DUMMYFUNCTION("""COMPUTED_VALUE"""),176.76)</f>
        <v>176.76</v>
      </c>
      <c r="Q592" s="1">
        <f ca="1">IFERROR(__xludf.DUMMYFUNCTION("""COMPUTED_VALUE"""),494.72)</f>
        <v>494.72</v>
      </c>
      <c r="R592" s="1">
        <f ca="1">IFERROR(__xludf.DUMMYFUNCTION("""COMPUTED_VALUE"""),90.31)</f>
        <v>90.31</v>
      </c>
      <c r="S592" s="1">
        <f ca="1">IFERROR(__xludf.DUMMYFUNCTION("""COMPUTED_VALUE"""),71.84)</f>
        <v>71.84</v>
      </c>
      <c r="T592" s="1">
        <f ca="1">IFERROR(__xludf.DUMMYFUNCTION("""COMPUTED_VALUE"""),50.91)</f>
        <v>50.91</v>
      </c>
      <c r="U592" s="1">
        <f ca="1">IFERROR(__xludf.DUMMYFUNCTION("""COMPUTED_VALUE"""),118.63)</f>
        <v>118.63</v>
      </c>
      <c r="V592" s="1">
        <f ca="1">IFERROR(__xludf.DUMMYFUNCTION("""COMPUTED_VALUE"""),215.93)</f>
        <v>215.93</v>
      </c>
      <c r="W592" s="1">
        <f ca="1">IFERROR(__xludf.DUMMYFUNCTION("""COMPUTED_VALUE"""),443.15)</f>
        <v>443.15</v>
      </c>
      <c r="X592" s="1">
        <f ca="1">IFERROR(__xludf.DUMMYFUNCTION("""COMPUTED_VALUE"""),564.17)</f>
        <v>564.16999999999996</v>
      </c>
      <c r="Y592" s="1">
        <f ca="1">IFERROR(__xludf.DUMMYFUNCTION("""COMPUTED_VALUE"""),92.15)</f>
        <v>92.15</v>
      </c>
      <c r="Z592" s="1">
        <f ca="1">IFERROR(__xludf.DUMMYFUNCTION("""COMPUTED_VALUE"""),313.07)</f>
        <v>313.07</v>
      </c>
      <c r="AA592" s="1">
        <f ca="1">IFERROR(__xludf.DUMMYFUNCTION("""COMPUTED_VALUE"""),48.45)</f>
        <v>48.45</v>
      </c>
      <c r="AB592" s="1">
        <f ca="1">IFERROR(__xludf.DUMMYFUNCTION("""COMPUTED_VALUE"""),77.48)</f>
        <v>77.48</v>
      </c>
      <c r="AC592" s="1">
        <f ca="1">IFERROR(__xludf.DUMMYFUNCTION("""COMPUTED_VALUE"""),93.87)</f>
        <v>93.87</v>
      </c>
    </row>
    <row r="593" spans="1:29" x14ac:dyDescent="0.25">
      <c r="A593" s="2">
        <f ca="1">IFERROR(__xludf.DUMMYFUNCTION("""COMPUTED_VALUE"""),44687.6666666666)</f>
        <v>44687.666666666599</v>
      </c>
      <c r="B593" s="1">
        <f ca="1">IFERROR(__xludf.DUMMYFUNCTION("""COMPUTED_VALUE"""),157.28)</f>
        <v>157.28</v>
      </c>
      <c r="C593" s="1">
        <f ca="1">IFERROR(__xludf.DUMMYFUNCTION("""COMPUTED_VALUE"""),274.73)</f>
        <v>274.73</v>
      </c>
      <c r="D593" s="1">
        <f ca="1">IFERROR(__xludf.DUMMYFUNCTION("""COMPUTED_VALUE"""),114.77)</f>
        <v>114.77</v>
      </c>
      <c r="E593" s="1">
        <f ca="1">IFERROR(__xludf.DUMMYFUNCTION("""COMPUTED_VALUE"""),18.68)</f>
        <v>18.68</v>
      </c>
      <c r="F593" s="1">
        <f ca="1">IFERROR(__xludf.DUMMYFUNCTION("""COMPUTED_VALUE"""),203.77)</f>
        <v>203.77</v>
      </c>
      <c r="G593" s="1">
        <f ca="1">IFERROR(__xludf.DUMMYFUNCTION("""COMPUTED_VALUE"""),115.66)</f>
        <v>115.66</v>
      </c>
      <c r="H593" s="1">
        <f ca="1">IFERROR(__xludf.DUMMYFUNCTION("""COMPUTED_VALUE"""),288.55)</f>
        <v>288.55</v>
      </c>
      <c r="I593" s="1">
        <f ca="1">IFERROR(__xludf.DUMMYFUNCTION("""COMPUTED_VALUE"""),170.41)</f>
        <v>170.41</v>
      </c>
      <c r="J593" s="1">
        <f ca="1">IFERROR(__xludf.DUMMYFUNCTION("""COMPUTED_VALUE"""),503.36)</f>
        <v>503.36</v>
      </c>
      <c r="K593" s="1">
        <f ca="1">IFERROR(__xludf.DUMMYFUNCTION("""COMPUTED_VALUE"""),58.01)</f>
        <v>58.01</v>
      </c>
      <c r="L593" s="1">
        <f ca="1">IFERROR(__xludf.DUMMYFUNCTION("""COMPUTED_VALUE"""),391.01)</f>
        <v>391.01</v>
      </c>
      <c r="M593" s="1">
        <f ca="1">IFERROR(__xludf.DUMMYFUNCTION("""COMPUTED_VALUE"""),180.97)</f>
        <v>180.97</v>
      </c>
      <c r="N593" s="1">
        <f ca="1">IFERROR(__xludf.DUMMYFUNCTION("""COMPUTED_VALUE"""),123.72)</f>
        <v>123.72</v>
      </c>
      <c r="O593" s="1">
        <f ca="1">IFERROR(__xludf.DUMMYFUNCTION("""COMPUTED_VALUE"""),202.82)</f>
        <v>202.82</v>
      </c>
      <c r="P593" s="1">
        <f ca="1">IFERROR(__xludf.DUMMYFUNCTION("""COMPUTED_VALUE"""),176.37)</f>
        <v>176.37</v>
      </c>
      <c r="Q593" s="1">
        <f ca="1">IFERROR(__xludf.DUMMYFUNCTION("""COMPUTED_VALUE"""),499.62)</f>
        <v>499.62</v>
      </c>
      <c r="R593" s="1">
        <f ca="1">IFERROR(__xludf.DUMMYFUNCTION("""COMPUTED_VALUE"""),91.69)</f>
        <v>91.69</v>
      </c>
      <c r="S593" s="1">
        <f ca="1">IFERROR(__xludf.DUMMYFUNCTION("""COMPUTED_VALUE"""),72.47)</f>
        <v>72.47</v>
      </c>
      <c r="T593" s="1">
        <f ca="1">IFERROR(__xludf.DUMMYFUNCTION("""COMPUTED_VALUE"""),49.85)</f>
        <v>49.85</v>
      </c>
      <c r="U593" s="1">
        <f ca="1">IFERROR(__xludf.DUMMYFUNCTION("""COMPUTED_VALUE"""),114.49)</f>
        <v>114.49</v>
      </c>
      <c r="V593" s="1">
        <f ca="1">IFERROR(__xludf.DUMMYFUNCTION("""COMPUTED_VALUE"""),214.65)</f>
        <v>214.65</v>
      </c>
      <c r="W593" s="1">
        <f ca="1">IFERROR(__xludf.DUMMYFUNCTION("""COMPUTED_VALUE"""),449.43)</f>
        <v>449.43</v>
      </c>
      <c r="X593" s="1">
        <f ca="1">IFERROR(__xludf.DUMMYFUNCTION("""COMPUTED_VALUE"""),551)</f>
        <v>551</v>
      </c>
      <c r="Y593" s="1">
        <f ca="1">IFERROR(__xludf.DUMMYFUNCTION("""COMPUTED_VALUE"""),91.63)</f>
        <v>91.63</v>
      </c>
      <c r="Z593" s="1">
        <f ca="1">IFERROR(__xludf.DUMMYFUNCTION("""COMPUTED_VALUE"""),312.96)</f>
        <v>312.95999999999998</v>
      </c>
      <c r="AA593" s="1">
        <f ca="1">IFERROR(__xludf.DUMMYFUNCTION("""COMPUTED_VALUE"""),49.04)</f>
        <v>49.04</v>
      </c>
      <c r="AB593" s="1">
        <f ca="1">IFERROR(__xludf.DUMMYFUNCTION("""COMPUTED_VALUE"""),76.52)</f>
        <v>76.52</v>
      </c>
      <c r="AC593" s="1">
        <f ca="1">IFERROR(__xludf.DUMMYFUNCTION("""COMPUTED_VALUE"""),95.34)</f>
        <v>95.34</v>
      </c>
    </row>
    <row r="594" spans="1:29" x14ac:dyDescent="0.25">
      <c r="A594" s="2">
        <f ca="1">IFERROR(__xludf.DUMMYFUNCTION("""COMPUTED_VALUE"""),44690.6666666666)</f>
        <v>44690.666666666599</v>
      </c>
      <c r="B594" s="1">
        <f ca="1">IFERROR(__xludf.DUMMYFUNCTION("""COMPUTED_VALUE"""),152.06)</f>
        <v>152.06</v>
      </c>
      <c r="C594" s="1">
        <f ca="1">IFERROR(__xludf.DUMMYFUNCTION("""COMPUTED_VALUE"""),264.58)</f>
        <v>264.58</v>
      </c>
      <c r="D594" s="1">
        <f ca="1">IFERROR(__xludf.DUMMYFUNCTION("""COMPUTED_VALUE"""),108.79)</f>
        <v>108.79</v>
      </c>
      <c r="E594" s="1">
        <f ca="1">IFERROR(__xludf.DUMMYFUNCTION("""COMPUTED_VALUE"""),16.95)</f>
        <v>16.95</v>
      </c>
      <c r="F594" s="1">
        <f ca="1">IFERROR(__xludf.DUMMYFUNCTION("""COMPUTED_VALUE"""),196.21)</f>
        <v>196.21</v>
      </c>
      <c r="G594" s="1">
        <f ca="1">IFERROR(__xludf.DUMMYFUNCTION("""COMPUTED_VALUE"""),113.08)</f>
        <v>113.08</v>
      </c>
      <c r="H594" s="1">
        <f ca="1">IFERROR(__xludf.DUMMYFUNCTION("""COMPUTED_VALUE"""),262.37)</f>
        <v>262.37</v>
      </c>
      <c r="I594" s="1">
        <f ca="1">IFERROR(__xludf.DUMMYFUNCTION("""COMPUTED_VALUE"""),171.7)</f>
        <v>171.7</v>
      </c>
      <c r="J594" s="1">
        <f ca="1">IFERROR(__xludf.DUMMYFUNCTION("""COMPUTED_VALUE"""),498.83)</f>
        <v>498.83</v>
      </c>
      <c r="K594" s="1">
        <f ca="1">IFERROR(__xludf.DUMMYFUNCTION("""COMPUTED_VALUE"""),56.29)</f>
        <v>56.29</v>
      </c>
      <c r="L594" s="1">
        <f ca="1">IFERROR(__xludf.DUMMYFUNCTION("""COMPUTED_VALUE"""),376.91)</f>
        <v>376.91</v>
      </c>
      <c r="M594" s="1">
        <f ca="1">IFERROR(__xludf.DUMMYFUNCTION("""COMPUTED_VALUE"""),173.1)</f>
        <v>173.1</v>
      </c>
      <c r="N594" s="1">
        <f ca="1">IFERROR(__xludf.DUMMYFUNCTION("""COMPUTED_VALUE"""),121.86)</f>
        <v>121.86</v>
      </c>
      <c r="O594" s="1">
        <f ca="1">IFERROR(__xludf.DUMMYFUNCTION("""COMPUTED_VALUE"""),193)</f>
        <v>193</v>
      </c>
      <c r="P594" s="1">
        <f ca="1">IFERROR(__xludf.DUMMYFUNCTION("""COMPUTED_VALUE"""),177.33)</f>
        <v>177.33</v>
      </c>
      <c r="Q594" s="1">
        <f ca="1">IFERROR(__xludf.DUMMYFUNCTION("""COMPUTED_VALUE"""),486.42)</f>
        <v>486.42</v>
      </c>
      <c r="R594" s="1">
        <f ca="1">IFERROR(__xludf.DUMMYFUNCTION("""COMPUTED_VALUE"""),84.46)</f>
        <v>84.46</v>
      </c>
      <c r="S594" s="1">
        <f ca="1">IFERROR(__xludf.DUMMYFUNCTION("""COMPUTED_VALUE"""),70.71)</f>
        <v>70.709999999999994</v>
      </c>
      <c r="T594" s="1">
        <f ca="1">IFERROR(__xludf.DUMMYFUNCTION("""COMPUTED_VALUE"""),50.44)</f>
        <v>50.44</v>
      </c>
      <c r="U594" s="1">
        <f ca="1">IFERROR(__xludf.DUMMYFUNCTION("""COMPUTED_VALUE"""),111.21)</f>
        <v>111.21</v>
      </c>
      <c r="V594" s="1">
        <f ca="1">IFERROR(__xludf.DUMMYFUNCTION("""COMPUTED_VALUE"""),206.29)</f>
        <v>206.29</v>
      </c>
      <c r="W594" s="1">
        <f ca="1">IFERROR(__xludf.DUMMYFUNCTION("""COMPUTED_VALUE"""),438.84)</f>
        <v>438.84</v>
      </c>
      <c r="X594" s="1">
        <f ca="1">IFERROR(__xludf.DUMMYFUNCTION("""COMPUTED_VALUE"""),512.66)</f>
        <v>512.66</v>
      </c>
      <c r="Y594" s="1">
        <f ca="1">IFERROR(__xludf.DUMMYFUNCTION("""COMPUTED_VALUE"""),87.3)</f>
        <v>87.3</v>
      </c>
      <c r="Z594" s="1">
        <f ca="1">IFERROR(__xludf.DUMMYFUNCTION("""COMPUTED_VALUE"""),308.89)</f>
        <v>308.89</v>
      </c>
      <c r="AA594" s="1">
        <f ca="1">IFERROR(__xludf.DUMMYFUNCTION("""COMPUTED_VALUE"""),48.64)</f>
        <v>48.64</v>
      </c>
      <c r="AB594" s="1">
        <f ca="1">IFERROR(__xludf.DUMMYFUNCTION("""COMPUTED_VALUE"""),73.49)</f>
        <v>73.489999999999995</v>
      </c>
      <c r="AC594" s="1">
        <f ca="1">IFERROR(__xludf.DUMMYFUNCTION("""COMPUTED_VALUE"""),86.36)</f>
        <v>86.36</v>
      </c>
    </row>
    <row r="595" spans="1:29" x14ac:dyDescent="0.25">
      <c r="A595" s="2">
        <f ca="1">IFERROR(__xludf.DUMMYFUNCTION("""COMPUTED_VALUE"""),44691.6666666666)</f>
        <v>44691.666666666599</v>
      </c>
      <c r="B595" s="1">
        <f ca="1">IFERROR(__xludf.DUMMYFUNCTION("""COMPUTED_VALUE"""),154.51)</f>
        <v>154.51</v>
      </c>
      <c r="C595" s="1">
        <f ca="1">IFERROR(__xludf.DUMMYFUNCTION("""COMPUTED_VALUE"""),269.5)</f>
        <v>269.5</v>
      </c>
      <c r="D595" s="1">
        <f ca="1">IFERROR(__xludf.DUMMYFUNCTION("""COMPUTED_VALUE"""),108.86)</f>
        <v>108.86</v>
      </c>
      <c r="E595" s="1">
        <f ca="1">IFERROR(__xludf.DUMMYFUNCTION("""COMPUTED_VALUE"""),17.6)</f>
        <v>17.600000000000001</v>
      </c>
      <c r="F595" s="1">
        <f ca="1">IFERROR(__xludf.DUMMYFUNCTION("""COMPUTED_VALUE"""),197.65)</f>
        <v>197.65</v>
      </c>
      <c r="G595" s="1">
        <f ca="1">IFERROR(__xludf.DUMMYFUNCTION("""COMPUTED_VALUE"""),114.58)</f>
        <v>114.58</v>
      </c>
      <c r="H595" s="1">
        <f ca="1">IFERROR(__xludf.DUMMYFUNCTION("""COMPUTED_VALUE"""),266.68)</f>
        <v>266.68</v>
      </c>
      <c r="I595" s="1">
        <f ca="1">IFERROR(__xludf.DUMMYFUNCTION("""COMPUTED_VALUE"""),171.49)</f>
        <v>171.49</v>
      </c>
      <c r="J595" s="1">
        <f ca="1">IFERROR(__xludf.DUMMYFUNCTION("""COMPUTED_VALUE"""),501.46)</f>
        <v>501.46</v>
      </c>
      <c r="K595" s="1">
        <f ca="1">IFERROR(__xludf.DUMMYFUNCTION("""COMPUTED_VALUE"""),58.14)</f>
        <v>58.14</v>
      </c>
      <c r="L595" s="1">
        <f ca="1">IFERROR(__xludf.DUMMYFUNCTION("""COMPUTED_VALUE"""),393.03)</f>
        <v>393.03</v>
      </c>
      <c r="M595" s="1">
        <f ca="1">IFERROR(__xludf.DUMMYFUNCTION("""COMPUTED_VALUE"""),177.66)</f>
        <v>177.66</v>
      </c>
      <c r="N595" s="1">
        <f ca="1">IFERROR(__xludf.DUMMYFUNCTION("""COMPUTED_VALUE"""),118.89)</f>
        <v>118.89</v>
      </c>
      <c r="O595" s="1">
        <f ca="1">IFERROR(__xludf.DUMMYFUNCTION("""COMPUTED_VALUE"""),193.58)</f>
        <v>193.58</v>
      </c>
      <c r="P595" s="1">
        <f ca="1">IFERROR(__xludf.DUMMYFUNCTION("""COMPUTED_VALUE"""),177.09)</f>
        <v>177.09</v>
      </c>
      <c r="Q595" s="1">
        <f ca="1">IFERROR(__xludf.DUMMYFUNCTION("""COMPUTED_VALUE"""),488.01)</f>
        <v>488.01</v>
      </c>
      <c r="R595" s="1">
        <f ca="1">IFERROR(__xludf.DUMMYFUNCTION("""COMPUTED_VALUE"""),85.02)</f>
        <v>85.02</v>
      </c>
      <c r="S595" s="1">
        <f ca="1">IFERROR(__xludf.DUMMYFUNCTION("""COMPUTED_VALUE"""),69.99)</f>
        <v>69.989999999999995</v>
      </c>
      <c r="T595" s="1">
        <f ca="1">IFERROR(__xludf.DUMMYFUNCTION("""COMPUTED_VALUE"""),49.73)</f>
        <v>49.73</v>
      </c>
      <c r="U595" s="1">
        <f ca="1">IFERROR(__xludf.DUMMYFUNCTION("""COMPUTED_VALUE"""),109.49)</f>
        <v>109.49</v>
      </c>
      <c r="V595" s="1">
        <f ca="1">IFERROR(__xludf.DUMMYFUNCTION("""COMPUTED_VALUE"""),202.99)</f>
        <v>202.99</v>
      </c>
      <c r="W595" s="1">
        <f ca="1">IFERROR(__xludf.DUMMYFUNCTION("""COMPUTED_VALUE"""),439.13)</f>
        <v>439.13</v>
      </c>
      <c r="X595" s="1">
        <f ca="1">IFERROR(__xludf.DUMMYFUNCTION("""COMPUTED_VALUE"""),523.37)</f>
        <v>523.37</v>
      </c>
      <c r="Y595" s="1">
        <f ca="1">IFERROR(__xludf.DUMMYFUNCTION("""COMPUTED_VALUE"""),88.82)</f>
        <v>88.82</v>
      </c>
      <c r="Z595" s="1">
        <f ca="1">IFERROR(__xludf.DUMMYFUNCTION("""COMPUTED_VALUE"""),305.06)</f>
        <v>305.06</v>
      </c>
      <c r="AA595" s="1">
        <f ca="1">IFERROR(__xludf.DUMMYFUNCTION("""COMPUTED_VALUE"""),49.49)</f>
        <v>49.49</v>
      </c>
      <c r="AB595" s="1">
        <f ca="1">IFERROR(__xludf.DUMMYFUNCTION("""COMPUTED_VALUE"""),71.86)</f>
        <v>71.86</v>
      </c>
      <c r="AC595" s="1">
        <f ca="1">IFERROR(__xludf.DUMMYFUNCTION("""COMPUTED_VALUE"""),88.73)</f>
        <v>88.73</v>
      </c>
    </row>
    <row r="596" spans="1:29" x14ac:dyDescent="0.25">
      <c r="A596" s="2">
        <f ca="1">IFERROR(__xludf.DUMMYFUNCTION("""COMPUTED_VALUE"""),44692.6666666666)</f>
        <v>44692.666666666599</v>
      </c>
      <c r="B596" s="1">
        <f ca="1">IFERROR(__xludf.DUMMYFUNCTION("""COMPUTED_VALUE"""),146.5)</f>
        <v>146.5</v>
      </c>
      <c r="C596" s="1">
        <f ca="1">IFERROR(__xludf.DUMMYFUNCTION("""COMPUTED_VALUE"""),260.55)</f>
        <v>260.55</v>
      </c>
      <c r="D596" s="1">
        <f ca="1">IFERROR(__xludf.DUMMYFUNCTION("""COMPUTED_VALUE"""),105.37)</f>
        <v>105.37</v>
      </c>
      <c r="E596" s="1">
        <f ca="1">IFERROR(__xludf.DUMMYFUNCTION("""COMPUTED_VALUE"""),16.63)</f>
        <v>16.63</v>
      </c>
      <c r="F596" s="1">
        <f ca="1">IFERROR(__xludf.DUMMYFUNCTION("""COMPUTED_VALUE"""),188.74)</f>
        <v>188.74</v>
      </c>
      <c r="G596" s="1">
        <f ca="1">IFERROR(__xludf.DUMMYFUNCTION("""COMPUTED_VALUE"""),113.96)</f>
        <v>113.96</v>
      </c>
      <c r="H596" s="1">
        <f ca="1">IFERROR(__xludf.DUMMYFUNCTION("""COMPUTED_VALUE"""),244.67)</f>
        <v>244.67</v>
      </c>
      <c r="I596" s="1">
        <f ca="1">IFERROR(__xludf.DUMMYFUNCTION("""COMPUTED_VALUE"""),170.66)</f>
        <v>170.66</v>
      </c>
      <c r="J596" s="1">
        <f ca="1">IFERROR(__xludf.DUMMYFUNCTION("""COMPUTED_VALUE"""),489.08)</f>
        <v>489.08</v>
      </c>
      <c r="K596" s="1">
        <f ca="1">IFERROR(__xludf.DUMMYFUNCTION("""COMPUTED_VALUE"""),56.71)</f>
        <v>56.71</v>
      </c>
      <c r="L596" s="1">
        <f ca="1">IFERROR(__xludf.DUMMYFUNCTION("""COMPUTED_VALUE"""),379.33)</f>
        <v>379.33</v>
      </c>
      <c r="M596" s="1">
        <f ca="1">IFERROR(__xludf.DUMMYFUNCTION("""COMPUTED_VALUE"""),166.37)</f>
        <v>166.37</v>
      </c>
      <c r="N596" s="1">
        <f ca="1">IFERROR(__xludf.DUMMYFUNCTION("""COMPUTED_VALUE"""),118.14)</f>
        <v>118.14</v>
      </c>
      <c r="O596" s="1">
        <f ca="1">IFERROR(__xludf.DUMMYFUNCTION("""COMPUTED_VALUE"""),196.72)</f>
        <v>196.72</v>
      </c>
      <c r="P596" s="1">
        <f ca="1">IFERROR(__xludf.DUMMYFUNCTION("""COMPUTED_VALUE"""),176.13)</f>
        <v>176.13</v>
      </c>
      <c r="Q596" s="1">
        <f ca="1">IFERROR(__xludf.DUMMYFUNCTION("""COMPUTED_VALUE"""),486.15)</f>
        <v>486.15</v>
      </c>
      <c r="R596" s="1">
        <f ca="1">IFERROR(__xludf.DUMMYFUNCTION("""COMPUTED_VALUE"""),86.79)</f>
        <v>86.79</v>
      </c>
      <c r="S596" s="1">
        <f ca="1">IFERROR(__xludf.DUMMYFUNCTION("""COMPUTED_VALUE"""),70.2)</f>
        <v>70.2</v>
      </c>
      <c r="T596" s="1">
        <f ca="1">IFERROR(__xludf.DUMMYFUNCTION("""COMPUTED_VALUE"""),49.21)</f>
        <v>49.21</v>
      </c>
      <c r="U596" s="1">
        <f ca="1">IFERROR(__xludf.DUMMYFUNCTION("""COMPUTED_VALUE"""),107.92)</f>
        <v>107.92</v>
      </c>
      <c r="V596" s="1">
        <f ca="1">IFERROR(__xludf.DUMMYFUNCTION("""COMPUTED_VALUE"""),205.21)</f>
        <v>205.21</v>
      </c>
      <c r="W596" s="1">
        <f ca="1">IFERROR(__xludf.DUMMYFUNCTION("""COMPUTED_VALUE"""),440.41)</f>
        <v>440.41</v>
      </c>
      <c r="X596" s="1">
        <f ca="1">IFERROR(__xludf.DUMMYFUNCTION("""COMPUTED_VALUE"""),521.3)</f>
        <v>521.29999999999995</v>
      </c>
      <c r="Y596" s="1">
        <f ca="1">IFERROR(__xludf.DUMMYFUNCTION("""COMPUTED_VALUE"""),87.83)</f>
        <v>87.83</v>
      </c>
      <c r="Z596" s="1">
        <f ca="1">IFERROR(__xludf.DUMMYFUNCTION("""COMPUTED_VALUE"""),301.55)</f>
        <v>301.55</v>
      </c>
      <c r="AA596" s="1">
        <f ca="1">IFERROR(__xludf.DUMMYFUNCTION("""COMPUTED_VALUE"""),49.45)</f>
        <v>49.45</v>
      </c>
      <c r="AB596" s="1">
        <f ca="1">IFERROR(__xludf.DUMMYFUNCTION("""COMPUTED_VALUE"""),70.06)</f>
        <v>70.06</v>
      </c>
      <c r="AC596" s="1">
        <f ca="1">IFERROR(__xludf.DUMMYFUNCTION("""COMPUTED_VALUE"""),87.92)</f>
        <v>87.92</v>
      </c>
    </row>
    <row r="597" spans="1:29" x14ac:dyDescent="0.25">
      <c r="A597" s="2">
        <f ca="1">IFERROR(__xludf.DUMMYFUNCTION("""COMPUTED_VALUE"""),44693.6666666666)</f>
        <v>44693.666666666599</v>
      </c>
      <c r="B597" s="1">
        <f ca="1">IFERROR(__xludf.DUMMYFUNCTION("""COMPUTED_VALUE"""),142.56)</f>
        <v>142.56</v>
      </c>
      <c r="C597" s="1">
        <f ca="1">IFERROR(__xludf.DUMMYFUNCTION("""COMPUTED_VALUE"""),255.35)</f>
        <v>255.35</v>
      </c>
      <c r="D597" s="1">
        <f ca="1">IFERROR(__xludf.DUMMYFUNCTION("""COMPUTED_VALUE"""),106.93)</f>
        <v>106.93</v>
      </c>
      <c r="E597" s="1">
        <f ca="1">IFERROR(__xludf.DUMMYFUNCTION("""COMPUTED_VALUE"""),16.18)</f>
        <v>16.18</v>
      </c>
      <c r="F597" s="1">
        <f ca="1">IFERROR(__xludf.DUMMYFUNCTION("""COMPUTED_VALUE"""),191.24)</f>
        <v>191.24</v>
      </c>
      <c r="G597" s="1">
        <f ca="1">IFERROR(__xludf.DUMMYFUNCTION("""COMPUTED_VALUE"""),113.16)</f>
        <v>113.16</v>
      </c>
      <c r="H597" s="1">
        <f ca="1">IFERROR(__xludf.DUMMYFUNCTION("""COMPUTED_VALUE"""),242.67)</f>
        <v>242.67</v>
      </c>
      <c r="I597" s="1">
        <f ca="1">IFERROR(__xludf.DUMMYFUNCTION("""COMPUTED_VALUE"""),170.4)</f>
        <v>170.4</v>
      </c>
      <c r="J597" s="1">
        <f ca="1">IFERROR(__xludf.DUMMYFUNCTION("""COMPUTED_VALUE"""),486.18)</f>
        <v>486.18</v>
      </c>
      <c r="K597" s="1">
        <f ca="1">IFERROR(__xludf.DUMMYFUNCTION("""COMPUTED_VALUE"""),57.16)</f>
        <v>57.16</v>
      </c>
      <c r="L597" s="1">
        <f ca="1">IFERROR(__xludf.DUMMYFUNCTION("""COMPUTED_VALUE"""),388.49)</f>
        <v>388.49</v>
      </c>
      <c r="M597" s="1">
        <f ca="1">IFERROR(__xludf.DUMMYFUNCTION("""COMPUTED_VALUE"""),174.31)</f>
        <v>174.31</v>
      </c>
      <c r="N597" s="1">
        <f ca="1">IFERROR(__xludf.DUMMYFUNCTION("""COMPUTED_VALUE"""),118.04)</f>
        <v>118.04</v>
      </c>
      <c r="O597" s="1">
        <f ca="1">IFERROR(__xludf.DUMMYFUNCTION("""COMPUTED_VALUE"""),193.97)</f>
        <v>193.97</v>
      </c>
      <c r="P597" s="1">
        <f ca="1">IFERROR(__xludf.DUMMYFUNCTION("""COMPUTED_VALUE"""),177.87)</f>
        <v>177.87</v>
      </c>
      <c r="Q597" s="1">
        <f ca="1">IFERROR(__xludf.DUMMYFUNCTION("""COMPUTED_VALUE"""),478.8)</f>
        <v>478.8</v>
      </c>
      <c r="R597" s="1">
        <f ca="1">IFERROR(__xludf.DUMMYFUNCTION("""COMPUTED_VALUE"""),86.3)</f>
        <v>86.3</v>
      </c>
      <c r="S597" s="1">
        <f ca="1">IFERROR(__xludf.DUMMYFUNCTION("""COMPUTED_VALUE"""),68.51)</f>
        <v>68.510000000000005</v>
      </c>
      <c r="T597" s="1">
        <f ca="1">IFERROR(__xludf.DUMMYFUNCTION("""COMPUTED_VALUE"""),49.16)</f>
        <v>49.16</v>
      </c>
      <c r="U597" s="1">
        <f ca="1">IFERROR(__xludf.DUMMYFUNCTION("""COMPUTED_VALUE"""),107.9)</f>
        <v>107.9</v>
      </c>
      <c r="V597" s="1">
        <f ca="1">IFERROR(__xludf.DUMMYFUNCTION("""COMPUTED_VALUE"""),203.03)</f>
        <v>203.03</v>
      </c>
      <c r="W597" s="1">
        <f ca="1">IFERROR(__xludf.DUMMYFUNCTION("""COMPUTED_VALUE"""),434.59)</f>
        <v>434.59</v>
      </c>
      <c r="X597" s="1">
        <f ca="1">IFERROR(__xludf.DUMMYFUNCTION("""COMPUTED_VALUE"""),522.36)</f>
        <v>522.36</v>
      </c>
      <c r="Y597" s="1">
        <f ca="1">IFERROR(__xludf.DUMMYFUNCTION("""COMPUTED_VALUE"""),87.69)</f>
        <v>87.69</v>
      </c>
      <c r="Z597" s="1">
        <f ca="1">IFERROR(__xludf.DUMMYFUNCTION("""COMPUTED_VALUE"""),299.41)</f>
        <v>299.41000000000003</v>
      </c>
      <c r="AA597" s="1">
        <f ca="1">IFERROR(__xludf.DUMMYFUNCTION("""COMPUTED_VALUE"""),50.39)</f>
        <v>50.39</v>
      </c>
      <c r="AB597" s="1">
        <f ca="1">IFERROR(__xludf.DUMMYFUNCTION("""COMPUTED_VALUE"""),69.9)</f>
        <v>69.900000000000006</v>
      </c>
      <c r="AC597" s="1">
        <f ca="1">IFERROR(__xludf.DUMMYFUNCTION("""COMPUTED_VALUE"""),87.06)</f>
        <v>87.06</v>
      </c>
    </row>
    <row r="598" spans="1:29" x14ac:dyDescent="0.25">
      <c r="A598" s="2">
        <f ca="1">IFERROR(__xludf.DUMMYFUNCTION("""COMPUTED_VALUE"""),44694.6666666666)</f>
        <v>44694.666666666599</v>
      </c>
      <c r="B598" s="1">
        <f ca="1">IFERROR(__xludf.DUMMYFUNCTION("""COMPUTED_VALUE"""),147.11)</f>
        <v>147.11000000000001</v>
      </c>
      <c r="C598" s="1">
        <f ca="1">IFERROR(__xludf.DUMMYFUNCTION("""COMPUTED_VALUE"""),261.12)</f>
        <v>261.12</v>
      </c>
      <c r="D598" s="1">
        <f ca="1">IFERROR(__xludf.DUMMYFUNCTION("""COMPUTED_VALUE"""),113.06)</f>
        <v>113.06</v>
      </c>
      <c r="E598" s="1">
        <f ca="1">IFERROR(__xludf.DUMMYFUNCTION("""COMPUTED_VALUE"""),17.71)</f>
        <v>17.71</v>
      </c>
      <c r="F598" s="1">
        <f ca="1">IFERROR(__xludf.DUMMYFUNCTION("""COMPUTED_VALUE"""),198.62)</f>
        <v>198.62</v>
      </c>
      <c r="G598" s="1">
        <f ca="1">IFERROR(__xludf.DUMMYFUNCTION("""COMPUTED_VALUE"""),116.52)</f>
        <v>116.52</v>
      </c>
      <c r="H598" s="1">
        <f ca="1">IFERROR(__xludf.DUMMYFUNCTION("""COMPUTED_VALUE"""),256.53)</f>
        <v>256.52999999999997</v>
      </c>
      <c r="I598" s="1">
        <f ca="1">IFERROR(__xludf.DUMMYFUNCTION("""COMPUTED_VALUE"""),173.72)</f>
        <v>173.72</v>
      </c>
      <c r="J598" s="1">
        <f ca="1">IFERROR(__xludf.DUMMYFUNCTION("""COMPUTED_VALUE"""),497.27)</f>
        <v>497.27</v>
      </c>
      <c r="K598" s="1">
        <f ca="1">IFERROR(__xludf.DUMMYFUNCTION("""COMPUTED_VALUE"""),58.82)</f>
        <v>58.82</v>
      </c>
      <c r="L598" s="1">
        <f ca="1">IFERROR(__xludf.DUMMYFUNCTION("""COMPUTED_VALUE"""),405.45)</f>
        <v>405.45</v>
      </c>
      <c r="M598" s="1">
        <f ca="1">IFERROR(__xludf.DUMMYFUNCTION("""COMPUTED_VALUE"""),187.64)</f>
        <v>187.64</v>
      </c>
      <c r="N598" s="1">
        <f ca="1">IFERROR(__xludf.DUMMYFUNCTION("""COMPUTED_VALUE"""),119.09)</f>
        <v>119.09</v>
      </c>
      <c r="O598" s="1">
        <f ca="1">IFERROR(__xludf.DUMMYFUNCTION("""COMPUTED_VALUE"""),199.23)</f>
        <v>199.23</v>
      </c>
      <c r="P598" s="1">
        <f ca="1">IFERROR(__xludf.DUMMYFUNCTION("""COMPUTED_VALUE"""),176.85)</f>
        <v>176.85</v>
      </c>
      <c r="Q598" s="1">
        <f ca="1">IFERROR(__xludf.DUMMYFUNCTION("""COMPUTED_VALUE"""),485.4)</f>
        <v>485.4</v>
      </c>
      <c r="R598" s="1">
        <f ca="1">IFERROR(__xludf.DUMMYFUNCTION("""COMPUTED_VALUE"""),88.86)</f>
        <v>88.86</v>
      </c>
      <c r="S598" s="1">
        <f ca="1">IFERROR(__xludf.DUMMYFUNCTION("""COMPUTED_VALUE"""),69.8)</f>
        <v>69.8</v>
      </c>
      <c r="T598" s="1">
        <f ca="1">IFERROR(__xludf.DUMMYFUNCTION("""COMPUTED_VALUE"""),49.35)</f>
        <v>49.35</v>
      </c>
      <c r="U598" s="1">
        <f ca="1">IFERROR(__xludf.DUMMYFUNCTION("""COMPUTED_VALUE"""),113.01)</f>
        <v>113.01</v>
      </c>
      <c r="V598" s="1">
        <f ca="1">IFERROR(__xludf.DUMMYFUNCTION("""COMPUTED_VALUE"""),204.33)</f>
        <v>204.33</v>
      </c>
      <c r="W598" s="1">
        <f ca="1">IFERROR(__xludf.DUMMYFUNCTION("""COMPUTED_VALUE"""),435.17)</f>
        <v>435.17</v>
      </c>
      <c r="X598" s="1">
        <f ca="1">IFERROR(__xludf.DUMMYFUNCTION("""COMPUTED_VALUE"""),548.32)</f>
        <v>548.32000000000005</v>
      </c>
      <c r="Y598" s="1">
        <f ca="1">IFERROR(__xludf.DUMMYFUNCTION("""COMPUTED_VALUE"""),90.96)</f>
        <v>90.96</v>
      </c>
      <c r="Z598" s="1">
        <f ca="1">IFERROR(__xludf.DUMMYFUNCTION("""COMPUTED_VALUE"""),306.99)</f>
        <v>306.99</v>
      </c>
      <c r="AA598" s="1">
        <f ca="1">IFERROR(__xludf.DUMMYFUNCTION("""COMPUTED_VALUE"""),49.92)</f>
        <v>49.92</v>
      </c>
      <c r="AB598" s="1">
        <f ca="1">IFERROR(__xludf.DUMMYFUNCTION("""COMPUTED_VALUE"""),75.6)</f>
        <v>75.599999999999994</v>
      </c>
      <c r="AC598" s="1">
        <f ca="1">IFERROR(__xludf.DUMMYFUNCTION("""COMPUTED_VALUE"""),95.12)</f>
        <v>95.12</v>
      </c>
    </row>
    <row r="599" spans="1:29" x14ac:dyDescent="0.25">
      <c r="A599" s="2">
        <f ca="1">IFERROR(__xludf.DUMMYFUNCTION("""COMPUTED_VALUE"""),44697.6666666666)</f>
        <v>44697.666666666599</v>
      </c>
      <c r="B599" s="1">
        <f ca="1">IFERROR(__xludf.DUMMYFUNCTION("""COMPUTED_VALUE"""),145.54)</f>
        <v>145.54</v>
      </c>
      <c r="C599" s="1">
        <f ca="1">IFERROR(__xludf.DUMMYFUNCTION("""COMPUTED_VALUE"""),261.5)</f>
        <v>261.5</v>
      </c>
      <c r="D599" s="1">
        <f ca="1">IFERROR(__xludf.DUMMYFUNCTION("""COMPUTED_VALUE"""),110.81)</f>
        <v>110.81</v>
      </c>
      <c r="E599" s="1">
        <f ca="1">IFERROR(__xludf.DUMMYFUNCTION("""COMPUTED_VALUE"""),17.26)</f>
        <v>17.260000000000002</v>
      </c>
      <c r="F599" s="1">
        <f ca="1">IFERROR(__xludf.DUMMYFUNCTION("""COMPUTED_VALUE"""),200.04)</f>
        <v>200.04</v>
      </c>
      <c r="G599" s="1">
        <f ca="1">IFERROR(__xludf.DUMMYFUNCTION("""COMPUTED_VALUE"""),114.79)</f>
        <v>114.79</v>
      </c>
      <c r="H599" s="1">
        <f ca="1">IFERROR(__xludf.DUMMYFUNCTION("""COMPUTED_VALUE"""),241.46)</f>
        <v>241.46</v>
      </c>
      <c r="I599" s="1">
        <f ca="1">IFERROR(__xludf.DUMMYFUNCTION("""COMPUTED_VALUE"""),175.47)</f>
        <v>175.47</v>
      </c>
      <c r="J599" s="1">
        <f ca="1">IFERROR(__xludf.DUMMYFUNCTION("""COMPUTED_VALUE"""),494.53)</f>
        <v>494.53</v>
      </c>
      <c r="K599" s="1">
        <f ca="1">IFERROR(__xludf.DUMMYFUNCTION("""COMPUTED_VALUE"""),58.27)</f>
        <v>58.27</v>
      </c>
      <c r="L599" s="1">
        <f ca="1">IFERROR(__xludf.DUMMYFUNCTION("""COMPUTED_VALUE"""),402.86)</f>
        <v>402.86</v>
      </c>
      <c r="M599" s="1">
        <f ca="1">IFERROR(__xludf.DUMMYFUNCTION("""COMPUTED_VALUE"""),186.51)</f>
        <v>186.51</v>
      </c>
      <c r="N599" s="1">
        <f ca="1">IFERROR(__xludf.DUMMYFUNCTION("""COMPUTED_VALUE"""),118.26)</f>
        <v>118.26</v>
      </c>
      <c r="O599" s="1">
        <f ca="1">IFERROR(__xludf.DUMMYFUNCTION("""COMPUTED_VALUE"""),197.81)</f>
        <v>197.81</v>
      </c>
      <c r="P599" s="1">
        <f ca="1">IFERROR(__xludf.DUMMYFUNCTION("""COMPUTED_VALUE"""),178.08)</f>
        <v>178.08</v>
      </c>
      <c r="Q599" s="1">
        <f ca="1">IFERROR(__xludf.DUMMYFUNCTION("""COMPUTED_VALUE"""),489.22)</f>
        <v>489.22</v>
      </c>
      <c r="R599" s="1">
        <f ca="1">IFERROR(__xludf.DUMMYFUNCTION("""COMPUTED_VALUE"""),90.95)</f>
        <v>90.95</v>
      </c>
      <c r="S599" s="1">
        <f ca="1">IFERROR(__xludf.DUMMYFUNCTION("""COMPUTED_VALUE"""),70.12)</f>
        <v>70.12</v>
      </c>
      <c r="T599" s="1">
        <f ca="1">IFERROR(__xludf.DUMMYFUNCTION("""COMPUTED_VALUE"""),49.4)</f>
        <v>49.4</v>
      </c>
      <c r="U599" s="1">
        <f ca="1">IFERROR(__xludf.DUMMYFUNCTION("""COMPUTED_VALUE"""),112.6)</f>
        <v>112.6</v>
      </c>
      <c r="V599" s="1">
        <f ca="1">IFERROR(__xludf.DUMMYFUNCTION("""COMPUTED_VALUE"""),207.19)</f>
        <v>207.19</v>
      </c>
      <c r="W599" s="1">
        <f ca="1">IFERROR(__xludf.DUMMYFUNCTION("""COMPUTED_VALUE"""),437.55)</f>
        <v>437.55</v>
      </c>
      <c r="X599" s="1">
        <f ca="1">IFERROR(__xludf.DUMMYFUNCTION("""COMPUTED_VALUE"""),534.95)</f>
        <v>534.95000000000005</v>
      </c>
      <c r="Y599" s="1">
        <f ca="1">IFERROR(__xludf.DUMMYFUNCTION("""COMPUTED_VALUE"""),90.41)</f>
        <v>90.41</v>
      </c>
      <c r="Z599" s="1">
        <f ca="1">IFERROR(__xludf.DUMMYFUNCTION("""COMPUTED_VALUE"""),303.44)</f>
        <v>303.44</v>
      </c>
      <c r="AA599" s="1">
        <f ca="1">IFERROR(__xludf.DUMMYFUNCTION("""COMPUTED_VALUE"""),50.67)</f>
        <v>50.67</v>
      </c>
      <c r="AB599" s="1">
        <f ca="1">IFERROR(__xludf.DUMMYFUNCTION("""COMPUTED_VALUE"""),72.42)</f>
        <v>72.42</v>
      </c>
      <c r="AC599" s="1">
        <f ca="1">IFERROR(__xludf.DUMMYFUNCTION("""COMPUTED_VALUE"""),94.24)</f>
        <v>94.24</v>
      </c>
    </row>
    <row r="600" spans="1:29" x14ac:dyDescent="0.25">
      <c r="A600" s="2">
        <f ca="1">IFERROR(__xludf.DUMMYFUNCTION("""COMPUTED_VALUE"""),44698.6666666666)</f>
        <v>44698.666666666599</v>
      </c>
      <c r="B600" s="1">
        <f ca="1">IFERROR(__xludf.DUMMYFUNCTION("""COMPUTED_VALUE"""),149.24)</f>
        <v>149.24</v>
      </c>
      <c r="C600" s="1">
        <f ca="1">IFERROR(__xludf.DUMMYFUNCTION("""COMPUTED_VALUE"""),266.82)</f>
        <v>266.82</v>
      </c>
      <c r="D600" s="1">
        <f ca="1">IFERROR(__xludf.DUMMYFUNCTION("""COMPUTED_VALUE"""),115.37)</f>
        <v>115.37</v>
      </c>
      <c r="E600" s="1">
        <f ca="1">IFERROR(__xludf.DUMMYFUNCTION("""COMPUTED_VALUE"""),18.18)</f>
        <v>18.18</v>
      </c>
      <c r="F600" s="1">
        <f ca="1">IFERROR(__xludf.DUMMYFUNCTION("""COMPUTED_VALUE"""),202.62)</f>
        <v>202.62</v>
      </c>
      <c r="G600" s="1">
        <f ca="1">IFERROR(__xludf.DUMMYFUNCTION("""COMPUTED_VALUE"""),116.7)</f>
        <v>116.7</v>
      </c>
      <c r="H600" s="1">
        <f ca="1">IFERROR(__xludf.DUMMYFUNCTION("""COMPUTED_VALUE"""),253.87)</f>
        <v>253.87</v>
      </c>
      <c r="I600" s="1">
        <f ca="1">IFERROR(__xludf.DUMMYFUNCTION("""COMPUTED_VALUE"""),174.46)</f>
        <v>174.46</v>
      </c>
      <c r="J600" s="1">
        <f ca="1">IFERROR(__xludf.DUMMYFUNCTION("""COMPUTED_VALUE"""),490.47)</f>
        <v>490.47</v>
      </c>
      <c r="K600" s="1">
        <f ca="1">IFERROR(__xludf.DUMMYFUNCTION("""COMPUTED_VALUE"""),60.82)</f>
        <v>60.82</v>
      </c>
      <c r="L600" s="1">
        <f ca="1">IFERROR(__xludf.DUMMYFUNCTION("""COMPUTED_VALUE"""),409.65)</f>
        <v>409.65</v>
      </c>
      <c r="M600" s="1">
        <f ca="1">IFERROR(__xludf.DUMMYFUNCTION("""COMPUTED_VALUE"""),190.56)</f>
        <v>190.56</v>
      </c>
      <c r="N600" s="1">
        <f ca="1">IFERROR(__xludf.DUMMYFUNCTION("""COMPUTED_VALUE"""),122.18)</f>
        <v>122.18</v>
      </c>
      <c r="O600" s="1">
        <f ca="1">IFERROR(__xludf.DUMMYFUNCTION("""COMPUTED_VALUE"""),204)</f>
        <v>204</v>
      </c>
      <c r="P600" s="1">
        <f ca="1">IFERROR(__xludf.DUMMYFUNCTION("""COMPUTED_VALUE"""),178.82)</f>
        <v>178.82</v>
      </c>
      <c r="Q600" s="1">
        <f ca="1">IFERROR(__xludf.DUMMYFUNCTION("""COMPUTED_VALUE"""),492.53)</f>
        <v>492.53</v>
      </c>
      <c r="R600" s="1">
        <f ca="1">IFERROR(__xludf.DUMMYFUNCTION("""COMPUTED_VALUE"""),92.11)</f>
        <v>92.11</v>
      </c>
      <c r="S600" s="1">
        <f ca="1">IFERROR(__xludf.DUMMYFUNCTION("""COMPUTED_VALUE"""),72.02)</f>
        <v>72.02</v>
      </c>
      <c r="T600" s="1">
        <f ca="1">IFERROR(__xludf.DUMMYFUNCTION("""COMPUTED_VALUE"""),43.78)</f>
        <v>43.78</v>
      </c>
      <c r="U600" s="1">
        <f ca="1">IFERROR(__xludf.DUMMYFUNCTION("""COMPUTED_VALUE"""),115.9)</f>
        <v>115.9</v>
      </c>
      <c r="V600" s="1">
        <f ca="1">IFERROR(__xludf.DUMMYFUNCTION("""COMPUTED_VALUE"""),213.09)</f>
        <v>213.09</v>
      </c>
      <c r="W600" s="1">
        <f ca="1">IFERROR(__xludf.DUMMYFUNCTION("""COMPUTED_VALUE"""),441)</f>
        <v>441</v>
      </c>
      <c r="X600" s="1">
        <f ca="1">IFERROR(__xludf.DUMMYFUNCTION("""COMPUTED_VALUE"""),561.63)</f>
        <v>561.63</v>
      </c>
      <c r="Y600" s="1">
        <f ca="1">IFERROR(__xludf.DUMMYFUNCTION("""COMPUTED_VALUE"""),93.32)</f>
        <v>93.32</v>
      </c>
      <c r="Z600" s="1">
        <f ca="1">IFERROR(__xludf.DUMMYFUNCTION("""COMPUTED_VALUE"""),312.97)</f>
        <v>312.97000000000003</v>
      </c>
      <c r="AA600" s="1">
        <f ca="1">IFERROR(__xludf.DUMMYFUNCTION("""COMPUTED_VALUE"""),51.34)</f>
        <v>51.34</v>
      </c>
      <c r="AB600" s="1">
        <f ca="1">IFERROR(__xludf.DUMMYFUNCTION("""COMPUTED_VALUE"""),73.72)</f>
        <v>73.72</v>
      </c>
      <c r="AC600" s="1">
        <f ca="1">IFERROR(__xludf.DUMMYFUNCTION("""COMPUTED_VALUE"""),102.47)</f>
        <v>102.47</v>
      </c>
    </row>
    <row r="601" spans="1:29" x14ac:dyDescent="0.25">
      <c r="A601" s="2">
        <f ca="1">IFERROR(__xludf.DUMMYFUNCTION("""COMPUTED_VALUE"""),44699.6666666666)</f>
        <v>44699.666666666599</v>
      </c>
      <c r="B601" s="1">
        <f ca="1">IFERROR(__xludf.DUMMYFUNCTION("""COMPUTED_VALUE"""),140.82)</f>
        <v>140.82</v>
      </c>
      <c r="C601" s="1">
        <f ca="1">IFERROR(__xludf.DUMMYFUNCTION("""COMPUTED_VALUE"""),254.08)</f>
        <v>254.08</v>
      </c>
      <c r="D601" s="1">
        <f ca="1">IFERROR(__xludf.DUMMYFUNCTION("""COMPUTED_VALUE"""),107.11)</f>
        <v>107.11</v>
      </c>
      <c r="E601" s="1">
        <f ca="1">IFERROR(__xludf.DUMMYFUNCTION("""COMPUTED_VALUE"""),16.94)</f>
        <v>16.940000000000001</v>
      </c>
      <c r="F601" s="1">
        <f ca="1">IFERROR(__xludf.DUMMYFUNCTION("""COMPUTED_VALUE"""),192.24)</f>
        <v>192.24</v>
      </c>
      <c r="G601" s="1">
        <f ca="1">IFERROR(__xludf.DUMMYFUNCTION("""COMPUTED_VALUE"""),112.4)</f>
        <v>112.4</v>
      </c>
      <c r="H601" s="1">
        <f ca="1">IFERROR(__xludf.DUMMYFUNCTION("""COMPUTED_VALUE"""),236.6)</f>
        <v>236.6</v>
      </c>
      <c r="I601" s="1">
        <f ca="1">IFERROR(__xludf.DUMMYFUNCTION("""COMPUTED_VALUE"""),163.65)</f>
        <v>163.65</v>
      </c>
      <c r="J601" s="1">
        <f ca="1">IFERROR(__xludf.DUMMYFUNCTION("""COMPUTED_VALUE"""),429.4)</f>
        <v>429.4</v>
      </c>
      <c r="K601" s="1">
        <f ca="1">IFERROR(__xludf.DUMMYFUNCTION("""COMPUTED_VALUE"""),57.06)</f>
        <v>57.06</v>
      </c>
      <c r="L601" s="1">
        <f ca="1">IFERROR(__xludf.DUMMYFUNCTION("""COMPUTED_VALUE"""),397.88)</f>
        <v>397.88</v>
      </c>
      <c r="M601" s="1">
        <f ca="1">IFERROR(__xludf.DUMMYFUNCTION("""COMPUTED_VALUE"""),177.19)</f>
        <v>177.19</v>
      </c>
      <c r="N601" s="1">
        <f ca="1">IFERROR(__xludf.DUMMYFUNCTION("""COMPUTED_VALUE"""),120.09)</f>
        <v>120.09</v>
      </c>
      <c r="O601" s="1">
        <f ca="1">IFERROR(__xludf.DUMMYFUNCTION("""COMPUTED_VALUE"""),199.99)</f>
        <v>199.99</v>
      </c>
      <c r="P601" s="1">
        <f ca="1">IFERROR(__xludf.DUMMYFUNCTION("""COMPUTED_VALUE"""),175.5)</f>
        <v>175.5</v>
      </c>
      <c r="Q601" s="1">
        <f ca="1">IFERROR(__xludf.DUMMYFUNCTION("""COMPUTED_VALUE"""),471.38)</f>
        <v>471.38</v>
      </c>
      <c r="R601" s="1">
        <f ca="1">IFERROR(__xludf.DUMMYFUNCTION("""COMPUTED_VALUE"""),90.65)</f>
        <v>90.65</v>
      </c>
      <c r="S601" s="1">
        <f ca="1">IFERROR(__xludf.DUMMYFUNCTION("""COMPUTED_VALUE"""),71)</f>
        <v>71</v>
      </c>
      <c r="T601" s="1">
        <f ca="1">IFERROR(__xludf.DUMMYFUNCTION("""COMPUTED_VALUE"""),40.81)</f>
        <v>40.81</v>
      </c>
      <c r="U601" s="1">
        <f ca="1">IFERROR(__xludf.DUMMYFUNCTION("""COMPUTED_VALUE"""),109.37)</f>
        <v>109.37</v>
      </c>
      <c r="V601" s="1">
        <f ca="1">IFERROR(__xludf.DUMMYFUNCTION("""COMPUTED_VALUE"""),207.94)</f>
        <v>207.94</v>
      </c>
      <c r="W601" s="1">
        <f ca="1">IFERROR(__xludf.DUMMYFUNCTION("""COMPUTED_VALUE"""),434.33)</f>
        <v>434.33</v>
      </c>
      <c r="X601" s="1">
        <f ca="1">IFERROR(__xludf.DUMMYFUNCTION("""COMPUTED_VALUE"""),528.3)</f>
        <v>528.29999999999995</v>
      </c>
      <c r="Y601" s="1">
        <f ca="1">IFERROR(__xludf.DUMMYFUNCTION("""COMPUTED_VALUE"""),90.53)</f>
        <v>90.53</v>
      </c>
      <c r="Z601" s="1">
        <f ca="1">IFERROR(__xludf.DUMMYFUNCTION("""COMPUTED_VALUE"""),306.73)</f>
        <v>306.73</v>
      </c>
      <c r="AA601" s="1">
        <f ca="1">IFERROR(__xludf.DUMMYFUNCTION("""COMPUTED_VALUE"""),50.4)</f>
        <v>50.4</v>
      </c>
      <c r="AB601" s="1">
        <f ca="1">IFERROR(__xludf.DUMMYFUNCTION("""COMPUTED_VALUE"""),71.28)</f>
        <v>71.28</v>
      </c>
      <c r="AC601" s="1">
        <f ca="1">IFERROR(__xludf.DUMMYFUNCTION("""COMPUTED_VALUE"""),96.28)</f>
        <v>96.28</v>
      </c>
    </row>
    <row r="602" spans="1:29" x14ac:dyDescent="0.25">
      <c r="A602" s="2">
        <f ca="1">IFERROR(__xludf.DUMMYFUNCTION("""COMPUTED_VALUE"""),44700.6666666666)</f>
        <v>44700.666666666599</v>
      </c>
      <c r="B602" s="1">
        <f ca="1">IFERROR(__xludf.DUMMYFUNCTION("""COMPUTED_VALUE"""),137.35)</f>
        <v>137.35</v>
      </c>
      <c r="C602" s="1">
        <f ca="1">IFERROR(__xludf.DUMMYFUNCTION("""COMPUTED_VALUE"""),253.14)</f>
        <v>253.14</v>
      </c>
      <c r="D602" s="1">
        <f ca="1">IFERROR(__xludf.DUMMYFUNCTION("""COMPUTED_VALUE"""),107.32)</f>
        <v>107.32</v>
      </c>
      <c r="E602" s="1">
        <f ca="1">IFERROR(__xludf.DUMMYFUNCTION("""COMPUTED_VALUE"""),17.12)</f>
        <v>17.12</v>
      </c>
      <c r="F602" s="1">
        <f ca="1">IFERROR(__xludf.DUMMYFUNCTION("""COMPUTED_VALUE"""),191.29)</f>
        <v>191.29</v>
      </c>
      <c r="G602" s="1">
        <f ca="1">IFERROR(__xludf.DUMMYFUNCTION("""COMPUTED_VALUE"""),110.75)</f>
        <v>110.75</v>
      </c>
      <c r="H602" s="1">
        <f ca="1">IFERROR(__xludf.DUMMYFUNCTION("""COMPUTED_VALUE"""),236.47)</f>
        <v>236.47</v>
      </c>
      <c r="I602" s="1">
        <f ca="1">IFERROR(__xludf.DUMMYFUNCTION("""COMPUTED_VALUE"""),161.2)</f>
        <v>161.19999999999999</v>
      </c>
      <c r="J602" s="1">
        <f ca="1">IFERROR(__xludf.DUMMYFUNCTION("""COMPUTED_VALUE"""),422.93)</f>
        <v>422.93</v>
      </c>
      <c r="K602" s="1">
        <f ca="1">IFERROR(__xludf.DUMMYFUNCTION("""COMPUTED_VALUE"""),54.62)</f>
        <v>54.62</v>
      </c>
      <c r="L602" s="1">
        <f ca="1">IFERROR(__xludf.DUMMYFUNCTION("""COMPUTED_VALUE"""),394.38)</f>
        <v>394.38</v>
      </c>
      <c r="M602" s="1">
        <f ca="1">IFERROR(__xludf.DUMMYFUNCTION("""COMPUTED_VALUE"""),183.48)</f>
        <v>183.48</v>
      </c>
      <c r="N602" s="1">
        <f ca="1">IFERROR(__xludf.DUMMYFUNCTION("""COMPUTED_VALUE"""),118.31)</f>
        <v>118.31</v>
      </c>
      <c r="O602" s="1">
        <f ca="1">IFERROR(__xludf.DUMMYFUNCTION("""COMPUTED_VALUE"""),197.37)</f>
        <v>197.37</v>
      </c>
      <c r="P602" s="1">
        <f ca="1">IFERROR(__xludf.DUMMYFUNCTION("""COMPUTED_VALUE"""),173.94)</f>
        <v>173.94</v>
      </c>
      <c r="Q602" s="1">
        <f ca="1">IFERROR(__xludf.DUMMYFUNCTION("""COMPUTED_VALUE"""),478.55)</f>
        <v>478.55</v>
      </c>
      <c r="R602" s="1">
        <f ca="1">IFERROR(__xludf.DUMMYFUNCTION("""COMPUTED_VALUE"""),91.14)</f>
        <v>91.14</v>
      </c>
      <c r="S602" s="1">
        <f ca="1">IFERROR(__xludf.DUMMYFUNCTION("""COMPUTED_VALUE"""),70.46)</f>
        <v>70.459999999999994</v>
      </c>
      <c r="T602" s="1">
        <f ca="1">IFERROR(__xludf.DUMMYFUNCTION("""COMPUTED_VALUE"""),39.69)</f>
        <v>39.69</v>
      </c>
      <c r="U602" s="1">
        <f ca="1">IFERROR(__xludf.DUMMYFUNCTION("""COMPUTED_VALUE"""),106.44)</f>
        <v>106.44</v>
      </c>
      <c r="V602" s="1">
        <f ca="1">IFERROR(__xludf.DUMMYFUNCTION("""COMPUTED_VALUE"""),206.76)</f>
        <v>206.76</v>
      </c>
      <c r="W602" s="1">
        <f ca="1">IFERROR(__xludf.DUMMYFUNCTION("""COMPUTED_VALUE"""),425.62)</f>
        <v>425.62</v>
      </c>
      <c r="X602" s="1">
        <f ca="1">IFERROR(__xludf.DUMMYFUNCTION("""COMPUTED_VALUE"""),526)</f>
        <v>526</v>
      </c>
      <c r="Y602" s="1">
        <f ca="1">IFERROR(__xludf.DUMMYFUNCTION("""COMPUTED_VALUE"""),90.21)</f>
        <v>90.21</v>
      </c>
      <c r="Z602" s="1">
        <f ca="1">IFERROR(__xludf.DUMMYFUNCTION("""COMPUTED_VALUE"""),308.2)</f>
        <v>308.2</v>
      </c>
      <c r="AA602" s="1">
        <f ca="1">IFERROR(__xludf.DUMMYFUNCTION("""COMPUTED_VALUE"""),50.65)</f>
        <v>50.65</v>
      </c>
      <c r="AB602" s="1">
        <f ca="1">IFERROR(__xludf.DUMMYFUNCTION("""COMPUTED_VALUE"""),71.93)</f>
        <v>71.930000000000007</v>
      </c>
      <c r="AC602" s="1">
        <f ca="1">IFERROR(__xludf.DUMMYFUNCTION("""COMPUTED_VALUE"""),96.67)</f>
        <v>96.67</v>
      </c>
    </row>
    <row r="603" spans="1:29" x14ac:dyDescent="0.25">
      <c r="A603" s="2">
        <f ca="1">IFERROR(__xludf.DUMMYFUNCTION("""COMPUTED_VALUE"""),44701.6666666666)</f>
        <v>44701.666666666599</v>
      </c>
      <c r="B603" s="1">
        <f ca="1">IFERROR(__xludf.DUMMYFUNCTION("""COMPUTED_VALUE"""),137.59)</f>
        <v>137.59</v>
      </c>
      <c r="C603" s="1">
        <f ca="1">IFERROR(__xludf.DUMMYFUNCTION("""COMPUTED_VALUE"""),252.56)</f>
        <v>252.56</v>
      </c>
      <c r="D603" s="1">
        <f ca="1">IFERROR(__xludf.DUMMYFUNCTION("""COMPUTED_VALUE"""),107.59)</f>
        <v>107.59</v>
      </c>
      <c r="E603" s="1">
        <f ca="1">IFERROR(__xludf.DUMMYFUNCTION("""COMPUTED_VALUE"""),16.69)</f>
        <v>16.690000000000001</v>
      </c>
      <c r="F603" s="1">
        <f ca="1">IFERROR(__xludf.DUMMYFUNCTION("""COMPUTED_VALUE"""),193.54)</f>
        <v>193.54</v>
      </c>
      <c r="G603" s="1">
        <f ca="1">IFERROR(__xludf.DUMMYFUNCTION("""COMPUTED_VALUE"""),109.31)</f>
        <v>109.31</v>
      </c>
      <c r="H603" s="1">
        <f ca="1">IFERROR(__xludf.DUMMYFUNCTION("""COMPUTED_VALUE"""),221.3)</f>
        <v>221.3</v>
      </c>
      <c r="I603" s="1">
        <f ca="1">IFERROR(__xludf.DUMMYFUNCTION("""COMPUTED_VALUE"""),162.21)</f>
        <v>162.21</v>
      </c>
      <c r="J603" s="1">
        <f ca="1">IFERROR(__xludf.DUMMYFUNCTION("""COMPUTED_VALUE"""),416.43)</f>
        <v>416.43</v>
      </c>
      <c r="K603" s="1">
        <f ca="1">IFERROR(__xludf.DUMMYFUNCTION("""COMPUTED_VALUE"""),54.32)</f>
        <v>54.32</v>
      </c>
      <c r="L603" s="1">
        <f ca="1">IFERROR(__xludf.DUMMYFUNCTION("""COMPUTED_VALUE"""),399.09)</f>
        <v>399.09</v>
      </c>
      <c r="M603" s="1">
        <f ca="1">IFERROR(__xludf.DUMMYFUNCTION("""COMPUTED_VALUE"""),186.35)</f>
        <v>186.35</v>
      </c>
      <c r="N603" s="1">
        <f ca="1">IFERROR(__xludf.DUMMYFUNCTION("""COMPUTED_VALUE"""),117.34)</f>
        <v>117.34</v>
      </c>
      <c r="O603" s="1">
        <f ca="1">IFERROR(__xludf.DUMMYFUNCTION("""COMPUTED_VALUE"""),199.03)</f>
        <v>199.03</v>
      </c>
      <c r="P603" s="1">
        <f ca="1">IFERROR(__xludf.DUMMYFUNCTION("""COMPUTED_VALUE"""),176.98)</f>
        <v>176.98</v>
      </c>
      <c r="Q603" s="1">
        <f ca="1">IFERROR(__xludf.DUMMYFUNCTION("""COMPUTED_VALUE"""),485.73)</f>
        <v>485.73</v>
      </c>
      <c r="R603" s="1">
        <f ca="1">IFERROR(__xludf.DUMMYFUNCTION("""COMPUTED_VALUE"""),91.86)</f>
        <v>91.86</v>
      </c>
      <c r="S603" s="1">
        <f ca="1">IFERROR(__xludf.DUMMYFUNCTION("""COMPUTED_VALUE"""),71.22)</f>
        <v>71.22</v>
      </c>
      <c r="T603" s="1">
        <f ca="1">IFERROR(__xludf.DUMMYFUNCTION("""COMPUTED_VALUE"""),39.73)</f>
        <v>39.729999999999997</v>
      </c>
      <c r="U603" s="1">
        <f ca="1">IFERROR(__xludf.DUMMYFUNCTION("""COMPUTED_VALUE"""),108)</f>
        <v>108</v>
      </c>
      <c r="V603" s="1">
        <f ca="1">IFERROR(__xludf.DUMMYFUNCTION("""COMPUTED_VALUE"""),197.82)</f>
        <v>197.82</v>
      </c>
      <c r="W603" s="1">
        <f ca="1">IFERROR(__xludf.DUMMYFUNCTION("""COMPUTED_VALUE"""),424.15)</f>
        <v>424.15</v>
      </c>
      <c r="X603" s="1">
        <f ca="1">IFERROR(__xludf.DUMMYFUNCTION("""COMPUTED_VALUE"""),532.84)</f>
        <v>532.84</v>
      </c>
      <c r="Y603" s="1">
        <f ca="1">IFERROR(__xludf.DUMMYFUNCTION("""COMPUTED_VALUE"""),90.78)</f>
        <v>90.78</v>
      </c>
      <c r="Z603" s="1">
        <f ca="1">IFERROR(__xludf.DUMMYFUNCTION("""COMPUTED_VALUE"""),306.8)</f>
        <v>306.8</v>
      </c>
      <c r="AA603" s="1">
        <f ca="1">IFERROR(__xludf.DUMMYFUNCTION("""COMPUTED_VALUE"""),52.47)</f>
        <v>52.47</v>
      </c>
      <c r="AB603" s="1">
        <f ca="1">IFERROR(__xludf.DUMMYFUNCTION("""COMPUTED_VALUE"""),73.39)</f>
        <v>73.39</v>
      </c>
      <c r="AC603" s="1">
        <f ca="1">IFERROR(__xludf.DUMMYFUNCTION("""COMPUTED_VALUE"""),93.5)</f>
        <v>93.5</v>
      </c>
    </row>
    <row r="604" spans="1:29" x14ac:dyDescent="0.25">
      <c r="A604" s="2">
        <f ca="1">IFERROR(__xludf.DUMMYFUNCTION("""COMPUTED_VALUE"""),44704.6666666666)</f>
        <v>44704.666666666599</v>
      </c>
      <c r="B604" s="1">
        <f ca="1">IFERROR(__xludf.DUMMYFUNCTION("""COMPUTED_VALUE"""),143.11)</f>
        <v>143.11000000000001</v>
      </c>
      <c r="C604" s="1">
        <f ca="1">IFERROR(__xludf.DUMMYFUNCTION("""COMPUTED_VALUE"""),260.65)</f>
        <v>260.64999999999998</v>
      </c>
      <c r="D604" s="1">
        <f ca="1">IFERROR(__xludf.DUMMYFUNCTION("""COMPUTED_VALUE"""),107.56)</f>
        <v>107.56</v>
      </c>
      <c r="E604" s="1">
        <f ca="1">IFERROR(__xludf.DUMMYFUNCTION("""COMPUTED_VALUE"""),16.9)</f>
        <v>16.899999999999999</v>
      </c>
      <c r="F604" s="1">
        <f ca="1">IFERROR(__xludf.DUMMYFUNCTION("""COMPUTED_VALUE"""),196.23)</f>
        <v>196.23</v>
      </c>
      <c r="G604" s="1">
        <f ca="1">IFERROR(__xludf.DUMMYFUNCTION("""COMPUTED_VALUE"""),111.67)</f>
        <v>111.67</v>
      </c>
      <c r="H604" s="1">
        <f ca="1">IFERROR(__xludf.DUMMYFUNCTION("""COMPUTED_VALUE"""),224.97)</f>
        <v>224.97</v>
      </c>
      <c r="I604" s="1">
        <f ca="1">IFERROR(__xludf.DUMMYFUNCTION("""COMPUTED_VALUE"""),165.6)</f>
        <v>165.6</v>
      </c>
      <c r="J604" s="1">
        <f ca="1">IFERROR(__xludf.DUMMYFUNCTION("""COMPUTED_VALUE"""),429.48)</f>
        <v>429.48</v>
      </c>
      <c r="K604" s="1">
        <f ca="1">IFERROR(__xludf.DUMMYFUNCTION("""COMPUTED_VALUE"""),52.64)</f>
        <v>52.64</v>
      </c>
      <c r="L604" s="1">
        <f ca="1">IFERROR(__xludf.DUMMYFUNCTION("""COMPUTED_VALUE"""),406.76)</f>
        <v>406.76</v>
      </c>
      <c r="M604" s="1">
        <f ca="1">IFERROR(__xludf.DUMMYFUNCTION("""COMPUTED_VALUE"""),187.44)</f>
        <v>187.44</v>
      </c>
      <c r="N604" s="1">
        <f ca="1">IFERROR(__xludf.DUMMYFUNCTION("""COMPUTED_VALUE"""),124.6)</f>
        <v>124.6</v>
      </c>
      <c r="O604" s="1">
        <f ca="1">IFERROR(__xludf.DUMMYFUNCTION("""COMPUTED_VALUE"""),207.56)</f>
        <v>207.56</v>
      </c>
      <c r="P604" s="1">
        <f ca="1">IFERROR(__xludf.DUMMYFUNCTION("""COMPUTED_VALUE"""),179.44)</f>
        <v>179.44</v>
      </c>
      <c r="Q604" s="1">
        <f ca="1">IFERROR(__xludf.DUMMYFUNCTION("""COMPUTED_VALUE"""),492.08)</f>
        <v>492.08</v>
      </c>
      <c r="R604" s="1">
        <f ca="1">IFERROR(__xludf.DUMMYFUNCTION("""COMPUTED_VALUE"""),93.89)</f>
        <v>93.89</v>
      </c>
      <c r="S604" s="1">
        <f ca="1">IFERROR(__xludf.DUMMYFUNCTION("""COMPUTED_VALUE"""),72.55)</f>
        <v>72.55</v>
      </c>
      <c r="T604" s="1">
        <f ca="1">IFERROR(__xludf.DUMMYFUNCTION("""COMPUTED_VALUE"""),40.87)</f>
        <v>40.869999999999997</v>
      </c>
      <c r="U604" s="1">
        <f ca="1">IFERROR(__xludf.DUMMYFUNCTION("""COMPUTED_VALUE"""),108.63)</f>
        <v>108.63</v>
      </c>
      <c r="V604" s="1">
        <f ca="1">IFERROR(__xludf.DUMMYFUNCTION("""COMPUTED_VALUE"""),204.15)</f>
        <v>204.15</v>
      </c>
      <c r="W604" s="1">
        <f ca="1">IFERROR(__xludf.DUMMYFUNCTION("""COMPUTED_VALUE"""),433.03)</f>
        <v>433.03</v>
      </c>
      <c r="X604" s="1">
        <f ca="1">IFERROR(__xludf.DUMMYFUNCTION("""COMPUTED_VALUE"""),554.61)</f>
        <v>554.61</v>
      </c>
      <c r="Y604" s="1">
        <f ca="1">IFERROR(__xludf.DUMMYFUNCTION("""COMPUTED_VALUE"""),91.5)</f>
        <v>91.5</v>
      </c>
      <c r="Z604" s="1">
        <f ca="1">IFERROR(__xludf.DUMMYFUNCTION("""COMPUTED_VALUE"""),316.61)</f>
        <v>316.61</v>
      </c>
      <c r="AA604" s="1">
        <f ca="1">IFERROR(__xludf.DUMMYFUNCTION("""COMPUTED_VALUE"""),52.88)</f>
        <v>52.88</v>
      </c>
      <c r="AB604" s="1">
        <f ca="1">IFERROR(__xludf.DUMMYFUNCTION("""COMPUTED_VALUE"""),73.42)</f>
        <v>73.42</v>
      </c>
      <c r="AC604" s="1">
        <f ca="1">IFERROR(__xludf.DUMMYFUNCTION("""COMPUTED_VALUE"""),95.07)</f>
        <v>95.07</v>
      </c>
    </row>
    <row r="605" spans="1:29" x14ac:dyDescent="0.25">
      <c r="A605" s="2">
        <f ca="1">IFERROR(__xludf.DUMMYFUNCTION("""COMPUTED_VALUE"""),44705.6666666666)</f>
        <v>44705.666666666599</v>
      </c>
      <c r="B605" s="1">
        <f ca="1">IFERROR(__xludf.DUMMYFUNCTION("""COMPUTED_VALUE"""),140.36)</f>
        <v>140.36000000000001</v>
      </c>
      <c r="C605" s="1">
        <f ca="1">IFERROR(__xludf.DUMMYFUNCTION("""COMPUTED_VALUE"""),259.62)</f>
        <v>259.62</v>
      </c>
      <c r="D605" s="1">
        <f ca="1">IFERROR(__xludf.DUMMYFUNCTION("""COMPUTED_VALUE"""),104.1)</f>
        <v>104.1</v>
      </c>
      <c r="E605" s="1">
        <f ca="1">IFERROR(__xludf.DUMMYFUNCTION("""COMPUTED_VALUE"""),16.15)</f>
        <v>16.149999999999999</v>
      </c>
      <c r="F605" s="1">
        <f ca="1">IFERROR(__xludf.DUMMYFUNCTION("""COMPUTED_VALUE"""),181.28)</f>
        <v>181.28</v>
      </c>
      <c r="G605" s="1">
        <f ca="1">IFERROR(__xludf.DUMMYFUNCTION("""COMPUTED_VALUE"""),105.93)</f>
        <v>105.93</v>
      </c>
      <c r="H605" s="1">
        <f ca="1">IFERROR(__xludf.DUMMYFUNCTION("""COMPUTED_VALUE"""),209.39)</f>
        <v>209.39</v>
      </c>
      <c r="I605" s="1">
        <f ca="1">IFERROR(__xludf.DUMMYFUNCTION("""COMPUTED_VALUE"""),167.82)</f>
        <v>167.82</v>
      </c>
      <c r="J605" s="1">
        <f ca="1">IFERROR(__xludf.DUMMYFUNCTION("""COMPUTED_VALUE"""),437.71)</f>
        <v>437.71</v>
      </c>
      <c r="K605" s="1">
        <f ca="1">IFERROR(__xludf.DUMMYFUNCTION("""COMPUTED_VALUE"""),52.42)</f>
        <v>52.42</v>
      </c>
      <c r="L605" s="1">
        <f ca="1">IFERROR(__xludf.DUMMYFUNCTION("""COMPUTED_VALUE"""),398.41)</f>
        <v>398.41</v>
      </c>
      <c r="M605" s="1">
        <f ca="1">IFERROR(__xludf.DUMMYFUNCTION("""COMPUTED_VALUE"""),180.34)</f>
        <v>180.34</v>
      </c>
      <c r="N605" s="1">
        <f ca="1">IFERROR(__xludf.DUMMYFUNCTION("""COMPUTED_VALUE"""),126.36)</f>
        <v>126.36</v>
      </c>
      <c r="O605" s="1">
        <f ca="1">IFERROR(__xludf.DUMMYFUNCTION("""COMPUTED_VALUE"""),202.63)</f>
        <v>202.63</v>
      </c>
      <c r="P605" s="1">
        <f ca="1">IFERROR(__xludf.DUMMYFUNCTION("""COMPUTED_VALUE"""),181.4)</f>
        <v>181.4</v>
      </c>
      <c r="Q605" s="1">
        <f ca="1">IFERROR(__xludf.DUMMYFUNCTION("""COMPUTED_VALUE"""),497.56)</f>
        <v>497.56</v>
      </c>
      <c r="R605" s="1">
        <f ca="1">IFERROR(__xludf.DUMMYFUNCTION("""COMPUTED_VALUE"""),94.4)</f>
        <v>94.4</v>
      </c>
      <c r="S605" s="1">
        <f ca="1">IFERROR(__xludf.DUMMYFUNCTION("""COMPUTED_VALUE"""),74.67)</f>
        <v>74.67</v>
      </c>
      <c r="T605" s="1">
        <f ca="1">IFERROR(__xludf.DUMMYFUNCTION("""COMPUTED_VALUE"""),41.38)</f>
        <v>41.38</v>
      </c>
      <c r="U605" s="1">
        <f ca="1">IFERROR(__xludf.DUMMYFUNCTION("""COMPUTED_VALUE"""),107.29)</f>
        <v>107.29</v>
      </c>
      <c r="V605" s="1">
        <f ca="1">IFERROR(__xludf.DUMMYFUNCTION("""COMPUTED_VALUE"""),205.65)</f>
        <v>205.65</v>
      </c>
      <c r="W605" s="1">
        <f ca="1">IFERROR(__xludf.DUMMYFUNCTION("""COMPUTED_VALUE"""),442.78)</f>
        <v>442.78</v>
      </c>
      <c r="X605" s="1">
        <f ca="1">IFERROR(__xludf.DUMMYFUNCTION("""COMPUTED_VALUE"""),546.43)</f>
        <v>546.42999999999995</v>
      </c>
      <c r="Y605" s="1">
        <f ca="1">IFERROR(__xludf.DUMMYFUNCTION("""COMPUTED_VALUE"""),88.72)</f>
        <v>88.72</v>
      </c>
      <c r="Z605" s="1">
        <f ca="1">IFERROR(__xludf.DUMMYFUNCTION("""COMPUTED_VALUE"""),313.95)</f>
        <v>313.95</v>
      </c>
      <c r="AA605" s="1">
        <f ca="1">IFERROR(__xludf.DUMMYFUNCTION("""COMPUTED_VALUE"""),53.41)</f>
        <v>53.41</v>
      </c>
      <c r="AB605" s="1">
        <f ca="1">IFERROR(__xludf.DUMMYFUNCTION("""COMPUTED_VALUE"""),72.72)</f>
        <v>72.72</v>
      </c>
      <c r="AC605" s="1">
        <f ca="1">IFERROR(__xludf.DUMMYFUNCTION("""COMPUTED_VALUE"""),91.16)</f>
        <v>91.16</v>
      </c>
    </row>
    <row r="606" spans="1:29" x14ac:dyDescent="0.25">
      <c r="A606" s="2">
        <f ca="1">IFERROR(__xludf.DUMMYFUNCTION("""COMPUTED_VALUE"""),44706.6666666666)</f>
        <v>44706.666666666599</v>
      </c>
      <c r="B606" s="1">
        <f ca="1">IFERROR(__xludf.DUMMYFUNCTION("""COMPUTED_VALUE"""),140.52)</f>
        <v>140.52000000000001</v>
      </c>
      <c r="C606" s="1">
        <f ca="1">IFERROR(__xludf.DUMMYFUNCTION("""COMPUTED_VALUE"""),262.52)</f>
        <v>262.52</v>
      </c>
      <c r="D606" s="1">
        <f ca="1">IFERROR(__xludf.DUMMYFUNCTION("""COMPUTED_VALUE"""),106.78)</f>
        <v>106.78</v>
      </c>
      <c r="E606" s="1">
        <f ca="1">IFERROR(__xludf.DUMMYFUNCTION("""COMPUTED_VALUE"""),16.98)</f>
        <v>16.98</v>
      </c>
      <c r="F606" s="1">
        <f ca="1">IFERROR(__xludf.DUMMYFUNCTION("""COMPUTED_VALUE"""),183.83)</f>
        <v>183.83</v>
      </c>
      <c r="G606" s="1">
        <f ca="1">IFERROR(__xludf.DUMMYFUNCTION("""COMPUTED_VALUE"""),105.84)</f>
        <v>105.84</v>
      </c>
      <c r="H606" s="1">
        <f ca="1">IFERROR(__xludf.DUMMYFUNCTION("""COMPUTED_VALUE"""),219.6)</f>
        <v>219.6</v>
      </c>
      <c r="I606" s="1">
        <f ca="1">IFERROR(__xludf.DUMMYFUNCTION("""COMPUTED_VALUE"""),168.97)</f>
        <v>168.97</v>
      </c>
      <c r="J606" s="1">
        <f ca="1">IFERROR(__xludf.DUMMYFUNCTION("""COMPUTED_VALUE"""),440.11)</f>
        <v>440.11</v>
      </c>
      <c r="K606" s="1">
        <f ca="1">IFERROR(__xludf.DUMMYFUNCTION("""COMPUTED_VALUE"""),53.16)</f>
        <v>53.16</v>
      </c>
      <c r="L606" s="1">
        <f ca="1">IFERROR(__xludf.DUMMYFUNCTION("""COMPUTED_VALUE"""),402.5)</f>
        <v>402.5</v>
      </c>
      <c r="M606" s="1">
        <f ca="1">IFERROR(__xludf.DUMMYFUNCTION("""COMPUTED_VALUE"""),187.83)</f>
        <v>187.83</v>
      </c>
      <c r="N606" s="1">
        <f ca="1">IFERROR(__xludf.DUMMYFUNCTION("""COMPUTED_VALUE"""),127.24)</f>
        <v>127.24</v>
      </c>
      <c r="O606" s="1">
        <f ca="1">IFERROR(__xludf.DUMMYFUNCTION("""COMPUTED_VALUE"""),203.84)</f>
        <v>203.84</v>
      </c>
      <c r="P606" s="1">
        <f ca="1">IFERROR(__xludf.DUMMYFUNCTION("""COMPUTED_VALUE"""),179.62)</f>
        <v>179.62</v>
      </c>
      <c r="Q606" s="1">
        <f ca="1">IFERROR(__xludf.DUMMYFUNCTION("""COMPUTED_VALUE"""),498.09)</f>
        <v>498.09</v>
      </c>
      <c r="R606" s="1">
        <f ca="1">IFERROR(__xludf.DUMMYFUNCTION("""COMPUTED_VALUE"""),96.3)</f>
        <v>96.3</v>
      </c>
      <c r="S606" s="1">
        <f ca="1">IFERROR(__xludf.DUMMYFUNCTION("""COMPUTED_VALUE"""),74.79)</f>
        <v>74.790000000000006</v>
      </c>
      <c r="T606" s="1">
        <f ca="1">IFERROR(__xludf.DUMMYFUNCTION("""COMPUTED_VALUE"""),41.12)</f>
        <v>41.12</v>
      </c>
      <c r="U606" s="1">
        <f ca="1">IFERROR(__xludf.DUMMYFUNCTION("""COMPUTED_VALUE"""),108.2)</f>
        <v>108.2</v>
      </c>
      <c r="V606" s="1">
        <f ca="1">IFERROR(__xludf.DUMMYFUNCTION("""COMPUTED_VALUE"""),209.31)</f>
        <v>209.31</v>
      </c>
      <c r="W606" s="1">
        <f ca="1">IFERROR(__xludf.DUMMYFUNCTION("""COMPUTED_VALUE"""),447.54)</f>
        <v>447.54</v>
      </c>
      <c r="X606" s="1">
        <f ca="1">IFERROR(__xludf.DUMMYFUNCTION("""COMPUTED_VALUE"""),548.08)</f>
        <v>548.08000000000004</v>
      </c>
      <c r="Y606" s="1">
        <f ca="1">IFERROR(__xludf.DUMMYFUNCTION("""COMPUTED_VALUE"""),90.41)</f>
        <v>90.41</v>
      </c>
      <c r="Z606" s="1">
        <f ca="1">IFERROR(__xludf.DUMMYFUNCTION("""COMPUTED_VALUE"""),314.9)</f>
        <v>314.89999999999998</v>
      </c>
      <c r="AA606" s="1">
        <f ca="1">IFERROR(__xludf.DUMMYFUNCTION("""COMPUTED_VALUE"""),53.71)</f>
        <v>53.71</v>
      </c>
      <c r="AB606" s="1">
        <f ca="1">IFERROR(__xludf.DUMMYFUNCTION("""COMPUTED_VALUE"""),72.48)</f>
        <v>72.48</v>
      </c>
      <c r="AC606" s="1">
        <f ca="1">IFERROR(__xludf.DUMMYFUNCTION("""COMPUTED_VALUE"""),92.65)</f>
        <v>92.65</v>
      </c>
    </row>
    <row r="607" spans="1:29" x14ac:dyDescent="0.25">
      <c r="A607" s="2">
        <f ca="1">IFERROR(__xludf.DUMMYFUNCTION("""COMPUTED_VALUE"""),44707.6666666666)</f>
        <v>44707.666666666599</v>
      </c>
      <c r="B607" s="1">
        <f ca="1">IFERROR(__xludf.DUMMYFUNCTION("""COMPUTED_VALUE"""),143.78)</f>
        <v>143.78</v>
      </c>
      <c r="C607" s="1">
        <f ca="1">IFERROR(__xludf.DUMMYFUNCTION("""COMPUTED_VALUE"""),265.9)</f>
        <v>265.89999999999998</v>
      </c>
      <c r="D607" s="1">
        <f ca="1">IFERROR(__xludf.DUMMYFUNCTION("""COMPUTED_VALUE"""),111.08)</f>
        <v>111.08</v>
      </c>
      <c r="E607" s="1">
        <f ca="1">IFERROR(__xludf.DUMMYFUNCTION("""COMPUTED_VALUE"""),17.85)</f>
        <v>17.850000000000001</v>
      </c>
      <c r="F607" s="1">
        <f ca="1">IFERROR(__xludf.DUMMYFUNCTION("""COMPUTED_VALUE"""),191.63)</f>
        <v>191.63</v>
      </c>
      <c r="G607" s="1">
        <f ca="1">IFERROR(__xludf.DUMMYFUNCTION("""COMPUTED_VALUE"""),108.3)</f>
        <v>108.3</v>
      </c>
      <c r="H607" s="1">
        <f ca="1">IFERROR(__xludf.DUMMYFUNCTION("""COMPUTED_VALUE"""),235.91)</f>
        <v>235.91</v>
      </c>
      <c r="I607" s="1">
        <f ca="1">IFERROR(__xludf.DUMMYFUNCTION("""COMPUTED_VALUE"""),170.11)</f>
        <v>170.11</v>
      </c>
      <c r="J607" s="1">
        <f ca="1">IFERROR(__xludf.DUMMYFUNCTION("""COMPUTED_VALUE"""),464.99)</f>
        <v>464.99</v>
      </c>
      <c r="K607" s="1">
        <f ca="1">IFERROR(__xludf.DUMMYFUNCTION("""COMPUTED_VALUE"""),55.07)</f>
        <v>55.07</v>
      </c>
      <c r="L607" s="1">
        <f ca="1">IFERROR(__xludf.DUMMYFUNCTION("""COMPUTED_VALUE"""),408.6)</f>
        <v>408.6</v>
      </c>
      <c r="M607" s="1">
        <f ca="1">IFERROR(__xludf.DUMMYFUNCTION("""COMPUTED_VALUE"""),191.4)</f>
        <v>191.4</v>
      </c>
      <c r="N607" s="1">
        <f ca="1">IFERROR(__xludf.DUMMYFUNCTION("""COMPUTED_VALUE"""),129.44)</f>
        <v>129.44</v>
      </c>
      <c r="O607" s="1">
        <f ca="1">IFERROR(__xludf.DUMMYFUNCTION("""COMPUTED_VALUE"""),208.55)</f>
        <v>208.55</v>
      </c>
      <c r="P607" s="1">
        <f ca="1">IFERROR(__xludf.DUMMYFUNCTION("""COMPUTED_VALUE"""),179.46)</f>
        <v>179.46</v>
      </c>
      <c r="Q607" s="1">
        <f ca="1">IFERROR(__xludf.DUMMYFUNCTION("""COMPUTED_VALUE"""),502.23)</f>
        <v>502.23</v>
      </c>
      <c r="R607" s="1">
        <f ca="1">IFERROR(__xludf.DUMMYFUNCTION("""COMPUTED_VALUE"""),96.64)</f>
        <v>96.64</v>
      </c>
      <c r="S607" s="1">
        <f ca="1">IFERROR(__xludf.DUMMYFUNCTION("""COMPUTED_VALUE"""),75.04)</f>
        <v>75.040000000000006</v>
      </c>
      <c r="T607" s="1">
        <f ca="1">IFERROR(__xludf.DUMMYFUNCTION("""COMPUTED_VALUE"""),42)</f>
        <v>42</v>
      </c>
      <c r="U607" s="1">
        <f ca="1">IFERROR(__xludf.DUMMYFUNCTION("""COMPUTED_VALUE"""),112.94)</f>
        <v>112.94</v>
      </c>
      <c r="V607" s="1">
        <f ca="1">IFERROR(__xludf.DUMMYFUNCTION("""COMPUTED_VALUE"""),212.99)</f>
        <v>212.99</v>
      </c>
      <c r="W607" s="1">
        <f ca="1">IFERROR(__xludf.DUMMYFUNCTION("""COMPUTED_VALUE"""),447.99)</f>
        <v>447.99</v>
      </c>
      <c r="X607" s="1">
        <f ca="1">IFERROR(__xludf.DUMMYFUNCTION("""COMPUTED_VALUE"""),560.07)</f>
        <v>560.07000000000005</v>
      </c>
      <c r="Y607" s="1">
        <f ca="1">IFERROR(__xludf.DUMMYFUNCTION("""COMPUTED_VALUE"""),91)</f>
        <v>91</v>
      </c>
      <c r="Z607" s="1">
        <f ca="1">IFERROR(__xludf.DUMMYFUNCTION("""COMPUTED_VALUE"""),323.63)</f>
        <v>323.63</v>
      </c>
      <c r="AA607" s="1">
        <f ca="1">IFERROR(__xludf.DUMMYFUNCTION("""COMPUTED_VALUE"""),53.99)</f>
        <v>53.99</v>
      </c>
      <c r="AB607" s="1">
        <f ca="1">IFERROR(__xludf.DUMMYFUNCTION("""COMPUTED_VALUE"""),74.49)</f>
        <v>74.489999999999995</v>
      </c>
      <c r="AC607" s="1">
        <f ca="1">IFERROR(__xludf.DUMMYFUNCTION("""COMPUTED_VALUE"""),98.75)</f>
        <v>98.75</v>
      </c>
    </row>
    <row r="608" spans="1:29" x14ac:dyDescent="0.25">
      <c r="A608" s="2">
        <f ca="1">IFERROR(__xludf.DUMMYFUNCTION("""COMPUTED_VALUE"""),44708.6666666666)</f>
        <v>44708.666666666599</v>
      </c>
      <c r="B608" s="1">
        <f ca="1">IFERROR(__xludf.DUMMYFUNCTION("""COMPUTED_VALUE"""),149.64)</f>
        <v>149.63999999999999</v>
      </c>
      <c r="C608" s="1">
        <f ca="1">IFERROR(__xludf.DUMMYFUNCTION("""COMPUTED_VALUE"""),273.24)</f>
        <v>273.24</v>
      </c>
      <c r="D608" s="1">
        <f ca="1">IFERROR(__xludf.DUMMYFUNCTION("""COMPUTED_VALUE"""),115.15)</f>
        <v>115.15</v>
      </c>
      <c r="E608" s="1">
        <f ca="1">IFERROR(__xludf.DUMMYFUNCTION("""COMPUTED_VALUE"""),18.81)</f>
        <v>18.809999999999999</v>
      </c>
      <c r="F608" s="1">
        <f ca="1">IFERROR(__xludf.DUMMYFUNCTION("""COMPUTED_VALUE"""),195.13)</f>
        <v>195.13</v>
      </c>
      <c r="G608" s="1">
        <f ca="1">IFERROR(__xludf.DUMMYFUNCTION("""COMPUTED_VALUE"""),112.8)</f>
        <v>112.8</v>
      </c>
      <c r="H608" s="1">
        <f ca="1">IFERROR(__xludf.DUMMYFUNCTION("""COMPUTED_VALUE"""),253.21)</f>
        <v>253.21</v>
      </c>
      <c r="I608" s="1">
        <f ca="1">IFERROR(__xludf.DUMMYFUNCTION("""COMPUTED_VALUE"""),171.77)</f>
        <v>171.77</v>
      </c>
      <c r="J608" s="1">
        <f ca="1">IFERROR(__xludf.DUMMYFUNCTION("""COMPUTED_VALUE"""),470.76)</f>
        <v>470.76</v>
      </c>
      <c r="K608" s="1">
        <f ca="1">IFERROR(__xludf.DUMMYFUNCTION("""COMPUTED_VALUE"""),58.33)</f>
        <v>58.33</v>
      </c>
      <c r="L608" s="1">
        <f ca="1">IFERROR(__xludf.DUMMYFUNCTION("""COMPUTED_VALUE"""),428.22)</f>
        <v>428.22</v>
      </c>
      <c r="M608" s="1">
        <f ca="1">IFERROR(__xludf.DUMMYFUNCTION("""COMPUTED_VALUE"""),195.19)</f>
        <v>195.19</v>
      </c>
      <c r="N608" s="1">
        <f ca="1">IFERROR(__xludf.DUMMYFUNCTION("""COMPUTED_VALUE"""),131.27)</f>
        <v>131.27000000000001</v>
      </c>
      <c r="O608" s="1">
        <f ca="1">IFERROR(__xludf.DUMMYFUNCTION("""COMPUTED_VALUE"""),212.88)</f>
        <v>212.88</v>
      </c>
      <c r="P608" s="1">
        <f ca="1">IFERROR(__xludf.DUMMYFUNCTION("""COMPUTED_VALUE"""),181.09)</f>
        <v>181.09</v>
      </c>
      <c r="Q608" s="1">
        <f ca="1">IFERROR(__xludf.DUMMYFUNCTION("""COMPUTED_VALUE"""),507.11)</f>
        <v>507.11</v>
      </c>
      <c r="R608" s="1">
        <f ca="1">IFERROR(__xludf.DUMMYFUNCTION("""COMPUTED_VALUE"""),97.59)</f>
        <v>97.59</v>
      </c>
      <c r="S608" s="1">
        <f ca="1">IFERROR(__xludf.DUMMYFUNCTION("""COMPUTED_VALUE"""),77.43)</f>
        <v>77.430000000000007</v>
      </c>
      <c r="T608" s="1">
        <f ca="1">IFERROR(__xludf.DUMMYFUNCTION("""COMPUTED_VALUE"""),42.83)</f>
        <v>42.83</v>
      </c>
      <c r="U608" s="1">
        <f ca="1">IFERROR(__xludf.DUMMYFUNCTION("""COMPUTED_VALUE"""),115.99)</f>
        <v>115.99</v>
      </c>
      <c r="V608" s="1">
        <f ca="1">IFERROR(__xludf.DUMMYFUNCTION("""COMPUTED_VALUE"""),217.14)</f>
        <v>217.14</v>
      </c>
      <c r="W608" s="1">
        <f ca="1">IFERROR(__xludf.DUMMYFUNCTION("""COMPUTED_VALUE"""),450.56)</f>
        <v>450.56</v>
      </c>
      <c r="X608" s="1">
        <f ca="1">IFERROR(__xludf.DUMMYFUNCTION("""COMPUTED_VALUE"""),583.38)</f>
        <v>583.38</v>
      </c>
      <c r="Y608" s="1">
        <f ca="1">IFERROR(__xludf.DUMMYFUNCTION("""COMPUTED_VALUE"""),93.77)</f>
        <v>93.77</v>
      </c>
      <c r="Z608" s="1">
        <f ca="1">IFERROR(__xludf.DUMMYFUNCTION("""COMPUTED_VALUE"""),328.58)</f>
        <v>328.58</v>
      </c>
      <c r="AA608" s="1">
        <f ca="1">IFERROR(__xludf.DUMMYFUNCTION("""COMPUTED_VALUE"""),53.91)</f>
        <v>53.91</v>
      </c>
      <c r="AB608" s="1">
        <f ca="1">IFERROR(__xludf.DUMMYFUNCTION("""COMPUTED_VALUE"""),76.71)</f>
        <v>76.709999999999994</v>
      </c>
      <c r="AC608" s="1">
        <f ca="1">IFERROR(__xludf.DUMMYFUNCTION("""COMPUTED_VALUE"""),102.26)</f>
        <v>102.26</v>
      </c>
    </row>
    <row r="609" spans="1:29" x14ac:dyDescent="0.25">
      <c r="A609" s="2">
        <f ca="1">IFERROR(__xludf.DUMMYFUNCTION("""COMPUTED_VALUE"""),44712.6666666666)</f>
        <v>44712.666666666599</v>
      </c>
      <c r="B609" s="1">
        <f ca="1">IFERROR(__xludf.DUMMYFUNCTION("""COMPUTED_VALUE"""),148.84)</f>
        <v>148.84</v>
      </c>
      <c r="C609" s="1">
        <f ca="1">IFERROR(__xludf.DUMMYFUNCTION("""COMPUTED_VALUE"""),271.87)</f>
        <v>271.87</v>
      </c>
      <c r="D609" s="1">
        <f ca="1">IFERROR(__xludf.DUMMYFUNCTION("""COMPUTED_VALUE"""),120.21)</f>
        <v>120.21</v>
      </c>
      <c r="E609" s="1">
        <f ca="1">IFERROR(__xludf.DUMMYFUNCTION("""COMPUTED_VALUE"""),18.67)</f>
        <v>18.670000000000002</v>
      </c>
      <c r="F609" s="1">
        <f ca="1">IFERROR(__xludf.DUMMYFUNCTION("""COMPUTED_VALUE"""),193.64)</f>
        <v>193.64</v>
      </c>
      <c r="G609" s="1">
        <f ca="1">IFERROR(__xludf.DUMMYFUNCTION("""COMPUTED_VALUE"""),114.04)</f>
        <v>114.04</v>
      </c>
      <c r="H609" s="1">
        <f ca="1">IFERROR(__xludf.DUMMYFUNCTION("""COMPUTED_VALUE"""),252.75)</f>
        <v>252.75</v>
      </c>
      <c r="I609" s="1">
        <f ca="1">IFERROR(__xludf.DUMMYFUNCTION("""COMPUTED_VALUE"""),167.75)</f>
        <v>167.75</v>
      </c>
      <c r="J609" s="1">
        <f ca="1">IFERROR(__xludf.DUMMYFUNCTION("""COMPUTED_VALUE"""),466.22)</f>
        <v>466.22</v>
      </c>
      <c r="K609" s="1">
        <f ca="1">IFERROR(__xludf.DUMMYFUNCTION("""COMPUTED_VALUE"""),58.01)</f>
        <v>58.01</v>
      </c>
      <c r="L609" s="1">
        <f ca="1">IFERROR(__xludf.DUMMYFUNCTION("""COMPUTED_VALUE"""),416.48)</f>
        <v>416.48</v>
      </c>
      <c r="M609" s="1">
        <f ca="1">IFERROR(__xludf.DUMMYFUNCTION("""COMPUTED_VALUE"""),197.44)</f>
        <v>197.44</v>
      </c>
      <c r="N609" s="1">
        <f ca="1">IFERROR(__xludf.DUMMYFUNCTION("""COMPUTED_VALUE"""),132.23)</f>
        <v>132.22999999999999</v>
      </c>
      <c r="O609" s="1">
        <f ca="1">IFERROR(__xludf.DUMMYFUNCTION("""COMPUTED_VALUE"""),212.17)</f>
        <v>212.17</v>
      </c>
      <c r="P609" s="1">
        <f ca="1">IFERROR(__xludf.DUMMYFUNCTION("""COMPUTED_VALUE"""),179.53)</f>
        <v>179.53</v>
      </c>
      <c r="Q609" s="1">
        <f ca="1">IFERROR(__xludf.DUMMYFUNCTION("""COMPUTED_VALUE"""),496.78)</f>
        <v>496.78</v>
      </c>
      <c r="R609" s="1">
        <f ca="1">IFERROR(__xludf.DUMMYFUNCTION("""COMPUTED_VALUE"""),96)</f>
        <v>96</v>
      </c>
      <c r="S609" s="1">
        <f ca="1">IFERROR(__xludf.DUMMYFUNCTION("""COMPUTED_VALUE"""),75.69)</f>
        <v>75.69</v>
      </c>
      <c r="T609" s="1">
        <f ca="1">IFERROR(__xludf.DUMMYFUNCTION("""COMPUTED_VALUE"""),42.88)</f>
        <v>42.88</v>
      </c>
      <c r="U609" s="1">
        <f ca="1">IFERROR(__xludf.DUMMYFUNCTION("""COMPUTED_VALUE"""),118.85)</f>
        <v>118.85</v>
      </c>
      <c r="V609" s="1">
        <f ca="1">IFERROR(__xludf.DUMMYFUNCTION("""COMPUTED_VALUE"""),215.85)</f>
        <v>215.85</v>
      </c>
      <c r="W609" s="1">
        <f ca="1">IFERROR(__xludf.DUMMYFUNCTION("""COMPUTED_VALUE"""),440.11)</f>
        <v>440.11</v>
      </c>
      <c r="X609" s="1">
        <f ca="1">IFERROR(__xludf.DUMMYFUNCTION("""COMPUTED_VALUE"""),576.29)</f>
        <v>576.29</v>
      </c>
      <c r="Y609" s="1">
        <f ca="1">IFERROR(__xludf.DUMMYFUNCTION("""COMPUTED_VALUE"""),95.3)</f>
        <v>95.3</v>
      </c>
      <c r="Z609" s="1">
        <f ca="1">IFERROR(__xludf.DUMMYFUNCTION("""COMPUTED_VALUE"""),326.85)</f>
        <v>326.85000000000002</v>
      </c>
      <c r="AA609" s="1">
        <f ca="1">IFERROR(__xludf.DUMMYFUNCTION("""COMPUTED_VALUE"""),53.04)</f>
        <v>53.04</v>
      </c>
      <c r="AB609" s="1">
        <f ca="1">IFERROR(__xludf.DUMMYFUNCTION("""COMPUTED_VALUE"""),78.5)</f>
        <v>78.5</v>
      </c>
      <c r="AC609" s="1">
        <f ca="1">IFERROR(__xludf.DUMMYFUNCTION("""COMPUTED_VALUE"""),101.86)</f>
        <v>101.86</v>
      </c>
    </row>
    <row r="610" spans="1:29" x14ac:dyDescent="0.25">
      <c r="A610" s="2">
        <f ca="1">IFERROR(__xludf.DUMMYFUNCTION("""COMPUTED_VALUE"""),44713.6666666666)</f>
        <v>44713.666666666599</v>
      </c>
      <c r="B610" s="1">
        <f ca="1">IFERROR(__xludf.DUMMYFUNCTION("""COMPUTED_VALUE"""),148.71)</f>
        <v>148.71</v>
      </c>
      <c r="C610" s="1">
        <f ca="1">IFERROR(__xludf.DUMMYFUNCTION("""COMPUTED_VALUE"""),272.42)</f>
        <v>272.42</v>
      </c>
      <c r="D610" s="1">
        <f ca="1">IFERROR(__xludf.DUMMYFUNCTION("""COMPUTED_VALUE"""),121.68)</f>
        <v>121.68</v>
      </c>
      <c r="E610" s="1">
        <f ca="1">IFERROR(__xludf.DUMMYFUNCTION("""COMPUTED_VALUE"""),18.32)</f>
        <v>18.32</v>
      </c>
      <c r="F610" s="1">
        <f ca="1">IFERROR(__xludf.DUMMYFUNCTION("""COMPUTED_VALUE"""),188.64)</f>
        <v>188.64</v>
      </c>
      <c r="G610" s="1">
        <f ca="1">IFERROR(__xludf.DUMMYFUNCTION("""COMPUTED_VALUE"""),114.14)</f>
        <v>114.14</v>
      </c>
      <c r="H610" s="1">
        <f ca="1">IFERROR(__xludf.DUMMYFUNCTION("""COMPUTED_VALUE"""),246.79)</f>
        <v>246.79</v>
      </c>
      <c r="I610" s="1">
        <f ca="1">IFERROR(__xludf.DUMMYFUNCTION("""COMPUTED_VALUE"""),166.49)</f>
        <v>166.49</v>
      </c>
      <c r="J610" s="1">
        <f ca="1">IFERROR(__xludf.DUMMYFUNCTION("""COMPUTED_VALUE"""),456.99)</f>
        <v>456.99</v>
      </c>
      <c r="K610" s="1">
        <f ca="1">IFERROR(__xludf.DUMMYFUNCTION("""COMPUTED_VALUE"""),57.36)</f>
        <v>57.36</v>
      </c>
      <c r="L610" s="1">
        <f ca="1">IFERROR(__xludf.DUMMYFUNCTION("""COMPUTED_VALUE"""),418.16)</f>
        <v>418.16</v>
      </c>
      <c r="M610" s="1">
        <f ca="1">IFERROR(__xludf.DUMMYFUNCTION("""COMPUTED_VALUE"""),192.91)</f>
        <v>192.91</v>
      </c>
      <c r="N610" s="1">
        <f ca="1">IFERROR(__xludf.DUMMYFUNCTION("""COMPUTED_VALUE"""),129.91)</f>
        <v>129.91</v>
      </c>
      <c r="O610" s="1">
        <f ca="1">IFERROR(__xludf.DUMMYFUNCTION("""COMPUTED_VALUE"""),209.93)</f>
        <v>209.93</v>
      </c>
      <c r="P610" s="1">
        <f ca="1">IFERROR(__xludf.DUMMYFUNCTION("""COMPUTED_VALUE"""),177.71)</f>
        <v>177.71</v>
      </c>
      <c r="Q610" s="1">
        <f ca="1">IFERROR(__xludf.DUMMYFUNCTION("""COMPUTED_VALUE"""),492.55)</f>
        <v>492.55</v>
      </c>
      <c r="R610" s="1">
        <f ca="1">IFERROR(__xludf.DUMMYFUNCTION("""COMPUTED_VALUE"""),97.84)</f>
        <v>97.84</v>
      </c>
      <c r="S610" s="1">
        <f ca="1">IFERROR(__xludf.DUMMYFUNCTION("""COMPUTED_VALUE"""),76.17)</f>
        <v>76.17</v>
      </c>
      <c r="T610" s="1">
        <f ca="1">IFERROR(__xludf.DUMMYFUNCTION("""COMPUTED_VALUE"""),41.82)</f>
        <v>41.82</v>
      </c>
      <c r="U610" s="1">
        <f ca="1">IFERROR(__xludf.DUMMYFUNCTION("""COMPUTED_VALUE"""),118.68)</f>
        <v>118.68</v>
      </c>
      <c r="V610" s="1">
        <f ca="1">IFERROR(__xludf.DUMMYFUNCTION("""COMPUTED_VALUE"""),217.57)</f>
        <v>217.57</v>
      </c>
      <c r="W610" s="1">
        <f ca="1">IFERROR(__xludf.DUMMYFUNCTION("""COMPUTED_VALUE"""),439.3)</f>
        <v>439.3</v>
      </c>
      <c r="X610" s="1">
        <f ca="1">IFERROR(__xludf.DUMMYFUNCTION("""COMPUTED_VALUE"""),563.66)</f>
        <v>563.66</v>
      </c>
      <c r="Y610" s="1">
        <f ca="1">IFERROR(__xludf.DUMMYFUNCTION("""COMPUTED_VALUE"""),94.75)</f>
        <v>94.75</v>
      </c>
      <c r="Z610" s="1">
        <f ca="1">IFERROR(__xludf.DUMMYFUNCTION("""COMPUTED_VALUE"""),321.85)</f>
        <v>321.85000000000002</v>
      </c>
      <c r="AA610" s="1">
        <f ca="1">IFERROR(__xludf.DUMMYFUNCTION("""COMPUTED_VALUE"""),52.37)</f>
        <v>52.37</v>
      </c>
      <c r="AB610" s="1">
        <f ca="1">IFERROR(__xludf.DUMMYFUNCTION("""COMPUTED_VALUE"""),76.28)</f>
        <v>76.28</v>
      </c>
      <c r="AC610" s="1">
        <f ca="1">IFERROR(__xludf.DUMMYFUNCTION("""COMPUTED_VALUE"""),101.22)</f>
        <v>101.22</v>
      </c>
    </row>
    <row r="611" spans="1:29" x14ac:dyDescent="0.25">
      <c r="A611" s="2">
        <f ca="1">IFERROR(__xludf.DUMMYFUNCTION("""COMPUTED_VALUE"""),44714.6666666666)</f>
        <v>44714.666666666599</v>
      </c>
      <c r="B611" s="1">
        <f ca="1">IFERROR(__xludf.DUMMYFUNCTION("""COMPUTED_VALUE"""),151.21)</f>
        <v>151.21</v>
      </c>
      <c r="C611" s="1">
        <f ca="1">IFERROR(__xludf.DUMMYFUNCTION("""COMPUTED_VALUE"""),274.58)</f>
        <v>274.58</v>
      </c>
      <c r="D611" s="1">
        <f ca="1">IFERROR(__xludf.DUMMYFUNCTION("""COMPUTED_VALUE"""),125.51)</f>
        <v>125.51</v>
      </c>
      <c r="E611" s="1">
        <f ca="1">IFERROR(__xludf.DUMMYFUNCTION("""COMPUTED_VALUE"""),19.59)</f>
        <v>19.59</v>
      </c>
      <c r="F611" s="1">
        <f ca="1">IFERROR(__xludf.DUMMYFUNCTION("""COMPUTED_VALUE"""),198.86)</f>
        <v>198.86</v>
      </c>
      <c r="G611" s="1">
        <f ca="1">IFERROR(__xludf.DUMMYFUNCTION("""COMPUTED_VALUE"""),117.75)</f>
        <v>117.75</v>
      </c>
      <c r="H611" s="1">
        <f ca="1">IFERROR(__xludf.DUMMYFUNCTION("""COMPUTED_VALUE"""),258.33)</f>
        <v>258.33</v>
      </c>
      <c r="I611" s="1">
        <f ca="1">IFERROR(__xludf.DUMMYFUNCTION("""COMPUTED_VALUE"""),166.68)</f>
        <v>166.68</v>
      </c>
      <c r="J611" s="1">
        <f ca="1">IFERROR(__xludf.DUMMYFUNCTION("""COMPUTED_VALUE"""),487.61)</f>
        <v>487.61</v>
      </c>
      <c r="K611" s="1">
        <f ca="1">IFERROR(__xludf.DUMMYFUNCTION("""COMPUTED_VALUE"""),57.67)</f>
        <v>57.67</v>
      </c>
      <c r="L611" s="1">
        <f ca="1">IFERROR(__xludf.DUMMYFUNCTION("""COMPUTED_VALUE"""),441.28)</f>
        <v>441.28</v>
      </c>
      <c r="M611" s="1">
        <f ca="1">IFERROR(__xludf.DUMMYFUNCTION("""COMPUTED_VALUE"""),205.09)</f>
        <v>205.09</v>
      </c>
      <c r="N611" s="1">
        <f ca="1">IFERROR(__xludf.DUMMYFUNCTION("""COMPUTED_VALUE"""),132)</f>
        <v>132</v>
      </c>
      <c r="O611" s="1">
        <f ca="1">IFERROR(__xludf.DUMMYFUNCTION("""COMPUTED_VALUE"""),215.05)</f>
        <v>215.05</v>
      </c>
      <c r="P611" s="1">
        <f ca="1">IFERROR(__xludf.DUMMYFUNCTION("""COMPUTED_VALUE"""),177.15)</f>
        <v>177.15</v>
      </c>
      <c r="Q611" s="1">
        <f ca="1">IFERROR(__xludf.DUMMYFUNCTION("""COMPUTED_VALUE"""),492.26)</f>
        <v>492.26</v>
      </c>
      <c r="R611" s="1">
        <f ca="1">IFERROR(__xludf.DUMMYFUNCTION("""COMPUTED_VALUE"""),97.67)</f>
        <v>97.67</v>
      </c>
      <c r="S611" s="1">
        <f ca="1">IFERROR(__xludf.DUMMYFUNCTION("""COMPUTED_VALUE"""),78.52)</f>
        <v>78.52</v>
      </c>
      <c r="T611" s="1">
        <f ca="1">IFERROR(__xludf.DUMMYFUNCTION("""COMPUTED_VALUE"""),42.5)</f>
        <v>42.5</v>
      </c>
      <c r="U611" s="1">
        <f ca="1">IFERROR(__xludf.DUMMYFUNCTION("""COMPUTED_VALUE"""),123.41)</f>
        <v>123.41</v>
      </c>
      <c r="V611" s="1">
        <f ca="1">IFERROR(__xludf.DUMMYFUNCTION("""COMPUTED_VALUE"""),220)</f>
        <v>220</v>
      </c>
      <c r="W611" s="1">
        <f ca="1">IFERROR(__xludf.DUMMYFUNCTION("""COMPUTED_VALUE"""),441.11)</f>
        <v>441.11</v>
      </c>
      <c r="X611" s="1">
        <f ca="1">IFERROR(__xludf.DUMMYFUNCTION("""COMPUTED_VALUE"""),580.54)</f>
        <v>580.54</v>
      </c>
      <c r="Y611" s="1">
        <f ca="1">IFERROR(__xludf.DUMMYFUNCTION("""COMPUTED_VALUE"""),96.34)</f>
        <v>96.34</v>
      </c>
      <c r="Z611" s="1">
        <f ca="1">IFERROR(__xludf.DUMMYFUNCTION("""COMPUTED_VALUE"""),324.25)</f>
        <v>324.25</v>
      </c>
      <c r="AA611" s="1">
        <f ca="1">IFERROR(__xludf.DUMMYFUNCTION("""COMPUTED_VALUE"""),52.68)</f>
        <v>52.68</v>
      </c>
      <c r="AB611" s="1">
        <f ca="1">IFERROR(__xludf.DUMMYFUNCTION("""COMPUTED_VALUE"""),79.42)</f>
        <v>79.42</v>
      </c>
      <c r="AC611" s="1">
        <f ca="1">IFERROR(__xludf.DUMMYFUNCTION("""COMPUTED_VALUE"""),108.59)</f>
        <v>108.59</v>
      </c>
    </row>
    <row r="612" spans="1:29" x14ac:dyDescent="0.25">
      <c r="A612" s="2">
        <f ca="1">IFERROR(__xludf.DUMMYFUNCTION("""COMPUTED_VALUE"""),44715.6666666666)</f>
        <v>44715.666666666599</v>
      </c>
      <c r="B612" s="1">
        <f ca="1">IFERROR(__xludf.DUMMYFUNCTION("""COMPUTED_VALUE"""),145.38)</f>
        <v>145.38</v>
      </c>
      <c r="C612" s="1">
        <f ca="1">IFERROR(__xludf.DUMMYFUNCTION("""COMPUTED_VALUE"""),270.02)</f>
        <v>270.02</v>
      </c>
      <c r="D612" s="1">
        <f ca="1">IFERROR(__xludf.DUMMYFUNCTION("""COMPUTED_VALUE"""),122.35)</f>
        <v>122.35</v>
      </c>
      <c r="E612" s="1">
        <f ca="1">IFERROR(__xludf.DUMMYFUNCTION("""COMPUTED_VALUE"""),18.72)</f>
        <v>18.72</v>
      </c>
      <c r="F612" s="1">
        <f ca="1">IFERROR(__xludf.DUMMYFUNCTION("""COMPUTED_VALUE"""),190.78)</f>
        <v>190.78</v>
      </c>
      <c r="G612" s="1">
        <f ca="1">IFERROR(__xludf.DUMMYFUNCTION("""COMPUTED_VALUE"""),114.56)</f>
        <v>114.56</v>
      </c>
      <c r="H612" s="1">
        <f ca="1">IFERROR(__xludf.DUMMYFUNCTION("""COMPUTED_VALUE"""),234.52)</f>
        <v>234.52</v>
      </c>
      <c r="I612" s="1">
        <f ca="1">IFERROR(__xludf.DUMMYFUNCTION("""COMPUTED_VALUE"""),164.85)</f>
        <v>164.85</v>
      </c>
      <c r="J612" s="1">
        <f ca="1">IFERROR(__xludf.DUMMYFUNCTION("""COMPUTED_VALUE"""),476.25)</f>
        <v>476.25</v>
      </c>
      <c r="K612" s="1">
        <f ca="1">IFERROR(__xludf.DUMMYFUNCTION("""COMPUTED_VALUE"""),56.33)</f>
        <v>56.33</v>
      </c>
      <c r="L612" s="1">
        <f ca="1">IFERROR(__xludf.DUMMYFUNCTION("""COMPUTED_VALUE"""),429.76)</f>
        <v>429.76</v>
      </c>
      <c r="M612" s="1">
        <f ca="1">IFERROR(__xludf.DUMMYFUNCTION("""COMPUTED_VALUE"""),198.98)</f>
        <v>198.98</v>
      </c>
      <c r="N612" s="1">
        <f ca="1">IFERROR(__xludf.DUMMYFUNCTION("""COMPUTED_VALUE"""),130.16)</f>
        <v>130.16</v>
      </c>
      <c r="O612" s="1">
        <f ca="1">IFERROR(__xludf.DUMMYFUNCTION("""COMPUTED_VALUE"""),212.65)</f>
        <v>212.65</v>
      </c>
      <c r="P612" s="1">
        <f ca="1">IFERROR(__xludf.DUMMYFUNCTION("""COMPUTED_VALUE"""),176.42)</f>
        <v>176.42</v>
      </c>
      <c r="Q612" s="1">
        <f ca="1">IFERROR(__xludf.DUMMYFUNCTION("""COMPUTED_VALUE"""),485.61)</f>
        <v>485.61</v>
      </c>
      <c r="R612" s="1">
        <f ca="1">IFERROR(__xludf.DUMMYFUNCTION("""COMPUTED_VALUE"""),99.09)</f>
        <v>99.09</v>
      </c>
      <c r="S612" s="1">
        <f ca="1">IFERROR(__xludf.DUMMYFUNCTION("""COMPUTED_VALUE"""),78.69)</f>
        <v>78.69</v>
      </c>
      <c r="T612" s="1">
        <f ca="1">IFERROR(__xludf.DUMMYFUNCTION("""COMPUTED_VALUE"""),41.77)</f>
        <v>41.77</v>
      </c>
      <c r="U612" s="1">
        <f ca="1">IFERROR(__xludf.DUMMYFUNCTION("""COMPUTED_VALUE"""),120.95)</f>
        <v>120.95</v>
      </c>
      <c r="V612" s="1">
        <f ca="1">IFERROR(__xludf.DUMMYFUNCTION("""COMPUTED_VALUE"""),222.9)</f>
        <v>222.9</v>
      </c>
      <c r="W612" s="1">
        <f ca="1">IFERROR(__xludf.DUMMYFUNCTION("""COMPUTED_VALUE"""),442.69)</f>
        <v>442.69</v>
      </c>
      <c r="X612" s="1">
        <f ca="1">IFERROR(__xludf.DUMMYFUNCTION("""COMPUTED_VALUE"""),563.65)</f>
        <v>563.65</v>
      </c>
      <c r="Y612" s="1">
        <f ca="1">IFERROR(__xludf.DUMMYFUNCTION("""COMPUTED_VALUE"""),93.77)</f>
        <v>93.77</v>
      </c>
      <c r="Z612" s="1">
        <f ca="1">IFERROR(__xludf.DUMMYFUNCTION("""COMPUTED_VALUE"""),318.68)</f>
        <v>318.68</v>
      </c>
      <c r="AA612" s="1">
        <f ca="1">IFERROR(__xludf.DUMMYFUNCTION("""COMPUTED_VALUE"""),53.2)</f>
        <v>53.2</v>
      </c>
      <c r="AB612" s="1">
        <f ca="1">IFERROR(__xludf.DUMMYFUNCTION("""COMPUTED_VALUE"""),79.05)</f>
        <v>79.05</v>
      </c>
      <c r="AC612" s="1">
        <f ca="1">IFERROR(__xludf.DUMMYFUNCTION("""COMPUTED_VALUE"""),106.3)</f>
        <v>106.3</v>
      </c>
    </row>
    <row r="613" spans="1:29" x14ac:dyDescent="0.25">
      <c r="A613" s="2">
        <f ca="1">IFERROR(__xludf.DUMMYFUNCTION("""COMPUTED_VALUE"""),44718.6666666666)</f>
        <v>44718.666666666599</v>
      </c>
      <c r="B613" s="1">
        <f ca="1">IFERROR(__xludf.DUMMYFUNCTION("""COMPUTED_VALUE"""),146.14)</f>
        <v>146.13999999999999</v>
      </c>
      <c r="C613" s="1">
        <f ca="1">IFERROR(__xludf.DUMMYFUNCTION("""COMPUTED_VALUE"""),268.75)</f>
        <v>268.75</v>
      </c>
      <c r="D613" s="1">
        <f ca="1">IFERROR(__xludf.DUMMYFUNCTION("""COMPUTED_VALUE"""),124.79)</f>
        <v>124.79</v>
      </c>
      <c r="E613" s="1">
        <f ca="1">IFERROR(__xludf.DUMMYFUNCTION("""COMPUTED_VALUE"""),18.79)</f>
        <v>18.79</v>
      </c>
      <c r="F613" s="1">
        <f ca="1">IFERROR(__xludf.DUMMYFUNCTION("""COMPUTED_VALUE"""),194.25)</f>
        <v>194.25</v>
      </c>
      <c r="G613" s="1">
        <f ca="1">IFERROR(__xludf.DUMMYFUNCTION("""COMPUTED_VALUE"""),117.01)</f>
        <v>117.01</v>
      </c>
      <c r="H613" s="1">
        <f ca="1">IFERROR(__xludf.DUMMYFUNCTION("""COMPUTED_VALUE"""),238.28)</f>
        <v>238.28</v>
      </c>
      <c r="I613" s="1">
        <f ca="1">IFERROR(__xludf.DUMMYFUNCTION("""COMPUTED_VALUE"""),165.54)</f>
        <v>165.54</v>
      </c>
      <c r="J613" s="1">
        <f ca="1">IFERROR(__xludf.DUMMYFUNCTION("""COMPUTED_VALUE"""),472.47)</f>
        <v>472.47</v>
      </c>
      <c r="K613" s="1">
        <f ca="1">IFERROR(__xludf.DUMMYFUNCTION("""COMPUTED_VALUE"""),56.12)</f>
        <v>56.12</v>
      </c>
      <c r="L613" s="1">
        <f ca="1">IFERROR(__xludf.DUMMYFUNCTION("""COMPUTED_VALUE"""),429.46)</f>
        <v>429.46</v>
      </c>
      <c r="M613" s="1">
        <f ca="1">IFERROR(__xludf.DUMMYFUNCTION("""COMPUTED_VALUE"""),197.14)</f>
        <v>197.14</v>
      </c>
      <c r="N613" s="1">
        <f ca="1">IFERROR(__xludf.DUMMYFUNCTION("""COMPUTED_VALUE"""),129.73)</f>
        <v>129.72999999999999</v>
      </c>
      <c r="O613" s="1">
        <f ca="1">IFERROR(__xludf.DUMMYFUNCTION("""COMPUTED_VALUE"""),212.94)</f>
        <v>212.94</v>
      </c>
      <c r="P613" s="1">
        <f ca="1">IFERROR(__xludf.DUMMYFUNCTION("""COMPUTED_VALUE"""),176.4)</f>
        <v>176.4</v>
      </c>
      <c r="Q613" s="1">
        <f ca="1">IFERROR(__xludf.DUMMYFUNCTION("""COMPUTED_VALUE"""),490.18)</f>
        <v>490.18</v>
      </c>
      <c r="R613" s="1">
        <f ca="1">IFERROR(__xludf.DUMMYFUNCTION("""COMPUTED_VALUE"""),98.84)</f>
        <v>98.84</v>
      </c>
      <c r="S613" s="1">
        <f ca="1">IFERROR(__xludf.DUMMYFUNCTION("""COMPUTED_VALUE"""),80.19)</f>
        <v>80.19</v>
      </c>
      <c r="T613" s="1">
        <f ca="1">IFERROR(__xludf.DUMMYFUNCTION("""COMPUTED_VALUE"""),41.62)</f>
        <v>41.62</v>
      </c>
      <c r="U613" s="1">
        <f ca="1">IFERROR(__xludf.DUMMYFUNCTION("""COMPUTED_VALUE"""),120.23)</f>
        <v>120.23</v>
      </c>
      <c r="V613" s="1">
        <f ca="1">IFERROR(__xludf.DUMMYFUNCTION("""COMPUTED_VALUE"""),223.63)</f>
        <v>223.63</v>
      </c>
      <c r="W613" s="1">
        <f ca="1">IFERROR(__xludf.DUMMYFUNCTION("""COMPUTED_VALUE"""),443.41)</f>
        <v>443.41</v>
      </c>
      <c r="X613" s="1">
        <f ca="1">IFERROR(__xludf.DUMMYFUNCTION("""COMPUTED_VALUE"""),571.69)</f>
        <v>571.69000000000005</v>
      </c>
      <c r="Y613" s="1">
        <f ca="1">IFERROR(__xludf.DUMMYFUNCTION("""COMPUTED_VALUE"""),93.11)</f>
        <v>93.11</v>
      </c>
      <c r="Z613" s="1">
        <f ca="1">IFERROR(__xludf.DUMMYFUNCTION("""COMPUTED_VALUE"""),320.51)</f>
        <v>320.51</v>
      </c>
      <c r="AA613" s="1">
        <f ca="1">IFERROR(__xludf.DUMMYFUNCTION("""COMPUTED_VALUE"""),53.26)</f>
        <v>53.26</v>
      </c>
      <c r="AB613" s="1">
        <f ca="1">IFERROR(__xludf.DUMMYFUNCTION("""COMPUTED_VALUE"""),78.98)</f>
        <v>78.98</v>
      </c>
      <c r="AC613" s="1">
        <f ca="1">IFERROR(__xludf.DUMMYFUNCTION("""COMPUTED_VALUE"""),105.65)</f>
        <v>105.65</v>
      </c>
    </row>
    <row r="614" spans="1:29" x14ac:dyDescent="0.25">
      <c r="A614" s="2">
        <f ca="1">IFERROR(__xludf.DUMMYFUNCTION("""COMPUTED_VALUE"""),44719.6666666666)</f>
        <v>44719.666666666599</v>
      </c>
      <c r="B614" s="1">
        <f ca="1">IFERROR(__xludf.DUMMYFUNCTION("""COMPUTED_VALUE"""),148.71)</f>
        <v>148.71</v>
      </c>
      <c r="C614" s="1">
        <f ca="1">IFERROR(__xludf.DUMMYFUNCTION("""COMPUTED_VALUE"""),272.5)</f>
        <v>272.5</v>
      </c>
      <c r="D614" s="1">
        <f ca="1">IFERROR(__xludf.DUMMYFUNCTION("""COMPUTED_VALUE"""),123)</f>
        <v>123</v>
      </c>
      <c r="E614" s="1">
        <f ca="1">IFERROR(__xludf.DUMMYFUNCTION("""COMPUTED_VALUE"""),18.93)</f>
        <v>18.93</v>
      </c>
      <c r="F614" s="1">
        <f ca="1">IFERROR(__xludf.DUMMYFUNCTION("""COMPUTED_VALUE"""),195.65)</f>
        <v>195.65</v>
      </c>
      <c r="G614" s="1">
        <f ca="1">IFERROR(__xludf.DUMMYFUNCTION("""COMPUTED_VALUE"""),117.23)</f>
        <v>117.23</v>
      </c>
      <c r="H614" s="1">
        <f ca="1">IFERROR(__xludf.DUMMYFUNCTION("""COMPUTED_VALUE"""),238.89)</f>
        <v>238.89</v>
      </c>
      <c r="I614" s="1">
        <f ca="1">IFERROR(__xludf.DUMMYFUNCTION("""COMPUTED_VALUE"""),166.56)</f>
        <v>166.56</v>
      </c>
      <c r="J614" s="1">
        <f ca="1">IFERROR(__xludf.DUMMYFUNCTION("""COMPUTED_VALUE"""),471.78)</f>
        <v>471.78</v>
      </c>
      <c r="K614" s="1">
        <f ca="1">IFERROR(__xludf.DUMMYFUNCTION("""COMPUTED_VALUE"""),57.3)</f>
        <v>57.3</v>
      </c>
      <c r="L614" s="1">
        <f ca="1">IFERROR(__xludf.DUMMYFUNCTION("""COMPUTED_VALUE"""),433.42)</f>
        <v>433.42</v>
      </c>
      <c r="M614" s="1">
        <f ca="1">IFERROR(__xludf.DUMMYFUNCTION("""COMPUTED_VALUE"""),198.61)</f>
        <v>198.61</v>
      </c>
      <c r="N614" s="1">
        <f ca="1">IFERROR(__xludf.DUMMYFUNCTION("""COMPUTED_VALUE"""),130.07)</f>
        <v>130.07</v>
      </c>
      <c r="O614" s="1">
        <f ca="1">IFERROR(__xludf.DUMMYFUNCTION("""COMPUTED_VALUE"""),214.5)</f>
        <v>214.5</v>
      </c>
      <c r="P614" s="1">
        <f ca="1">IFERROR(__xludf.DUMMYFUNCTION("""COMPUTED_VALUE"""),178.34)</f>
        <v>178.34</v>
      </c>
      <c r="Q614" s="1">
        <f ca="1">IFERROR(__xludf.DUMMYFUNCTION("""COMPUTED_VALUE"""),497.1)</f>
        <v>497.1</v>
      </c>
      <c r="R614" s="1">
        <f ca="1">IFERROR(__xludf.DUMMYFUNCTION("""COMPUTED_VALUE"""),103.37)</f>
        <v>103.37</v>
      </c>
      <c r="S614" s="1">
        <f ca="1">IFERROR(__xludf.DUMMYFUNCTION("""COMPUTED_VALUE"""),79.78)</f>
        <v>79.78</v>
      </c>
      <c r="T614" s="1">
        <f ca="1">IFERROR(__xludf.DUMMYFUNCTION("""COMPUTED_VALUE"""),41.12)</f>
        <v>41.12</v>
      </c>
      <c r="U614" s="1">
        <f ca="1">IFERROR(__xludf.DUMMYFUNCTION("""COMPUTED_VALUE"""),121.67)</f>
        <v>121.67</v>
      </c>
      <c r="V614" s="1">
        <f ca="1">IFERROR(__xludf.DUMMYFUNCTION("""COMPUTED_VALUE"""),227.1)</f>
        <v>227.1</v>
      </c>
      <c r="W614" s="1">
        <f ca="1">IFERROR(__xludf.DUMMYFUNCTION("""COMPUTED_VALUE"""),456.3)</f>
        <v>456.3</v>
      </c>
      <c r="X614" s="1">
        <f ca="1">IFERROR(__xludf.DUMMYFUNCTION("""COMPUTED_VALUE"""),577.01)</f>
        <v>577.01</v>
      </c>
      <c r="Y614" s="1">
        <f ca="1">IFERROR(__xludf.DUMMYFUNCTION("""COMPUTED_VALUE"""),93.84)</f>
        <v>93.84</v>
      </c>
      <c r="Z614" s="1">
        <f ca="1">IFERROR(__xludf.DUMMYFUNCTION("""COMPUTED_VALUE"""),321.51)</f>
        <v>321.51</v>
      </c>
      <c r="AA614" s="1">
        <f ca="1">IFERROR(__xludf.DUMMYFUNCTION("""COMPUTED_VALUE"""),53.96)</f>
        <v>53.96</v>
      </c>
      <c r="AB614" s="1">
        <f ca="1">IFERROR(__xludf.DUMMYFUNCTION("""COMPUTED_VALUE"""),79.47)</f>
        <v>79.47</v>
      </c>
      <c r="AC614" s="1">
        <f ca="1">IFERROR(__xludf.DUMMYFUNCTION("""COMPUTED_VALUE"""),105.28)</f>
        <v>105.28</v>
      </c>
    </row>
    <row r="615" spans="1:29" x14ac:dyDescent="0.25">
      <c r="A615" s="2">
        <f ca="1">IFERROR(__xludf.DUMMYFUNCTION("""COMPUTED_VALUE"""),44720.6666666666)</f>
        <v>44720.666666666599</v>
      </c>
      <c r="B615" s="1">
        <f ca="1">IFERROR(__xludf.DUMMYFUNCTION("""COMPUTED_VALUE"""),147.96)</f>
        <v>147.96</v>
      </c>
      <c r="C615" s="1">
        <f ca="1">IFERROR(__xludf.DUMMYFUNCTION("""COMPUTED_VALUE"""),270.41)</f>
        <v>270.41000000000003</v>
      </c>
      <c r="D615" s="1">
        <f ca="1">IFERROR(__xludf.DUMMYFUNCTION("""COMPUTED_VALUE"""),121.18)</f>
        <v>121.18</v>
      </c>
      <c r="E615" s="1">
        <f ca="1">IFERROR(__xludf.DUMMYFUNCTION("""COMPUTED_VALUE"""),18.65)</f>
        <v>18.649999999999999</v>
      </c>
      <c r="F615" s="1">
        <f ca="1">IFERROR(__xludf.DUMMYFUNCTION("""COMPUTED_VALUE"""),196.64)</f>
        <v>196.64</v>
      </c>
      <c r="G615" s="1">
        <f ca="1">IFERROR(__xludf.DUMMYFUNCTION("""COMPUTED_VALUE"""),117.24)</f>
        <v>117.24</v>
      </c>
      <c r="H615" s="1">
        <f ca="1">IFERROR(__xludf.DUMMYFUNCTION("""COMPUTED_VALUE"""),241.87)</f>
        <v>241.87</v>
      </c>
      <c r="I615" s="1">
        <f ca="1">IFERROR(__xludf.DUMMYFUNCTION("""COMPUTED_VALUE"""),165.73)</f>
        <v>165.73</v>
      </c>
      <c r="J615" s="1">
        <f ca="1">IFERROR(__xludf.DUMMYFUNCTION("""COMPUTED_VALUE"""),467.99)</f>
        <v>467.99</v>
      </c>
      <c r="K615" s="1">
        <f ca="1">IFERROR(__xludf.DUMMYFUNCTION("""COMPUTED_VALUE"""),56.54)</f>
        <v>56.54</v>
      </c>
      <c r="L615" s="1">
        <f ca="1">IFERROR(__xludf.DUMMYFUNCTION("""COMPUTED_VALUE"""),428.84)</f>
        <v>428.84</v>
      </c>
      <c r="M615" s="1">
        <f ca="1">IFERROR(__xludf.DUMMYFUNCTION("""COMPUTED_VALUE"""),202.83)</f>
        <v>202.83</v>
      </c>
      <c r="N615" s="1">
        <f ca="1">IFERROR(__xludf.DUMMYFUNCTION("""COMPUTED_VALUE"""),128)</f>
        <v>128</v>
      </c>
      <c r="O615" s="1">
        <f ca="1">IFERROR(__xludf.DUMMYFUNCTION("""COMPUTED_VALUE"""),213.5)</f>
        <v>213.5</v>
      </c>
      <c r="P615" s="1">
        <f ca="1">IFERROR(__xludf.DUMMYFUNCTION("""COMPUTED_VALUE"""),177.28)</f>
        <v>177.28</v>
      </c>
      <c r="Q615" s="1">
        <f ca="1">IFERROR(__xludf.DUMMYFUNCTION("""COMPUTED_VALUE"""),493.53)</f>
        <v>493.53</v>
      </c>
      <c r="R615" s="1">
        <f ca="1">IFERROR(__xludf.DUMMYFUNCTION("""COMPUTED_VALUE"""),104.59)</f>
        <v>104.59</v>
      </c>
      <c r="S615" s="1">
        <f ca="1">IFERROR(__xludf.DUMMYFUNCTION("""COMPUTED_VALUE"""),78.49)</f>
        <v>78.489999999999995</v>
      </c>
      <c r="T615" s="1">
        <f ca="1">IFERROR(__xludf.DUMMYFUNCTION("""COMPUTED_VALUE"""),40.77)</f>
        <v>40.770000000000003</v>
      </c>
      <c r="U615" s="1">
        <f ca="1">IFERROR(__xludf.DUMMYFUNCTION("""COMPUTED_VALUE"""),122.4)</f>
        <v>122.4</v>
      </c>
      <c r="V615" s="1">
        <f ca="1">IFERROR(__xludf.DUMMYFUNCTION("""COMPUTED_VALUE"""),229.8)</f>
        <v>229.8</v>
      </c>
      <c r="W615" s="1">
        <f ca="1">IFERROR(__xludf.DUMMYFUNCTION("""COMPUTED_VALUE"""),443.41)</f>
        <v>443.41</v>
      </c>
      <c r="X615" s="1">
        <f ca="1">IFERROR(__xludf.DUMMYFUNCTION("""COMPUTED_VALUE"""),567.44)</f>
        <v>567.44000000000005</v>
      </c>
      <c r="Y615" s="1">
        <f ca="1">IFERROR(__xludf.DUMMYFUNCTION("""COMPUTED_VALUE"""),93.47)</f>
        <v>93.47</v>
      </c>
      <c r="Z615" s="1">
        <f ca="1">IFERROR(__xludf.DUMMYFUNCTION("""COMPUTED_VALUE"""),314.68)</f>
        <v>314.68</v>
      </c>
      <c r="AA615" s="1">
        <f ca="1">IFERROR(__xludf.DUMMYFUNCTION("""COMPUTED_VALUE"""),53.47)</f>
        <v>53.47</v>
      </c>
      <c r="AB615" s="1">
        <f ca="1">IFERROR(__xludf.DUMMYFUNCTION("""COMPUTED_VALUE"""),78.47)</f>
        <v>78.47</v>
      </c>
      <c r="AC615" s="1">
        <f ca="1">IFERROR(__xludf.DUMMYFUNCTION("""COMPUTED_VALUE"""),101.9)</f>
        <v>101.9</v>
      </c>
    </row>
    <row r="616" spans="1:29" x14ac:dyDescent="0.25">
      <c r="A616" s="2">
        <f ca="1">IFERROR(__xludf.DUMMYFUNCTION("""COMPUTED_VALUE"""),44721.6666666666)</f>
        <v>44721.666666666599</v>
      </c>
      <c r="B616" s="1">
        <f ca="1">IFERROR(__xludf.DUMMYFUNCTION("""COMPUTED_VALUE"""),142.64)</f>
        <v>142.63999999999999</v>
      </c>
      <c r="C616" s="1">
        <f ca="1">IFERROR(__xludf.DUMMYFUNCTION("""COMPUTED_VALUE"""),264.79)</f>
        <v>264.79000000000002</v>
      </c>
      <c r="D616" s="1">
        <f ca="1">IFERROR(__xludf.DUMMYFUNCTION("""COMPUTED_VALUE"""),116.15)</f>
        <v>116.15</v>
      </c>
      <c r="E616" s="1">
        <f ca="1">IFERROR(__xludf.DUMMYFUNCTION("""COMPUTED_VALUE"""),18.05)</f>
        <v>18.05</v>
      </c>
      <c r="F616" s="1">
        <f ca="1">IFERROR(__xludf.DUMMYFUNCTION("""COMPUTED_VALUE"""),184)</f>
        <v>184</v>
      </c>
      <c r="G616" s="1">
        <f ca="1">IFERROR(__xludf.DUMMYFUNCTION("""COMPUTED_VALUE"""),114.92)</f>
        <v>114.92</v>
      </c>
      <c r="H616" s="1">
        <f ca="1">IFERROR(__xludf.DUMMYFUNCTION("""COMPUTED_VALUE"""),239.71)</f>
        <v>239.71</v>
      </c>
      <c r="I616" s="1">
        <f ca="1">IFERROR(__xludf.DUMMYFUNCTION("""COMPUTED_VALUE"""),162.78)</f>
        <v>162.78</v>
      </c>
      <c r="J616" s="1">
        <f ca="1">IFERROR(__xludf.DUMMYFUNCTION("""COMPUTED_VALUE"""),472.05)</f>
        <v>472.05</v>
      </c>
      <c r="K616" s="1">
        <f ca="1">IFERROR(__xludf.DUMMYFUNCTION("""COMPUTED_VALUE"""),55.62)</f>
        <v>55.62</v>
      </c>
      <c r="L616" s="1">
        <f ca="1">IFERROR(__xludf.DUMMYFUNCTION("""COMPUTED_VALUE"""),426.42)</f>
        <v>426.42</v>
      </c>
      <c r="M616" s="1">
        <f ca="1">IFERROR(__xludf.DUMMYFUNCTION("""COMPUTED_VALUE"""),192.77)</f>
        <v>192.77</v>
      </c>
      <c r="N616" s="1">
        <f ca="1">IFERROR(__xludf.DUMMYFUNCTION("""COMPUTED_VALUE"""),125.31)</f>
        <v>125.31</v>
      </c>
      <c r="O616" s="1">
        <f ca="1">IFERROR(__xludf.DUMMYFUNCTION("""COMPUTED_VALUE"""),206.11)</f>
        <v>206.11</v>
      </c>
      <c r="P616" s="1">
        <f ca="1">IFERROR(__xludf.DUMMYFUNCTION("""COMPUTED_VALUE"""),173.71)</f>
        <v>173.71</v>
      </c>
      <c r="Q616" s="1">
        <f ca="1">IFERROR(__xludf.DUMMYFUNCTION("""COMPUTED_VALUE"""),489.43)</f>
        <v>489.43</v>
      </c>
      <c r="R616" s="1">
        <f ca="1">IFERROR(__xludf.DUMMYFUNCTION("""COMPUTED_VALUE"""),102.33)</f>
        <v>102.33</v>
      </c>
      <c r="S616" s="1">
        <f ca="1">IFERROR(__xludf.DUMMYFUNCTION("""COMPUTED_VALUE"""),77.34)</f>
        <v>77.34</v>
      </c>
      <c r="T616" s="1">
        <f ca="1">IFERROR(__xludf.DUMMYFUNCTION("""COMPUTED_VALUE"""),40.34)</f>
        <v>40.340000000000003</v>
      </c>
      <c r="U616" s="1">
        <f ca="1">IFERROR(__xludf.DUMMYFUNCTION("""COMPUTED_VALUE"""),118.6)</f>
        <v>118.6</v>
      </c>
      <c r="V616" s="1">
        <f ca="1">IFERROR(__xludf.DUMMYFUNCTION("""COMPUTED_VALUE"""),223.67)</f>
        <v>223.67</v>
      </c>
      <c r="W616" s="1">
        <f ca="1">IFERROR(__xludf.DUMMYFUNCTION("""COMPUTED_VALUE"""),432.72)</f>
        <v>432.72</v>
      </c>
      <c r="X616" s="1">
        <f ca="1">IFERROR(__xludf.DUMMYFUNCTION("""COMPUTED_VALUE"""),542.41)</f>
        <v>542.41</v>
      </c>
      <c r="Y616" s="1">
        <f ca="1">IFERROR(__xludf.DUMMYFUNCTION("""COMPUTED_VALUE"""),90.85)</f>
        <v>90.85</v>
      </c>
      <c r="Z616" s="1">
        <f ca="1">IFERROR(__xludf.DUMMYFUNCTION("""COMPUTED_VALUE"""),304.22)</f>
        <v>304.22000000000003</v>
      </c>
      <c r="AA616" s="1">
        <f ca="1">IFERROR(__xludf.DUMMYFUNCTION("""COMPUTED_VALUE"""),51.78)</f>
        <v>51.78</v>
      </c>
      <c r="AB616" s="1">
        <f ca="1">IFERROR(__xludf.DUMMYFUNCTION("""COMPUTED_VALUE"""),78.91)</f>
        <v>78.91</v>
      </c>
      <c r="AC616" s="1">
        <f ca="1">IFERROR(__xludf.DUMMYFUNCTION("""COMPUTED_VALUE"""),98.8)</f>
        <v>98.8</v>
      </c>
    </row>
    <row r="617" spans="1:29" x14ac:dyDescent="0.25">
      <c r="A617" s="2">
        <f ca="1">IFERROR(__xludf.DUMMYFUNCTION("""COMPUTED_VALUE"""),44722.6666666666)</f>
        <v>44722.666666666599</v>
      </c>
      <c r="B617" s="1">
        <f ca="1">IFERROR(__xludf.DUMMYFUNCTION("""COMPUTED_VALUE"""),137.13)</f>
        <v>137.13</v>
      </c>
      <c r="C617" s="1">
        <f ca="1">IFERROR(__xludf.DUMMYFUNCTION("""COMPUTED_VALUE"""),252.99)</f>
        <v>252.99</v>
      </c>
      <c r="D617" s="1">
        <f ca="1">IFERROR(__xludf.DUMMYFUNCTION("""COMPUTED_VALUE"""),109.65)</f>
        <v>109.65</v>
      </c>
      <c r="E617" s="1">
        <f ca="1">IFERROR(__xludf.DUMMYFUNCTION("""COMPUTED_VALUE"""),16.97)</f>
        <v>16.97</v>
      </c>
      <c r="F617" s="1">
        <f ca="1">IFERROR(__xludf.DUMMYFUNCTION("""COMPUTED_VALUE"""),175.57)</f>
        <v>175.57</v>
      </c>
      <c r="G617" s="1">
        <f ca="1">IFERROR(__xludf.DUMMYFUNCTION("""COMPUTED_VALUE"""),111.43)</f>
        <v>111.43</v>
      </c>
      <c r="H617" s="1">
        <f ca="1">IFERROR(__xludf.DUMMYFUNCTION("""COMPUTED_VALUE"""),232.23)</f>
        <v>232.23</v>
      </c>
      <c r="I617" s="1">
        <f ca="1">IFERROR(__xludf.DUMMYFUNCTION("""COMPUTED_VALUE"""),162.52)</f>
        <v>162.52000000000001</v>
      </c>
      <c r="J617" s="1">
        <f ca="1">IFERROR(__xludf.DUMMYFUNCTION("""COMPUTED_VALUE"""),463.31)</f>
        <v>463.31</v>
      </c>
      <c r="K617" s="1">
        <f ca="1">IFERROR(__xludf.DUMMYFUNCTION("""COMPUTED_VALUE"""),54.13)</f>
        <v>54.13</v>
      </c>
      <c r="L617" s="1">
        <f ca="1">IFERROR(__xludf.DUMMYFUNCTION("""COMPUTED_VALUE"""),393.84)</f>
        <v>393.84</v>
      </c>
      <c r="M617" s="1">
        <f ca="1">IFERROR(__xludf.DUMMYFUNCTION("""COMPUTED_VALUE"""),182.94)</f>
        <v>182.94</v>
      </c>
      <c r="N617" s="1">
        <f ca="1">IFERROR(__xludf.DUMMYFUNCTION("""COMPUTED_VALUE"""),119.55)</f>
        <v>119.55</v>
      </c>
      <c r="O617" s="1">
        <f ca="1">IFERROR(__xludf.DUMMYFUNCTION("""COMPUTED_VALUE"""),199.51)</f>
        <v>199.51</v>
      </c>
      <c r="P617" s="1">
        <f ca="1">IFERROR(__xludf.DUMMYFUNCTION("""COMPUTED_VALUE"""),172.55)</f>
        <v>172.55</v>
      </c>
      <c r="Q617" s="1">
        <f ca="1">IFERROR(__xludf.DUMMYFUNCTION("""COMPUTED_VALUE"""),484.63)</f>
        <v>484.63</v>
      </c>
      <c r="R617" s="1">
        <f ca="1">IFERROR(__xludf.DUMMYFUNCTION("""COMPUTED_VALUE"""),100.46)</f>
        <v>100.46</v>
      </c>
      <c r="S617" s="1">
        <f ca="1">IFERROR(__xludf.DUMMYFUNCTION("""COMPUTED_VALUE"""),75.91)</f>
        <v>75.91</v>
      </c>
      <c r="T617" s="1">
        <f ca="1">IFERROR(__xludf.DUMMYFUNCTION("""COMPUTED_VALUE"""),40.57)</f>
        <v>40.57</v>
      </c>
      <c r="U617" s="1">
        <f ca="1">IFERROR(__xludf.DUMMYFUNCTION("""COMPUTED_VALUE"""),114.73)</f>
        <v>114.73</v>
      </c>
      <c r="V617" s="1">
        <f ca="1">IFERROR(__xludf.DUMMYFUNCTION("""COMPUTED_VALUE"""),215.18)</f>
        <v>215.18</v>
      </c>
      <c r="W617" s="1">
        <f ca="1">IFERROR(__xludf.DUMMYFUNCTION("""COMPUTED_VALUE"""),430.19)</f>
        <v>430.19</v>
      </c>
      <c r="X617" s="1">
        <f ca="1">IFERROR(__xludf.DUMMYFUNCTION("""COMPUTED_VALUE"""),521.53)</f>
        <v>521.53</v>
      </c>
      <c r="Y617" s="1">
        <f ca="1">IFERROR(__xludf.DUMMYFUNCTION("""COMPUTED_VALUE"""),88.68)</f>
        <v>88.68</v>
      </c>
      <c r="Z617" s="1">
        <f ca="1">IFERROR(__xludf.DUMMYFUNCTION("""COMPUTED_VALUE"""),287.02)</f>
        <v>287.02</v>
      </c>
      <c r="AA617" s="1">
        <f ca="1">IFERROR(__xludf.DUMMYFUNCTION("""COMPUTED_VALUE"""),49.97)</f>
        <v>49.97</v>
      </c>
      <c r="AB617" s="1">
        <f ca="1">IFERROR(__xludf.DUMMYFUNCTION("""COMPUTED_VALUE"""),75.67)</f>
        <v>75.67</v>
      </c>
      <c r="AC617" s="1">
        <f ca="1">IFERROR(__xludf.DUMMYFUNCTION("""COMPUTED_VALUE"""),94.82)</f>
        <v>94.82</v>
      </c>
    </row>
    <row r="618" spans="1:29" x14ac:dyDescent="0.25">
      <c r="A618" s="2">
        <f ca="1">IFERROR(__xludf.DUMMYFUNCTION("""COMPUTED_VALUE"""),44725.6666666666)</f>
        <v>44725.666666666599</v>
      </c>
      <c r="B618" s="1">
        <f ca="1">IFERROR(__xludf.DUMMYFUNCTION("""COMPUTED_VALUE"""),131.88)</f>
        <v>131.88</v>
      </c>
      <c r="C618" s="1">
        <f ca="1">IFERROR(__xludf.DUMMYFUNCTION("""COMPUTED_VALUE"""),242.26)</f>
        <v>242.26</v>
      </c>
      <c r="D618" s="1">
        <f ca="1">IFERROR(__xludf.DUMMYFUNCTION("""COMPUTED_VALUE"""),103.67)</f>
        <v>103.67</v>
      </c>
      <c r="E618" s="1">
        <f ca="1">IFERROR(__xludf.DUMMYFUNCTION("""COMPUTED_VALUE"""),15.65)</f>
        <v>15.65</v>
      </c>
      <c r="F618" s="1">
        <f ca="1">IFERROR(__xludf.DUMMYFUNCTION("""COMPUTED_VALUE"""),164.26)</f>
        <v>164.26</v>
      </c>
      <c r="G618" s="1">
        <f ca="1">IFERROR(__xludf.DUMMYFUNCTION("""COMPUTED_VALUE"""),106.88)</f>
        <v>106.88</v>
      </c>
      <c r="H618" s="1">
        <f ca="1">IFERROR(__xludf.DUMMYFUNCTION("""COMPUTED_VALUE"""),215.74)</f>
        <v>215.74</v>
      </c>
      <c r="I618" s="1">
        <f ca="1">IFERROR(__xludf.DUMMYFUNCTION("""COMPUTED_VALUE"""),159.74)</f>
        <v>159.74</v>
      </c>
      <c r="J618" s="1">
        <f ca="1">IFERROR(__xludf.DUMMYFUNCTION("""COMPUTED_VALUE"""),452.25)</f>
        <v>452.25</v>
      </c>
      <c r="K618" s="1">
        <f ca="1">IFERROR(__xludf.DUMMYFUNCTION("""COMPUTED_VALUE"""),51.76)</f>
        <v>51.76</v>
      </c>
      <c r="L618" s="1">
        <f ca="1">IFERROR(__xludf.DUMMYFUNCTION("""COMPUTED_VALUE"""),371.65)</f>
        <v>371.65</v>
      </c>
      <c r="M618" s="1">
        <f ca="1">IFERROR(__xludf.DUMMYFUNCTION("""COMPUTED_VALUE"""),169.69)</f>
        <v>169.69</v>
      </c>
      <c r="N618" s="1">
        <f ca="1">IFERROR(__xludf.DUMMYFUNCTION("""COMPUTED_VALUE"""),115.99)</f>
        <v>115.99</v>
      </c>
      <c r="O618" s="1">
        <f ca="1">IFERROR(__xludf.DUMMYFUNCTION("""COMPUTED_VALUE"""),192.26)</f>
        <v>192.26</v>
      </c>
      <c r="P618" s="1">
        <f ca="1">IFERROR(__xludf.DUMMYFUNCTION("""COMPUTED_VALUE"""),170.81)</f>
        <v>170.81</v>
      </c>
      <c r="Q618" s="1">
        <f ca="1">IFERROR(__xludf.DUMMYFUNCTION("""COMPUTED_VALUE"""),469.7)</f>
        <v>469.7</v>
      </c>
      <c r="R618" s="1">
        <f ca="1">IFERROR(__xludf.DUMMYFUNCTION("""COMPUTED_VALUE"""),95.85)</f>
        <v>95.85</v>
      </c>
      <c r="S618" s="1">
        <f ca="1">IFERROR(__xludf.DUMMYFUNCTION("""COMPUTED_VALUE"""),72.41)</f>
        <v>72.41</v>
      </c>
      <c r="T618" s="1">
        <f ca="1">IFERROR(__xludf.DUMMYFUNCTION("""COMPUTED_VALUE"""),39.8)</f>
        <v>39.799999999999997</v>
      </c>
      <c r="U618" s="1">
        <f ca="1">IFERROR(__xludf.DUMMYFUNCTION("""COMPUTED_VALUE"""),110.44)</f>
        <v>110.44</v>
      </c>
      <c r="V618" s="1">
        <f ca="1">IFERROR(__xludf.DUMMYFUNCTION("""COMPUTED_VALUE"""),206.88)</f>
        <v>206.88</v>
      </c>
      <c r="W618" s="1">
        <f ca="1">IFERROR(__xludf.DUMMYFUNCTION("""COMPUTED_VALUE"""),423.93)</f>
        <v>423.93</v>
      </c>
      <c r="X618" s="1">
        <f ca="1">IFERROR(__xludf.DUMMYFUNCTION("""COMPUTED_VALUE"""),493.58)</f>
        <v>493.58</v>
      </c>
      <c r="Y618" s="1">
        <f ca="1">IFERROR(__xludf.DUMMYFUNCTION("""COMPUTED_VALUE"""),85.55)</f>
        <v>85.55</v>
      </c>
      <c r="Z618" s="1">
        <f ca="1">IFERROR(__xludf.DUMMYFUNCTION("""COMPUTED_VALUE"""),283.32)</f>
        <v>283.32</v>
      </c>
      <c r="AA618" s="1">
        <f ca="1">IFERROR(__xludf.DUMMYFUNCTION("""COMPUTED_VALUE"""),47.91)</f>
        <v>47.91</v>
      </c>
      <c r="AB618" s="1">
        <f ca="1">IFERROR(__xludf.DUMMYFUNCTION("""COMPUTED_VALUE"""),72.36)</f>
        <v>72.36</v>
      </c>
      <c r="AC618" s="1">
        <f ca="1">IFERROR(__xludf.DUMMYFUNCTION("""COMPUTED_VALUE"""),86.99)</f>
        <v>86.99</v>
      </c>
    </row>
    <row r="619" spans="1:29" x14ac:dyDescent="0.25">
      <c r="A619" s="2">
        <f ca="1">IFERROR(__xludf.DUMMYFUNCTION("""COMPUTED_VALUE"""),44726.6666666666)</f>
        <v>44726.666666666599</v>
      </c>
      <c r="B619" s="1">
        <f ca="1">IFERROR(__xludf.DUMMYFUNCTION("""COMPUTED_VALUE"""),132.76)</f>
        <v>132.76</v>
      </c>
      <c r="C619" s="1">
        <f ca="1">IFERROR(__xludf.DUMMYFUNCTION("""COMPUTED_VALUE"""),244.49)</f>
        <v>244.49</v>
      </c>
      <c r="D619" s="1">
        <f ca="1">IFERROR(__xludf.DUMMYFUNCTION("""COMPUTED_VALUE"""),102.31)</f>
        <v>102.31</v>
      </c>
      <c r="E619" s="1">
        <f ca="1">IFERROR(__xludf.DUMMYFUNCTION("""COMPUTED_VALUE"""),15.84)</f>
        <v>15.84</v>
      </c>
      <c r="F619" s="1">
        <f ca="1">IFERROR(__xludf.DUMMYFUNCTION("""COMPUTED_VALUE"""),163.73)</f>
        <v>163.72999999999999</v>
      </c>
      <c r="G619" s="1">
        <f ca="1">IFERROR(__xludf.DUMMYFUNCTION("""COMPUTED_VALUE"""),107.19)</f>
        <v>107.19</v>
      </c>
      <c r="H619" s="1">
        <f ca="1">IFERROR(__xludf.DUMMYFUNCTION("""COMPUTED_VALUE"""),220.89)</f>
        <v>220.89</v>
      </c>
      <c r="I619" s="1">
        <f ca="1">IFERROR(__xludf.DUMMYFUNCTION("""COMPUTED_VALUE"""),156.12)</f>
        <v>156.12</v>
      </c>
      <c r="J619" s="1">
        <f ca="1">IFERROR(__xludf.DUMMYFUNCTION("""COMPUTED_VALUE"""),454.8)</f>
        <v>454.8</v>
      </c>
      <c r="K619" s="1">
        <f ca="1">IFERROR(__xludf.DUMMYFUNCTION("""COMPUTED_VALUE"""),52.02)</f>
        <v>52.02</v>
      </c>
      <c r="L619" s="1">
        <f ca="1">IFERROR(__xludf.DUMMYFUNCTION("""COMPUTED_VALUE"""),370.82)</f>
        <v>370.82</v>
      </c>
      <c r="M619" s="1">
        <f ca="1">IFERROR(__xludf.DUMMYFUNCTION("""COMPUTED_VALUE"""),167.54)</f>
        <v>167.54</v>
      </c>
      <c r="N619" s="1">
        <f ca="1">IFERROR(__xludf.DUMMYFUNCTION("""COMPUTED_VALUE"""),114.06)</f>
        <v>114.06</v>
      </c>
      <c r="O619" s="1">
        <f ca="1">IFERROR(__xludf.DUMMYFUNCTION("""COMPUTED_VALUE"""),193.52)</f>
        <v>193.52</v>
      </c>
      <c r="P619" s="1">
        <f ca="1">IFERROR(__xludf.DUMMYFUNCTION("""COMPUTED_VALUE"""),168.19)</f>
        <v>168.19</v>
      </c>
      <c r="Q619" s="1">
        <f ca="1">IFERROR(__xludf.DUMMYFUNCTION("""COMPUTED_VALUE"""),461.75)</f>
        <v>461.75</v>
      </c>
      <c r="R619" s="1">
        <f ca="1">IFERROR(__xludf.DUMMYFUNCTION("""COMPUTED_VALUE"""),96.1)</f>
        <v>96.1</v>
      </c>
      <c r="S619" s="1">
        <f ca="1">IFERROR(__xludf.DUMMYFUNCTION("""COMPUTED_VALUE"""),71.48)</f>
        <v>71.48</v>
      </c>
      <c r="T619" s="1">
        <f ca="1">IFERROR(__xludf.DUMMYFUNCTION("""COMPUTED_VALUE"""),39.82)</f>
        <v>39.82</v>
      </c>
      <c r="U619" s="1">
        <f ca="1">IFERROR(__xludf.DUMMYFUNCTION("""COMPUTED_VALUE"""),110.72)</f>
        <v>110.72</v>
      </c>
      <c r="V619" s="1">
        <f ca="1">IFERROR(__xludf.DUMMYFUNCTION("""COMPUTED_VALUE"""),206.69)</f>
        <v>206.69</v>
      </c>
      <c r="W619" s="1">
        <f ca="1">IFERROR(__xludf.DUMMYFUNCTION("""COMPUTED_VALUE"""),416.17)</f>
        <v>416.17</v>
      </c>
      <c r="X619" s="1">
        <f ca="1">IFERROR(__xludf.DUMMYFUNCTION("""COMPUTED_VALUE"""),491.17)</f>
        <v>491.17</v>
      </c>
      <c r="Y619" s="1">
        <f ca="1">IFERROR(__xludf.DUMMYFUNCTION("""COMPUTED_VALUE"""),87.19)</f>
        <v>87.19</v>
      </c>
      <c r="Z619" s="1">
        <f ca="1">IFERROR(__xludf.DUMMYFUNCTION("""COMPUTED_VALUE"""),282.54)</f>
        <v>282.54000000000002</v>
      </c>
      <c r="AA619" s="1">
        <f ca="1">IFERROR(__xludf.DUMMYFUNCTION("""COMPUTED_VALUE"""),47.92)</f>
        <v>47.92</v>
      </c>
      <c r="AB619" s="1">
        <f ca="1">IFERROR(__xludf.DUMMYFUNCTION("""COMPUTED_VALUE"""),72.31)</f>
        <v>72.31</v>
      </c>
      <c r="AC619" s="1">
        <f ca="1">IFERROR(__xludf.DUMMYFUNCTION("""COMPUTED_VALUE"""),86.99)</f>
        <v>86.99</v>
      </c>
    </row>
    <row r="620" spans="1:29" x14ac:dyDescent="0.25">
      <c r="A620" s="2">
        <f ca="1">IFERROR(__xludf.DUMMYFUNCTION("""COMPUTED_VALUE"""),44727.6666666666)</f>
        <v>44727.666666666599</v>
      </c>
      <c r="B620" s="1">
        <f ca="1">IFERROR(__xludf.DUMMYFUNCTION("""COMPUTED_VALUE"""),135.43)</f>
        <v>135.43</v>
      </c>
      <c r="C620" s="1">
        <f ca="1">IFERROR(__xludf.DUMMYFUNCTION("""COMPUTED_VALUE"""),251.76)</f>
        <v>251.76</v>
      </c>
      <c r="D620" s="1">
        <f ca="1">IFERROR(__xludf.DUMMYFUNCTION("""COMPUTED_VALUE"""),107.67)</f>
        <v>107.67</v>
      </c>
      <c r="E620" s="1">
        <f ca="1">IFERROR(__xludf.DUMMYFUNCTION("""COMPUTED_VALUE"""),16.53)</f>
        <v>16.53</v>
      </c>
      <c r="F620" s="1">
        <f ca="1">IFERROR(__xludf.DUMMYFUNCTION("""COMPUTED_VALUE"""),169.35)</f>
        <v>169.35</v>
      </c>
      <c r="G620" s="1">
        <f ca="1">IFERROR(__xludf.DUMMYFUNCTION("""COMPUTED_VALUE"""),110.39)</f>
        <v>110.39</v>
      </c>
      <c r="H620" s="1">
        <f ca="1">IFERROR(__xludf.DUMMYFUNCTION("""COMPUTED_VALUE"""),233)</f>
        <v>233</v>
      </c>
      <c r="I620" s="1">
        <f ca="1">IFERROR(__xludf.DUMMYFUNCTION("""COMPUTED_VALUE"""),157.79)</f>
        <v>157.79</v>
      </c>
      <c r="J620" s="1">
        <f ca="1">IFERROR(__xludf.DUMMYFUNCTION("""COMPUTED_VALUE"""),458.79)</f>
        <v>458.79</v>
      </c>
      <c r="K620" s="1">
        <f ca="1">IFERROR(__xludf.DUMMYFUNCTION("""COMPUTED_VALUE"""),52.67)</f>
        <v>52.67</v>
      </c>
      <c r="L620" s="1">
        <f ca="1">IFERROR(__xludf.DUMMYFUNCTION("""COMPUTED_VALUE"""),376.92)</f>
        <v>376.92</v>
      </c>
      <c r="M620" s="1">
        <f ca="1">IFERROR(__xludf.DUMMYFUNCTION("""COMPUTED_VALUE"""),180.11)</f>
        <v>180.11</v>
      </c>
      <c r="N620" s="1">
        <f ca="1">IFERROR(__xludf.DUMMYFUNCTION("""COMPUTED_VALUE"""),115.41)</f>
        <v>115.41</v>
      </c>
      <c r="O620" s="1">
        <f ca="1">IFERROR(__xludf.DUMMYFUNCTION("""COMPUTED_VALUE"""),196.16)</f>
        <v>196.16</v>
      </c>
      <c r="P620" s="1">
        <f ca="1">IFERROR(__xludf.DUMMYFUNCTION("""COMPUTED_VALUE"""),169.99)</f>
        <v>169.99</v>
      </c>
      <c r="Q620" s="1">
        <f ca="1">IFERROR(__xludf.DUMMYFUNCTION("""COMPUTED_VALUE"""),464.33)</f>
        <v>464.33</v>
      </c>
      <c r="R620" s="1">
        <f ca="1">IFERROR(__xludf.DUMMYFUNCTION("""COMPUTED_VALUE"""),94.89)</f>
        <v>94.89</v>
      </c>
      <c r="S620" s="1">
        <f ca="1">IFERROR(__xludf.DUMMYFUNCTION("""COMPUTED_VALUE"""),74.19)</f>
        <v>74.19</v>
      </c>
      <c r="T620" s="1">
        <f ca="1">IFERROR(__xludf.DUMMYFUNCTION("""COMPUTED_VALUE"""),39.79)</f>
        <v>39.79</v>
      </c>
      <c r="U620" s="1">
        <f ca="1">IFERROR(__xludf.DUMMYFUNCTION("""COMPUTED_VALUE"""),113.44)</f>
        <v>113.44</v>
      </c>
      <c r="V620" s="1">
        <f ca="1">IFERROR(__xludf.DUMMYFUNCTION("""COMPUTED_VALUE"""),206)</f>
        <v>206</v>
      </c>
      <c r="W620" s="1">
        <f ca="1">IFERROR(__xludf.DUMMYFUNCTION("""COMPUTED_VALUE"""),414.1)</f>
        <v>414.1</v>
      </c>
      <c r="X620" s="1">
        <f ca="1">IFERROR(__xludf.DUMMYFUNCTION("""COMPUTED_VALUE"""),505.33)</f>
        <v>505.33</v>
      </c>
      <c r="Y620" s="1">
        <f ca="1">IFERROR(__xludf.DUMMYFUNCTION("""COMPUTED_VALUE"""),89.13)</f>
        <v>89.13</v>
      </c>
      <c r="Z620" s="1">
        <f ca="1">IFERROR(__xludf.DUMMYFUNCTION("""COMPUTED_VALUE"""),290.07)</f>
        <v>290.07</v>
      </c>
      <c r="AA620" s="1">
        <f ca="1">IFERROR(__xludf.DUMMYFUNCTION("""COMPUTED_VALUE"""),48.51)</f>
        <v>48.51</v>
      </c>
      <c r="AB620" s="1">
        <f ca="1">IFERROR(__xludf.DUMMYFUNCTION("""COMPUTED_VALUE"""),74.19)</f>
        <v>74.19</v>
      </c>
      <c r="AC620" s="1">
        <f ca="1">IFERROR(__xludf.DUMMYFUNCTION("""COMPUTED_VALUE"""),89.3)</f>
        <v>89.3</v>
      </c>
    </row>
    <row r="621" spans="1:29" x14ac:dyDescent="0.25">
      <c r="A621" s="2">
        <f ca="1">IFERROR(__xludf.DUMMYFUNCTION("""COMPUTED_VALUE"""),44728.6666666666)</f>
        <v>44728.666666666599</v>
      </c>
      <c r="B621" s="1">
        <f ca="1">IFERROR(__xludf.DUMMYFUNCTION("""COMPUTED_VALUE"""),130.06)</f>
        <v>130.06</v>
      </c>
      <c r="C621" s="1">
        <f ca="1">IFERROR(__xludf.DUMMYFUNCTION("""COMPUTED_VALUE"""),244.97)</f>
        <v>244.97</v>
      </c>
      <c r="D621" s="1">
        <f ca="1">IFERROR(__xludf.DUMMYFUNCTION("""COMPUTED_VALUE"""),103.66)</f>
        <v>103.66</v>
      </c>
      <c r="E621" s="1">
        <f ca="1">IFERROR(__xludf.DUMMYFUNCTION("""COMPUTED_VALUE"""),15.6)</f>
        <v>15.6</v>
      </c>
      <c r="F621" s="1">
        <f ca="1">IFERROR(__xludf.DUMMYFUNCTION("""COMPUTED_VALUE"""),160.87)</f>
        <v>160.87</v>
      </c>
      <c r="G621" s="1">
        <f ca="1">IFERROR(__xludf.DUMMYFUNCTION("""COMPUTED_VALUE"""),106.64)</f>
        <v>106.64</v>
      </c>
      <c r="H621" s="1">
        <f ca="1">IFERROR(__xludf.DUMMYFUNCTION("""COMPUTED_VALUE"""),213.1)</f>
        <v>213.1</v>
      </c>
      <c r="I621" s="1">
        <f ca="1">IFERROR(__xludf.DUMMYFUNCTION("""COMPUTED_VALUE"""),157.03)</f>
        <v>157.03</v>
      </c>
      <c r="J621" s="1">
        <f ca="1">IFERROR(__xludf.DUMMYFUNCTION("""COMPUTED_VALUE"""),451.76)</f>
        <v>451.76</v>
      </c>
      <c r="K621" s="1">
        <f ca="1">IFERROR(__xludf.DUMMYFUNCTION("""COMPUTED_VALUE"""),49.72)</f>
        <v>49.72</v>
      </c>
      <c r="L621" s="1">
        <f ca="1">IFERROR(__xludf.DUMMYFUNCTION("""COMPUTED_VALUE"""),365.08)</f>
        <v>365.08</v>
      </c>
      <c r="M621" s="1">
        <f ca="1">IFERROR(__xludf.DUMMYFUNCTION("""COMPUTED_VALUE"""),173.35)</f>
        <v>173.35</v>
      </c>
      <c r="N621" s="1">
        <f ca="1">IFERROR(__xludf.DUMMYFUNCTION("""COMPUTED_VALUE"""),113.43)</f>
        <v>113.43</v>
      </c>
      <c r="O621" s="1">
        <f ca="1">IFERROR(__xludf.DUMMYFUNCTION("""COMPUTED_VALUE"""),189.05)</f>
        <v>189.05</v>
      </c>
      <c r="P621" s="1">
        <f ca="1">IFERROR(__xludf.DUMMYFUNCTION("""COMPUTED_VALUE"""),170.08)</f>
        <v>170.08</v>
      </c>
      <c r="Q621" s="1">
        <f ca="1">IFERROR(__xludf.DUMMYFUNCTION("""COMPUTED_VALUE"""),456.09)</f>
        <v>456.09</v>
      </c>
      <c r="R621" s="1">
        <f ca="1">IFERROR(__xludf.DUMMYFUNCTION("""COMPUTED_VALUE"""),91.39)</f>
        <v>91.39</v>
      </c>
      <c r="S621" s="1">
        <f ca="1">IFERROR(__xludf.DUMMYFUNCTION("""COMPUTED_VALUE"""),70.87)</f>
        <v>70.87</v>
      </c>
      <c r="T621" s="1">
        <f ca="1">IFERROR(__xludf.DUMMYFUNCTION("""COMPUTED_VALUE"""),40.21)</f>
        <v>40.21</v>
      </c>
      <c r="U621" s="1">
        <f ca="1">IFERROR(__xludf.DUMMYFUNCTION("""COMPUTED_VALUE"""),107.12)</f>
        <v>107.12</v>
      </c>
      <c r="V621" s="1">
        <f ca="1">IFERROR(__xludf.DUMMYFUNCTION("""COMPUTED_VALUE"""),194.79)</f>
        <v>194.79</v>
      </c>
      <c r="W621" s="1">
        <f ca="1">IFERROR(__xludf.DUMMYFUNCTION("""COMPUTED_VALUE"""),404.79)</f>
        <v>404.79</v>
      </c>
      <c r="X621" s="1">
        <f ca="1">IFERROR(__xludf.DUMMYFUNCTION("""COMPUTED_VALUE"""),468.15)</f>
        <v>468.15</v>
      </c>
      <c r="Y621" s="1">
        <f ca="1">IFERROR(__xludf.DUMMYFUNCTION("""COMPUTED_VALUE"""),84.52)</f>
        <v>84.52</v>
      </c>
      <c r="Z621" s="1">
        <f ca="1">IFERROR(__xludf.DUMMYFUNCTION("""COMPUTED_VALUE"""),284.98)</f>
        <v>284.98</v>
      </c>
      <c r="AA621" s="1">
        <f ca="1">IFERROR(__xludf.DUMMYFUNCTION("""COMPUTED_VALUE"""),47.48)</f>
        <v>47.48</v>
      </c>
      <c r="AB621" s="1">
        <f ca="1">IFERROR(__xludf.DUMMYFUNCTION("""COMPUTED_VALUE"""),70.95)</f>
        <v>70.95</v>
      </c>
      <c r="AC621" s="1">
        <f ca="1">IFERROR(__xludf.DUMMYFUNCTION("""COMPUTED_VALUE"""),82.05)</f>
        <v>82.05</v>
      </c>
    </row>
    <row r="622" spans="1:29" x14ac:dyDescent="0.25">
      <c r="A622" s="2">
        <f ca="1">IFERROR(__xludf.DUMMYFUNCTION("""COMPUTED_VALUE"""),44729.6666666666)</f>
        <v>44729.666666666599</v>
      </c>
      <c r="B622" s="1">
        <f ca="1">IFERROR(__xludf.DUMMYFUNCTION("""COMPUTED_VALUE"""),131.56)</f>
        <v>131.56</v>
      </c>
      <c r="C622" s="1">
        <f ca="1">IFERROR(__xludf.DUMMYFUNCTION("""COMPUTED_VALUE"""),247.65)</f>
        <v>247.65</v>
      </c>
      <c r="D622" s="1">
        <f ca="1">IFERROR(__xludf.DUMMYFUNCTION("""COMPUTED_VALUE"""),106.22)</f>
        <v>106.22</v>
      </c>
      <c r="E622" s="1">
        <f ca="1">IFERROR(__xludf.DUMMYFUNCTION("""COMPUTED_VALUE"""),15.88)</f>
        <v>15.88</v>
      </c>
      <c r="F622" s="1">
        <f ca="1">IFERROR(__xludf.DUMMYFUNCTION("""COMPUTED_VALUE"""),163.74)</f>
        <v>163.74</v>
      </c>
      <c r="G622" s="1">
        <f ca="1">IFERROR(__xludf.DUMMYFUNCTION("""COMPUTED_VALUE"""),107.87)</f>
        <v>107.87</v>
      </c>
      <c r="H622" s="1">
        <f ca="1">IFERROR(__xludf.DUMMYFUNCTION("""COMPUTED_VALUE"""),216.76)</f>
        <v>216.76</v>
      </c>
      <c r="I622" s="1">
        <f ca="1">IFERROR(__xludf.DUMMYFUNCTION("""COMPUTED_VALUE"""),157.06)</f>
        <v>157.06</v>
      </c>
      <c r="J622" s="1">
        <f ca="1">IFERROR(__xludf.DUMMYFUNCTION("""COMPUTED_VALUE"""),446.69)</f>
        <v>446.69</v>
      </c>
      <c r="K622" s="1">
        <f ca="1">IFERROR(__xludf.DUMMYFUNCTION("""COMPUTED_VALUE"""),49.87)</f>
        <v>49.87</v>
      </c>
      <c r="L622" s="1">
        <f ca="1">IFERROR(__xludf.DUMMYFUNCTION("""COMPUTED_VALUE"""),360.79)</f>
        <v>360.79</v>
      </c>
      <c r="M622" s="1">
        <f ca="1">IFERROR(__xludf.DUMMYFUNCTION("""COMPUTED_VALUE"""),175.51)</f>
        <v>175.51</v>
      </c>
      <c r="N622" s="1">
        <f ca="1">IFERROR(__xludf.DUMMYFUNCTION("""COMPUTED_VALUE"""),113.03)</f>
        <v>113.03</v>
      </c>
      <c r="O622" s="1">
        <f ca="1">IFERROR(__xludf.DUMMYFUNCTION("""COMPUTED_VALUE"""),190.01)</f>
        <v>190.01</v>
      </c>
      <c r="P622" s="1">
        <f ca="1">IFERROR(__xludf.DUMMYFUNCTION("""COMPUTED_VALUE"""),169.46)</f>
        <v>169.46</v>
      </c>
      <c r="Q622" s="1">
        <f ca="1">IFERROR(__xludf.DUMMYFUNCTION("""COMPUTED_VALUE"""),452.06)</f>
        <v>452.06</v>
      </c>
      <c r="R622" s="1">
        <f ca="1">IFERROR(__xludf.DUMMYFUNCTION("""COMPUTED_VALUE"""),86.12)</f>
        <v>86.12</v>
      </c>
      <c r="S622" s="1">
        <f ca="1">IFERROR(__xludf.DUMMYFUNCTION("""COMPUTED_VALUE"""),70.81)</f>
        <v>70.81</v>
      </c>
      <c r="T622" s="1">
        <f ca="1">IFERROR(__xludf.DUMMYFUNCTION("""COMPUTED_VALUE"""),39.43)</f>
        <v>39.43</v>
      </c>
      <c r="U622" s="1">
        <f ca="1">IFERROR(__xludf.DUMMYFUNCTION("""COMPUTED_VALUE"""),107.34)</f>
        <v>107.34</v>
      </c>
      <c r="V622" s="1">
        <f ca="1">IFERROR(__xludf.DUMMYFUNCTION("""COMPUTED_VALUE"""),192.64)</f>
        <v>192.64</v>
      </c>
      <c r="W622" s="1">
        <f ca="1">IFERROR(__xludf.DUMMYFUNCTION("""COMPUTED_VALUE"""),404.01)</f>
        <v>404.01</v>
      </c>
      <c r="X622" s="1">
        <f ca="1">IFERROR(__xludf.DUMMYFUNCTION("""COMPUTED_VALUE"""),473.35)</f>
        <v>473.35</v>
      </c>
      <c r="Y622" s="1">
        <f ca="1">IFERROR(__xludf.DUMMYFUNCTION("""COMPUTED_VALUE"""),85)</f>
        <v>85</v>
      </c>
      <c r="Z622" s="1">
        <f ca="1">IFERROR(__xludf.DUMMYFUNCTION("""COMPUTED_VALUE"""),279.79)</f>
        <v>279.79000000000002</v>
      </c>
      <c r="AA622" s="1">
        <f ca="1">IFERROR(__xludf.DUMMYFUNCTION("""COMPUTED_VALUE"""),46.53)</f>
        <v>46.53</v>
      </c>
      <c r="AB622" s="1">
        <f ca="1">IFERROR(__xludf.DUMMYFUNCTION("""COMPUTED_VALUE"""),71.87)</f>
        <v>71.87</v>
      </c>
      <c r="AC622" s="1">
        <f ca="1">IFERROR(__xludf.DUMMYFUNCTION("""COMPUTED_VALUE"""),81.57)</f>
        <v>81.569999999999993</v>
      </c>
    </row>
    <row r="623" spans="1:29" x14ac:dyDescent="0.25">
      <c r="A623" s="2">
        <f ca="1">IFERROR(__xludf.DUMMYFUNCTION("""COMPUTED_VALUE"""),44733.6666666666)</f>
        <v>44733.666666666599</v>
      </c>
      <c r="B623" s="1">
        <f ca="1">IFERROR(__xludf.DUMMYFUNCTION("""COMPUTED_VALUE"""),135.87)</f>
        <v>135.87</v>
      </c>
      <c r="C623" s="1">
        <f ca="1">IFERROR(__xludf.DUMMYFUNCTION("""COMPUTED_VALUE"""),253.74)</f>
        <v>253.74</v>
      </c>
      <c r="D623" s="1">
        <f ca="1">IFERROR(__xludf.DUMMYFUNCTION("""COMPUTED_VALUE"""),108.68)</f>
        <v>108.68</v>
      </c>
      <c r="E623" s="1">
        <f ca="1">IFERROR(__xludf.DUMMYFUNCTION("""COMPUTED_VALUE"""),16.57)</f>
        <v>16.57</v>
      </c>
      <c r="F623" s="1">
        <f ca="1">IFERROR(__xludf.DUMMYFUNCTION("""COMPUTED_VALUE"""),157.05)</f>
        <v>157.05000000000001</v>
      </c>
      <c r="G623" s="1">
        <f ca="1">IFERROR(__xludf.DUMMYFUNCTION("""COMPUTED_VALUE"""),112.02)</f>
        <v>112.02</v>
      </c>
      <c r="H623" s="1">
        <f ca="1">IFERROR(__xludf.DUMMYFUNCTION("""COMPUTED_VALUE"""),237.04)</f>
        <v>237.04</v>
      </c>
      <c r="I623" s="1">
        <f ca="1">IFERROR(__xludf.DUMMYFUNCTION("""COMPUTED_VALUE"""),160.71)</f>
        <v>160.71</v>
      </c>
      <c r="J623" s="1">
        <f ca="1">IFERROR(__xludf.DUMMYFUNCTION("""COMPUTED_VALUE"""),463.11)</f>
        <v>463.11</v>
      </c>
      <c r="K623" s="1">
        <f ca="1">IFERROR(__xludf.DUMMYFUNCTION("""COMPUTED_VALUE"""),50.38)</f>
        <v>50.38</v>
      </c>
      <c r="L623" s="1">
        <f ca="1">IFERROR(__xludf.DUMMYFUNCTION("""COMPUTED_VALUE"""),362.99)</f>
        <v>362.99</v>
      </c>
      <c r="M623" s="1">
        <f ca="1">IFERROR(__xludf.DUMMYFUNCTION("""COMPUTED_VALUE"""),170.91)</f>
        <v>170.91</v>
      </c>
      <c r="N623" s="1">
        <f ca="1">IFERROR(__xludf.DUMMYFUNCTION("""COMPUTED_VALUE"""),115.83)</f>
        <v>115.83</v>
      </c>
      <c r="O623" s="1">
        <f ca="1">IFERROR(__xludf.DUMMYFUNCTION("""COMPUTED_VALUE"""),194.39)</f>
        <v>194.39</v>
      </c>
      <c r="P623" s="1">
        <f ca="1">IFERROR(__xludf.DUMMYFUNCTION("""COMPUTED_VALUE"""),173.01)</f>
        <v>173.01</v>
      </c>
      <c r="Q623" s="1">
        <f ca="1">IFERROR(__xludf.DUMMYFUNCTION("""COMPUTED_VALUE"""),480.32)</f>
        <v>480.32</v>
      </c>
      <c r="R623" s="1">
        <f ca="1">IFERROR(__xludf.DUMMYFUNCTION("""COMPUTED_VALUE"""),91.48)</f>
        <v>91.48</v>
      </c>
      <c r="S623" s="1">
        <f ca="1">IFERROR(__xludf.DUMMYFUNCTION("""COMPUTED_VALUE"""),72.73)</f>
        <v>72.73</v>
      </c>
      <c r="T623" s="1">
        <f ca="1">IFERROR(__xludf.DUMMYFUNCTION("""COMPUTED_VALUE"""),40.72)</f>
        <v>40.72</v>
      </c>
      <c r="U623" s="1">
        <f ca="1">IFERROR(__xludf.DUMMYFUNCTION("""COMPUTED_VALUE"""),108.68)</f>
        <v>108.68</v>
      </c>
      <c r="V623" s="1">
        <f ca="1">IFERROR(__xludf.DUMMYFUNCTION("""COMPUTED_VALUE"""),196.37)</f>
        <v>196.37</v>
      </c>
      <c r="W623" s="1">
        <f ca="1">IFERROR(__xludf.DUMMYFUNCTION("""COMPUTED_VALUE"""),418.96)</f>
        <v>418.96</v>
      </c>
      <c r="X623" s="1">
        <f ca="1">IFERROR(__xludf.DUMMYFUNCTION("""COMPUTED_VALUE"""),494.35)</f>
        <v>494.35</v>
      </c>
      <c r="Y623" s="1">
        <f ca="1">IFERROR(__xludf.DUMMYFUNCTION("""COMPUTED_VALUE"""),86.95)</f>
        <v>86.95</v>
      </c>
      <c r="Z623" s="1">
        <f ca="1">IFERROR(__xludf.DUMMYFUNCTION("""COMPUTED_VALUE"""),284.81)</f>
        <v>284.81</v>
      </c>
      <c r="AA623" s="1">
        <f ca="1">IFERROR(__xludf.DUMMYFUNCTION("""COMPUTED_VALUE"""),48.11)</f>
        <v>48.11</v>
      </c>
      <c r="AB623" s="1">
        <f ca="1">IFERROR(__xludf.DUMMYFUNCTION("""COMPUTED_VALUE"""),72.96)</f>
        <v>72.959999999999994</v>
      </c>
      <c r="AC623" s="1">
        <f ca="1">IFERROR(__xludf.DUMMYFUNCTION("""COMPUTED_VALUE"""),83.79)</f>
        <v>83.79</v>
      </c>
    </row>
    <row r="624" spans="1:29" x14ac:dyDescent="0.25">
      <c r="A624" s="2">
        <f ca="1">IFERROR(__xludf.DUMMYFUNCTION("""COMPUTED_VALUE"""),44734.6666666666)</f>
        <v>44734.666666666599</v>
      </c>
      <c r="B624" s="1">
        <f ca="1">IFERROR(__xludf.DUMMYFUNCTION("""COMPUTED_VALUE"""),135.35)</f>
        <v>135.35</v>
      </c>
      <c r="C624" s="1">
        <f ca="1">IFERROR(__xludf.DUMMYFUNCTION("""COMPUTED_VALUE"""),253.13)</f>
        <v>253.13</v>
      </c>
      <c r="D624" s="1">
        <f ca="1">IFERROR(__xludf.DUMMYFUNCTION("""COMPUTED_VALUE"""),108.95)</f>
        <v>108.95</v>
      </c>
      <c r="E624" s="1">
        <f ca="1">IFERROR(__xludf.DUMMYFUNCTION("""COMPUTED_VALUE"""),16.36)</f>
        <v>16.36</v>
      </c>
      <c r="F624" s="1">
        <f ca="1">IFERROR(__xludf.DUMMYFUNCTION("""COMPUTED_VALUE"""),155.85)</f>
        <v>155.85</v>
      </c>
      <c r="G624" s="1">
        <f ca="1">IFERROR(__xludf.DUMMYFUNCTION("""COMPUTED_VALUE"""),112.03)</f>
        <v>112.03</v>
      </c>
      <c r="H624" s="1">
        <f ca="1">IFERROR(__xludf.DUMMYFUNCTION("""COMPUTED_VALUE"""),236.09)</f>
        <v>236.09</v>
      </c>
      <c r="I624" s="1">
        <f ca="1">IFERROR(__xludf.DUMMYFUNCTION("""COMPUTED_VALUE"""),162.03)</f>
        <v>162.03</v>
      </c>
      <c r="J624" s="1">
        <f ca="1">IFERROR(__xludf.DUMMYFUNCTION("""COMPUTED_VALUE"""),459.96)</f>
        <v>459.96</v>
      </c>
      <c r="K624" s="1">
        <f ca="1">IFERROR(__xludf.DUMMYFUNCTION("""COMPUTED_VALUE"""),49.61)</f>
        <v>49.61</v>
      </c>
      <c r="L624" s="1">
        <f ca="1">IFERROR(__xludf.DUMMYFUNCTION("""COMPUTED_VALUE"""),365.33)</f>
        <v>365.33</v>
      </c>
      <c r="M624" s="1">
        <f ca="1">IFERROR(__xludf.DUMMYFUNCTION("""COMPUTED_VALUE"""),178.89)</f>
        <v>178.89</v>
      </c>
      <c r="N624" s="1">
        <f ca="1">IFERROR(__xludf.DUMMYFUNCTION("""COMPUTED_VALUE"""),115.18)</f>
        <v>115.18</v>
      </c>
      <c r="O624" s="1">
        <f ca="1">IFERROR(__xludf.DUMMYFUNCTION("""COMPUTED_VALUE"""),193.82)</f>
        <v>193.82</v>
      </c>
      <c r="P624" s="1">
        <f ca="1">IFERROR(__xludf.DUMMYFUNCTION("""COMPUTED_VALUE"""),175.74)</f>
        <v>175.74</v>
      </c>
      <c r="Q624" s="1">
        <f ca="1">IFERROR(__xludf.DUMMYFUNCTION("""COMPUTED_VALUE"""),489.68)</f>
        <v>489.68</v>
      </c>
      <c r="R624" s="1">
        <f ca="1">IFERROR(__xludf.DUMMYFUNCTION("""COMPUTED_VALUE"""),87.86)</f>
        <v>87.86</v>
      </c>
      <c r="S624" s="1">
        <f ca="1">IFERROR(__xludf.DUMMYFUNCTION("""COMPUTED_VALUE"""),74.69)</f>
        <v>74.69</v>
      </c>
      <c r="T624" s="1">
        <f ca="1">IFERROR(__xludf.DUMMYFUNCTION("""COMPUTED_VALUE"""),40.23)</f>
        <v>40.229999999999997</v>
      </c>
      <c r="U624" s="1">
        <f ca="1">IFERROR(__xludf.DUMMYFUNCTION("""COMPUTED_VALUE"""),104.92)</f>
        <v>104.92</v>
      </c>
      <c r="V624" s="1">
        <f ca="1">IFERROR(__xludf.DUMMYFUNCTION("""COMPUTED_VALUE"""),187.83)</f>
        <v>187.83</v>
      </c>
      <c r="W624" s="1">
        <f ca="1">IFERROR(__xludf.DUMMYFUNCTION("""COMPUTED_VALUE"""),415.45)</f>
        <v>415.45</v>
      </c>
      <c r="X624" s="1">
        <f ca="1">IFERROR(__xludf.DUMMYFUNCTION("""COMPUTED_VALUE"""),485.5)</f>
        <v>485.5</v>
      </c>
      <c r="Y624" s="1">
        <f ca="1">IFERROR(__xludf.DUMMYFUNCTION("""COMPUTED_VALUE"""),84.91)</f>
        <v>84.91</v>
      </c>
      <c r="Z624" s="1">
        <f ca="1">IFERROR(__xludf.DUMMYFUNCTION("""COMPUTED_VALUE"""),284.54)</f>
        <v>284.54000000000002</v>
      </c>
      <c r="AA624" s="1">
        <f ca="1">IFERROR(__xludf.DUMMYFUNCTION("""COMPUTED_VALUE"""),49.07)</f>
        <v>49.07</v>
      </c>
      <c r="AB624" s="1">
        <f ca="1">IFERROR(__xludf.DUMMYFUNCTION("""COMPUTED_VALUE"""),73.3)</f>
        <v>73.3</v>
      </c>
      <c r="AC624" s="1">
        <f ca="1">IFERROR(__xludf.DUMMYFUNCTION("""COMPUTED_VALUE"""),83.75)</f>
        <v>83.75</v>
      </c>
    </row>
    <row r="625" spans="1:29" x14ac:dyDescent="0.25">
      <c r="A625" s="2">
        <f ca="1">IFERROR(__xludf.DUMMYFUNCTION("""COMPUTED_VALUE"""),44735.6666666666)</f>
        <v>44735.666666666599</v>
      </c>
      <c r="B625" s="1">
        <f ca="1">IFERROR(__xludf.DUMMYFUNCTION("""COMPUTED_VALUE"""),138.27)</f>
        <v>138.27000000000001</v>
      </c>
      <c r="C625" s="1">
        <f ca="1">IFERROR(__xludf.DUMMYFUNCTION("""COMPUTED_VALUE"""),258.86)</f>
        <v>258.86</v>
      </c>
      <c r="D625" s="1">
        <f ca="1">IFERROR(__xludf.DUMMYFUNCTION("""COMPUTED_VALUE"""),112.44)</f>
        <v>112.44</v>
      </c>
      <c r="E625" s="1">
        <f ca="1">IFERROR(__xludf.DUMMYFUNCTION("""COMPUTED_VALUE"""),16.23)</f>
        <v>16.23</v>
      </c>
      <c r="F625" s="1">
        <f ca="1">IFERROR(__xludf.DUMMYFUNCTION("""COMPUTED_VALUE"""),158.75)</f>
        <v>158.75</v>
      </c>
      <c r="G625" s="1">
        <f ca="1">IFERROR(__xludf.DUMMYFUNCTION("""COMPUTED_VALUE"""),112.68)</f>
        <v>112.68</v>
      </c>
      <c r="H625" s="1">
        <f ca="1">IFERROR(__xludf.DUMMYFUNCTION("""COMPUTED_VALUE"""),235.07)</f>
        <v>235.07</v>
      </c>
      <c r="I625" s="1">
        <f ca="1">IFERROR(__xludf.DUMMYFUNCTION("""COMPUTED_VALUE"""),164.1)</f>
        <v>164.1</v>
      </c>
      <c r="J625" s="1">
        <f ca="1">IFERROR(__xludf.DUMMYFUNCTION("""COMPUTED_VALUE"""),475)</f>
        <v>475</v>
      </c>
      <c r="K625" s="1">
        <f ca="1">IFERROR(__xludf.DUMMYFUNCTION("""COMPUTED_VALUE"""),49.66)</f>
        <v>49.66</v>
      </c>
      <c r="L625" s="1">
        <f ca="1">IFERROR(__xludf.DUMMYFUNCTION("""COMPUTED_VALUE"""),376.64)</f>
        <v>376.64</v>
      </c>
      <c r="M625" s="1">
        <f ca="1">IFERROR(__xludf.DUMMYFUNCTION("""COMPUTED_VALUE"""),181.71)</f>
        <v>181.71</v>
      </c>
      <c r="N625" s="1">
        <f ca="1">IFERROR(__xludf.DUMMYFUNCTION("""COMPUTED_VALUE"""),113.92)</f>
        <v>113.92</v>
      </c>
      <c r="O625" s="1">
        <f ca="1">IFERROR(__xludf.DUMMYFUNCTION("""COMPUTED_VALUE"""),196.64)</f>
        <v>196.64</v>
      </c>
      <c r="P625" s="1">
        <f ca="1">IFERROR(__xludf.DUMMYFUNCTION("""COMPUTED_VALUE"""),179.66)</f>
        <v>179.66</v>
      </c>
      <c r="Q625" s="1">
        <f ca="1">IFERROR(__xludf.DUMMYFUNCTION("""COMPUTED_VALUE"""),499.81)</f>
        <v>499.81</v>
      </c>
      <c r="R625" s="1">
        <f ca="1">IFERROR(__xludf.DUMMYFUNCTION("""COMPUTED_VALUE"""),85.21)</f>
        <v>85.21</v>
      </c>
      <c r="S625" s="1">
        <f ca="1">IFERROR(__xludf.DUMMYFUNCTION("""COMPUTED_VALUE"""),77.2)</f>
        <v>77.2</v>
      </c>
      <c r="T625" s="1">
        <f ca="1">IFERROR(__xludf.DUMMYFUNCTION("""COMPUTED_VALUE"""),41.21)</f>
        <v>41.21</v>
      </c>
      <c r="U625" s="1">
        <f ca="1">IFERROR(__xludf.DUMMYFUNCTION("""COMPUTED_VALUE"""),108)</f>
        <v>108</v>
      </c>
      <c r="V625" s="1">
        <f ca="1">IFERROR(__xludf.DUMMYFUNCTION("""COMPUTED_VALUE"""),178.67)</f>
        <v>178.67</v>
      </c>
      <c r="W625" s="1">
        <f ca="1">IFERROR(__xludf.DUMMYFUNCTION("""COMPUTED_VALUE"""),410.62)</f>
        <v>410.62</v>
      </c>
      <c r="X625" s="1">
        <f ca="1">IFERROR(__xludf.DUMMYFUNCTION("""COMPUTED_VALUE"""),485.5)</f>
        <v>485.5</v>
      </c>
      <c r="Y625" s="1">
        <f ca="1">IFERROR(__xludf.DUMMYFUNCTION("""COMPUTED_VALUE"""),84.12)</f>
        <v>84.12</v>
      </c>
      <c r="Z625" s="1">
        <f ca="1">IFERROR(__xludf.DUMMYFUNCTION("""COMPUTED_VALUE"""),286.17)</f>
        <v>286.17</v>
      </c>
      <c r="AA625" s="1">
        <f ca="1">IFERROR(__xludf.DUMMYFUNCTION("""COMPUTED_VALUE"""),50.09)</f>
        <v>50.09</v>
      </c>
      <c r="AB625" s="1">
        <f ca="1">IFERROR(__xludf.DUMMYFUNCTION("""COMPUTED_VALUE"""),75.2)</f>
        <v>75.2</v>
      </c>
      <c r="AC625" s="1">
        <f ca="1">IFERROR(__xludf.DUMMYFUNCTION("""COMPUTED_VALUE"""),82.43)</f>
        <v>82.43</v>
      </c>
    </row>
    <row r="626" spans="1:29" x14ac:dyDescent="0.25">
      <c r="A626" s="2">
        <f ca="1">IFERROR(__xludf.DUMMYFUNCTION("""COMPUTED_VALUE"""),44736.6666666666)</f>
        <v>44736.666666666599</v>
      </c>
      <c r="B626" s="1">
        <f ca="1">IFERROR(__xludf.DUMMYFUNCTION("""COMPUTED_VALUE"""),141.66)</f>
        <v>141.66</v>
      </c>
      <c r="C626" s="1">
        <f ca="1">IFERROR(__xludf.DUMMYFUNCTION("""COMPUTED_VALUE"""),267.7)</f>
        <v>267.7</v>
      </c>
      <c r="D626" s="1">
        <f ca="1">IFERROR(__xludf.DUMMYFUNCTION("""COMPUTED_VALUE"""),116.46)</f>
        <v>116.46</v>
      </c>
      <c r="E626" s="1">
        <f ca="1">IFERROR(__xludf.DUMMYFUNCTION("""COMPUTED_VALUE"""),17.13)</f>
        <v>17.13</v>
      </c>
      <c r="F626" s="1">
        <f ca="1">IFERROR(__xludf.DUMMYFUNCTION("""COMPUTED_VALUE"""),170.16)</f>
        <v>170.16</v>
      </c>
      <c r="G626" s="1">
        <f ca="1">IFERROR(__xludf.DUMMYFUNCTION("""COMPUTED_VALUE"""),118.54)</f>
        <v>118.54</v>
      </c>
      <c r="H626" s="1">
        <f ca="1">IFERROR(__xludf.DUMMYFUNCTION("""COMPUTED_VALUE"""),245.71)</f>
        <v>245.71</v>
      </c>
      <c r="I626" s="1">
        <f ca="1">IFERROR(__xludf.DUMMYFUNCTION("""COMPUTED_VALUE"""),166.13)</f>
        <v>166.13</v>
      </c>
      <c r="J626" s="1">
        <f ca="1">IFERROR(__xludf.DUMMYFUNCTION("""COMPUTED_VALUE"""),484.37)</f>
        <v>484.37</v>
      </c>
      <c r="K626" s="1">
        <f ca="1">IFERROR(__xludf.DUMMYFUNCTION("""COMPUTED_VALUE"""),50.91)</f>
        <v>50.91</v>
      </c>
      <c r="L626" s="1">
        <f ca="1">IFERROR(__xludf.DUMMYFUNCTION("""COMPUTED_VALUE"""),387.72)</f>
        <v>387.72</v>
      </c>
      <c r="M626" s="1">
        <f ca="1">IFERROR(__xludf.DUMMYFUNCTION("""COMPUTED_VALUE"""),190.85)</f>
        <v>190.85</v>
      </c>
      <c r="N626" s="1">
        <f ca="1">IFERROR(__xludf.DUMMYFUNCTION("""COMPUTED_VALUE"""),117.32)</f>
        <v>117.32</v>
      </c>
      <c r="O626" s="1">
        <f ca="1">IFERROR(__xludf.DUMMYFUNCTION("""COMPUTED_VALUE"""),205.51)</f>
        <v>205.51</v>
      </c>
      <c r="P626" s="1">
        <f ca="1">IFERROR(__xludf.DUMMYFUNCTION("""COMPUTED_VALUE"""),182.29)</f>
        <v>182.29</v>
      </c>
      <c r="Q626" s="1">
        <f ca="1">IFERROR(__xludf.DUMMYFUNCTION("""COMPUTED_VALUE"""),495.64)</f>
        <v>495.64</v>
      </c>
      <c r="R626" s="1">
        <f ca="1">IFERROR(__xludf.DUMMYFUNCTION("""COMPUTED_VALUE"""),86.9)</f>
        <v>86.9</v>
      </c>
      <c r="S626" s="1">
        <f ca="1">IFERROR(__xludf.DUMMYFUNCTION("""COMPUTED_VALUE"""),78.02)</f>
        <v>78.02</v>
      </c>
      <c r="T626" s="1">
        <f ca="1">IFERROR(__xludf.DUMMYFUNCTION("""COMPUTED_VALUE"""),41.24)</f>
        <v>41.24</v>
      </c>
      <c r="U626" s="1">
        <f ca="1">IFERROR(__xludf.DUMMYFUNCTION("""COMPUTED_VALUE"""),112.91)</f>
        <v>112.91</v>
      </c>
      <c r="V626" s="1">
        <f ca="1">IFERROR(__xludf.DUMMYFUNCTION("""COMPUTED_VALUE"""),185.49)</f>
        <v>185.49</v>
      </c>
      <c r="W626" s="1">
        <f ca="1">IFERROR(__xludf.DUMMYFUNCTION("""COMPUTED_VALUE"""),419.04)</f>
        <v>419.04</v>
      </c>
      <c r="X626" s="1">
        <f ca="1">IFERROR(__xludf.DUMMYFUNCTION("""COMPUTED_VALUE"""),515.26)</f>
        <v>515.26</v>
      </c>
      <c r="Y626" s="1">
        <f ca="1">IFERROR(__xludf.DUMMYFUNCTION("""COMPUTED_VALUE"""),85.92)</f>
        <v>85.92</v>
      </c>
      <c r="Z626" s="1">
        <f ca="1">IFERROR(__xludf.DUMMYFUNCTION("""COMPUTED_VALUE"""),302.75)</f>
        <v>302.75</v>
      </c>
      <c r="AA626" s="1">
        <f ca="1">IFERROR(__xludf.DUMMYFUNCTION("""COMPUTED_VALUE"""),51.59)</f>
        <v>51.59</v>
      </c>
      <c r="AB626" s="1">
        <f ca="1">IFERROR(__xludf.DUMMYFUNCTION("""COMPUTED_VALUE"""),78.11)</f>
        <v>78.11</v>
      </c>
      <c r="AC626" s="1">
        <f ca="1">IFERROR(__xludf.DUMMYFUNCTION("""COMPUTED_VALUE"""),87.08)</f>
        <v>87.08</v>
      </c>
    </row>
    <row r="627" spans="1:29" x14ac:dyDescent="0.25">
      <c r="A627" s="2">
        <f ca="1">IFERROR(__xludf.DUMMYFUNCTION("""COMPUTED_VALUE"""),44739.6666666666)</f>
        <v>44739.666666666599</v>
      </c>
      <c r="B627" s="1">
        <f ca="1">IFERROR(__xludf.DUMMYFUNCTION("""COMPUTED_VALUE"""),141.66)</f>
        <v>141.66</v>
      </c>
      <c r="C627" s="1">
        <f ca="1">IFERROR(__xludf.DUMMYFUNCTION("""COMPUTED_VALUE"""),264.89)</f>
        <v>264.89</v>
      </c>
      <c r="D627" s="1">
        <f ca="1">IFERROR(__xludf.DUMMYFUNCTION("""COMPUTED_VALUE"""),113.22)</f>
        <v>113.22</v>
      </c>
      <c r="E627" s="1">
        <f ca="1">IFERROR(__xludf.DUMMYFUNCTION("""COMPUTED_VALUE"""),16.87)</f>
        <v>16.87</v>
      </c>
      <c r="F627" s="1">
        <f ca="1">IFERROR(__xludf.DUMMYFUNCTION("""COMPUTED_VALUE"""),169.49)</f>
        <v>169.49</v>
      </c>
      <c r="G627" s="1">
        <f ca="1">IFERROR(__xludf.DUMMYFUNCTION("""COMPUTED_VALUE"""),116.62)</f>
        <v>116.62</v>
      </c>
      <c r="H627" s="1">
        <f ca="1">IFERROR(__xludf.DUMMYFUNCTION("""COMPUTED_VALUE"""),244.92)</f>
        <v>244.92</v>
      </c>
      <c r="I627" s="1">
        <f ca="1">IFERROR(__xludf.DUMMYFUNCTION("""COMPUTED_VALUE"""),166.35)</f>
        <v>166.35</v>
      </c>
      <c r="J627" s="1">
        <f ca="1">IFERROR(__xludf.DUMMYFUNCTION("""COMPUTED_VALUE"""),481.75)</f>
        <v>481.75</v>
      </c>
      <c r="K627" s="1">
        <f ca="1">IFERROR(__xludf.DUMMYFUNCTION("""COMPUTED_VALUE"""),50.57)</f>
        <v>50.57</v>
      </c>
      <c r="L627" s="1">
        <f ca="1">IFERROR(__xludf.DUMMYFUNCTION("""COMPUTED_VALUE"""),381.07)</f>
        <v>381.07</v>
      </c>
      <c r="M627" s="1">
        <f ca="1">IFERROR(__xludf.DUMMYFUNCTION("""COMPUTED_VALUE"""),189.14)</f>
        <v>189.14</v>
      </c>
      <c r="N627" s="1">
        <f ca="1">IFERROR(__xludf.DUMMYFUNCTION("""COMPUTED_VALUE"""),116.38)</f>
        <v>116.38</v>
      </c>
      <c r="O627" s="1">
        <f ca="1">IFERROR(__xludf.DUMMYFUNCTION("""COMPUTED_VALUE"""),203.56)</f>
        <v>203.56</v>
      </c>
      <c r="P627" s="1">
        <f ca="1">IFERROR(__xludf.DUMMYFUNCTION("""COMPUTED_VALUE"""),182.12)</f>
        <v>182.12</v>
      </c>
      <c r="Q627" s="1">
        <f ca="1">IFERROR(__xludf.DUMMYFUNCTION("""COMPUTED_VALUE"""),505.66)</f>
        <v>505.66</v>
      </c>
      <c r="R627" s="1">
        <f ca="1">IFERROR(__xludf.DUMMYFUNCTION("""COMPUTED_VALUE"""),89.03)</f>
        <v>89.03</v>
      </c>
      <c r="S627" s="1">
        <f ca="1">IFERROR(__xludf.DUMMYFUNCTION("""COMPUTED_VALUE"""),77.89)</f>
        <v>77.89</v>
      </c>
      <c r="T627" s="1">
        <f ca="1">IFERROR(__xludf.DUMMYFUNCTION("""COMPUTED_VALUE"""),41.37)</f>
        <v>41.37</v>
      </c>
      <c r="U627" s="1">
        <f ca="1">IFERROR(__xludf.DUMMYFUNCTION("""COMPUTED_VALUE"""),110.5)</f>
        <v>110.5</v>
      </c>
      <c r="V627" s="1">
        <f ca="1">IFERROR(__xludf.DUMMYFUNCTION("""COMPUTED_VALUE"""),187.59)</f>
        <v>187.59</v>
      </c>
      <c r="W627" s="1">
        <f ca="1">IFERROR(__xludf.DUMMYFUNCTION("""COMPUTED_VALUE"""),419.25)</f>
        <v>419.25</v>
      </c>
      <c r="X627" s="1">
        <f ca="1">IFERROR(__xludf.DUMMYFUNCTION("""COMPUTED_VALUE"""),508.04)</f>
        <v>508.04</v>
      </c>
      <c r="Y627" s="1">
        <f ca="1">IFERROR(__xludf.DUMMYFUNCTION("""COMPUTED_VALUE"""),85.86)</f>
        <v>85.86</v>
      </c>
      <c r="Z627" s="1">
        <f ca="1">IFERROR(__xludf.DUMMYFUNCTION("""COMPUTED_VALUE"""),300.78)</f>
        <v>300.77999999999997</v>
      </c>
      <c r="AA627" s="1">
        <f ca="1">IFERROR(__xludf.DUMMYFUNCTION("""COMPUTED_VALUE"""),51.88)</f>
        <v>51.88</v>
      </c>
      <c r="AB627" s="1">
        <f ca="1">IFERROR(__xludf.DUMMYFUNCTION("""COMPUTED_VALUE"""),77.68)</f>
        <v>77.680000000000007</v>
      </c>
      <c r="AC627" s="1">
        <f ca="1">IFERROR(__xludf.DUMMYFUNCTION("""COMPUTED_VALUE"""),86.16)</f>
        <v>86.16</v>
      </c>
    </row>
    <row r="628" spans="1:29" x14ac:dyDescent="0.25">
      <c r="A628" s="2">
        <f ca="1">IFERROR(__xludf.DUMMYFUNCTION("""COMPUTED_VALUE"""),44740.6666666666)</f>
        <v>44740.666666666599</v>
      </c>
      <c r="B628" s="1">
        <f ca="1">IFERROR(__xludf.DUMMYFUNCTION("""COMPUTED_VALUE"""),137.44)</f>
        <v>137.44</v>
      </c>
      <c r="C628" s="1">
        <f ca="1">IFERROR(__xludf.DUMMYFUNCTION("""COMPUTED_VALUE"""),256.48)</f>
        <v>256.48</v>
      </c>
      <c r="D628" s="1">
        <f ca="1">IFERROR(__xludf.DUMMYFUNCTION("""COMPUTED_VALUE"""),107.4)</f>
        <v>107.4</v>
      </c>
      <c r="E628" s="1">
        <f ca="1">IFERROR(__xludf.DUMMYFUNCTION("""COMPUTED_VALUE"""),15.98)</f>
        <v>15.98</v>
      </c>
      <c r="F628" s="1">
        <f ca="1">IFERROR(__xludf.DUMMYFUNCTION("""COMPUTED_VALUE"""),160.68)</f>
        <v>160.68</v>
      </c>
      <c r="G628" s="1">
        <f ca="1">IFERROR(__xludf.DUMMYFUNCTION("""COMPUTED_VALUE"""),112.57)</f>
        <v>112.57</v>
      </c>
      <c r="H628" s="1">
        <f ca="1">IFERROR(__xludf.DUMMYFUNCTION("""COMPUTED_VALUE"""),232.66)</f>
        <v>232.66</v>
      </c>
      <c r="I628" s="1">
        <f ca="1">IFERROR(__xludf.DUMMYFUNCTION("""COMPUTED_VALUE"""),164.01)</f>
        <v>164.01</v>
      </c>
      <c r="J628" s="1">
        <f ca="1">IFERROR(__xludf.DUMMYFUNCTION("""COMPUTED_VALUE"""),468.61)</f>
        <v>468.61</v>
      </c>
      <c r="K628" s="1">
        <f ca="1">IFERROR(__xludf.DUMMYFUNCTION("""COMPUTED_VALUE"""),49.85)</f>
        <v>49.85</v>
      </c>
      <c r="L628" s="1">
        <f ca="1">IFERROR(__xludf.DUMMYFUNCTION("""COMPUTED_VALUE"""),365.63)</f>
        <v>365.63</v>
      </c>
      <c r="M628" s="1">
        <f ca="1">IFERROR(__xludf.DUMMYFUNCTION("""COMPUTED_VALUE"""),179.6)</f>
        <v>179.6</v>
      </c>
      <c r="N628" s="1">
        <f ca="1">IFERROR(__xludf.DUMMYFUNCTION("""COMPUTED_VALUE"""),115.82)</f>
        <v>115.82</v>
      </c>
      <c r="O628" s="1">
        <f ca="1">IFERROR(__xludf.DUMMYFUNCTION("""COMPUTED_VALUE"""),198.12)</f>
        <v>198.12</v>
      </c>
      <c r="P628" s="1">
        <f ca="1">IFERROR(__xludf.DUMMYFUNCTION("""COMPUTED_VALUE"""),176.94)</f>
        <v>176.94</v>
      </c>
      <c r="Q628" s="1">
        <f ca="1">IFERROR(__xludf.DUMMYFUNCTION("""COMPUTED_VALUE"""),508.44)</f>
        <v>508.44</v>
      </c>
      <c r="R628" s="1">
        <f ca="1">IFERROR(__xludf.DUMMYFUNCTION("""COMPUTED_VALUE"""),91.5)</f>
        <v>91.5</v>
      </c>
      <c r="S628" s="1">
        <f ca="1">IFERROR(__xludf.DUMMYFUNCTION("""COMPUTED_VALUE"""),76.44)</f>
        <v>76.44</v>
      </c>
      <c r="T628" s="1">
        <f ca="1">IFERROR(__xludf.DUMMYFUNCTION("""COMPUTED_VALUE"""),40.79)</f>
        <v>40.79</v>
      </c>
      <c r="U628" s="1">
        <f ca="1">IFERROR(__xludf.DUMMYFUNCTION("""COMPUTED_VALUE"""),102.78)</f>
        <v>102.78</v>
      </c>
      <c r="V628" s="1">
        <f ca="1">IFERROR(__xludf.DUMMYFUNCTION("""COMPUTED_VALUE"""),187.44)</f>
        <v>187.44</v>
      </c>
      <c r="W628" s="1">
        <f ca="1">IFERROR(__xludf.DUMMYFUNCTION("""COMPUTED_VALUE"""),420.71)</f>
        <v>420.71</v>
      </c>
      <c r="X628" s="1">
        <f ca="1">IFERROR(__xludf.DUMMYFUNCTION("""COMPUTED_VALUE"""),490.41)</f>
        <v>490.41</v>
      </c>
      <c r="Y628" s="1">
        <f ca="1">IFERROR(__xludf.DUMMYFUNCTION("""COMPUTED_VALUE"""),84.34)</f>
        <v>84.34</v>
      </c>
      <c r="Z628" s="1">
        <f ca="1">IFERROR(__xludf.DUMMYFUNCTION("""COMPUTED_VALUE"""),299.49)</f>
        <v>299.49</v>
      </c>
      <c r="AA628" s="1">
        <f ca="1">IFERROR(__xludf.DUMMYFUNCTION("""COMPUTED_VALUE"""),50.66)</f>
        <v>50.66</v>
      </c>
      <c r="AB628" s="1">
        <f ca="1">IFERROR(__xludf.DUMMYFUNCTION("""COMPUTED_VALUE"""),76.34)</f>
        <v>76.34</v>
      </c>
      <c r="AC628" s="1">
        <f ca="1">IFERROR(__xludf.DUMMYFUNCTION("""COMPUTED_VALUE"""),80.78)</f>
        <v>80.78</v>
      </c>
    </row>
    <row r="629" spans="1:29" x14ac:dyDescent="0.25">
      <c r="A629" s="2">
        <f ca="1">IFERROR(__xludf.DUMMYFUNCTION("""COMPUTED_VALUE"""),44741.6666666666)</f>
        <v>44741.666666666599</v>
      </c>
      <c r="B629" s="1">
        <f ca="1">IFERROR(__xludf.DUMMYFUNCTION("""COMPUTED_VALUE"""),139.23)</f>
        <v>139.22999999999999</v>
      </c>
      <c r="C629" s="1">
        <f ca="1">IFERROR(__xludf.DUMMYFUNCTION("""COMPUTED_VALUE"""),260.26)</f>
        <v>260.26</v>
      </c>
      <c r="D629" s="1">
        <f ca="1">IFERROR(__xludf.DUMMYFUNCTION("""COMPUTED_VALUE"""),108.92)</f>
        <v>108.92</v>
      </c>
      <c r="E629" s="1">
        <f ca="1">IFERROR(__xludf.DUMMYFUNCTION("""COMPUTED_VALUE"""),15.54)</f>
        <v>15.54</v>
      </c>
      <c r="F629" s="1">
        <f ca="1">IFERROR(__xludf.DUMMYFUNCTION("""COMPUTED_VALUE"""),163.94)</f>
        <v>163.94</v>
      </c>
      <c r="G629" s="1">
        <f ca="1">IFERROR(__xludf.DUMMYFUNCTION("""COMPUTED_VALUE"""),112.26)</f>
        <v>112.26</v>
      </c>
      <c r="H629" s="1">
        <f ca="1">IFERROR(__xludf.DUMMYFUNCTION("""COMPUTED_VALUE"""),228.49)</f>
        <v>228.49</v>
      </c>
      <c r="I629" s="1">
        <f ca="1">IFERROR(__xludf.DUMMYFUNCTION("""COMPUTED_VALUE"""),166.73)</f>
        <v>166.73</v>
      </c>
      <c r="J629" s="1">
        <f ca="1">IFERROR(__xludf.DUMMYFUNCTION("""COMPUTED_VALUE"""),469.84)</f>
        <v>469.84</v>
      </c>
      <c r="K629" s="1">
        <f ca="1">IFERROR(__xludf.DUMMYFUNCTION("""COMPUTED_VALUE"""),49.04)</f>
        <v>49.04</v>
      </c>
      <c r="L629" s="1">
        <f ca="1">IFERROR(__xludf.DUMMYFUNCTION("""COMPUTED_VALUE"""),368.5)</f>
        <v>368.5</v>
      </c>
      <c r="M629" s="1">
        <f ca="1">IFERROR(__xludf.DUMMYFUNCTION("""COMPUTED_VALUE"""),178.36)</f>
        <v>178.36</v>
      </c>
      <c r="N629" s="1">
        <f ca="1">IFERROR(__xludf.DUMMYFUNCTION("""COMPUTED_VALUE"""),115.3)</f>
        <v>115.3</v>
      </c>
      <c r="O629" s="1">
        <f ca="1">IFERROR(__xludf.DUMMYFUNCTION("""COMPUTED_VALUE"""),199.5)</f>
        <v>199.5</v>
      </c>
      <c r="P629" s="1">
        <f ca="1">IFERROR(__xludf.DUMMYFUNCTION("""COMPUTED_VALUE"""),176.99)</f>
        <v>176.99</v>
      </c>
      <c r="Q629" s="1">
        <f ca="1">IFERROR(__xludf.DUMMYFUNCTION("""COMPUTED_VALUE"""),515.71)</f>
        <v>515.71</v>
      </c>
      <c r="R629" s="1">
        <f ca="1">IFERROR(__xludf.DUMMYFUNCTION("""COMPUTED_VALUE"""),88.12)</f>
        <v>88.12</v>
      </c>
      <c r="S629" s="1">
        <f ca="1">IFERROR(__xludf.DUMMYFUNCTION("""COMPUTED_VALUE"""),76)</f>
        <v>76</v>
      </c>
      <c r="T629" s="1">
        <f ca="1">IFERROR(__xludf.DUMMYFUNCTION("""COMPUTED_VALUE"""),40.64)</f>
        <v>40.64</v>
      </c>
      <c r="U629" s="1">
        <f ca="1">IFERROR(__xludf.DUMMYFUNCTION("""COMPUTED_VALUE"""),103.25)</f>
        <v>103.25</v>
      </c>
      <c r="V629" s="1">
        <f ca="1">IFERROR(__xludf.DUMMYFUNCTION("""COMPUTED_VALUE"""),183.48)</f>
        <v>183.48</v>
      </c>
      <c r="W629" s="1">
        <f ca="1">IFERROR(__xludf.DUMMYFUNCTION("""COMPUTED_VALUE"""),418.89)</f>
        <v>418.89</v>
      </c>
      <c r="X629" s="1">
        <f ca="1">IFERROR(__xludf.DUMMYFUNCTION("""COMPUTED_VALUE"""),484.62)</f>
        <v>484.62</v>
      </c>
      <c r="Y629" s="1">
        <f ca="1">IFERROR(__xludf.DUMMYFUNCTION("""COMPUTED_VALUE"""),83.65)</f>
        <v>83.65</v>
      </c>
      <c r="Z629" s="1">
        <f ca="1">IFERROR(__xludf.DUMMYFUNCTION("""COMPUTED_VALUE"""),303.28)</f>
        <v>303.27999999999997</v>
      </c>
      <c r="AA629" s="1">
        <f ca="1">IFERROR(__xludf.DUMMYFUNCTION("""COMPUTED_VALUE"""),50.94)</f>
        <v>50.94</v>
      </c>
      <c r="AB629" s="1">
        <f ca="1">IFERROR(__xludf.DUMMYFUNCTION("""COMPUTED_VALUE"""),76.43)</f>
        <v>76.430000000000007</v>
      </c>
      <c r="AC629" s="1">
        <f ca="1">IFERROR(__xludf.DUMMYFUNCTION("""COMPUTED_VALUE"""),77.99)</f>
        <v>77.989999999999995</v>
      </c>
    </row>
    <row r="630" spans="1:29" x14ac:dyDescent="0.25">
      <c r="A630" s="2">
        <f ca="1">IFERROR(__xludf.DUMMYFUNCTION("""COMPUTED_VALUE"""),44742.6666666666)</f>
        <v>44742.666666666599</v>
      </c>
      <c r="B630" s="1">
        <f ca="1">IFERROR(__xludf.DUMMYFUNCTION("""COMPUTED_VALUE"""),136.72)</f>
        <v>136.72</v>
      </c>
      <c r="C630" s="1">
        <f ca="1">IFERROR(__xludf.DUMMYFUNCTION("""COMPUTED_VALUE"""),256.83)</f>
        <v>256.83</v>
      </c>
      <c r="D630" s="1">
        <f ca="1">IFERROR(__xludf.DUMMYFUNCTION("""COMPUTED_VALUE"""),106.21)</f>
        <v>106.21</v>
      </c>
      <c r="E630" s="1">
        <f ca="1">IFERROR(__xludf.DUMMYFUNCTION("""COMPUTED_VALUE"""),15.16)</f>
        <v>15.16</v>
      </c>
      <c r="F630" s="1">
        <f ca="1">IFERROR(__xludf.DUMMYFUNCTION("""COMPUTED_VALUE"""),161.25)</f>
        <v>161.25</v>
      </c>
      <c r="G630" s="1">
        <f ca="1">IFERROR(__xludf.DUMMYFUNCTION("""COMPUTED_VALUE"""),109.37)</f>
        <v>109.37</v>
      </c>
      <c r="H630" s="1">
        <f ca="1">IFERROR(__xludf.DUMMYFUNCTION("""COMPUTED_VALUE"""),224.47)</f>
        <v>224.47</v>
      </c>
      <c r="I630" s="1">
        <f ca="1">IFERROR(__xludf.DUMMYFUNCTION("""COMPUTED_VALUE"""),166.66)</f>
        <v>166.66</v>
      </c>
      <c r="J630" s="1">
        <f ca="1">IFERROR(__xludf.DUMMYFUNCTION("""COMPUTED_VALUE"""),479.28)</f>
        <v>479.28</v>
      </c>
      <c r="K630" s="1">
        <f ca="1">IFERROR(__xludf.DUMMYFUNCTION("""COMPUTED_VALUE"""),48.58)</f>
        <v>48.58</v>
      </c>
      <c r="L630" s="1">
        <f ca="1">IFERROR(__xludf.DUMMYFUNCTION("""COMPUTED_VALUE"""),366.06)</f>
        <v>366.06</v>
      </c>
      <c r="M630" s="1">
        <f ca="1">IFERROR(__xludf.DUMMYFUNCTION("""COMPUTED_VALUE"""),174.87)</f>
        <v>174.87</v>
      </c>
      <c r="N630" s="1">
        <f ca="1">IFERROR(__xludf.DUMMYFUNCTION("""COMPUTED_VALUE"""),112.61)</f>
        <v>112.61</v>
      </c>
      <c r="O630" s="1">
        <f ca="1">IFERROR(__xludf.DUMMYFUNCTION("""COMPUTED_VALUE"""),196.89)</f>
        <v>196.89</v>
      </c>
      <c r="P630" s="1">
        <f ca="1">IFERROR(__xludf.DUMMYFUNCTION("""COMPUTED_VALUE"""),177.51)</f>
        <v>177.51</v>
      </c>
      <c r="Q630" s="1">
        <f ca="1">IFERROR(__xludf.DUMMYFUNCTION("""COMPUTED_VALUE"""),513.63)</f>
        <v>513.63</v>
      </c>
      <c r="R630" s="1">
        <f ca="1">IFERROR(__xludf.DUMMYFUNCTION("""COMPUTED_VALUE"""),85.64)</f>
        <v>85.64</v>
      </c>
      <c r="S630" s="1">
        <f ca="1">IFERROR(__xludf.DUMMYFUNCTION("""COMPUTED_VALUE"""),77.46)</f>
        <v>77.459999999999994</v>
      </c>
      <c r="T630" s="1">
        <f ca="1">IFERROR(__xludf.DUMMYFUNCTION("""COMPUTED_VALUE"""),40.53)</f>
        <v>40.53</v>
      </c>
      <c r="U630" s="1">
        <f ca="1">IFERROR(__xludf.DUMMYFUNCTION("""COMPUTED_VALUE"""),102.2)</f>
        <v>102.2</v>
      </c>
      <c r="V630" s="1">
        <f ca="1">IFERROR(__xludf.DUMMYFUNCTION("""COMPUTED_VALUE"""),178.76)</f>
        <v>178.76</v>
      </c>
      <c r="W630" s="1">
        <f ca="1">IFERROR(__xludf.DUMMYFUNCTION("""COMPUTED_VALUE"""),429.96)</f>
        <v>429.96</v>
      </c>
      <c r="X630" s="1">
        <f ca="1">IFERROR(__xludf.DUMMYFUNCTION("""COMPUTED_VALUE"""),475.88)</f>
        <v>475.88</v>
      </c>
      <c r="Y630" s="1">
        <f ca="1">IFERROR(__xludf.DUMMYFUNCTION("""COMPUTED_VALUE"""),81.75)</f>
        <v>81.75</v>
      </c>
      <c r="Z630" s="1">
        <f ca="1">IFERROR(__xludf.DUMMYFUNCTION("""COMPUTED_VALUE"""),297.02)</f>
        <v>297.02</v>
      </c>
      <c r="AA630" s="1">
        <f ca="1">IFERROR(__xludf.DUMMYFUNCTION("""COMPUTED_VALUE"""),52.43)</f>
        <v>52.43</v>
      </c>
      <c r="AB630" s="1">
        <f ca="1">IFERROR(__xludf.DUMMYFUNCTION("""COMPUTED_VALUE"""),76.39)</f>
        <v>76.39</v>
      </c>
      <c r="AC630" s="1">
        <f ca="1">IFERROR(__xludf.DUMMYFUNCTION("""COMPUTED_VALUE"""),76.47)</f>
        <v>76.47</v>
      </c>
    </row>
    <row r="631" spans="1:29" x14ac:dyDescent="0.25">
      <c r="A631" s="2">
        <f ca="1">IFERROR(__xludf.DUMMYFUNCTION("""COMPUTED_VALUE"""),44743.6666666666)</f>
        <v>44743.666666666599</v>
      </c>
      <c r="B631" s="1">
        <f ca="1">IFERROR(__xludf.DUMMYFUNCTION("""COMPUTED_VALUE"""),138.93)</f>
        <v>138.93</v>
      </c>
      <c r="C631" s="1">
        <f ca="1">IFERROR(__xludf.DUMMYFUNCTION("""COMPUTED_VALUE"""),259.58)</f>
        <v>259.58</v>
      </c>
      <c r="D631" s="1">
        <f ca="1">IFERROR(__xludf.DUMMYFUNCTION("""COMPUTED_VALUE"""),109.56)</f>
        <v>109.56</v>
      </c>
      <c r="E631" s="1">
        <f ca="1">IFERROR(__xludf.DUMMYFUNCTION("""COMPUTED_VALUE"""),14.52)</f>
        <v>14.52</v>
      </c>
      <c r="F631" s="1">
        <f ca="1">IFERROR(__xludf.DUMMYFUNCTION("""COMPUTED_VALUE"""),160.03)</f>
        <v>160.03</v>
      </c>
      <c r="G631" s="1">
        <f ca="1">IFERROR(__xludf.DUMMYFUNCTION("""COMPUTED_VALUE"""),109.08)</f>
        <v>109.08</v>
      </c>
      <c r="H631" s="1">
        <f ca="1">IFERROR(__xludf.DUMMYFUNCTION("""COMPUTED_VALUE"""),227.26)</f>
        <v>227.26</v>
      </c>
      <c r="I631" s="1">
        <f ca="1">IFERROR(__xludf.DUMMYFUNCTION("""COMPUTED_VALUE"""),169.39)</f>
        <v>169.39</v>
      </c>
      <c r="J631" s="1">
        <f ca="1">IFERROR(__xludf.DUMMYFUNCTION("""COMPUTED_VALUE"""),485.76)</f>
        <v>485.76</v>
      </c>
      <c r="K631" s="1">
        <f ca="1">IFERROR(__xludf.DUMMYFUNCTION("""COMPUTED_VALUE"""),47.78)</f>
        <v>47.78</v>
      </c>
      <c r="L631" s="1">
        <f ca="1">IFERROR(__xludf.DUMMYFUNCTION("""COMPUTED_VALUE"""),368.48)</f>
        <v>368.48</v>
      </c>
      <c r="M631" s="1">
        <f ca="1">IFERROR(__xludf.DUMMYFUNCTION("""COMPUTED_VALUE"""),179.95)</f>
        <v>179.95</v>
      </c>
      <c r="N631" s="1">
        <f ca="1">IFERROR(__xludf.DUMMYFUNCTION("""COMPUTED_VALUE"""),114.05)</f>
        <v>114.05</v>
      </c>
      <c r="O631" s="1">
        <f ca="1">IFERROR(__xludf.DUMMYFUNCTION("""COMPUTED_VALUE"""),199.18)</f>
        <v>199.18</v>
      </c>
      <c r="P631" s="1">
        <f ca="1">IFERROR(__xludf.DUMMYFUNCTION("""COMPUTED_VALUE"""),179.52)</f>
        <v>179.52</v>
      </c>
      <c r="Q631" s="1">
        <f ca="1">IFERROR(__xludf.DUMMYFUNCTION("""COMPUTED_VALUE"""),517.4)</f>
        <v>517.4</v>
      </c>
      <c r="R631" s="1">
        <f ca="1">IFERROR(__xludf.DUMMYFUNCTION("""COMPUTED_VALUE"""),87.55)</f>
        <v>87.55</v>
      </c>
      <c r="S631" s="1">
        <f ca="1">IFERROR(__xludf.DUMMYFUNCTION("""COMPUTED_VALUE"""),80.56)</f>
        <v>80.56</v>
      </c>
      <c r="T631" s="1">
        <f ca="1">IFERROR(__xludf.DUMMYFUNCTION("""COMPUTED_VALUE"""),40.88)</f>
        <v>40.880000000000003</v>
      </c>
      <c r="U631" s="1">
        <f ca="1">IFERROR(__xludf.DUMMYFUNCTION("""COMPUTED_VALUE"""),101.18)</f>
        <v>101.18</v>
      </c>
      <c r="V631" s="1">
        <f ca="1">IFERROR(__xludf.DUMMYFUNCTION("""COMPUTED_VALUE"""),178.29)</f>
        <v>178.29</v>
      </c>
      <c r="W631" s="1">
        <f ca="1">IFERROR(__xludf.DUMMYFUNCTION("""COMPUTED_VALUE"""),433.52)</f>
        <v>433.52</v>
      </c>
      <c r="X631" s="1">
        <f ca="1">IFERROR(__xludf.DUMMYFUNCTION("""COMPUTED_VALUE"""),449.83)</f>
        <v>449.83</v>
      </c>
      <c r="Y631" s="1">
        <f ca="1">IFERROR(__xludf.DUMMYFUNCTION("""COMPUTED_VALUE"""),77)</f>
        <v>77</v>
      </c>
      <c r="Z631" s="1">
        <f ca="1">IFERROR(__xludf.DUMMYFUNCTION("""COMPUTED_VALUE"""),299.23)</f>
        <v>299.23</v>
      </c>
      <c r="AA631" s="1">
        <f ca="1">IFERROR(__xludf.DUMMYFUNCTION("""COMPUTED_VALUE"""),52.31)</f>
        <v>52.31</v>
      </c>
      <c r="AB631" s="1">
        <f ca="1">IFERROR(__xludf.DUMMYFUNCTION("""COMPUTED_VALUE"""),79.26)</f>
        <v>79.260000000000005</v>
      </c>
      <c r="AC631" s="1">
        <f ca="1">IFERROR(__xludf.DUMMYFUNCTION("""COMPUTED_VALUE"""),73.67)</f>
        <v>73.67</v>
      </c>
    </row>
    <row r="632" spans="1:29" x14ac:dyDescent="0.25">
      <c r="A632" s="2">
        <f ca="1">IFERROR(__xludf.DUMMYFUNCTION("""COMPUTED_VALUE"""),44747.6666666666)</f>
        <v>44747.666666666599</v>
      </c>
      <c r="B632" s="1">
        <f ca="1">IFERROR(__xludf.DUMMYFUNCTION("""COMPUTED_VALUE"""),141.56)</f>
        <v>141.56</v>
      </c>
      <c r="C632" s="1">
        <f ca="1">IFERROR(__xludf.DUMMYFUNCTION("""COMPUTED_VALUE"""),262.85)</f>
        <v>262.85000000000002</v>
      </c>
      <c r="D632" s="1">
        <f ca="1">IFERROR(__xludf.DUMMYFUNCTION("""COMPUTED_VALUE"""),113.5)</f>
        <v>113.5</v>
      </c>
      <c r="E632" s="1">
        <f ca="1">IFERROR(__xludf.DUMMYFUNCTION("""COMPUTED_VALUE"""),14.96)</f>
        <v>14.96</v>
      </c>
      <c r="F632" s="1">
        <f ca="1">IFERROR(__xludf.DUMMYFUNCTION("""COMPUTED_VALUE"""),168.19)</f>
        <v>168.19</v>
      </c>
      <c r="G632" s="1">
        <f ca="1">IFERROR(__xludf.DUMMYFUNCTION("""COMPUTED_VALUE"""),113.89)</f>
        <v>113.89</v>
      </c>
      <c r="H632" s="1">
        <f ca="1">IFERROR(__xludf.DUMMYFUNCTION("""COMPUTED_VALUE"""),233.07)</f>
        <v>233.07</v>
      </c>
      <c r="I632" s="1">
        <f ca="1">IFERROR(__xludf.DUMMYFUNCTION("""COMPUTED_VALUE"""),169.01)</f>
        <v>169.01</v>
      </c>
      <c r="J632" s="1">
        <f ca="1">IFERROR(__xludf.DUMMYFUNCTION("""COMPUTED_VALUE"""),488.26)</f>
        <v>488.26</v>
      </c>
      <c r="K632" s="1">
        <f ca="1">IFERROR(__xludf.DUMMYFUNCTION("""COMPUTED_VALUE"""),47.63)</f>
        <v>47.63</v>
      </c>
      <c r="L632" s="1">
        <f ca="1">IFERROR(__xludf.DUMMYFUNCTION("""COMPUTED_VALUE"""),376.49)</f>
        <v>376.49</v>
      </c>
      <c r="M632" s="1">
        <f ca="1">IFERROR(__xludf.DUMMYFUNCTION("""COMPUTED_VALUE"""),185.88)</f>
        <v>185.88</v>
      </c>
      <c r="N632" s="1">
        <f ca="1">IFERROR(__xludf.DUMMYFUNCTION("""COMPUTED_VALUE"""),112.62)</f>
        <v>112.62</v>
      </c>
      <c r="O632" s="1">
        <f ca="1">IFERROR(__xludf.DUMMYFUNCTION("""COMPUTED_VALUE"""),200.54)</f>
        <v>200.54</v>
      </c>
      <c r="P632" s="1">
        <f ca="1">IFERROR(__xludf.DUMMYFUNCTION("""COMPUTED_VALUE"""),178.14)</f>
        <v>178.14</v>
      </c>
      <c r="Q632" s="1">
        <f ca="1">IFERROR(__xludf.DUMMYFUNCTION("""COMPUTED_VALUE"""),505.24)</f>
        <v>505.24</v>
      </c>
      <c r="R632" s="1">
        <f ca="1">IFERROR(__xludf.DUMMYFUNCTION("""COMPUTED_VALUE"""),84.81)</f>
        <v>84.81</v>
      </c>
      <c r="S632" s="1">
        <f ca="1">IFERROR(__xludf.DUMMYFUNCTION("""COMPUTED_VALUE"""),79.11)</f>
        <v>79.11</v>
      </c>
      <c r="T632" s="1">
        <f ca="1">IFERROR(__xludf.DUMMYFUNCTION("""COMPUTED_VALUE"""),41.42)</f>
        <v>41.42</v>
      </c>
      <c r="U632" s="1">
        <f ca="1">IFERROR(__xludf.DUMMYFUNCTION("""COMPUTED_VALUE"""),104.32)</f>
        <v>104.32</v>
      </c>
      <c r="V632" s="1">
        <f ca="1">IFERROR(__xludf.DUMMYFUNCTION("""COMPUTED_VALUE"""),173.76)</f>
        <v>173.76</v>
      </c>
      <c r="W632" s="1">
        <f ca="1">IFERROR(__xludf.DUMMYFUNCTION("""COMPUTED_VALUE"""),415.25)</f>
        <v>415.25</v>
      </c>
      <c r="X632" s="1">
        <f ca="1">IFERROR(__xludf.DUMMYFUNCTION("""COMPUTED_VALUE"""),432.4)</f>
        <v>432.4</v>
      </c>
      <c r="Y632" s="1">
        <f ca="1">IFERROR(__xludf.DUMMYFUNCTION("""COMPUTED_VALUE"""),76.11)</f>
        <v>76.11</v>
      </c>
      <c r="Z632" s="1">
        <f ca="1">IFERROR(__xludf.DUMMYFUNCTION("""COMPUTED_VALUE"""),297.2)</f>
        <v>297.2</v>
      </c>
      <c r="AA632" s="1">
        <f ca="1">IFERROR(__xludf.DUMMYFUNCTION("""COMPUTED_VALUE"""),51.64)</f>
        <v>51.64</v>
      </c>
      <c r="AB632" s="1">
        <f ca="1">IFERROR(__xludf.DUMMYFUNCTION("""COMPUTED_VALUE"""),79.52)</f>
        <v>79.52</v>
      </c>
      <c r="AC632" s="1">
        <f ca="1">IFERROR(__xludf.DUMMYFUNCTION("""COMPUTED_VALUE"""),75.2)</f>
        <v>75.2</v>
      </c>
    </row>
    <row r="633" spans="1:29" x14ac:dyDescent="0.25">
      <c r="A633" s="2">
        <f ca="1">IFERROR(__xludf.DUMMYFUNCTION("""COMPUTED_VALUE"""),44748.6666666666)</f>
        <v>44748.666666666599</v>
      </c>
      <c r="B633" s="1">
        <f ca="1">IFERROR(__xludf.DUMMYFUNCTION("""COMPUTED_VALUE"""),142.92)</f>
        <v>142.91999999999999</v>
      </c>
      <c r="C633" s="1">
        <f ca="1">IFERROR(__xludf.DUMMYFUNCTION("""COMPUTED_VALUE"""),266.21)</f>
        <v>266.20999999999998</v>
      </c>
      <c r="D633" s="1">
        <f ca="1">IFERROR(__xludf.DUMMYFUNCTION("""COMPUTED_VALUE"""),114.33)</f>
        <v>114.33</v>
      </c>
      <c r="E633" s="1">
        <f ca="1">IFERROR(__xludf.DUMMYFUNCTION("""COMPUTED_VALUE"""),15.13)</f>
        <v>15.13</v>
      </c>
      <c r="F633" s="1">
        <f ca="1">IFERROR(__xludf.DUMMYFUNCTION("""COMPUTED_VALUE"""),169.77)</f>
        <v>169.77</v>
      </c>
      <c r="G633" s="1">
        <f ca="1">IFERROR(__xludf.DUMMYFUNCTION("""COMPUTED_VALUE"""),115.21)</f>
        <v>115.21</v>
      </c>
      <c r="H633" s="1">
        <f ca="1">IFERROR(__xludf.DUMMYFUNCTION("""COMPUTED_VALUE"""),231.73)</f>
        <v>231.73</v>
      </c>
      <c r="I633" s="1">
        <f ca="1">IFERROR(__xludf.DUMMYFUNCTION("""COMPUTED_VALUE"""),170.7)</f>
        <v>170.7</v>
      </c>
      <c r="J633" s="1">
        <f ca="1">IFERROR(__xludf.DUMMYFUNCTION("""COMPUTED_VALUE"""),492.65)</f>
        <v>492.65</v>
      </c>
      <c r="K633" s="1">
        <f ca="1">IFERROR(__xludf.DUMMYFUNCTION("""COMPUTED_VALUE"""),48.26)</f>
        <v>48.26</v>
      </c>
      <c r="L633" s="1">
        <f ca="1">IFERROR(__xludf.DUMMYFUNCTION("""COMPUTED_VALUE"""),382.83)</f>
        <v>382.83</v>
      </c>
      <c r="M633" s="1">
        <f ca="1">IFERROR(__xludf.DUMMYFUNCTION("""COMPUTED_VALUE"""),184.06)</f>
        <v>184.06</v>
      </c>
      <c r="N633" s="1">
        <f ca="1">IFERROR(__xludf.DUMMYFUNCTION("""COMPUTED_VALUE"""),111.89)</f>
        <v>111.89</v>
      </c>
      <c r="O633" s="1">
        <f ca="1">IFERROR(__xludf.DUMMYFUNCTION("""COMPUTED_VALUE"""),201.12)</f>
        <v>201.12</v>
      </c>
      <c r="P633" s="1">
        <f ca="1">IFERROR(__xludf.DUMMYFUNCTION("""COMPUTED_VALUE"""),178.3)</f>
        <v>178.3</v>
      </c>
      <c r="Q633" s="1">
        <f ca="1">IFERROR(__xludf.DUMMYFUNCTION("""COMPUTED_VALUE"""),515.29)</f>
        <v>515.29</v>
      </c>
      <c r="R633" s="1">
        <f ca="1">IFERROR(__xludf.DUMMYFUNCTION("""COMPUTED_VALUE"""),83.28)</f>
        <v>83.28</v>
      </c>
      <c r="S633" s="1">
        <f ca="1">IFERROR(__xludf.DUMMYFUNCTION("""COMPUTED_VALUE"""),79.57)</f>
        <v>79.569999999999993</v>
      </c>
      <c r="T633" s="1">
        <f ca="1">IFERROR(__xludf.DUMMYFUNCTION("""COMPUTED_VALUE"""),41.71)</f>
        <v>41.71</v>
      </c>
      <c r="U633" s="1">
        <f ca="1">IFERROR(__xludf.DUMMYFUNCTION("""COMPUTED_VALUE"""),104.23)</f>
        <v>104.23</v>
      </c>
      <c r="V633" s="1">
        <f ca="1">IFERROR(__xludf.DUMMYFUNCTION("""COMPUTED_VALUE"""),172.31)</f>
        <v>172.31</v>
      </c>
      <c r="W633" s="1">
        <f ca="1">IFERROR(__xludf.DUMMYFUNCTION("""COMPUTED_VALUE"""),425.89)</f>
        <v>425.89</v>
      </c>
      <c r="X633" s="1">
        <f ca="1">IFERROR(__xludf.DUMMYFUNCTION("""COMPUTED_VALUE"""),428.88)</f>
        <v>428.88</v>
      </c>
      <c r="Y633" s="1">
        <f ca="1">IFERROR(__xludf.DUMMYFUNCTION("""COMPUTED_VALUE"""),75.56)</f>
        <v>75.56</v>
      </c>
      <c r="Z633" s="1">
        <f ca="1">IFERROR(__xludf.DUMMYFUNCTION("""COMPUTED_VALUE"""),293.76)</f>
        <v>293.76</v>
      </c>
      <c r="AA633" s="1">
        <f ca="1">IFERROR(__xludf.DUMMYFUNCTION("""COMPUTED_VALUE"""),52.75)</f>
        <v>52.75</v>
      </c>
      <c r="AB633" s="1">
        <f ca="1">IFERROR(__xludf.DUMMYFUNCTION("""COMPUTED_VALUE"""),78.86)</f>
        <v>78.86</v>
      </c>
      <c r="AC633" s="1">
        <f ca="1">IFERROR(__xludf.DUMMYFUNCTION("""COMPUTED_VALUE"""),75.35)</f>
        <v>75.349999999999994</v>
      </c>
    </row>
    <row r="634" spans="1:29" x14ac:dyDescent="0.25">
      <c r="A634" s="2">
        <f ca="1">IFERROR(__xludf.DUMMYFUNCTION("""COMPUTED_VALUE"""),44749.6666666666)</f>
        <v>44749.666666666599</v>
      </c>
      <c r="B634" s="1">
        <f ca="1">IFERROR(__xludf.DUMMYFUNCTION("""COMPUTED_VALUE"""),146.35)</f>
        <v>146.35</v>
      </c>
      <c r="C634" s="1">
        <f ca="1">IFERROR(__xludf.DUMMYFUNCTION("""COMPUTED_VALUE"""),268.4)</f>
        <v>268.39999999999998</v>
      </c>
      <c r="D634" s="1">
        <f ca="1">IFERROR(__xludf.DUMMYFUNCTION("""COMPUTED_VALUE"""),116.33)</f>
        <v>116.33</v>
      </c>
      <c r="E634" s="1">
        <f ca="1">IFERROR(__xludf.DUMMYFUNCTION("""COMPUTED_VALUE"""),15.86)</f>
        <v>15.86</v>
      </c>
      <c r="F634" s="1">
        <f ca="1">IFERROR(__xludf.DUMMYFUNCTION("""COMPUTED_VALUE"""),172.19)</f>
        <v>172.19</v>
      </c>
      <c r="G634" s="1">
        <f ca="1">IFERROR(__xludf.DUMMYFUNCTION("""COMPUTED_VALUE"""),119.31)</f>
        <v>119.31</v>
      </c>
      <c r="H634" s="1">
        <f ca="1">IFERROR(__xludf.DUMMYFUNCTION("""COMPUTED_VALUE"""),244.54)</f>
        <v>244.54</v>
      </c>
      <c r="I634" s="1">
        <f ca="1">IFERROR(__xludf.DUMMYFUNCTION("""COMPUTED_VALUE"""),170.36)</f>
        <v>170.36</v>
      </c>
      <c r="J634" s="1">
        <f ca="1">IFERROR(__xludf.DUMMYFUNCTION("""COMPUTED_VALUE"""),494.95)</f>
        <v>494.95</v>
      </c>
      <c r="K634" s="1">
        <f ca="1">IFERROR(__xludf.DUMMYFUNCTION("""COMPUTED_VALUE"""),49.85)</f>
        <v>49.85</v>
      </c>
      <c r="L634" s="1">
        <f ca="1">IFERROR(__xludf.DUMMYFUNCTION("""COMPUTED_VALUE"""),390.89)</f>
        <v>390.89</v>
      </c>
      <c r="M634" s="1">
        <f ca="1">IFERROR(__xludf.DUMMYFUNCTION("""COMPUTED_VALUE"""),189.27)</f>
        <v>189.27</v>
      </c>
      <c r="N634" s="1">
        <f ca="1">IFERROR(__xludf.DUMMYFUNCTION("""COMPUTED_VALUE"""),114.72)</f>
        <v>114.72</v>
      </c>
      <c r="O634" s="1">
        <f ca="1">IFERROR(__xludf.DUMMYFUNCTION("""COMPUTED_VALUE"""),202.8)</f>
        <v>202.8</v>
      </c>
      <c r="P634" s="1">
        <f ca="1">IFERROR(__xludf.DUMMYFUNCTION("""COMPUTED_VALUE"""),178.5)</f>
        <v>178.5</v>
      </c>
      <c r="Q634" s="1">
        <f ca="1">IFERROR(__xludf.DUMMYFUNCTION("""COMPUTED_VALUE"""),514.38)</f>
        <v>514.38</v>
      </c>
      <c r="R634" s="1">
        <f ca="1">IFERROR(__xludf.DUMMYFUNCTION("""COMPUTED_VALUE"""),85.94)</f>
        <v>85.94</v>
      </c>
      <c r="S634" s="1">
        <f ca="1">IFERROR(__xludf.DUMMYFUNCTION("""COMPUTED_VALUE"""),80.38)</f>
        <v>80.38</v>
      </c>
      <c r="T634" s="1">
        <f ca="1">IFERROR(__xludf.DUMMYFUNCTION("""COMPUTED_VALUE"""),41.77)</f>
        <v>41.77</v>
      </c>
      <c r="U634" s="1">
        <f ca="1">IFERROR(__xludf.DUMMYFUNCTION("""COMPUTED_VALUE"""),108.13)</f>
        <v>108.13</v>
      </c>
      <c r="V634" s="1">
        <f ca="1">IFERROR(__xludf.DUMMYFUNCTION("""COMPUTED_VALUE"""),180.28)</f>
        <v>180.28</v>
      </c>
      <c r="W634" s="1">
        <f ca="1">IFERROR(__xludf.DUMMYFUNCTION("""COMPUTED_VALUE"""),422.19)</f>
        <v>422.19</v>
      </c>
      <c r="X634" s="1">
        <f ca="1">IFERROR(__xludf.DUMMYFUNCTION("""COMPUTED_VALUE"""),451.9)</f>
        <v>451.9</v>
      </c>
      <c r="Y634" s="1">
        <f ca="1">IFERROR(__xludf.DUMMYFUNCTION("""COMPUTED_VALUE"""),80.65)</f>
        <v>80.650000000000006</v>
      </c>
      <c r="Z634" s="1">
        <f ca="1">IFERROR(__xludf.DUMMYFUNCTION("""COMPUTED_VALUE"""),298.6)</f>
        <v>298.60000000000002</v>
      </c>
      <c r="AA634" s="1">
        <f ca="1">IFERROR(__xludf.DUMMYFUNCTION("""COMPUTED_VALUE"""),53.42)</f>
        <v>53.42</v>
      </c>
      <c r="AB634" s="1">
        <f ca="1">IFERROR(__xludf.DUMMYFUNCTION("""COMPUTED_VALUE"""),79.24)</f>
        <v>79.239999999999995</v>
      </c>
      <c r="AC634" s="1">
        <f ca="1">IFERROR(__xludf.DUMMYFUNCTION("""COMPUTED_VALUE"""),79.3)</f>
        <v>79.3</v>
      </c>
    </row>
    <row r="635" spans="1:29" x14ac:dyDescent="0.25">
      <c r="A635" s="2">
        <f ca="1">IFERROR(__xludf.DUMMYFUNCTION("""COMPUTED_VALUE"""),44750.6666666666)</f>
        <v>44750.666666666599</v>
      </c>
      <c r="B635" s="1">
        <f ca="1">IFERROR(__xludf.DUMMYFUNCTION("""COMPUTED_VALUE"""),147.04)</f>
        <v>147.04</v>
      </c>
      <c r="C635" s="1">
        <f ca="1">IFERROR(__xludf.DUMMYFUNCTION("""COMPUTED_VALUE"""),267.66)</f>
        <v>267.66000000000003</v>
      </c>
      <c r="D635" s="1">
        <f ca="1">IFERROR(__xludf.DUMMYFUNCTION("""COMPUTED_VALUE"""),115.54)</f>
        <v>115.54</v>
      </c>
      <c r="E635" s="1">
        <f ca="1">IFERROR(__xludf.DUMMYFUNCTION("""COMPUTED_VALUE"""),15.84)</f>
        <v>15.84</v>
      </c>
      <c r="F635" s="1">
        <f ca="1">IFERROR(__xludf.DUMMYFUNCTION("""COMPUTED_VALUE"""),170.88)</f>
        <v>170.88</v>
      </c>
      <c r="G635" s="1">
        <f ca="1">IFERROR(__xludf.DUMMYFUNCTION("""COMPUTED_VALUE"""),120.17)</f>
        <v>120.17</v>
      </c>
      <c r="H635" s="1">
        <f ca="1">IFERROR(__xludf.DUMMYFUNCTION("""COMPUTED_VALUE"""),250.76)</f>
        <v>250.76</v>
      </c>
      <c r="I635" s="1">
        <f ca="1">IFERROR(__xludf.DUMMYFUNCTION("""COMPUTED_VALUE"""),171.88)</f>
        <v>171.88</v>
      </c>
      <c r="J635" s="1">
        <f ca="1">IFERROR(__xludf.DUMMYFUNCTION("""COMPUTED_VALUE"""),501.54)</f>
        <v>501.54</v>
      </c>
      <c r="K635" s="1">
        <f ca="1">IFERROR(__xludf.DUMMYFUNCTION("""COMPUTED_VALUE"""),49.87)</f>
        <v>49.87</v>
      </c>
      <c r="L635" s="1">
        <f ca="1">IFERROR(__xludf.DUMMYFUNCTION("""COMPUTED_VALUE"""),389.44)</f>
        <v>389.44</v>
      </c>
      <c r="M635" s="1">
        <f ca="1">IFERROR(__xludf.DUMMYFUNCTION("""COMPUTED_VALUE"""),186.98)</f>
        <v>186.98</v>
      </c>
      <c r="N635" s="1">
        <f ca="1">IFERROR(__xludf.DUMMYFUNCTION("""COMPUTED_VALUE"""),114.36)</f>
        <v>114.36</v>
      </c>
      <c r="O635" s="1">
        <f ca="1">IFERROR(__xludf.DUMMYFUNCTION("""COMPUTED_VALUE"""),203.57)</f>
        <v>203.57</v>
      </c>
      <c r="P635" s="1">
        <f ca="1">IFERROR(__xludf.DUMMYFUNCTION("""COMPUTED_VALUE"""),178.28)</f>
        <v>178.28</v>
      </c>
      <c r="Q635" s="1">
        <f ca="1">IFERROR(__xludf.DUMMYFUNCTION("""COMPUTED_VALUE"""),518.63)</f>
        <v>518.63</v>
      </c>
      <c r="R635" s="1">
        <f ca="1">IFERROR(__xludf.DUMMYFUNCTION("""COMPUTED_VALUE"""),86.08)</f>
        <v>86.08</v>
      </c>
      <c r="S635" s="1">
        <f ca="1">IFERROR(__xludf.DUMMYFUNCTION("""COMPUTED_VALUE"""),80.25)</f>
        <v>80.25</v>
      </c>
      <c r="T635" s="1">
        <f ca="1">IFERROR(__xludf.DUMMYFUNCTION("""COMPUTED_VALUE"""),41.8)</f>
        <v>41.8</v>
      </c>
      <c r="U635" s="1">
        <f ca="1">IFERROR(__xludf.DUMMYFUNCTION("""COMPUTED_VALUE"""),107.93)</f>
        <v>107.93</v>
      </c>
      <c r="V635" s="1">
        <f ca="1">IFERROR(__xludf.DUMMYFUNCTION("""COMPUTED_VALUE"""),179.1)</f>
        <v>179.1</v>
      </c>
      <c r="W635" s="1">
        <f ca="1">IFERROR(__xludf.DUMMYFUNCTION("""COMPUTED_VALUE"""),420.35)</f>
        <v>420.35</v>
      </c>
      <c r="X635" s="1">
        <f ca="1">IFERROR(__xludf.DUMMYFUNCTION("""COMPUTED_VALUE"""),452.95)</f>
        <v>452.95</v>
      </c>
      <c r="Y635" s="1">
        <f ca="1">IFERROR(__xludf.DUMMYFUNCTION("""COMPUTED_VALUE"""),81.51)</f>
        <v>81.510000000000005</v>
      </c>
      <c r="Z635" s="1">
        <f ca="1">IFERROR(__xludf.DUMMYFUNCTION("""COMPUTED_VALUE"""),296.47)</f>
        <v>296.47000000000003</v>
      </c>
      <c r="AA635" s="1">
        <f ca="1">IFERROR(__xludf.DUMMYFUNCTION("""COMPUTED_VALUE"""),53.17)</f>
        <v>53.17</v>
      </c>
      <c r="AB635" s="1">
        <f ca="1">IFERROR(__xludf.DUMMYFUNCTION("""COMPUTED_VALUE"""),79.28)</f>
        <v>79.28</v>
      </c>
      <c r="AC635" s="1">
        <f ca="1">IFERROR(__xludf.DUMMYFUNCTION("""COMPUTED_VALUE"""),79.35)</f>
        <v>79.349999999999994</v>
      </c>
    </row>
    <row r="636" spans="1:29" x14ac:dyDescent="0.25">
      <c r="A636" s="2">
        <f ca="1">IFERROR(__xludf.DUMMYFUNCTION("""COMPUTED_VALUE"""),44753.6666666666)</f>
        <v>44753.666666666599</v>
      </c>
      <c r="B636" s="1">
        <f ca="1">IFERROR(__xludf.DUMMYFUNCTION("""COMPUTED_VALUE"""),144.87)</f>
        <v>144.87</v>
      </c>
      <c r="C636" s="1">
        <f ca="1">IFERROR(__xludf.DUMMYFUNCTION("""COMPUTED_VALUE"""),264.51)</f>
        <v>264.51</v>
      </c>
      <c r="D636" s="1">
        <f ca="1">IFERROR(__xludf.DUMMYFUNCTION("""COMPUTED_VALUE"""),111.75)</f>
        <v>111.75</v>
      </c>
      <c r="E636" s="1">
        <f ca="1">IFERROR(__xludf.DUMMYFUNCTION("""COMPUTED_VALUE"""),15.15)</f>
        <v>15.15</v>
      </c>
      <c r="F636" s="1">
        <f ca="1">IFERROR(__xludf.DUMMYFUNCTION("""COMPUTED_VALUE"""),162.88)</f>
        <v>162.88</v>
      </c>
      <c r="G636" s="1">
        <f ca="1">IFERROR(__xludf.DUMMYFUNCTION("""COMPUTED_VALUE"""),116.52)</f>
        <v>116.52</v>
      </c>
      <c r="H636" s="1">
        <f ca="1">IFERROR(__xludf.DUMMYFUNCTION("""COMPUTED_VALUE"""),234.34)</f>
        <v>234.34</v>
      </c>
      <c r="I636" s="1">
        <f ca="1">IFERROR(__xludf.DUMMYFUNCTION("""COMPUTED_VALUE"""),170.47)</f>
        <v>170.47</v>
      </c>
      <c r="J636" s="1">
        <f ca="1">IFERROR(__xludf.DUMMYFUNCTION("""COMPUTED_VALUE"""),498.9)</f>
        <v>498.9</v>
      </c>
      <c r="K636" s="1">
        <f ca="1">IFERROR(__xludf.DUMMYFUNCTION("""COMPUTED_VALUE"""),48.29)</f>
        <v>48.29</v>
      </c>
      <c r="L636" s="1">
        <f ca="1">IFERROR(__xludf.DUMMYFUNCTION("""COMPUTED_VALUE"""),384.16)</f>
        <v>384.16</v>
      </c>
      <c r="M636" s="1">
        <f ca="1">IFERROR(__xludf.DUMMYFUNCTION("""COMPUTED_VALUE"""),177.34)</f>
        <v>177.34</v>
      </c>
      <c r="N636" s="1">
        <f ca="1">IFERROR(__xludf.DUMMYFUNCTION("""COMPUTED_VALUE"""),112.86)</f>
        <v>112.86</v>
      </c>
      <c r="O636" s="1">
        <f ca="1">IFERROR(__xludf.DUMMYFUNCTION("""COMPUTED_VALUE"""),205.06)</f>
        <v>205.06</v>
      </c>
      <c r="P636" s="1">
        <f ca="1">IFERROR(__xludf.DUMMYFUNCTION("""COMPUTED_VALUE"""),178.35)</f>
        <v>178.35</v>
      </c>
      <c r="Q636" s="1">
        <f ca="1">IFERROR(__xludf.DUMMYFUNCTION("""COMPUTED_VALUE"""),516.95)</f>
        <v>516.95000000000005</v>
      </c>
      <c r="R636" s="1">
        <f ca="1">IFERROR(__xludf.DUMMYFUNCTION("""COMPUTED_VALUE"""),85.64)</f>
        <v>85.64</v>
      </c>
      <c r="S636" s="1">
        <f ca="1">IFERROR(__xludf.DUMMYFUNCTION("""COMPUTED_VALUE"""),80.68)</f>
        <v>80.680000000000007</v>
      </c>
      <c r="T636" s="1">
        <f ca="1">IFERROR(__xludf.DUMMYFUNCTION("""COMPUTED_VALUE"""),41.82)</f>
        <v>41.82</v>
      </c>
      <c r="U636" s="1">
        <f ca="1">IFERROR(__xludf.DUMMYFUNCTION("""COMPUTED_VALUE"""),105.11)</f>
        <v>105.11</v>
      </c>
      <c r="V636" s="1">
        <f ca="1">IFERROR(__xludf.DUMMYFUNCTION("""COMPUTED_VALUE"""),175.02)</f>
        <v>175.02</v>
      </c>
      <c r="W636" s="1">
        <f ca="1">IFERROR(__xludf.DUMMYFUNCTION("""COMPUTED_VALUE"""),419.07)</f>
        <v>419.07</v>
      </c>
      <c r="X636" s="1">
        <f ca="1">IFERROR(__xludf.DUMMYFUNCTION("""COMPUTED_VALUE"""),439.06)</f>
        <v>439.06</v>
      </c>
      <c r="Y636" s="1">
        <f ca="1">IFERROR(__xludf.DUMMYFUNCTION("""COMPUTED_VALUE"""),79.11)</f>
        <v>79.11</v>
      </c>
      <c r="Z636" s="1">
        <f ca="1">IFERROR(__xludf.DUMMYFUNCTION("""COMPUTED_VALUE"""),293.18)</f>
        <v>293.18</v>
      </c>
      <c r="AA636" s="1">
        <f ca="1">IFERROR(__xludf.DUMMYFUNCTION("""COMPUTED_VALUE"""),52.89)</f>
        <v>52.89</v>
      </c>
      <c r="AB636" s="1">
        <f ca="1">IFERROR(__xludf.DUMMYFUNCTION("""COMPUTED_VALUE"""),77.9)</f>
        <v>77.900000000000006</v>
      </c>
      <c r="AC636" s="1">
        <f ca="1">IFERROR(__xludf.DUMMYFUNCTION("""COMPUTED_VALUE"""),76.95)</f>
        <v>76.95</v>
      </c>
    </row>
    <row r="637" spans="1:29" x14ac:dyDescent="0.25">
      <c r="A637" s="2">
        <f ca="1">IFERROR(__xludf.DUMMYFUNCTION("""COMPUTED_VALUE"""),44754.6666666666)</f>
        <v>44754.666666666599</v>
      </c>
      <c r="B637" s="1">
        <f ca="1">IFERROR(__xludf.DUMMYFUNCTION("""COMPUTED_VALUE"""),145.86)</f>
        <v>145.86000000000001</v>
      </c>
      <c r="C637" s="1">
        <f ca="1">IFERROR(__xludf.DUMMYFUNCTION("""COMPUTED_VALUE"""),253.67)</f>
        <v>253.67</v>
      </c>
      <c r="D637" s="1">
        <f ca="1">IFERROR(__xludf.DUMMYFUNCTION("""COMPUTED_VALUE"""),109.22)</f>
        <v>109.22</v>
      </c>
      <c r="E637" s="1">
        <f ca="1">IFERROR(__xludf.DUMMYFUNCTION("""COMPUTED_VALUE"""),15.08)</f>
        <v>15.08</v>
      </c>
      <c r="F637" s="1">
        <f ca="1">IFERROR(__xludf.DUMMYFUNCTION("""COMPUTED_VALUE"""),163.27)</f>
        <v>163.27000000000001</v>
      </c>
      <c r="G637" s="1">
        <f ca="1">IFERROR(__xludf.DUMMYFUNCTION("""COMPUTED_VALUE"""),114.85)</f>
        <v>114.85</v>
      </c>
      <c r="H637" s="1">
        <f ca="1">IFERROR(__xludf.DUMMYFUNCTION("""COMPUTED_VALUE"""),233.07)</f>
        <v>233.07</v>
      </c>
      <c r="I637" s="1">
        <f ca="1">IFERROR(__xludf.DUMMYFUNCTION("""COMPUTED_VALUE"""),169.5)</f>
        <v>169.5</v>
      </c>
      <c r="J637" s="1">
        <f ca="1">IFERROR(__xludf.DUMMYFUNCTION("""COMPUTED_VALUE"""),490.57)</f>
        <v>490.57</v>
      </c>
      <c r="K637" s="1">
        <f ca="1">IFERROR(__xludf.DUMMYFUNCTION("""COMPUTED_VALUE"""),48.14)</f>
        <v>48.14</v>
      </c>
      <c r="L637" s="1">
        <f ca="1">IFERROR(__xludf.DUMMYFUNCTION("""COMPUTED_VALUE"""),375.54)</f>
        <v>375.54</v>
      </c>
      <c r="M637" s="1">
        <f ca="1">IFERROR(__xludf.DUMMYFUNCTION("""COMPUTED_VALUE"""),174.45)</f>
        <v>174.45</v>
      </c>
      <c r="N637" s="1">
        <f ca="1">IFERROR(__xludf.DUMMYFUNCTION("""COMPUTED_VALUE"""),112.97)</f>
        <v>112.97</v>
      </c>
      <c r="O637" s="1">
        <f ca="1">IFERROR(__xludf.DUMMYFUNCTION("""COMPUTED_VALUE"""),204.82)</f>
        <v>204.82</v>
      </c>
      <c r="P637" s="1">
        <f ca="1">IFERROR(__xludf.DUMMYFUNCTION("""COMPUTED_VALUE"""),175.85)</f>
        <v>175.85</v>
      </c>
      <c r="Q637" s="1">
        <f ca="1">IFERROR(__xludf.DUMMYFUNCTION("""COMPUTED_VALUE"""),514.42)</f>
        <v>514.41999999999996</v>
      </c>
      <c r="R637" s="1">
        <f ca="1">IFERROR(__xludf.DUMMYFUNCTION("""COMPUTED_VALUE"""),84.5)</f>
        <v>84.5</v>
      </c>
      <c r="S637" s="1">
        <f ca="1">IFERROR(__xludf.DUMMYFUNCTION("""COMPUTED_VALUE"""),79.95)</f>
        <v>79.95</v>
      </c>
      <c r="T637" s="1">
        <f ca="1">IFERROR(__xludf.DUMMYFUNCTION("""COMPUTED_VALUE"""),41.69)</f>
        <v>41.69</v>
      </c>
      <c r="U637" s="1">
        <f ca="1">IFERROR(__xludf.DUMMYFUNCTION("""COMPUTED_VALUE"""),103.76)</f>
        <v>103.76</v>
      </c>
      <c r="V637" s="1">
        <f ca="1">IFERROR(__xludf.DUMMYFUNCTION("""COMPUTED_VALUE"""),174.49)</f>
        <v>174.49</v>
      </c>
      <c r="W637" s="1">
        <f ca="1">IFERROR(__xludf.DUMMYFUNCTION("""COMPUTED_VALUE"""),413.99)</f>
        <v>413.99</v>
      </c>
      <c r="X637" s="1">
        <f ca="1">IFERROR(__xludf.DUMMYFUNCTION("""COMPUTED_VALUE"""),434.49)</f>
        <v>434.49</v>
      </c>
      <c r="Y637" s="1">
        <f ca="1">IFERROR(__xludf.DUMMYFUNCTION("""COMPUTED_VALUE"""),79.1)</f>
        <v>79.099999999999994</v>
      </c>
      <c r="Z637" s="1">
        <f ca="1">IFERROR(__xludf.DUMMYFUNCTION("""COMPUTED_VALUE"""),292.53)</f>
        <v>292.52999999999997</v>
      </c>
      <c r="AA637" s="1">
        <f ca="1">IFERROR(__xludf.DUMMYFUNCTION("""COMPUTED_VALUE"""),52.04)</f>
        <v>52.04</v>
      </c>
      <c r="AB637" s="1">
        <f ca="1">IFERROR(__xludf.DUMMYFUNCTION("""COMPUTED_VALUE"""),77.76)</f>
        <v>77.760000000000005</v>
      </c>
      <c r="AC637" s="1">
        <f ca="1">IFERROR(__xludf.DUMMYFUNCTION("""COMPUTED_VALUE"""),76.36)</f>
        <v>76.36</v>
      </c>
    </row>
    <row r="638" spans="1:29" x14ac:dyDescent="0.25">
      <c r="A638" s="2">
        <f ca="1">IFERROR(__xludf.DUMMYFUNCTION("""COMPUTED_VALUE"""),44755.6666666666)</f>
        <v>44755.666666666599</v>
      </c>
      <c r="B638" s="1">
        <f ca="1">IFERROR(__xludf.DUMMYFUNCTION("""COMPUTED_VALUE"""),145.49)</f>
        <v>145.49</v>
      </c>
      <c r="C638" s="1">
        <f ca="1">IFERROR(__xludf.DUMMYFUNCTION("""COMPUTED_VALUE"""),252.72)</f>
        <v>252.72</v>
      </c>
      <c r="D638" s="1">
        <f ca="1">IFERROR(__xludf.DUMMYFUNCTION("""COMPUTED_VALUE"""),110.4)</f>
        <v>110.4</v>
      </c>
      <c r="E638" s="1">
        <f ca="1">IFERROR(__xludf.DUMMYFUNCTION("""COMPUTED_VALUE"""),15.16)</f>
        <v>15.16</v>
      </c>
      <c r="F638" s="1">
        <f ca="1">IFERROR(__xludf.DUMMYFUNCTION("""COMPUTED_VALUE"""),163.49)</f>
        <v>163.49</v>
      </c>
      <c r="G638" s="1">
        <f ca="1">IFERROR(__xludf.DUMMYFUNCTION("""COMPUTED_VALUE"""),112.19)</f>
        <v>112.19</v>
      </c>
      <c r="H638" s="1">
        <f ca="1">IFERROR(__xludf.DUMMYFUNCTION("""COMPUTED_VALUE"""),237.04)</f>
        <v>237.04</v>
      </c>
      <c r="I638" s="1">
        <f ca="1">IFERROR(__xludf.DUMMYFUNCTION("""COMPUTED_VALUE"""),170.1)</f>
        <v>170.1</v>
      </c>
      <c r="J638" s="1">
        <f ca="1">IFERROR(__xludf.DUMMYFUNCTION("""COMPUTED_VALUE"""),492.22)</f>
        <v>492.22</v>
      </c>
      <c r="K638" s="1">
        <f ca="1">IFERROR(__xludf.DUMMYFUNCTION("""COMPUTED_VALUE"""),48.17)</f>
        <v>48.17</v>
      </c>
      <c r="L638" s="1">
        <f ca="1">IFERROR(__xludf.DUMMYFUNCTION("""COMPUTED_VALUE"""),371.94)</f>
        <v>371.94</v>
      </c>
      <c r="M638" s="1">
        <f ca="1">IFERROR(__xludf.DUMMYFUNCTION("""COMPUTED_VALUE"""),176.56)</f>
        <v>176.56</v>
      </c>
      <c r="N638" s="1">
        <f ca="1">IFERROR(__xludf.DUMMYFUNCTION("""COMPUTED_VALUE"""),111.91)</f>
        <v>111.91</v>
      </c>
      <c r="O638" s="1">
        <f ca="1">IFERROR(__xludf.DUMMYFUNCTION("""COMPUTED_VALUE"""),204.15)</f>
        <v>204.15</v>
      </c>
      <c r="P638" s="1">
        <f ca="1">IFERROR(__xludf.DUMMYFUNCTION("""COMPUTED_VALUE"""),175.44)</f>
        <v>175.44</v>
      </c>
      <c r="Q638" s="1">
        <f ca="1">IFERROR(__xludf.DUMMYFUNCTION("""COMPUTED_VALUE"""),501.24)</f>
        <v>501.24</v>
      </c>
      <c r="R638" s="1">
        <f ca="1">IFERROR(__xludf.DUMMYFUNCTION("""COMPUTED_VALUE"""),84.84)</f>
        <v>84.84</v>
      </c>
      <c r="S638" s="1">
        <f ca="1">IFERROR(__xludf.DUMMYFUNCTION("""COMPUTED_VALUE"""),80.26)</f>
        <v>80.260000000000005</v>
      </c>
      <c r="T638" s="1">
        <f ca="1">IFERROR(__xludf.DUMMYFUNCTION("""COMPUTED_VALUE"""),41.79)</f>
        <v>41.79</v>
      </c>
      <c r="U638" s="1">
        <f ca="1">IFERROR(__xludf.DUMMYFUNCTION("""COMPUTED_VALUE"""),105.11)</f>
        <v>105.11</v>
      </c>
      <c r="V638" s="1">
        <f ca="1">IFERROR(__xludf.DUMMYFUNCTION("""COMPUTED_VALUE"""),173.87)</f>
        <v>173.87</v>
      </c>
      <c r="W638" s="1">
        <f ca="1">IFERROR(__xludf.DUMMYFUNCTION("""COMPUTED_VALUE"""),408)</f>
        <v>408</v>
      </c>
      <c r="X638" s="1">
        <f ca="1">IFERROR(__xludf.DUMMYFUNCTION("""COMPUTED_VALUE"""),447.01)</f>
        <v>447.01</v>
      </c>
      <c r="Y638" s="1">
        <f ca="1">IFERROR(__xludf.DUMMYFUNCTION("""COMPUTED_VALUE"""),81.29)</f>
        <v>81.290000000000006</v>
      </c>
      <c r="Z638" s="1">
        <f ca="1">IFERROR(__xludf.DUMMYFUNCTION("""COMPUTED_VALUE"""),290.15)</f>
        <v>290.14999999999998</v>
      </c>
      <c r="AA638" s="1">
        <f ca="1">IFERROR(__xludf.DUMMYFUNCTION("""COMPUTED_VALUE"""),51.79)</f>
        <v>51.79</v>
      </c>
      <c r="AB638" s="1">
        <f ca="1">IFERROR(__xludf.DUMMYFUNCTION("""COMPUTED_VALUE"""),77.92)</f>
        <v>77.92</v>
      </c>
      <c r="AC638" s="1">
        <f ca="1">IFERROR(__xludf.DUMMYFUNCTION("""COMPUTED_VALUE"""),77.52)</f>
        <v>77.52</v>
      </c>
    </row>
    <row r="639" spans="1:29" x14ac:dyDescent="0.25">
      <c r="A639" s="2">
        <f ca="1">IFERROR(__xludf.DUMMYFUNCTION("""COMPUTED_VALUE"""),44756.6666666666)</f>
        <v>44756.666666666599</v>
      </c>
      <c r="B639" s="1">
        <f ca="1">IFERROR(__xludf.DUMMYFUNCTION("""COMPUTED_VALUE"""),148.47)</f>
        <v>148.47</v>
      </c>
      <c r="C639" s="1">
        <f ca="1">IFERROR(__xludf.DUMMYFUNCTION("""COMPUTED_VALUE"""),254.08)</f>
        <v>254.08</v>
      </c>
      <c r="D639" s="1">
        <f ca="1">IFERROR(__xludf.DUMMYFUNCTION("""COMPUTED_VALUE"""),110.63)</f>
        <v>110.63</v>
      </c>
      <c r="E639" s="1">
        <f ca="1">IFERROR(__xludf.DUMMYFUNCTION("""COMPUTED_VALUE"""),15.37)</f>
        <v>15.37</v>
      </c>
      <c r="F639" s="1">
        <f ca="1">IFERROR(__xludf.DUMMYFUNCTION("""COMPUTED_VALUE"""),158.05)</f>
        <v>158.05000000000001</v>
      </c>
      <c r="G639" s="1">
        <f ca="1">IFERROR(__xludf.DUMMYFUNCTION("""COMPUTED_VALUE"""),111.44)</f>
        <v>111.44</v>
      </c>
      <c r="H639" s="1">
        <f ca="1">IFERROR(__xludf.DUMMYFUNCTION("""COMPUTED_VALUE"""),238.31)</f>
        <v>238.31</v>
      </c>
      <c r="I639" s="1">
        <f ca="1">IFERROR(__xludf.DUMMYFUNCTION("""COMPUTED_VALUE"""),170.98)</f>
        <v>170.98</v>
      </c>
      <c r="J639" s="1">
        <f ca="1">IFERROR(__xludf.DUMMYFUNCTION("""COMPUTED_VALUE"""),511.94)</f>
        <v>511.94</v>
      </c>
      <c r="K639" s="1">
        <f ca="1">IFERROR(__xludf.DUMMYFUNCTION("""COMPUTED_VALUE"""),48.46)</f>
        <v>48.46</v>
      </c>
      <c r="L639" s="1">
        <f ca="1">IFERROR(__xludf.DUMMYFUNCTION("""COMPUTED_VALUE"""),372.96)</f>
        <v>372.96</v>
      </c>
      <c r="M639" s="1">
        <f ca="1">IFERROR(__xludf.DUMMYFUNCTION("""COMPUTED_VALUE"""),174.78)</f>
        <v>174.78</v>
      </c>
      <c r="N639" s="1">
        <f ca="1">IFERROR(__xludf.DUMMYFUNCTION("""COMPUTED_VALUE"""),108)</f>
        <v>108</v>
      </c>
      <c r="O639" s="1">
        <f ca="1">IFERROR(__xludf.DUMMYFUNCTION("""COMPUTED_VALUE"""),205.91)</f>
        <v>205.91</v>
      </c>
      <c r="P639" s="1">
        <f ca="1">IFERROR(__xludf.DUMMYFUNCTION("""COMPUTED_VALUE"""),175.68)</f>
        <v>175.68</v>
      </c>
      <c r="Q639" s="1">
        <f ca="1">IFERROR(__xludf.DUMMYFUNCTION("""COMPUTED_VALUE"""),502.43)</f>
        <v>502.43</v>
      </c>
      <c r="R639" s="1">
        <f ca="1">IFERROR(__xludf.DUMMYFUNCTION("""COMPUTED_VALUE"""),83.14)</f>
        <v>83.14</v>
      </c>
      <c r="S639" s="1">
        <f ca="1">IFERROR(__xludf.DUMMYFUNCTION("""COMPUTED_VALUE"""),80.13)</f>
        <v>80.13</v>
      </c>
      <c r="T639" s="1">
        <f ca="1">IFERROR(__xludf.DUMMYFUNCTION("""COMPUTED_VALUE"""),42.61)</f>
        <v>42.61</v>
      </c>
      <c r="U639" s="1">
        <f ca="1">IFERROR(__xludf.DUMMYFUNCTION("""COMPUTED_VALUE"""),103.22)</f>
        <v>103.22</v>
      </c>
      <c r="V639" s="1">
        <f ca="1">IFERROR(__xludf.DUMMYFUNCTION("""COMPUTED_VALUE"""),169.94)</f>
        <v>169.94</v>
      </c>
      <c r="W639" s="1">
        <f ca="1">IFERROR(__xludf.DUMMYFUNCTION("""COMPUTED_VALUE"""),400.31)</f>
        <v>400.31</v>
      </c>
      <c r="X639" s="1">
        <f ca="1">IFERROR(__xludf.DUMMYFUNCTION("""COMPUTED_VALUE"""),456.9)</f>
        <v>456.9</v>
      </c>
      <c r="Y639" s="1">
        <f ca="1">IFERROR(__xludf.DUMMYFUNCTION("""COMPUTED_VALUE"""),83.67)</f>
        <v>83.67</v>
      </c>
      <c r="Z639" s="1">
        <f ca="1">IFERROR(__xludf.DUMMYFUNCTION("""COMPUTED_VALUE"""),281.59)</f>
        <v>281.58999999999997</v>
      </c>
      <c r="AA639" s="1">
        <f ca="1">IFERROR(__xludf.DUMMYFUNCTION("""COMPUTED_VALUE"""),51.39)</f>
        <v>51.39</v>
      </c>
      <c r="AB639" s="1">
        <f ca="1">IFERROR(__xludf.DUMMYFUNCTION("""COMPUTED_VALUE"""),78.2)</f>
        <v>78.2</v>
      </c>
      <c r="AC639" s="1">
        <f ca="1">IFERROR(__xludf.DUMMYFUNCTION("""COMPUTED_VALUE"""),78.6)</f>
        <v>78.599999999999994</v>
      </c>
    </row>
    <row r="640" spans="1:29" x14ac:dyDescent="0.25">
      <c r="A640" s="2">
        <f ca="1">IFERROR(__xludf.DUMMYFUNCTION("""COMPUTED_VALUE"""),44757.6666666666)</f>
        <v>44757.666666666599</v>
      </c>
      <c r="B640" s="1">
        <f ca="1">IFERROR(__xludf.DUMMYFUNCTION("""COMPUTED_VALUE"""),150.17)</f>
        <v>150.16999999999999</v>
      </c>
      <c r="C640" s="1">
        <f ca="1">IFERROR(__xludf.DUMMYFUNCTION("""COMPUTED_VALUE"""),256.72)</f>
        <v>256.72000000000003</v>
      </c>
      <c r="D640" s="1">
        <f ca="1">IFERROR(__xludf.DUMMYFUNCTION("""COMPUTED_VALUE"""),113.55)</f>
        <v>113.55</v>
      </c>
      <c r="E640" s="1">
        <f ca="1">IFERROR(__xludf.DUMMYFUNCTION("""COMPUTED_VALUE"""),15.76)</f>
        <v>15.76</v>
      </c>
      <c r="F640" s="1">
        <f ca="1">IFERROR(__xludf.DUMMYFUNCTION("""COMPUTED_VALUE"""),164.7)</f>
        <v>164.7</v>
      </c>
      <c r="G640" s="1">
        <f ca="1">IFERROR(__xludf.DUMMYFUNCTION("""COMPUTED_VALUE"""),112.77)</f>
        <v>112.77</v>
      </c>
      <c r="H640" s="1">
        <f ca="1">IFERROR(__xludf.DUMMYFUNCTION("""COMPUTED_VALUE"""),240.07)</f>
        <v>240.07</v>
      </c>
      <c r="I640" s="1">
        <f ca="1">IFERROR(__xludf.DUMMYFUNCTION("""COMPUTED_VALUE"""),171.12)</f>
        <v>171.12</v>
      </c>
      <c r="J640" s="1">
        <f ca="1">IFERROR(__xludf.DUMMYFUNCTION("""COMPUTED_VALUE"""),522.95)</f>
        <v>522.95000000000005</v>
      </c>
      <c r="K640" s="1">
        <f ca="1">IFERROR(__xludf.DUMMYFUNCTION("""COMPUTED_VALUE"""),49.45)</f>
        <v>49.45</v>
      </c>
      <c r="L640" s="1">
        <f ca="1">IFERROR(__xludf.DUMMYFUNCTION("""COMPUTED_VALUE"""),379.86)</f>
        <v>379.86</v>
      </c>
      <c r="M640" s="1">
        <f ca="1">IFERROR(__xludf.DUMMYFUNCTION("""COMPUTED_VALUE"""),189.11)</f>
        <v>189.11</v>
      </c>
      <c r="N640" s="1">
        <f ca="1">IFERROR(__xludf.DUMMYFUNCTION("""COMPUTED_VALUE"""),112.95)</f>
        <v>112.95</v>
      </c>
      <c r="O640" s="1">
        <f ca="1">IFERROR(__xludf.DUMMYFUNCTION("""COMPUTED_VALUE"""),210.04)</f>
        <v>210.04</v>
      </c>
      <c r="P640" s="1">
        <f ca="1">IFERROR(__xludf.DUMMYFUNCTION("""COMPUTED_VALUE"""),178.23)</f>
        <v>178.23</v>
      </c>
      <c r="Q640" s="1">
        <f ca="1">IFERROR(__xludf.DUMMYFUNCTION("""COMPUTED_VALUE"""),529.75)</f>
        <v>529.75</v>
      </c>
      <c r="R640" s="1">
        <f ca="1">IFERROR(__xludf.DUMMYFUNCTION("""COMPUTED_VALUE"""),84.54)</f>
        <v>84.54</v>
      </c>
      <c r="S640" s="1">
        <f ca="1">IFERROR(__xludf.DUMMYFUNCTION("""COMPUTED_VALUE"""),78.71)</f>
        <v>78.709999999999994</v>
      </c>
      <c r="T640" s="1">
        <f ca="1">IFERROR(__xludf.DUMMYFUNCTION("""COMPUTED_VALUE"""),43.02)</f>
        <v>43.02</v>
      </c>
      <c r="U640" s="1">
        <f ca="1">IFERROR(__xludf.DUMMYFUNCTION("""COMPUTED_VALUE"""),104.7)</f>
        <v>104.7</v>
      </c>
      <c r="V640" s="1">
        <f ca="1">IFERROR(__xludf.DUMMYFUNCTION("""COMPUTED_VALUE"""),173.38)</f>
        <v>173.38</v>
      </c>
      <c r="W640" s="1">
        <f ca="1">IFERROR(__xludf.DUMMYFUNCTION("""COMPUTED_VALUE"""),398.38)</f>
        <v>398.38</v>
      </c>
      <c r="X640" s="1">
        <f ca="1">IFERROR(__xludf.DUMMYFUNCTION("""COMPUTED_VALUE"""),475.63)</f>
        <v>475.63</v>
      </c>
      <c r="Y640" s="1">
        <f ca="1">IFERROR(__xludf.DUMMYFUNCTION("""COMPUTED_VALUE"""),85.63)</f>
        <v>85.63</v>
      </c>
      <c r="Z640" s="1">
        <f ca="1">IFERROR(__xludf.DUMMYFUNCTION("""COMPUTED_VALUE"""),293.87)</f>
        <v>293.87</v>
      </c>
      <c r="AA640" s="1">
        <f ca="1">IFERROR(__xludf.DUMMYFUNCTION("""COMPUTED_VALUE"""),51.75)</f>
        <v>51.75</v>
      </c>
      <c r="AB640" s="1">
        <f ca="1">IFERROR(__xludf.DUMMYFUNCTION("""COMPUTED_VALUE"""),79.62)</f>
        <v>79.62</v>
      </c>
      <c r="AC640" s="1">
        <f ca="1">IFERROR(__xludf.DUMMYFUNCTION("""COMPUTED_VALUE"""),81.11)</f>
        <v>81.11</v>
      </c>
    </row>
    <row r="641" spans="1:29" x14ac:dyDescent="0.25">
      <c r="A641" s="2">
        <f ca="1">IFERROR(__xludf.DUMMYFUNCTION("""COMPUTED_VALUE"""),44760.6666666666)</f>
        <v>44760.666666666599</v>
      </c>
      <c r="B641" s="1">
        <f ca="1">IFERROR(__xludf.DUMMYFUNCTION("""COMPUTED_VALUE"""),147.07)</f>
        <v>147.07</v>
      </c>
      <c r="C641" s="1">
        <f ca="1">IFERROR(__xludf.DUMMYFUNCTION("""COMPUTED_VALUE"""),254.25)</f>
        <v>254.25</v>
      </c>
      <c r="D641" s="1">
        <f ca="1">IFERROR(__xludf.DUMMYFUNCTION("""COMPUTED_VALUE"""),113.76)</f>
        <v>113.76</v>
      </c>
      <c r="E641" s="1">
        <f ca="1">IFERROR(__xludf.DUMMYFUNCTION("""COMPUTED_VALUE"""),16.1)</f>
        <v>16.100000000000001</v>
      </c>
      <c r="F641" s="1">
        <f ca="1">IFERROR(__xludf.DUMMYFUNCTION("""COMPUTED_VALUE"""),167.23)</f>
        <v>167.23</v>
      </c>
      <c r="G641" s="1">
        <f ca="1">IFERROR(__xludf.DUMMYFUNCTION("""COMPUTED_VALUE"""),109.91)</f>
        <v>109.91</v>
      </c>
      <c r="H641" s="1">
        <f ca="1">IFERROR(__xludf.DUMMYFUNCTION("""COMPUTED_VALUE"""),240.55)</f>
        <v>240.55</v>
      </c>
      <c r="I641" s="1">
        <f ca="1">IFERROR(__xludf.DUMMYFUNCTION("""COMPUTED_VALUE"""),168.26)</f>
        <v>168.26</v>
      </c>
      <c r="J641" s="1">
        <f ca="1">IFERROR(__xludf.DUMMYFUNCTION("""COMPUTED_VALUE"""),516.3)</f>
        <v>516.29999999999995</v>
      </c>
      <c r="K641" s="1">
        <f ca="1">IFERROR(__xludf.DUMMYFUNCTION("""COMPUTED_VALUE"""),49.11)</f>
        <v>49.11</v>
      </c>
      <c r="L641" s="1">
        <f ca="1">IFERROR(__xludf.DUMMYFUNCTION("""COMPUTED_VALUE"""),375.23)</f>
        <v>375.23</v>
      </c>
      <c r="M641" s="1">
        <f ca="1">IFERROR(__xludf.DUMMYFUNCTION("""COMPUTED_VALUE"""),190.92)</f>
        <v>190.92</v>
      </c>
      <c r="N641" s="1">
        <f ca="1">IFERROR(__xludf.DUMMYFUNCTION("""COMPUTED_VALUE"""),111.79)</f>
        <v>111.79</v>
      </c>
      <c r="O641" s="1">
        <f ca="1">IFERROR(__xludf.DUMMYFUNCTION("""COMPUTED_VALUE"""),207.21)</f>
        <v>207.21</v>
      </c>
      <c r="P641" s="1">
        <f ca="1">IFERROR(__xludf.DUMMYFUNCTION("""COMPUTED_VALUE"""),174.23)</f>
        <v>174.23</v>
      </c>
      <c r="Q641" s="1">
        <f ca="1">IFERROR(__xludf.DUMMYFUNCTION("""COMPUTED_VALUE"""),519.37)</f>
        <v>519.37</v>
      </c>
      <c r="R641" s="1">
        <f ca="1">IFERROR(__xludf.DUMMYFUNCTION("""COMPUTED_VALUE"""),86.1)</f>
        <v>86.1</v>
      </c>
      <c r="S641" s="1">
        <f ca="1">IFERROR(__xludf.DUMMYFUNCTION("""COMPUTED_VALUE"""),77.51)</f>
        <v>77.510000000000005</v>
      </c>
      <c r="T641" s="1">
        <f ca="1">IFERROR(__xludf.DUMMYFUNCTION("""COMPUTED_VALUE"""),42.92)</f>
        <v>42.92</v>
      </c>
      <c r="U641" s="1">
        <f ca="1">IFERROR(__xludf.DUMMYFUNCTION("""COMPUTED_VALUE"""),103.94)</f>
        <v>103.94</v>
      </c>
      <c r="V641" s="1">
        <f ca="1">IFERROR(__xludf.DUMMYFUNCTION("""COMPUTED_VALUE"""),173.49)</f>
        <v>173.49</v>
      </c>
      <c r="W641" s="1">
        <f ca="1">IFERROR(__xludf.DUMMYFUNCTION("""COMPUTED_VALUE"""),387.28)</f>
        <v>387.28</v>
      </c>
      <c r="X641" s="1">
        <f ca="1">IFERROR(__xludf.DUMMYFUNCTION("""COMPUTED_VALUE"""),473.48)</f>
        <v>473.48</v>
      </c>
      <c r="Y641" s="1">
        <f ca="1">IFERROR(__xludf.DUMMYFUNCTION("""COMPUTED_VALUE"""),83.58)</f>
        <v>83.58</v>
      </c>
      <c r="Z641" s="1">
        <f ca="1">IFERROR(__xludf.DUMMYFUNCTION("""COMPUTED_VALUE"""),301.26)</f>
        <v>301.26</v>
      </c>
      <c r="AA641" s="1">
        <f ca="1">IFERROR(__xludf.DUMMYFUNCTION("""COMPUTED_VALUE"""),50.75)</f>
        <v>50.75</v>
      </c>
      <c r="AB641" s="1">
        <f ca="1">IFERROR(__xludf.DUMMYFUNCTION("""COMPUTED_VALUE"""),80.23)</f>
        <v>80.23</v>
      </c>
      <c r="AC641" s="1">
        <f ca="1">IFERROR(__xludf.DUMMYFUNCTION("""COMPUTED_VALUE"""),81.43)</f>
        <v>81.430000000000007</v>
      </c>
    </row>
    <row r="642" spans="1:29" x14ac:dyDescent="0.25">
      <c r="A642" s="2">
        <f ca="1">IFERROR(__xludf.DUMMYFUNCTION("""COMPUTED_VALUE"""),44761.6666666666)</f>
        <v>44761.666666666599</v>
      </c>
      <c r="B642" s="1">
        <f ca="1">IFERROR(__xludf.DUMMYFUNCTION("""COMPUTED_VALUE"""),151)</f>
        <v>151</v>
      </c>
      <c r="C642" s="1">
        <f ca="1">IFERROR(__xludf.DUMMYFUNCTION("""COMPUTED_VALUE"""),259.53)</f>
        <v>259.52999999999997</v>
      </c>
      <c r="D642" s="1">
        <f ca="1">IFERROR(__xludf.DUMMYFUNCTION("""COMPUTED_VALUE"""),118.21)</f>
        <v>118.21</v>
      </c>
      <c r="E642" s="1">
        <f ca="1">IFERROR(__xludf.DUMMYFUNCTION("""COMPUTED_VALUE"""),16.99)</f>
        <v>16.989999999999998</v>
      </c>
      <c r="F642" s="1">
        <f ca="1">IFERROR(__xludf.DUMMYFUNCTION("""COMPUTED_VALUE"""),175.78)</f>
        <v>175.78</v>
      </c>
      <c r="G642" s="1">
        <f ca="1">IFERROR(__xludf.DUMMYFUNCTION("""COMPUTED_VALUE"""),114.62)</f>
        <v>114.62</v>
      </c>
      <c r="H642" s="1">
        <f ca="1">IFERROR(__xludf.DUMMYFUNCTION("""COMPUTED_VALUE"""),245.53)</f>
        <v>245.53</v>
      </c>
      <c r="I642" s="1">
        <f ca="1">IFERROR(__xludf.DUMMYFUNCTION("""COMPUTED_VALUE"""),170.06)</f>
        <v>170.06</v>
      </c>
      <c r="J642" s="1">
        <f ca="1">IFERROR(__xludf.DUMMYFUNCTION("""COMPUTED_VALUE"""),520.23)</f>
        <v>520.23</v>
      </c>
      <c r="K642" s="1">
        <f ca="1">IFERROR(__xludf.DUMMYFUNCTION("""COMPUTED_VALUE"""),50.9)</f>
        <v>50.9</v>
      </c>
      <c r="L642" s="1">
        <f ca="1">IFERROR(__xludf.DUMMYFUNCTION("""COMPUTED_VALUE"""),387.83)</f>
        <v>387.83</v>
      </c>
      <c r="M642" s="1">
        <f ca="1">IFERROR(__xludf.DUMMYFUNCTION("""COMPUTED_VALUE"""),201.63)</f>
        <v>201.63</v>
      </c>
      <c r="N642" s="1">
        <f ca="1">IFERROR(__xludf.DUMMYFUNCTION("""COMPUTED_VALUE"""),114.56)</f>
        <v>114.56</v>
      </c>
      <c r="O642" s="1">
        <f ca="1">IFERROR(__xludf.DUMMYFUNCTION("""COMPUTED_VALUE"""),213.66)</f>
        <v>213.66</v>
      </c>
      <c r="P642" s="1">
        <f ca="1">IFERROR(__xludf.DUMMYFUNCTION("""COMPUTED_VALUE"""),171.69)</f>
        <v>171.69</v>
      </c>
      <c r="Q642" s="1">
        <f ca="1">IFERROR(__xludf.DUMMYFUNCTION("""COMPUTED_VALUE"""),533.45)</f>
        <v>533.45000000000005</v>
      </c>
      <c r="R642" s="1">
        <f ca="1">IFERROR(__xludf.DUMMYFUNCTION("""COMPUTED_VALUE"""),88.27)</f>
        <v>88.27</v>
      </c>
      <c r="S642" s="1">
        <f ca="1">IFERROR(__xludf.DUMMYFUNCTION("""COMPUTED_VALUE"""),78.93)</f>
        <v>78.930000000000007</v>
      </c>
      <c r="T642" s="1">
        <f ca="1">IFERROR(__xludf.DUMMYFUNCTION("""COMPUTED_VALUE"""),43.19)</f>
        <v>43.19</v>
      </c>
      <c r="U642" s="1">
        <f ca="1">IFERROR(__xludf.DUMMYFUNCTION("""COMPUTED_VALUE"""),109.19)</f>
        <v>109.19</v>
      </c>
      <c r="V642" s="1">
        <f ca="1">IFERROR(__xludf.DUMMYFUNCTION("""COMPUTED_VALUE"""),179.49)</f>
        <v>179.49</v>
      </c>
      <c r="W642" s="1">
        <f ca="1">IFERROR(__xludf.DUMMYFUNCTION("""COMPUTED_VALUE"""),390.38)</f>
        <v>390.38</v>
      </c>
      <c r="X642" s="1">
        <f ca="1">IFERROR(__xludf.DUMMYFUNCTION("""COMPUTED_VALUE"""),498.36)</f>
        <v>498.36</v>
      </c>
      <c r="Y642" s="1">
        <f ca="1">IFERROR(__xludf.DUMMYFUNCTION("""COMPUTED_VALUE"""),86.15)</f>
        <v>86.15</v>
      </c>
      <c r="Z642" s="1">
        <f ca="1">IFERROR(__xludf.DUMMYFUNCTION("""COMPUTED_VALUE"""),318.05)</f>
        <v>318.05</v>
      </c>
      <c r="AA642" s="1">
        <f ca="1">IFERROR(__xludf.DUMMYFUNCTION("""COMPUTED_VALUE"""),51.37)</f>
        <v>51.37</v>
      </c>
      <c r="AB642" s="1">
        <f ca="1">IFERROR(__xludf.DUMMYFUNCTION("""COMPUTED_VALUE"""),82.55)</f>
        <v>82.55</v>
      </c>
      <c r="AC642" s="1">
        <f ca="1">IFERROR(__xludf.DUMMYFUNCTION("""COMPUTED_VALUE"""),85.88)</f>
        <v>85.88</v>
      </c>
    </row>
    <row r="643" spans="1:29" x14ac:dyDescent="0.25">
      <c r="A643" s="2">
        <f ca="1">IFERROR(__xludf.DUMMYFUNCTION("""COMPUTED_VALUE"""),44762.6666666666)</f>
        <v>44762.666666666599</v>
      </c>
      <c r="B643" s="1">
        <f ca="1">IFERROR(__xludf.DUMMYFUNCTION("""COMPUTED_VALUE"""),153.04)</f>
        <v>153.04</v>
      </c>
      <c r="C643" s="1">
        <f ca="1">IFERROR(__xludf.DUMMYFUNCTION("""COMPUTED_VALUE"""),262.27)</f>
        <v>262.27</v>
      </c>
      <c r="D643" s="1">
        <f ca="1">IFERROR(__xludf.DUMMYFUNCTION("""COMPUTED_VALUE"""),122.77)</f>
        <v>122.77</v>
      </c>
      <c r="E643" s="1">
        <f ca="1">IFERROR(__xludf.DUMMYFUNCTION("""COMPUTED_VALUE"""),17.81)</f>
        <v>17.809999999999999</v>
      </c>
      <c r="F643" s="1">
        <f ca="1">IFERROR(__xludf.DUMMYFUNCTION("""COMPUTED_VALUE"""),183.09)</f>
        <v>183.09</v>
      </c>
      <c r="G643" s="1">
        <f ca="1">IFERROR(__xludf.DUMMYFUNCTION("""COMPUTED_VALUE"""),114.7)</f>
        <v>114.7</v>
      </c>
      <c r="H643" s="1">
        <f ca="1">IFERROR(__xludf.DUMMYFUNCTION("""COMPUTED_VALUE"""),247.5)</f>
        <v>247.5</v>
      </c>
      <c r="I643" s="1">
        <f ca="1">IFERROR(__xludf.DUMMYFUNCTION("""COMPUTED_VALUE"""),168.26)</f>
        <v>168.26</v>
      </c>
      <c r="J643" s="1">
        <f ca="1">IFERROR(__xludf.DUMMYFUNCTION("""COMPUTED_VALUE"""),524.2)</f>
        <v>524.20000000000005</v>
      </c>
      <c r="K643" s="1">
        <f ca="1">IFERROR(__xludf.DUMMYFUNCTION("""COMPUTED_VALUE"""),51.18)</f>
        <v>51.18</v>
      </c>
      <c r="L643" s="1">
        <f ca="1">IFERROR(__xludf.DUMMYFUNCTION("""COMPUTED_VALUE"""),401.49)</f>
        <v>401.49</v>
      </c>
      <c r="M643" s="1">
        <f ca="1">IFERROR(__xludf.DUMMYFUNCTION("""COMPUTED_VALUE"""),216.44)</f>
        <v>216.44</v>
      </c>
      <c r="N643" s="1">
        <f ca="1">IFERROR(__xludf.DUMMYFUNCTION("""COMPUTED_VALUE"""),114.54)</f>
        <v>114.54</v>
      </c>
      <c r="O643" s="1">
        <f ca="1">IFERROR(__xludf.DUMMYFUNCTION("""COMPUTED_VALUE"""),213.37)</f>
        <v>213.37</v>
      </c>
      <c r="P643" s="1">
        <f ca="1">IFERROR(__xludf.DUMMYFUNCTION("""COMPUTED_VALUE"""),170.71)</f>
        <v>170.71</v>
      </c>
      <c r="Q643" s="1">
        <f ca="1">IFERROR(__xludf.DUMMYFUNCTION("""COMPUTED_VALUE"""),519.47)</f>
        <v>519.47</v>
      </c>
      <c r="R643" s="1">
        <f ca="1">IFERROR(__xludf.DUMMYFUNCTION("""COMPUTED_VALUE"""),89.24)</f>
        <v>89.24</v>
      </c>
      <c r="S643" s="1">
        <f ca="1">IFERROR(__xludf.DUMMYFUNCTION("""COMPUTED_VALUE"""),78.32)</f>
        <v>78.319999999999993</v>
      </c>
      <c r="T643" s="1">
        <f ca="1">IFERROR(__xludf.DUMMYFUNCTION("""COMPUTED_VALUE"""),43.55)</f>
        <v>43.55</v>
      </c>
      <c r="U643" s="1">
        <f ca="1">IFERROR(__xludf.DUMMYFUNCTION("""COMPUTED_VALUE"""),111.11)</f>
        <v>111.11</v>
      </c>
      <c r="V643" s="1">
        <f ca="1">IFERROR(__xludf.DUMMYFUNCTION("""COMPUTED_VALUE"""),179.97)</f>
        <v>179.97</v>
      </c>
      <c r="W643" s="1">
        <f ca="1">IFERROR(__xludf.DUMMYFUNCTION("""COMPUTED_VALUE"""),395.22)</f>
        <v>395.22</v>
      </c>
      <c r="X643" s="1">
        <f ca="1">IFERROR(__xludf.DUMMYFUNCTION("""COMPUTED_VALUE"""),514.42)</f>
        <v>514.41999999999996</v>
      </c>
      <c r="Y643" s="1">
        <f ca="1">IFERROR(__xludf.DUMMYFUNCTION("""COMPUTED_VALUE"""),86.56)</f>
        <v>86.56</v>
      </c>
      <c r="Z643" s="1">
        <f ca="1">IFERROR(__xludf.DUMMYFUNCTION("""COMPUTED_VALUE"""),321.45)</f>
        <v>321.45</v>
      </c>
      <c r="AA643" s="1">
        <f ca="1">IFERROR(__xludf.DUMMYFUNCTION("""COMPUTED_VALUE"""),50.82)</f>
        <v>50.82</v>
      </c>
      <c r="AB643" s="1">
        <f ca="1">IFERROR(__xludf.DUMMYFUNCTION("""COMPUTED_VALUE"""),83.27)</f>
        <v>83.27</v>
      </c>
      <c r="AC643" s="1">
        <f ca="1">IFERROR(__xludf.DUMMYFUNCTION("""COMPUTED_VALUE"""),89.43)</f>
        <v>89.43</v>
      </c>
    </row>
    <row r="644" spans="1:29" x14ac:dyDescent="0.25">
      <c r="A644" s="2">
        <f ca="1">IFERROR(__xludf.DUMMYFUNCTION("""COMPUTED_VALUE"""),44763.6666666666)</f>
        <v>44763.666666666599</v>
      </c>
      <c r="B644" s="1">
        <f ca="1">IFERROR(__xludf.DUMMYFUNCTION("""COMPUTED_VALUE"""),155.35)</f>
        <v>155.35</v>
      </c>
      <c r="C644" s="1">
        <f ca="1">IFERROR(__xludf.DUMMYFUNCTION("""COMPUTED_VALUE"""),264.84)</f>
        <v>264.83999999999997</v>
      </c>
      <c r="D644" s="1">
        <f ca="1">IFERROR(__xludf.DUMMYFUNCTION("""COMPUTED_VALUE"""),124.63)</f>
        <v>124.63</v>
      </c>
      <c r="E644" s="1">
        <f ca="1">IFERROR(__xludf.DUMMYFUNCTION("""COMPUTED_VALUE"""),18.05)</f>
        <v>18.05</v>
      </c>
      <c r="F644" s="1">
        <f ca="1">IFERROR(__xludf.DUMMYFUNCTION("""COMPUTED_VALUE"""),183.17)</f>
        <v>183.17</v>
      </c>
      <c r="G644" s="1">
        <f ca="1">IFERROR(__xludf.DUMMYFUNCTION("""COMPUTED_VALUE"""),115.04)</f>
        <v>115.04</v>
      </c>
      <c r="H644" s="1">
        <f ca="1">IFERROR(__xludf.DUMMYFUNCTION("""COMPUTED_VALUE"""),271.71)</f>
        <v>271.70999999999998</v>
      </c>
      <c r="I644" s="1">
        <f ca="1">IFERROR(__xludf.DUMMYFUNCTION("""COMPUTED_VALUE"""),168.51)</f>
        <v>168.51</v>
      </c>
      <c r="J644" s="1">
        <f ca="1">IFERROR(__xludf.DUMMYFUNCTION("""COMPUTED_VALUE"""),529.46)</f>
        <v>529.46</v>
      </c>
      <c r="K644" s="1">
        <f ca="1">IFERROR(__xludf.DUMMYFUNCTION("""COMPUTED_VALUE"""),51.77)</f>
        <v>51.77</v>
      </c>
      <c r="L644" s="1">
        <f ca="1">IFERROR(__xludf.DUMMYFUNCTION("""COMPUTED_VALUE"""),408.91)</f>
        <v>408.91</v>
      </c>
      <c r="M644" s="1">
        <f ca="1">IFERROR(__xludf.DUMMYFUNCTION("""COMPUTED_VALUE"""),223.88)</f>
        <v>223.88</v>
      </c>
      <c r="N644" s="1">
        <f ca="1">IFERROR(__xludf.DUMMYFUNCTION("""COMPUTED_VALUE"""),115.32)</f>
        <v>115.32</v>
      </c>
      <c r="O644" s="1">
        <f ca="1">IFERROR(__xludf.DUMMYFUNCTION("""COMPUTED_VALUE"""),216.19)</f>
        <v>216.19</v>
      </c>
      <c r="P644" s="1">
        <f ca="1">IFERROR(__xludf.DUMMYFUNCTION("""COMPUTED_VALUE"""),171.31)</f>
        <v>171.31</v>
      </c>
      <c r="Q644" s="1">
        <f ca="1">IFERROR(__xludf.DUMMYFUNCTION("""COMPUTED_VALUE"""),522.46)</f>
        <v>522.46</v>
      </c>
      <c r="R644" s="1">
        <f ca="1">IFERROR(__xludf.DUMMYFUNCTION("""COMPUTED_VALUE"""),87.75)</f>
        <v>87.75</v>
      </c>
      <c r="S644" s="1">
        <f ca="1">IFERROR(__xludf.DUMMYFUNCTION("""COMPUTED_VALUE"""),78.87)</f>
        <v>78.87</v>
      </c>
      <c r="T644" s="1">
        <f ca="1">IFERROR(__xludf.DUMMYFUNCTION("""COMPUTED_VALUE"""),44.18)</f>
        <v>44.18</v>
      </c>
      <c r="U644" s="1">
        <f ca="1">IFERROR(__xludf.DUMMYFUNCTION("""COMPUTED_VALUE"""),111.62)</f>
        <v>111.62</v>
      </c>
      <c r="V644" s="1">
        <f ca="1">IFERROR(__xludf.DUMMYFUNCTION("""COMPUTED_VALUE"""),180.99)</f>
        <v>180.99</v>
      </c>
      <c r="W644" s="1">
        <f ca="1">IFERROR(__xludf.DUMMYFUNCTION("""COMPUTED_VALUE"""),395.2)</f>
        <v>395.2</v>
      </c>
      <c r="X644" s="1">
        <f ca="1">IFERROR(__xludf.DUMMYFUNCTION("""COMPUTED_VALUE"""),542.27)</f>
        <v>542.27</v>
      </c>
      <c r="Y644" s="1">
        <f ca="1">IFERROR(__xludf.DUMMYFUNCTION("""COMPUTED_VALUE"""),87.79)</f>
        <v>87.79</v>
      </c>
      <c r="Z644" s="1">
        <f ca="1">IFERROR(__xludf.DUMMYFUNCTION("""COMPUTED_VALUE"""),326.54)</f>
        <v>326.54000000000002</v>
      </c>
      <c r="AA644" s="1">
        <f ca="1">IFERROR(__xludf.DUMMYFUNCTION("""COMPUTED_VALUE"""),51.12)</f>
        <v>51.12</v>
      </c>
      <c r="AB644" s="1">
        <f ca="1">IFERROR(__xludf.DUMMYFUNCTION("""COMPUTED_VALUE"""),83.54)</f>
        <v>83.54</v>
      </c>
      <c r="AC644" s="1">
        <f ca="1">IFERROR(__xludf.DUMMYFUNCTION("""COMPUTED_VALUE"""),91.09)</f>
        <v>91.09</v>
      </c>
    </row>
    <row r="645" spans="1:29" x14ac:dyDescent="0.25">
      <c r="A645" s="2">
        <f ca="1">IFERROR(__xludf.DUMMYFUNCTION("""COMPUTED_VALUE"""),44764.6666666666)</f>
        <v>44764.666666666599</v>
      </c>
      <c r="B645" s="1">
        <f ca="1">IFERROR(__xludf.DUMMYFUNCTION("""COMPUTED_VALUE"""),154.09)</f>
        <v>154.09</v>
      </c>
      <c r="C645" s="1">
        <f ca="1">IFERROR(__xludf.DUMMYFUNCTION("""COMPUTED_VALUE"""),260.36)</f>
        <v>260.36</v>
      </c>
      <c r="D645" s="1">
        <f ca="1">IFERROR(__xludf.DUMMYFUNCTION("""COMPUTED_VALUE"""),122.42)</f>
        <v>122.42</v>
      </c>
      <c r="E645" s="1">
        <f ca="1">IFERROR(__xludf.DUMMYFUNCTION("""COMPUTED_VALUE"""),17.32)</f>
        <v>17.32</v>
      </c>
      <c r="F645" s="1">
        <f ca="1">IFERROR(__xludf.DUMMYFUNCTION("""COMPUTED_VALUE"""),169.27)</f>
        <v>169.27</v>
      </c>
      <c r="G645" s="1">
        <f ca="1">IFERROR(__xludf.DUMMYFUNCTION("""COMPUTED_VALUE"""),108.36)</f>
        <v>108.36</v>
      </c>
      <c r="H645" s="1">
        <f ca="1">IFERROR(__xludf.DUMMYFUNCTION("""COMPUTED_VALUE"""),272.24)</f>
        <v>272.24</v>
      </c>
      <c r="I645" s="1">
        <f ca="1">IFERROR(__xludf.DUMMYFUNCTION("""COMPUTED_VALUE"""),169.61)</f>
        <v>169.61</v>
      </c>
      <c r="J645" s="1">
        <f ca="1">IFERROR(__xludf.DUMMYFUNCTION("""COMPUTED_VALUE"""),529.72)</f>
        <v>529.72</v>
      </c>
      <c r="K645" s="1">
        <f ca="1">IFERROR(__xludf.DUMMYFUNCTION("""COMPUTED_VALUE"""),51.25)</f>
        <v>51.25</v>
      </c>
      <c r="L645" s="1">
        <f ca="1">IFERROR(__xludf.DUMMYFUNCTION("""COMPUTED_VALUE"""),401.9)</f>
        <v>401.9</v>
      </c>
      <c r="M645" s="1">
        <f ca="1">IFERROR(__xludf.DUMMYFUNCTION("""COMPUTED_VALUE"""),220.44)</f>
        <v>220.44</v>
      </c>
      <c r="N645" s="1">
        <f ca="1">IFERROR(__xludf.DUMMYFUNCTION("""COMPUTED_VALUE"""),114.76)</f>
        <v>114.76</v>
      </c>
      <c r="O645" s="1">
        <f ca="1">IFERROR(__xludf.DUMMYFUNCTION("""COMPUTED_VALUE"""),213.7)</f>
        <v>213.7</v>
      </c>
      <c r="P645" s="1">
        <f ca="1">IFERROR(__xludf.DUMMYFUNCTION("""COMPUTED_VALUE"""),172.12)</f>
        <v>172.12</v>
      </c>
      <c r="Q645" s="1">
        <f ca="1">IFERROR(__xludf.DUMMYFUNCTION("""COMPUTED_VALUE"""),521.41)</f>
        <v>521.41</v>
      </c>
      <c r="R645" s="1">
        <f ca="1">IFERROR(__xludf.DUMMYFUNCTION("""COMPUTED_VALUE"""),87.08)</f>
        <v>87.08</v>
      </c>
      <c r="S645" s="1">
        <f ca="1">IFERROR(__xludf.DUMMYFUNCTION("""COMPUTED_VALUE"""),80.25)</f>
        <v>80.25</v>
      </c>
      <c r="T645" s="1">
        <f ca="1">IFERROR(__xludf.DUMMYFUNCTION("""COMPUTED_VALUE"""),44.07)</f>
        <v>44.07</v>
      </c>
      <c r="U645" s="1">
        <f ca="1">IFERROR(__xludf.DUMMYFUNCTION("""COMPUTED_VALUE"""),109.12)</f>
        <v>109.12</v>
      </c>
      <c r="V645" s="1">
        <f ca="1">IFERROR(__xludf.DUMMYFUNCTION("""COMPUTED_VALUE"""),178.62)</f>
        <v>178.62</v>
      </c>
      <c r="W645" s="1">
        <f ca="1">IFERROR(__xludf.DUMMYFUNCTION("""COMPUTED_VALUE"""),394.74)</f>
        <v>394.74</v>
      </c>
      <c r="X645" s="1">
        <f ca="1">IFERROR(__xludf.DUMMYFUNCTION("""COMPUTED_VALUE"""),534.26)</f>
        <v>534.26</v>
      </c>
      <c r="Y645" s="1">
        <f ca="1">IFERROR(__xludf.DUMMYFUNCTION("""COMPUTED_VALUE"""),86.32)</f>
        <v>86.32</v>
      </c>
      <c r="Z645" s="1">
        <f ca="1">IFERROR(__xludf.DUMMYFUNCTION("""COMPUTED_VALUE"""),323.93)</f>
        <v>323.93</v>
      </c>
      <c r="AA645" s="1">
        <f ca="1">IFERROR(__xludf.DUMMYFUNCTION("""COMPUTED_VALUE"""),51.23)</f>
        <v>51.23</v>
      </c>
      <c r="AB645" s="1">
        <f ca="1">IFERROR(__xludf.DUMMYFUNCTION("""COMPUTED_VALUE"""),83.59)</f>
        <v>83.59</v>
      </c>
      <c r="AC645" s="1">
        <f ca="1">IFERROR(__xludf.DUMMYFUNCTION("""COMPUTED_VALUE"""),88.1)</f>
        <v>88.1</v>
      </c>
    </row>
    <row r="646" spans="1:29" x14ac:dyDescent="0.25">
      <c r="A646" s="2">
        <f ca="1">IFERROR(__xludf.DUMMYFUNCTION("""COMPUTED_VALUE"""),44767.6666666666)</f>
        <v>44767.666666666599</v>
      </c>
      <c r="B646" s="1">
        <f ca="1">IFERROR(__xludf.DUMMYFUNCTION("""COMPUTED_VALUE"""),152.95)</f>
        <v>152.94999999999999</v>
      </c>
      <c r="C646" s="1">
        <f ca="1">IFERROR(__xludf.DUMMYFUNCTION("""COMPUTED_VALUE"""),258.83)</f>
        <v>258.83</v>
      </c>
      <c r="D646" s="1">
        <f ca="1">IFERROR(__xludf.DUMMYFUNCTION("""COMPUTED_VALUE"""),121.14)</f>
        <v>121.14</v>
      </c>
      <c r="E646" s="1">
        <f ca="1">IFERROR(__xludf.DUMMYFUNCTION("""COMPUTED_VALUE"""),17.02)</f>
        <v>17.02</v>
      </c>
      <c r="F646" s="1">
        <f ca="1">IFERROR(__xludf.DUMMYFUNCTION("""COMPUTED_VALUE"""),166.65)</f>
        <v>166.65</v>
      </c>
      <c r="G646" s="1">
        <f ca="1">IFERROR(__xludf.DUMMYFUNCTION("""COMPUTED_VALUE"""),108.21)</f>
        <v>108.21</v>
      </c>
      <c r="H646" s="1">
        <f ca="1">IFERROR(__xludf.DUMMYFUNCTION("""COMPUTED_VALUE"""),268.43)</f>
        <v>268.43</v>
      </c>
      <c r="I646" s="1">
        <f ca="1">IFERROR(__xludf.DUMMYFUNCTION("""COMPUTED_VALUE"""),169.85)</f>
        <v>169.85</v>
      </c>
      <c r="J646" s="1">
        <f ca="1">IFERROR(__xludf.DUMMYFUNCTION("""COMPUTED_VALUE"""),529.14)</f>
        <v>529.14</v>
      </c>
      <c r="K646" s="1">
        <f ca="1">IFERROR(__xludf.DUMMYFUNCTION("""COMPUTED_VALUE"""),51.31)</f>
        <v>51.31</v>
      </c>
      <c r="L646" s="1">
        <f ca="1">IFERROR(__xludf.DUMMYFUNCTION("""COMPUTED_VALUE"""),391.96)</f>
        <v>391.96</v>
      </c>
      <c r="M646" s="1">
        <f ca="1">IFERROR(__xludf.DUMMYFUNCTION("""COMPUTED_VALUE"""),218.51)</f>
        <v>218.51</v>
      </c>
      <c r="N646" s="1">
        <f ca="1">IFERROR(__xludf.DUMMYFUNCTION("""COMPUTED_VALUE"""),115.22)</f>
        <v>115.22</v>
      </c>
      <c r="O646" s="1">
        <f ca="1">IFERROR(__xludf.DUMMYFUNCTION("""COMPUTED_VALUE"""),214.27)</f>
        <v>214.27</v>
      </c>
      <c r="P646" s="1">
        <f ca="1">IFERROR(__xludf.DUMMYFUNCTION("""COMPUTED_VALUE"""),172.46)</f>
        <v>172.46</v>
      </c>
      <c r="Q646" s="1">
        <f ca="1">IFERROR(__xludf.DUMMYFUNCTION("""COMPUTED_VALUE"""),529.47)</f>
        <v>529.47</v>
      </c>
      <c r="R646" s="1">
        <f ca="1">IFERROR(__xludf.DUMMYFUNCTION("""COMPUTED_VALUE"""),89.98)</f>
        <v>89.98</v>
      </c>
      <c r="S646" s="1">
        <f ca="1">IFERROR(__xludf.DUMMYFUNCTION("""COMPUTED_VALUE"""),80.98)</f>
        <v>80.98</v>
      </c>
      <c r="T646" s="1">
        <f ca="1">IFERROR(__xludf.DUMMYFUNCTION("""COMPUTED_VALUE"""),44.01)</f>
        <v>44.01</v>
      </c>
      <c r="U646" s="1">
        <f ca="1">IFERROR(__xludf.DUMMYFUNCTION("""COMPUTED_VALUE"""),109.28)</f>
        <v>109.28</v>
      </c>
      <c r="V646" s="1">
        <f ca="1">IFERROR(__xludf.DUMMYFUNCTION("""COMPUTED_VALUE"""),181.81)</f>
        <v>181.81</v>
      </c>
      <c r="W646" s="1">
        <f ca="1">IFERROR(__xludf.DUMMYFUNCTION("""COMPUTED_VALUE"""),399.8)</f>
        <v>399.8</v>
      </c>
      <c r="X646" s="1">
        <f ca="1">IFERROR(__xludf.DUMMYFUNCTION("""COMPUTED_VALUE"""),538.97)</f>
        <v>538.97</v>
      </c>
      <c r="Y646" s="1">
        <f ca="1">IFERROR(__xludf.DUMMYFUNCTION("""COMPUTED_VALUE"""),86.3)</f>
        <v>86.3</v>
      </c>
      <c r="Z646" s="1">
        <f ca="1">IFERROR(__xludf.DUMMYFUNCTION("""COMPUTED_VALUE"""),324.12)</f>
        <v>324.12</v>
      </c>
      <c r="AA646" s="1">
        <f ca="1">IFERROR(__xludf.DUMMYFUNCTION("""COMPUTED_VALUE"""),51.77)</f>
        <v>51.77</v>
      </c>
      <c r="AB646" s="1">
        <f ca="1">IFERROR(__xludf.DUMMYFUNCTION("""COMPUTED_VALUE"""),81.5)</f>
        <v>81.5</v>
      </c>
      <c r="AC646" s="1">
        <f ca="1">IFERROR(__xludf.DUMMYFUNCTION("""COMPUTED_VALUE"""),87.54)</f>
        <v>87.54</v>
      </c>
    </row>
    <row r="647" spans="1:29" x14ac:dyDescent="0.25">
      <c r="A647" s="2">
        <f ca="1">IFERROR(__xludf.DUMMYFUNCTION("""COMPUTED_VALUE"""),44768.6666666666)</f>
        <v>44768.666666666599</v>
      </c>
      <c r="B647" s="1">
        <f ca="1">IFERROR(__xludf.DUMMYFUNCTION("""COMPUTED_VALUE"""),151.6)</f>
        <v>151.6</v>
      </c>
      <c r="C647" s="1">
        <f ca="1">IFERROR(__xludf.DUMMYFUNCTION("""COMPUTED_VALUE"""),251.9)</f>
        <v>251.9</v>
      </c>
      <c r="D647" s="1">
        <f ca="1">IFERROR(__xludf.DUMMYFUNCTION("""COMPUTED_VALUE"""),114.81)</f>
        <v>114.81</v>
      </c>
      <c r="E647" s="1">
        <f ca="1">IFERROR(__xludf.DUMMYFUNCTION("""COMPUTED_VALUE"""),16.53)</f>
        <v>16.53</v>
      </c>
      <c r="F647" s="1">
        <f ca="1">IFERROR(__xludf.DUMMYFUNCTION("""COMPUTED_VALUE"""),159.15)</f>
        <v>159.15</v>
      </c>
      <c r="G647" s="1">
        <f ca="1">IFERROR(__xludf.DUMMYFUNCTION("""COMPUTED_VALUE"""),105.44)</f>
        <v>105.44</v>
      </c>
      <c r="H647" s="1">
        <f ca="1">IFERROR(__xludf.DUMMYFUNCTION("""COMPUTED_VALUE"""),258.86)</f>
        <v>258.86</v>
      </c>
      <c r="I647" s="1">
        <f ca="1">IFERROR(__xludf.DUMMYFUNCTION("""COMPUTED_VALUE"""),171.83)</f>
        <v>171.83</v>
      </c>
      <c r="J647" s="1">
        <f ca="1">IFERROR(__xludf.DUMMYFUNCTION("""COMPUTED_VALUE"""),511.93)</f>
        <v>511.93</v>
      </c>
      <c r="K647" s="1">
        <f ca="1">IFERROR(__xludf.DUMMYFUNCTION("""COMPUTED_VALUE"""),51.11)</f>
        <v>51.11</v>
      </c>
      <c r="L647" s="1">
        <f ca="1">IFERROR(__xludf.DUMMYFUNCTION("""COMPUTED_VALUE"""),379.26)</f>
        <v>379.26</v>
      </c>
      <c r="M647" s="1">
        <f ca="1">IFERROR(__xludf.DUMMYFUNCTION("""COMPUTED_VALUE"""),213.91)</f>
        <v>213.91</v>
      </c>
      <c r="N647" s="1">
        <f ca="1">IFERROR(__xludf.DUMMYFUNCTION("""COMPUTED_VALUE"""),113.42)</f>
        <v>113.42</v>
      </c>
      <c r="O647" s="1">
        <f ca="1">IFERROR(__xludf.DUMMYFUNCTION("""COMPUTED_VALUE"""),212.49)</f>
        <v>212.49</v>
      </c>
      <c r="P647" s="1">
        <f ca="1">IFERROR(__xludf.DUMMYFUNCTION("""COMPUTED_VALUE"""),173.68)</f>
        <v>173.68</v>
      </c>
      <c r="Q647" s="1">
        <f ca="1">IFERROR(__xludf.DUMMYFUNCTION("""COMPUTED_VALUE"""),531.59)</f>
        <v>531.59</v>
      </c>
      <c r="R647" s="1">
        <f ca="1">IFERROR(__xludf.DUMMYFUNCTION("""COMPUTED_VALUE"""),89.63)</f>
        <v>89.63</v>
      </c>
      <c r="S647" s="1">
        <f ca="1">IFERROR(__xludf.DUMMYFUNCTION("""COMPUTED_VALUE"""),79.91)</f>
        <v>79.91</v>
      </c>
      <c r="T647" s="1">
        <f ca="1">IFERROR(__xludf.DUMMYFUNCTION("""COMPUTED_VALUE"""),40.66)</f>
        <v>40.659999999999997</v>
      </c>
      <c r="U647" s="1">
        <f ca="1">IFERROR(__xludf.DUMMYFUNCTION("""COMPUTED_VALUE"""),105.2)</f>
        <v>105.2</v>
      </c>
      <c r="V647" s="1">
        <f ca="1">IFERROR(__xludf.DUMMYFUNCTION("""COMPUTED_VALUE"""),181.23)</f>
        <v>181.23</v>
      </c>
      <c r="W647" s="1">
        <f ca="1">IFERROR(__xludf.DUMMYFUNCTION("""COMPUTED_VALUE"""),396.81)</f>
        <v>396.81</v>
      </c>
      <c r="X647" s="1">
        <f ca="1">IFERROR(__xludf.DUMMYFUNCTION("""COMPUTED_VALUE"""),524.17)</f>
        <v>524.16999999999996</v>
      </c>
      <c r="Y647" s="1">
        <f ca="1">IFERROR(__xludf.DUMMYFUNCTION("""COMPUTED_VALUE"""),84.42)</f>
        <v>84.42</v>
      </c>
      <c r="Z647" s="1">
        <f ca="1">IFERROR(__xludf.DUMMYFUNCTION("""COMPUTED_VALUE"""),318.55)</f>
        <v>318.55</v>
      </c>
      <c r="AA647" s="1">
        <f ca="1">IFERROR(__xludf.DUMMYFUNCTION("""COMPUTED_VALUE"""),52.3)</f>
        <v>52.3</v>
      </c>
      <c r="AB647" s="1">
        <f ca="1">IFERROR(__xludf.DUMMYFUNCTION("""COMPUTED_VALUE"""),80.31)</f>
        <v>80.31</v>
      </c>
      <c r="AC647" s="1">
        <f ca="1">IFERROR(__xludf.DUMMYFUNCTION("""COMPUTED_VALUE"""),85.25)</f>
        <v>85.25</v>
      </c>
    </row>
    <row r="648" spans="1:29" x14ac:dyDescent="0.25">
      <c r="A648" s="2">
        <f ca="1">IFERROR(__xludf.DUMMYFUNCTION("""COMPUTED_VALUE"""),44769.6666666666)</f>
        <v>44769.666666666599</v>
      </c>
      <c r="B648" s="1">
        <f ca="1">IFERROR(__xludf.DUMMYFUNCTION("""COMPUTED_VALUE"""),156.79)</f>
        <v>156.79</v>
      </c>
      <c r="C648" s="1">
        <f ca="1">IFERROR(__xludf.DUMMYFUNCTION("""COMPUTED_VALUE"""),268.74)</f>
        <v>268.74</v>
      </c>
      <c r="D648" s="1">
        <f ca="1">IFERROR(__xludf.DUMMYFUNCTION("""COMPUTED_VALUE"""),120.97)</f>
        <v>120.97</v>
      </c>
      <c r="E648" s="1">
        <f ca="1">IFERROR(__xludf.DUMMYFUNCTION("""COMPUTED_VALUE"""),17.79)</f>
        <v>17.79</v>
      </c>
      <c r="F648" s="1">
        <f ca="1">IFERROR(__xludf.DUMMYFUNCTION("""COMPUTED_VALUE"""),169.58)</f>
        <v>169.58</v>
      </c>
      <c r="G648" s="1">
        <f ca="1">IFERROR(__xludf.DUMMYFUNCTION("""COMPUTED_VALUE"""),113.6)</f>
        <v>113.6</v>
      </c>
      <c r="H648" s="1">
        <f ca="1">IFERROR(__xludf.DUMMYFUNCTION("""COMPUTED_VALUE"""),274.82)</f>
        <v>274.82</v>
      </c>
      <c r="I648" s="1">
        <f ca="1">IFERROR(__xludf.DUMMYFUNCTION("""COMPUTED_VALUE"""),171.59)</f>
        <v>171.59</v>
      </c>
      <c r="J648" s="1">
        <f ca="1">IFERROR(__xludf.DUMMYFUNCTION("""COMPUTED_VALUE"""),522.31)</f>
        <v>522.30999999999995</v>
      </c>
      <c r="K648" s="1">
        <f ca="1">IFERROR(__xludf.DUMMYFUNCTION("""COMPUTED_VALUE"""),52.78)</f>
        <v>52.78</v>
      </c>
      <c r="L648" s="1">
        <f ca="1">IFERROR(__xludf.DUMMYFUNCTION("""COMPUTED_VALUE"""),392.78)</f>
        <v>392.78</v>
      </c>
      <c r="M648" s="1">
        <f ca="1">IFERROR(__xludf.DUMMYFUNCTION("""COMPUTED_VALUE"""),226.75)</f>
        <v>226.75</v>
      </c>
      <c r="N648" s="1">
        <f ca="1">IFERROR(__xludf.DUMMYFUNCTION("""COMPUTED_VALUE"""),115.24)</f>
        <v>115.24</v>
      </c>
      <c r="O648" s="1">
        <f ca="1">IFERROR(__xludf.DUMMYFUNCTION("""COMPUTED_VALUE"""),210.47)</f>
        <v>210.47</v>
      </c>
      <c r="P648" s="1">
        <f ca="1">IFERROR(__xludf.DUMMYFUNCTION("""COMPUTED_VALUE"""),173.2)</f>
        <v>173.2</v>
      </c>
      <c r="Q648" s="1">
        <f ca="1">IFERROR(__xludf.DUMMYFUNCTION("""COMPUTED_VALUE"""),534.61)</f>
        <v>534.61</v>
      </c>
      <c r="R648" s="1">
        <f ca="1">IFERROR(__xludf.DUMMYFUNCTION("""COMPUTED_VALUE"""),91.57)</f>
        <v>91.57</v>
      </c>
      <c r="S648" s="1">
        <f ca="1">IFERROR(__xludf.DUMMYFUNCTION("""COMPUTED_VALUE"""),80.38)</f>
        <v>80.38</v>
      </c>
      <c r="T648" s="1">
        <f ca="1">IFERROR(__xludf.DUMMYFUNCTION("""COMPUTED_VALUE"""),42.2)</f>
        <v>42.2</v>
      </c>
      <c r="U648" s="1">
        <f ca="1">IFERROR(__xludf.DUMMYFUNCTION("""COMPUTED_VALUE"""),107.86)</f>
        <v>107.86</v>
      </c>
      <c r="V648" s="1">
        <f ca="1">IFERROR(__xludf.DUMMYFUNCTION("""COMPUTED_VALUE"""),185.25)</f>
        <v>185.25</v>
      </c>
      <c r="W648" s="1">
        <f ca="1">IFERROR(__xludf.DUMMYFUNCTION("""COMPUTED_VALUE"""),398.54)</f>
        <v>398.54</v>
      </c>
      <c r="X648" s="1">
        <f ca="1">IFERROR(__xludf.DUMMYFUNCTION("""COMPUTED_VALUE"""),546.18)</f>
        <v>546.17999999999995</v>
      </c>
      <c r="Y648" s="1">
        <f ca="1">IFERROR(__xludf.DUMMYFUNCTION("""COMPUTED_VALUE"""),87.63)</f>
        <v>87.63</v>
      </c>
      <c r="Z648" s="1">
        <f ca="1">IFERROR(__xludf.DUMMYFUNCTION("""COMPUTED_VALUE"""),324.54)</f>
        <v>324.54000000000002</v>
      </c>
      <c r="AA648" s="1">
        <f ca="1">IFERROR(__xludf.DUMMYFUNCTION("""COMPUTED_VALUE"""),51.95)</f>
        <v>51.95</v>
      </c>
      <c r="AB648" s="1">
        <f ca="1">IFERROR(__xludf.DUMMYFUNCTION("""COMPUTED_VALUE"""),82.96)</f>
        <v>82.96</v>
      </c>
      <c r="AC648" s="1">
        <f ca="1">IFERROR(__xludf.DUMMYFUNCTION("""COMPUTED_VALUE"""),89.82)</f>
        <v>89.82</v>
      </c>
    </row>
    <row r="649" spans="1:29" x14ac:dyDescent="0.25">
      <c r="A649" s="2">
        <f ca="1">IFERROR(__xludf.DUMMYFUNCTION("""COMPUTED_VALUE"""),44770.6666666666)</f>
        <v>44770.666666666599</v>
      </c>
      <c r="B649" s="1">
        <f ca="1">IFERROR(__xludf.DUMMYFUNCTION("""COMPUTED_VALUE"""),157.35)</f>
        <v>157.35</v>
      </c>
      <c r="C649" s="1">
        <f ca="1">IFERROR(__xludf.DUMMYFUNCTION("""COMPUTED_VALUE"""),276.41)</f>
        <v>276.41000000000003</v>
      </c>
      <c r="D649" s="1">
        <f ca="1">IFERROR(__xludf.DUMMYFUNCTION("""COMPUTED_VALUE"""),122.28)</f>
        <v>122.28</v>
      </c>
      <c r="E649" s="1">
        <f ca="1">IFERROR(__xludf.DUMMYFUNCTION("""COMPUTED_VALUE"""),17.98)</f>
        <v>17.98</v>
      </c>
      <c r="F649" s="1">
        <f ca="1">IFERROR(__xludf.DUMMYFUNCTION("""COMPUTED_VALUE"""),160.72)</f>
        <v>160.72</v>
      </c>
      <c r="G649" s="1">
        <f ca="1">IFERROR(__xludf.DUMMYFUNCTION("""COMPUTED_VALUE"""),114.59)</f>
        <v>114.59</v>
      </c>
      <c r="H649" s="1">
        <f ca="1">IFERROR(__xludf.DUMMYFUNCTION("""COMPUTED_VALUE"""),280.9)</f>
        <v>280.89999999999998</v>
      </c>
      <c r="I649" s="1">
        <f ca="1">IFERROR(__xludf.DUMMYFUNCTION("""COMPUTED_VALUE"""),174.84)</f>
        <v>174.84</v>
      </c>
      <c r="J649" s="1">
        <f ca="1">IFERROR(__xludf.DUMMYFUNCTION("""COMPUTED_VALUE"""),536.18)</f>
        <v>536.17999999999995</v>
      </c>
      <c r="K649" s="1">
        <f ca="1">IFERROR(__xludf.DUMMYFUNCTION("""COMPUTED_VALUE"""),53.36)</f>
        <v>53.36</v>
      </c>
      <c r="L649" s="1">
        <f ca="1">IFERROR(__xludf.DUMMYFUNCTION("""COMPUTED_VALUE"""),403.5)</f>
        <v>403.5</v>
      </c>
      <c r="M649" s="1">
        <f ca="1">IFERROR(__xludf.DUMMYFUNCTION("""COMPUTED_VALUE"""),226.02)</f>
        <v>226.02</v>
      </c>
      <c r="N649" s="1">
        <f ca="1">IFERROR(__xludf.DUMMYFUNCTION("""COMPUTED_VALUE"""),114.81)</f>
        <v>114.81</v>
      </c>
      <c r="O649" s="1">
        <f ca="1">IFERROR(__xludf.DUMMYFUNCTION("""COMPUTED_VALUE"""),211.35)</f>
        <v>211.35</v>
      </c>
      <c r="P649" s="1">
        <f ca="1">IFERROR(__xludf.DUMMYFUNCTION("""COMPUTED_VALUE"""),174.2)</f>
        <v>174.2</v>
      </c>
      <c r="Q649" s="1">
        <f ca="1">IFERROR(__xludf.DUMMYFUNCTION("""COMPUTED_VALUE"""),541.49)</f>
        <v>541.49</v>
      </c>
      <c r="R649" s="1">
        <f ca="1">IFERROR(__xludf.DUMMYFUNCTION("""COMPUTED_VALUE"""),92.64)</f>
        <v>92.64</v>
      </c>
      <c r="S649" s="1">
        <f ca="1">IFERROR(__xludf.DUMMYFUNCTION("""COMPUTED_VALUE"""),84.54)</f>
        <v>84.54</v>
      </c>
      <c r="T649" s="1">
        <f ca="1">IFERROR(__xludf.DUMMYFUNCTION("""COMPUTED_VALUE"""),43.25)</f>
        <v>43.25</v>
      </c>
      <c r="U649" s="1">
        <f ca="1">IFERROR(__xludf.DUMMYFUNCTION("""COMPUTED_VALUE"""),112.23)</f>
        <v>112.23</v>
      </c>
      <c r="V649" s="1">
        <f ca="1">IFERROR(__xludf.DUMMYFUNCTION("""COMPUTED_VALUE"""),187.84)</f>
        <v>187.84</v>
      </c>
      <c r="W649" s="1">
        <f ca="1">IFERROR(__xludf.DUMMYFUNCTION("""COMPUTED_VALUE"""),406.08)</f>
        <v>406.08</v>
      </c>
      <c r="X649" s="1">
        <f ca="1">IFERROR(__xludf.DUMMYFUNCTION("""COMPUTED_VALUE"""),560.71)</f>
        <v>560.71</v>
      </c>
      <c r="Y649" s="1">
        <f ca="1">IFERROR(__xludf.DUMMYFUNCTION("""COMPUTED_VALUE"""),88.61)</f>
        <v>88.61</v>
      </c>
      <c r="Z649" s="1">
        <f ca="1">IFERROR(__xludf.DUMMYFUNCTION("""COMPUTED_VALUE"""),329.11)</f>
        <v>329.11</v>
      </c>
      <c r="AA649" s="1">
        <f ca="1">IFERROR(__xludf.DUMMYFUNCTION("""COMPUTED_VALUE"""),50.72)</f>
        <v>50.72</v>
      </c>
      <c r="AB649" s="1">
        <f ca="1">IFERROR(__xludf.DUMMYFUNCTION("""COMPUTED_VALUE"""),84.67)</f>
        <v>84.67</v>
      </c>
      <c r="AC649" s="1">
        <f ca="1">IFERROR(__xludf.DUMMYFUNCTION("""COMPUTED_VALUE"""),91.67)</f>
        <v>91.67</v>
      </c>
    </row>
    <row r="650" spans="1:29" x14ac:dyDescent="0.25">
      <c r="A650" s="2">
        <f ca="1">IFERROR(__xludf.DUMMYFUNCTION("""COMPUTED_VALUE"""),44771.6666666666)</f>
        <v>44771.666666666599</v>
      </c>
      <c r="B650" s="1">
        <f ca="1">IFERROR(__xludf.DUMMYFUNCTION("""COMPUTED_VALUE"""),162.51)</f>
        <v>162.51</v>
      </c>
      <c r="C650" s="1">
        <f ca="1">IFERROR(__xludf.DUMMYFUNCTION("""COMPUTED_VALUE"""),280.74)</f>
        <v>280.74</v>
      </c>
      <c r="D650" s="1">
        <f ca="1">IFERROR(__xludf.DUMMYFUNCTION("""COMPUTED_VALUE"""),134.95)</f>
        <v>134.94999999999999</v>
      </c>
      <c r="E650" s="1">
        <f ca="1">IFERROR(__xludf.DUMMYFUNCTION("""COMPUTED_VALUE"""),18.16)</f>
        <v>18.16</v>
      </c>
      <c r="F650" s="1">
        <f ca="1">IFERROR(__xludf.DUMMYFUNCTION("""COMPUTED_VALUE"""),159.1)</f>
        <v>159.1</v>
      </c>
      <c r="G650" s="1">
        <f ca="1">IFERROR(__xludf.DUMMYFUNCTION("""COMPUTED_VALUE"""),116.64)</f>
        <v>116.64</v>
      </c>
      <c r="H650" s="1">
        <f ca="1">IFERROR(__xludf.DUMMYFUNCTION("""COMPUTED_VALUE"""),297.15)</f>
        <v>297.14999999999998</v>
      </c>
      <c r="I650" s="1">
        <f ca="1">IFERROR(__xludf.DUMMYFUNCTION("""COMPUTED_VALUE"""),174.96)</f>
        <v>174.96</v>
      </c>
      <c r="J650" s="1">
        <f ca="1">IFERROR(__xludf.DUMMYFUNCTION("""COMPUTED_VALUE"""),541.3)</f>
        <v>541.29999999999995</v>
      </c>
      <c r="K650" s="1">
        <f ca="1">IFERROR(__xludf.DUMMYFUNCTION("""COMPUTED_VALUE"""),53.55)</f>
        <v>53.55</v>
      </c>
      <c r="L650" s="1">
        <f ca="1">IFERROR(__xludf.DUMMYFUNCTION("""COMPUTED_VALUE"""),410.12)</f>
        <v>410.12</v>
      </c>
      <c r="M650" s="1">
        <f ca="1">IFERROR(__xludf.DUMMYFUNCTION("""COMPUTED_VALUE"""),224.9)</f>
        <v>224.9</v>
      </c>
      <c r="N650" s="1">
        <f ca="1">IFERROR(__xludf.DUMMYFUNCTION("""COMPUTED_VALUE"""),115.36)</f>
        <v>115.36</v>
      </c>
      <c r="O650" s="1">
        <f ca="1">IFERROR(__xludf.DUMMYFUNCTION("""COMPUTED_VALUE"""),212.11)</f>
        <v>212.11</v>
      </c>
      <c r="P650" s="1">
        <f ca="1">IFERROR(__xludf.DUMMYFUNCTION("""COMPUTED_VALUE"""),174.52)</f>
        <v>174.52</v>
      </c>
      <c r="Q650" s="1">
        <f ca="1">IFERROR(__xludf.DUMMYFUNCTION("""COMPUTED_VALUE"""),542.34)</f>
        <v>542.34</v>
      </c>
      <c r="R650" s="1">
        <f ca="1">IFERROR(__xludf.DUMMYFUNCTION("""COMPUTED_VALUE"""),96.93)</f>
        <v>96.93</v>
      </c>
      <c r="S650" s="1">
        <f ca="1">IFERROR(__xludf.DUMMYFUNCTION("""COMPUTED_VALUE"""),84.49)</f>
        <v>84.49</v>
      </c>
      <c r="T650" s="1">
        <f ca="1">IFERROR(__xludf.DUMMYFUNCTION("""COMPUTED_VALUE"""),44.02)</f>
        <v>44.02</v>
      </c>
      <c r="U650" s="1">
        <f ca="1">IFERROR(__xludf.DUMMYFUNCTION("""COMPUTED_VALUE"""),114.92)</f>
        <v>114.92</v>
      </c>
      <c r="V650" s="1">
        <f ca="1">IFERROR(__xludf.DUMMYFUNCTION("""COMPUTED_VALUE"""),198.25)</f>
        <v>198.25</v>
      </c>
      <c r="W650" s="1">
        <f ca="1">IFERROR(__xludf.DUMMYFUNCTION("""COMPUTED_VALUE"""),413.81)</f>
        <v>413.81</v>
      </c>
      <c r="X650" s="1">
        <f ca="1">IFERROR(__xludf.DUMMYFUNCTION("""COMPUTED_VALUE"""),574.44)</f>
        <v>574.44000000000005</v>
      </c>
      <c r="Y650" s="1">
        <f ca="1">IFERROR(__xludf.DUMMYFUNCTION("""COMPUTED_VALUE"""),88.48)</f>
        <v>88.48</v>
      </c>
      <c r="Z650" s="1">
        <f ca="1">IFERROR(__xludf.DUMMYFUNCTION("""COMPUTED_VALUE"""),333.39)</f>
        <v>333.39</v>
      </c>
      <c r="AA650" s="1">
        <f ca="1">IFERROR(__xludf.DUMMYFUNCTION("""COMPUTED_VALUE"""),50.51)</f>
        <v>50.51</v>
      </c>
      <c r="AB650" s="1">
        <f ca="1">IFERROR(__xludf.DUMMYFUNCTION("""COMPUTED_VALUE"""),84.78)</f>
        <v>84.78</v>
      </c>
      <c r="AC650" s="1">
        <f ca="1">IFERROR(__xludf.DUMMYFUNCTION("""COMPUTED_VALUE"""),94.47)</f>
        <v>94.47</v>
      </c>
    </row>
    <row r="651" spans="1:29" x14ac:dyDescent="0.25">
      <c r="A651" s="2">
        <f ca="1">IFERROR(__xludf.DUMMYFUNCTION("""COMPUTED_VALUE"""),44774.6666666666)</f>
        <v>44774.666666666599</v>
      </c>
      <c r="B651" s="1">
        <f ca="1">IFERROR(__xludf.DUMMYFUNCTION("""COMPUTED_VALUE"""),161.51)</f>
        <v>161.51</v>
      </c>
      <c r="C651" s="1">
        <f ca="1">IFERROR(__xludf.DUMMYFUNCTION("""COMPUTED_VALUE"""),278.01)</f>
        <v>278.01</v>
      </c>
      <c r="D651" s="1">
        <f ca="1">IFERROR(__xludf.DUMMYFUNCTION("""COMPUTED_VALUE"""),135.39)</f>
        <v>135.38999999999999</v>
      </c>
      <c r="E651" s="1">
        <f ca="1">IFERROR(__xludf.DUMMYFUNCTION("""COMPUTED_VALUE"""),18.44)</f>
        <v>18.440000000000001</v>
      </c>
      <c r="F651" s="1">
        <f ca="1">IFERROR(__xludf.DUMMYFUNCTION("""COMPUTED_VALUE"""),159.93)</f>
        <v>159.93</v>
      </c>
      <c r="G651" s="1">
        <f ca="1">IFERROR(__xludf.DUMMYFUNCTION("""COMPUTED_VALUE"""),115.48)</f>
        <v>115.48</v>
      </c>
      <c r="H651" s="1">
        <f ca="1">IFERROR(__xludf.DUMMYFUNCTION("""COMPUTED_VALUE"""),297.28)</f>
        <v>297.27999999999997</v>
      </c>
      <c r="I651" s="1">
        <f ca="1">IFERROR(__xludf.DUMMYFUNCTION("""COMPUTED_VALUE"""),176.95)</f>
        <v>176.95</v>
      </c>
      <c r="J651" s="1">
        <f ca="1">IFERROR(__xludf.DUMMYFUNCTION("""COMPUTED_VALUE"""),546.81)</f>
        <v>546.80999999999995</v>
      </c>
      <c r="K651" s="1">
        <f ca="1">IFERROR(__xludf.DUMMYFUNCTION("""COMPUTED_VALUE"""),53.64)</f>
        <v>53.64</v>
      </c>
      <c r="L651" s="1">
        <f ca="1">IFERROR(__xludf.DUMMYFUNCTION("""COMPUTED_VALUE"""),411.09)</f>
        <v>411.09</v>
      </c>
      <c r="M651" s="1">
        <f ca="1">IFERROR(__xludf.DUMMYFUNCTION("""COMPUTED_VALUE"""),226.21)</f>
        <v>226.21</v>
      </c>
      <c r="N651" s="1">
        <f ca="1">IFERROR(__xludf.DUMMYFUNCTION("""COMPUTED_VALUE"""),114.21)</f>
        <v>114.21</v>
      </c>
      <c r="O651" s="1">
        <f ca="1">IFERROR(__xludf.DUMMYFUNCTION("""COMPUTED_VALUE"""),211.36)</f>
        <v>211.36</v>
      </c>
      <c r="P651" s="1">
        <f ca="1">IFERROR(__xludf.DUMMYFUNCTION("""COMPUTED_VALUE"""),173.91)</f>
        <v>173.91</v>
      </c>
      <c r="Q651" s="1">
        <f ca="1">IFERROR(__xludf.DUMMYFUNCTION("""COMPUTED_VALUE"""),535.38)</f>
        <v>535.38</v>
      </c>
      <c r="R651" s="1">
        <f ca="1">IFERROR(__xludf.DUMMYFUNCTION("""COMPUTED_VALUE"""),94.48)</f>
        <v>94.48</v>
      </c>
      <c r="S651" s="1">
        <f ca="1">IFERROR(__xludf.DUMMYFUNCTION("""COMPUTED_VALUE"""),85.31)</f>
        <v>85.31</v>
      </c>
      <c r="T651" s="1">
        <f ca="1">IFERROR(__xludf.DUMMYFUNCTION("""COMPUTED_VALUE"""),44.18)</f>
        <v>44.18</v>
      </c>
      <c r="U651" s="1">
        <f ca="1">IFERROR(__xludf.DUMMYFUNCTION("""COMPUTED_VALUE"""),114.3)</f>
        <v>114.3</v>
      </c>
      <c r="V651" s="1">
        <f ca="1">IFERROR(__xludf.DUMMYFUNCTION("""COMPUTED_VALUE"""),194.86)</f>
        <v>194.86</v>
      </c>
      <c r="W651" s="1">
        <f ca="1">IFERROR(__xludf.DUMMYFUNCTION("""COMPUTED_VALUE"""),419.28)</f>
        <v>419.28</v>
      </c>
      <c r="X651" s="1">
        <f ca="1">IFERROR(__xludf.DUMMYFUNCTION("""COMPUTED_VALUE"""),578.15)</f>
        <v>578.15</v>
      </c>
      <c r="Y651" s="1">
        <f ca="1">IFERROR(__xludf.DUMMYFUNCTION("""COMPUTED_VALUE"""),86.31)</f>
        <v>86.31</v>
      </c>
      <c r="Z651" s="1">
        <f ca="1">IFERROR(__xludf.DUMMYFUNCTION("""COMPUTED_VALUE"""),332.08)</f>
        <v>332.08</v>
      </c>
      <c r="AA651" s="1">
        <f ca="1">IFERROR(__xludf.DUMMYFUNCTION("""COMPUTED_VALUE"""),50.61)</f>
        <v>50.61</v>
      </c>
      <c r="AB651" s="1">
        <f ca="1">IFERROR(__xludf.DUMMYFUNCTION("""COMPUTED_VALUE"""),84.91)</f>
        <v>84.91</v>
      </c>
      <c r="AC651" s="1">
        <f ca="1">IFERROR(__xludf.DUMMYFUNCTION("""COMPUTED_VALUE"""),96.78)</f>
        <v>96.78</v>
      </c>
    </row>
    <row r="652" spans="1:29" x14ac:dyDescent="0.25">
      <c r="A652" s="2">
        <f ca="1">IFERROR(__xludf.DUMMYFUNCTION("""COMPUTED_VALUE"""),44775.6666666666)</f>
        <v>44775.666666666599</v>
      </c>
      <c r="B652" s="1">
        <f ca="1">IFERROR(__xludf.DUMMYFUNCTION("""COMPUTED_VALUE"""),160.01)</f>
        <v>160.01</v>
      </c>
      <c r="C652" s="1">
        <f ca="1">IFERROR(__xludf.DUMMYFUNCTION("""COMPUTED_VALUE"""),274.82)</f>
        <v>274.82</v>
      </c>
      <c r="D652" s="1">
        <f ca="1">IFERROR(__xludf.DUMMYFUNCTION("""COMPUTED_VALUE"""),134.16)</f>
        <v>134.16</v>
      </c>
      <c r="E652" s="1">
        <f ca="1">IFERROR(__xludf.DUMMYFUNCTION("""COMPUTED_VALUE"""),18.53)</f>
        <v>18.53</v>
      </c>
      <c r="F652" s="1">
        <f ca="1">IFERROR(__xludf.DUMMYFUNCTION("""COMPUTED_VALUE"""),160.19)</f>
        <v>160.19</v>
      </c>
      <c r="G652" s="1">
        <f ca="1">IFERROR(__xludf.DUMMYFUNCTION("""COMPUTED_VALUE"""),115.9)</f>
        <v>115.9</v>
      </c>
      <c r="H652" s="1">
        <f ca="1">IFERROR(__xludf.DUMMYFUNCTION("""COMPUTED_VALUE"""),300.59)</f>
        <v>300.58999999999997</v>
      </c>
      <c r="I652" s="1">
        <f ca="1">IFERROR(__xludf.DUMMYFUNCTION("""COMPUTED_VALUE"""),175.49)</f>
        <v>175.49</v>
      </c>
      <c r="J652" s="1">
        <f ca="1">IFERROR(__xludf.DUMMYFUNCTION("""COMPUTED_VALUE"""),543.46)</f>
        <v>543.46</v>
      </c>
      <c r="K652" s="1">
        <f ca="1">IFERROR(__xludf.DUMMYFUNCTION("""COMPUTED_VALUE"""),53.12)</f>
        <v>53.12</v>
      </c>
      <c r="L652" s="1">
        <f ca="1">IFERROR(__xludf.DUMMYFUNCTION("""COMPUTED_VALUE"""),409.96)</f>
        <v>409.96</v>
      </c>
      <c r="M652" s="1">
        <f ca="1">IFERROR(__xludf.DUMMYFUNCTION("""COMPUTED_VALUE"""),221.42)</f>
        <v>221.42</v>
      </c>
      <c r="N652" s="1">
        <f ca="1">IFERROR(__xludf.DUMMYFUNCTION("""COMPUTED_VALUE"""),112.43)</f>
        <v>112.43</v>
      </c>
      <c r="O652" s="1">
        <f ca="1">IFERROR(__xludf.DUMMYFUNCTION("""COMPUTED_VALUE"""),206.26)</f>
        <v>206.26</v>
      </c>
      <c r="P652" s="1">
        <f ca="1">IFERROR(__xludf.DUMMYFUNCTION("""COMPUTED_VALUE"""),172.92)</f>
        <v>172.92</v>
      </c>
      <c r="Q652" s="1">
        <f ca="1">IFERROR(__xludf.DUMMYFUNCTION("""COMPUTED_VALUE"""),535.46)</f>
        <v>535.46</v>
      </c>
      <c r="R652" s="1">
        <f ca="1">IFERROR(__xludf.DUMMYFUNCTION("""COMPUTED_VALUE"""),94.07)</f>
        <v>94.07</v>
      </c>
      <c r="S652" s="1">
        <f ca="1">IFERROR(__xludf.DUMMYFUNCTION("""COMPUTED_VALUE"""),85.67)</f>
        <v>85.67</v>
      </c>
      <c r="T652" s="1">
        <f ca="1">IFERROR(__xludf.DUMMYFUNCTION("""COMPUTED_VALUE"""),44.23)</f>
        <v>44.23</v>
      </c>
      <c r="U652" s="1">
        <f ca="1">IFERROR(__xludf.DUMMYFUNCTION("""COMPUTED_VALUE"""),111.77)</f>
        <v>111.77</v>
      </c>
      <c r="V652" s="1">
        <f ca="1">IFERROR(__xludf.DUMMYFUNCTION("""COMPUTED_VALUE"""),183.51)</f>
        <v>183.51</v>
      </c>
      <c r="W652" s="1">
        <f ca="1">IFERROR(__xludf.DUMMYFUNCTION("""COMPUTED_VALUE"""),428.78)</f>
        <v>428.78</v>
      </c>
      <c r="X652" s="1">
        <f ca="1">IFERROR(__xludf.DUMMYFUNCTION("""COMPUTED_VALUE"""),565.6)</f>
        <v>565.6</v>
      </c>
      <c r="Y652" s="1">
        <f ca="1">IFERROR(__xludf.DUMMYFUNCTION("""COMPUTED_VALUE"""),86.05)</f>
        <v>86.05</v>
      </c>
      <c r="Z652" s="1">
        <f ca="1">IFERROR(__xludf.DUMMYFUNCTION("""COMPUTED_VALUE"""),327.88)</f>
        <v>327.88</v>
      </c>
      <c r="AA652" s="1">
        <f ca="1">IFERROR(__xludf.DUMMYFUNCTION("""COMPUTED_VALUE"""),49.69)</f>
        <v>49.69</v>
      </c>
      <c r="AB652" s="1">
        <f ca="1">IFERROR(__xludf.DUMMYFUNCTION("""COMPUTED_VALUE"""),83.71)</f>
        <v>83.71</v>
      </c>
      <c r="AC652" s="1">
        <f ca="1">IFERROR(__xludf.DUMMYFUNCTION("""COMPUTED_VALUE"""),99.29)</f>
        <v>99.29</v>
      </c>
    </row>
    <row r="653" spans="1:29" x14ac:dyDescent="0.25">
      <c r="A653" s="2">
        <f ca="1">IFERROR(__xludf.DUMMYFUNCTION("""COMPUTED_VALUE"""),44776.6666666666)</f>
        <v>44776.666666666599</v>
      </c>
      <c r="B653" s="1">
        <f ca="1">IFERROR(__xludf.DUMMYFUNCTION("""COMPUTED_VALUE"""),166.13)</f>
        <v>166.13</v>
      </c>
      <c r="C653" s="1">
        <f ca="1">IFERROR(__xludf.DUMMYFUNCTION("""COMPUTED_VALUE"""),282.47)</f>
        <v>282.47000000000003</v>
      </c>
      <c r="D653" s="1">
        <f ca="1">IFERROR(__xludf.DUMMYFUNCTION("""COMPUTED_VALUE"""),139.52)</f>
        <v>139.52000000000001</v>
      </c>
      <c r="E653" s="1">
        <f ca="1">IFERROR(__xludf.DUMMYFUNCTION("""COMPUTED_VALUE"""),18.89)</f>
        <v>18.89</v>
      </c>
      <c r="F653" s="1">
        <f ca="1">IFERROR(__xludf.DUMMYFUNCTION("""COMPUTED_VALUE"""),168.8)</f>
        <v>168.8</v>
      </c>
      <c r="G653" s="1">
        <f ca="1">IFERROR(__xludf.DUMMYFUNCTION("""COMPUTED_VALUE"""),118.78)</f>
        <v>118.78</v>
      </c>
      <c r="H653" s="1">
        <f ca="1">IFERROR(__xludf.DUMMYFUNCTION("""COMPUTED_VALUE"""),307.4)</f>
        <v>307.39999999999998</v>
      </c>
      <c r="I653" s="1">
        <f ca="1">IFERROR(__xludf.DUMMYFUNCTION("""COMPUTED_VALUE"""),176.83)</f>
        <v>176.83</v>
      </c>
      <c r="J653" s="1">
        <f ca="1">IFERROR(__xludf.DUMMYFUNCTION("""COMPUTED_VALUE"""),547.01)</f>
        <v>547.01</v>
      </c>
      <c r="K653" s="1">
        <f ca="1">IFERROR(__xludf.DUMMYFUNCTION("""COMPUTED_VALUE"""),54.67)</f>
        <v>54.67</v>
      </c>
      <c r="L653" s="1">
        <f ca="1">IFERROR(__xludf.DUMMYFUNCTION("""COMPUTED_VALUE"""),424.54)</f>
        <v>424.54</v>
      </c>
      <c r="M653" s="1">
        <f ca="1">IFERROR(__xludf.DUMMYFUNCTION("""COMPUTED_VALUE"""),226.73)</f>
        <v>226.73</v>
      </c>
      <c r="N653" s="1">
        <f ca="1">IFERROR(__xludf.DUMMYFUNCTION("""COMPUTED_VALUE"""),113.61)</f>
        <v>113.61</v>
      </c>
      <c r="O653" s="1">
        <f ca="1">IFERROR(__xludf.DUMMYFUNCTION("""COMPUTED_VALUE"""),208.48)</f>
        <v>208.48</v>
      </c>
      <c r="P653" s="1">
        <f ca="1">IFERROR(__xludf.DUMMYFUNCTION("""COMPUTED_VALUE"""),174.59)</f>
        <v>174.59</v>
      </c>
      <c r="Q653" s="1">
        <f ca="1">IFERROR(__xludf.DUMMYFUNCTION("""COMPUTED_VALUE"""),540.65)</f>
        <v>540.65</v>
      </c>
      <c r="R653" s="1">
        <f ca="1">IFERROR(__xludf.DUMMYFUNCTION("""COMPUTED_VALUE"""),91.02)</f>
        <v>91.02</v>
      </c>
      <c r="S653" s="1">
        <f ca="1">IFERROR(__xludf.DUMMYFUNCTION("""COMPUTED_VALUE"""),86.46)</f>
        <v>86.46</v>
      </c>
      <c r="T653" s="1">
        <f ca="1">IFERROR(__xludf.DUMMYFUNCTION("""COMPUTED_VALUE"""),43.5)</f>
        <v>43.5</v>
      </c>
      <c r="U653" s="1">
        <f ca="1">IFERROR(__xludf.DUMMYFUNCTION("""COMPUTED_VALUE"""),114.28)</f>
        <v>114.28</v>
      </c>
      <c r="V653" s="1">
        <f ca="1">IFERROR(__xludf.DUMMYFUNCTION("""COMPUTED_VALUE"""),182.87)</f>
        <v>182.87</v>
      </c>
      <c r="W653" s="1">
        <f ca="1">IFERROR(__xludf.DUMMYFUNCTION("""COMPUTED_VALUE"""),429.3)</f>
        <v>429.3</v>
      </c>
      <c r="X653" s="1">
        <f ca="1">IFERROR(__xludf.DUMMYFUNCTION("""COMPUTED_VALUE"""),583.86)</f>
        <v>583.86</v>
      </c>
      <c r="Y653" s="1">
        <f ca="1">IFERROR(__xludf.DUMMYFUNCTION("""COMPUTED_VALUE"""),86.51)</f>
        <v>86.51</v>
      </c>
      <c r="Z653" s="1">
        <f ca="1">IFERROR(__xludf.DUMMYFUNCTION("""COMPUTED_VALUE"""),333.17)</f>
        <v>333.17</v>
      </c>
      <c r="AA653" s="1">
        <f ca="1">IFERROR(__xludf.DUMMYFUNCTION("""COMPUTED_VALUE"""),49.86)</f>
        <v>49.86</v>
      </c>
      <c r="AB653" s="1">
        <f ca="1">IFERROR(__xludf.DUMMYFUNCTION("""COMPUTED_VALUE"""),87.27)</f>
        <v>87.27</v>
      </c>
      <c r="AC653" s="1">
        <f ca="1">IFERROR(__xludf.DUMMYFUNCTION("""COMPUTED_VALUE"""),98.09)</f>
        <v>98.09</v>
      </c>
    </row>
    <row r="654" spans="1:29" x14ac:dyDescent="0.25">
      <c r="A654" s="2">
        <f ca="1">IFERROR(__xludf.DUMMYFUNCTION("""COMPUTED_VALUE"""),44777.6666666666)</f>
        <v>44777.666666666599</v>
      </c>
      <c r="B654" s="1">
        <f ca="1">IFERROR(__xludf.DUMMYFUNCTION("""COMPUTED_VALUE"""),165.81)</f>
        <v>165.81</v>
      </c>
      <c r="C654" s="1">
        <f ca="1">IFERROR(__xludf.DUMMYFUNCTION("""COMPUTED_VALUE"""),283.65)</f>
        <v>283.64999999999998</v>
      </c>
      <c r="D654" s="1">
        <f ca="1">IFERROR(__xludf.DUMMYFUNCTION("""COMPUTED_VALUE"""),142.57)</f>
        <v>142.57</v>
      </c>
      <c r="E654" s="1">
        <f ca="1">IFERROR(__xludf.DUMMYFUNCTION("""COMPUTED_VALUE"""),19.22)</f>
        <v>19.22</v>
      </c>
      <c r="F654" s="1">
        <f ca="1">IFERROR(__xludf.DUMMYFUNCTION("""COMPUTED_VALUE"""),170.57)</f>
        <v>170.57</v>
      </c>
      <c r="G654" s="1">
        <f ca="1">IFERROR(__xludf.DUMMYFUNCTION("""COMPUTED_VALUE"""),118.87)</f>
        <v>118.87</v>
      </c>
      <c r="H654" s="1">
        <f ca="1">IFERROR(__xludf.DUMMYFUNCTION("""COMPUTED_VALUE"""),308.63)</f>
        <v>308.63</v>
      </c>
      <c r="I654" s="1">
        <f ca="1">IFERROR(__xludf.DUMMYFUNCTION("""COMPUTED_VALUE"""),175.87)</f>
        <v>175.87</v>
      </c>
      <c r="J654" s="1">
        <f ca="1">IFERROR(__xludf.DUMMYFUNCTION("""COMPUTED_VALUE"""),543.28)</f>
        <v>543.28</v>
      </c>
      <c r="K654" s="1">
        <f ca="1">IFERROR(__xludf.DUMMYFUNCTION("""COMPUTED_VALUE"""),55.28)</f>
        <v>55.28</v>
      </c>
      <c r="L654" s="1">
        <f ca="1">IFERROR(__xludf.DUMMYFUNCTION("""COMPUTED_VALUE"""),430.59)</f>
        <v>430.59</v>
      </c>
      <c r="M654" s="1">
        <f ca="1">IFERROR(__xludf.DUMMYFUNCTION("""COMPUTED_VALUE"""),229.91)</f>
        <v>229.91</v>
      </c>
      <c r="N654" s="1">
        <f ca="1">IFERROR(__xludf.DUMMYFUNCTION("""COMPUTED_VALUE"""),112.36)</f>
        <v>112.36</v>
      </c>
      <c r="O654" s="1">
        <f ca="1">IFERROR(__xludf.DUMMYFUNCTION("""COMPUTED_VALUE"""),213.47)</f>
        <v>213.47</v>
      </c>
      <c r="P654" s="1">
        <f ca="1">IFERROR(__xludf.DUMMYFUNCTION("""COMPUTED_VALUE"""),171.79)</f>
        <v>171.79</v>
      </c>
      <c r="Q654" s="1">
        <f ca="1">IFERROR(__xludf.DUMMYFUNCTION("""COMPUTED_VALUE"""),533.75)</f>
        <v>533.75</v>
      </c>
      <c r="R654" s="1">
        <f ca="1">IFERROR(__xludf.DUMMYFUNCTION("""COMPUTED_VALUE"""),87.19)</f>
        <v>87.19</v>
      </c>
      <c r="S654" s="1">
        <f ca="1">IFERROR(__xludf.DUMMYFUNCTION("""COMPUTED_VALUE"""),87.98)</f>
        <v>87.98</v>
      </c>
      <c r="T654" s="1">
        <f ca="1">IFERROR(__xludf.DUMMYFUNCTION("""COMPUTED_VALUE"""),41.86)</f>
        <v>41.86</v>
      </c>
      <c r="U654" s="1">
        <f ca="1">IFERROR(__xludf.DUMMYFUNCTION("""COMPUTED_VALUE"""),114.48)</f>
        <v>114.48</v>
      </c>
      <c r="V654" s="1">
        <f ca="1">IFERROR(__xludf.DUMMYFUNCTION("""COMPUTED_VALUE"""),183.64)</f>
        <v>183.64</v>
      </c>
      <c r="W654" s="1">
        <f ca="1">IFERROR(__xludf.DUMMYFUNCTION("""COMPUTED_VALUE"""),428.13)</f>
        <v>428.13</v>
      </c>
      <c r="X654" s="1">
        <f ca="1">IFERROR(__xludf.DUMMYFUNCTION("""COMPUTED_VALUE"""),588.46)</f>
        <v>588.46</v>
      </c>
      <c r="Y654" s="1">
        <f ca="1">IFERROR(__xludf.DUMMYFUNCTION("""COMPUTED_VALUE"""),88.42)</f>
        <v>88.42</v>
      </c>
      <c r="Z654" s="1">
        <f ca="1">IFERROR(__xludf.DUMMYFUNCTION("""COMPUTED_VALUE"""),331.87)</f>
        <v>331.87</v>
      </c>
      <c r="AA654" s="1">
        <f ca="1">IFERROR(__xludf.DUMMYFUNCTION("""COMPUTED_VALUE"""),49.86)</f>
        <v>49.86</v>
      </c>
      <c r="AB654" s="1">
        <f ca="1">IFERROR(__xludf.DUMMYFUNCTION("""COMPUTED_VALUE"""),86.88)</f>
        <v>86.88</v>
      </c>
      <c r="AC654" s="1">
        <f ca="1">IFERROR(__xludf.DUMMYFUNCTION("""COMPUTED_VALUE"""),103.91)</f>
        <v>103.91</v>
      </c>
    </row>
    <row r="655" spans="1:29" x14ac:dyDescent="0.25">
      <c r="A655" s="2">
        <f ca="1">IFERROR(__xludf.DUMMYFUNCTION("""COMPUTED_VALUE"""),44778.6666666666)</f>
        <v>44778.666666666599</v>
      </c>
      <c r="B655" s="1">
        <f ca="1">IFERROR(__xludf.DUMMYFUNCTION("""COMPUTED_VALUE"""),165.35)</f>
        <v>165.35</v>
      </c>
      <c r="C655" s="1">
        <f ca="1">IFERROR(__xludf.DUMMYFUNCTION("""COMPUTED_VALUE"""),282.91)</f>
        <v>282.91000000000003</v>
      </c>
      <c r="D655" s="1">
        <f ca="1">IFERROR(__xludf.DUMMYFUNCTION("""COMPUTED_VALUE"""),140.8)</f>
        <v>140.80000000000001</v>
      </c>
      <c r="E655" s="1">
        <f ca="1">IFERROR(__xludf.DUMMYFUNCTION("""COMPUTED_VALUE"""),18.99)</f>
        <v>18.989999999999998</v>
      </c>
      <c r="F655" s="1">
        <f ca="1">IFERROR(__xludf.DUMMYFUNCTION("""COMPUTED_VALUE"""),167.11)</f>
        <v>167.11</v>
      </c>
      <c r="G655" s="1">
        <f ca="1">IFERROR(__xludf.DUMMYFUNCTION("""COMPUTED_VALUE"""),118.22)</f>
        <v>118.22</v>
      </c>
      <c r="H655" s="1">
        <f ca="1">IFERROR(__xludf.DUMMYFUNCTION("""COMPUTED_VALUE"""),288.17)</f>
        <v>288.17</v>
      </c>
      <c r="I655" s="1">
        <f ca="1">IFERROR(__xludf.DUMMYFUNCTION("""COMPUTED_VALUE"""),174.55)</f>
        <v>174.55</v>
      </c>
      <c r="J655" s="1">
        <f ca="1">IFERROR(__xludf.DUMMYFUNCTION("""COMPUTED_VALUE"""),540.67)</f>
        <v>540.66999999999996</v>
      </c>
      <c r="K655" s="1">
        <f ca="1">IFERROR(__xludf.DUMMYFUNCTION("""COMPUTED_VALUE"""),55.14)</f>
        <v>55.14</v>
      </c>
      <c r="L655" s="1">
        <f ca="1">IFERROR(__xludf.DUMMYFUNCTION("""COMPUTED_VALUE"""),433.43)</f>
        <v>433.43</v>
      </c>
      <c r="M655" s="1">
        <f ca="1">IFERROR(__xludf.DUMMYFUNCTION("""COMPUTED_VALUE"""),226.78)</f>
        <v>226.78</v>
      </c>
      <c r="N655" s="1">
        <f ca="1">IFERROR(__xludf.DUMMYFUNCTION("""COMPUTED_VALUE"""),115.76)</f>
        <v>115.76</v>
      </c>
      <c r="O655" s="1">
        <f ca="1">IFERROR(__xludf.DUMMYFUNCTION("""COMPUTED_VALUE"""),215.87)</f>
        <v>215.87</v>
      </c>
      <c r="P655" s="1">
        <f ca="1">IFERROR(__xludf.DUMMYFUNCTION("""COMPUTED_VALUE"""),171.11)</f>
        <v>171.11</v>
      </c>
      <c r="Q655" s="1">
        <f ca="1">IFERROR(__xludf.DUMMYFUNCTION("""COMPUTED_VALUE"""),535.06)</f>
        <v>535.05999999999995</v>
      </c>
      <c r="R655" s="1">
        <f ca="1">IFERROR(__xludf.DUMMYFUNCTION("""COMPUTED_VALUE"""),88.45)</f>
        <v>88.45</v>
      </c>
      <c r="S655" s="1">
        <f ca="1">IFERROR(__xludf.DUMMYFUNCTION("""COMPUTED_VALUE"""),87.98)</f>
        <v>87.98</v>
      </c>
      <c r="T655" s="1">
        <f ca="1">IFERROR(__xludf.DUMMYFUNCTION("""COMPUTED_VALUE"""),42.19)</f>
        <v>42.19</v>
      </c>
      <c r="U655" s="1">
        <f ca="1">IFERROR(__xludf.DUMMYFUNCTION("""COMPUTED_VALUE"""),113.87)</f>
        <v>113.87</v>
      </c>
      <c r="V655" s="1">
        <f ca="1">IFERROR(__xludf.DUMMYFUNCTION("""COMPUTED_VALUE"""),185.39)</f>
        <v>185.39</v>
      </c>
      <c r="W655" s="1">
        <f ca="1">IFERROR(__xludf.DUMMYFUNCTION("""COMPUTED_VALUE"""),426.41)</f>
        <v>426.41</v>
      </c>
      <c r="X655" s="1">
        <f ca="1">IFERROR(__xludf.DUMMYFUNCTION("""COMPUTED_VALUE"""),577.31)</f>
        <v>577.30999999999995</v>
      </c>
      <c r="Y655" s="1">
        <f ca="1">IFERROR(__xludf.DUMMYFUNCTION("""COMPUTED_VALUE"""),89.77)</f>
        <v>89.77</v>
      </c>
      <c r="Z655" s="1">
        <f ca="1">IFERROR(__xludf.DUMMYFUNCTION("""COMPUTED_VALUE"""),334.67)</f>
        <v>334.67</v>
      </c>
      <c r="AA655" s="1">
        <f ca="1">IFERROR(__xludf.DUMMYFUNCTION("""COMPUTED_VALUE"""),49.27)</f>
        <v>49.27</v>
      </c>
      <c r="AB655" s="1">
        <f ca="1">IFERROR(__xludf.DUMMYFUNCTION("""COMPUTED_VALUE"""),85.73)</f>
        <v>85.73</v>
      </c>
      <c r="AC655" s="1">
        <f ca="1">IFERROR(__xludf.DUMMYFUNCTION("""COMPUTED_VALUE"""),102.31)</f>
        <v>102.31</v>
      </c>
    </row>
    <row r="656" spans="1:29" x14ac:dyDescent="0.25">
      <c r="A656" s="2">
        <f ca="1">IFERROR(__xludf.DUMMYFUNCTION("""COMPUTED_VALUE"""),44781.6666666666)</f>
        <v>44781.666666666599</v>
      </c>
      <c r="B656" s="1">
        <f ca="1">IFERROR(__xludf.DUMMYFUNCTION("""COMPUTED_VALUE"""),164.87)</f>
        <v>164.87</v>
      </c>
      <c r="C656" s="1">
        <f ca="1">IFERROR(__xludf.DUMMYFUNCTION("""COMPUTED_VALUE"""),280.32)</f>
        <v>280.32</v>
      </c>
      <c r="D656" s="1">
        <f ca="1">IFERROR(__xludf.DUMMYFUNCTION("""COMPUTED_VALUE"""),139.41)</f>
        <v>139.41</v>
      </c>
      <c r="E656" s="1">
        <f ca="1">IFERROR(__xludf.DUMMYFUNCTION("""COMPUTED_VALUE"""),17.79)</f>
        <v>17.79</v>
      </c>
      <c r="F656" s="1">
        <f ca="1">IFERROR(__xludf.DUMMYFUNCTION("""COMPUTED_VALUE"""),170.25)</f>
        <v>170.25</v>
      </c>
      <c r="G656" s="1">
        <f ca="1">IFERROR(__xludf.DUMMYFUNCTION("""COMPUTED_VALUE"""),118.14)</f>
        <v>118.14</v>
      </c>
      <c r="H656" s="1">
        <f ca="1">IFERROR(__xludf.DUMMYFUNCTION("""COMPUTED_VALUE"""),290.42)</f>
        <v>290.42</v>
      </c>
      <c r="I656" s="1">
        <f ca="1">IFERROR(__xludf.DUMMYFUNCTION("""COMPUTED_VALUE"""),173.85)</f>
        <v>173.85</v>
      </c>
      <c r="J656" s="1">
        <f ca="1">IFERROR(__xludf.DUMMYFUNCTION("""COMPUTED_VALUE"""),541.9)</f>
        <v>541.9</v>
      </c>
      <c r="K656" s="1">
        <f ca="1">IFERROR(__xludf.DUMMYFUNCTION("""COMPUTED_VALUE"""),54.55)</f>
        <v>54.55</v>
      </c>
      <c r="L656" s="1">
        <f ca="1">IFERROR(__xludf.DUMMYFUNCTION("""COMPUTED_VALUE"""),434.34)</f>
        <v>434.34</v>
      </c>
      <c r="M656" s="1">
        <f ca="1">IFERROR(__xludf.DUMMYFUNCTION("""COMPUTED_VALUE"""),233.49)</f>
        <v>233.49</v>
      </c>
      <c r="N656" s="1">
        <f ca="1">IFERROR(__xludf.DUMMYFUNCTION("""COMPUTED_VALUE"""),114.35)</f>
        <v>114.35</v>
      </c>
      <c r="O656" s="1">
        <f ca="1">IFERROR(__xludf.DUMMYFUNCTION("""COMPUTED_VALUE"""),213.32)</f>
        <v>213.32</v>
      </c>
      <c r="P656" s="1">
        <f ca="1">IFERROR(__xludf.DUMMYFUNCTION("""COMPUTED_VALUE"""),170.2)</f>
        <v>170.2</v>
      </c>
      <c r="Q656" s="1">
        <f ca="1">IFERROR(__xludf.DUMMYFUNCTION("""COMPUTED_VALUE"""),536.6)</f>
        <v>536.6</v>
      </c>
      <c r="R656" s="1">
        <f ca="1">IFERROR(__xludf.DUMMYFUNCTION("""COMPUTED_VALUE"""),88.95)</f>
        <v>88.95</v>
      </c>
      <c r="S656" s="1">
        <f ca="1">IFERROR(__xludf.DUMMYFUNCTION("""COMPUTED_VALUE"""),87.52)</f>
        <v>87.52</v>
      </c>
      <c r="T656" s="1">
        <f ca="1">IFERROR(__xludf.DUMMYFUNCTION("""COMPUTED_VALUE"""),42.54)</f>
        <v>42.54</v>
      </c>
      <c r="U656" s="1">
        <f ca="1">IFERROR(__xludf.DUMMYFUNCTION("""COMPUTED_VALUE"""),114)</f>
        <v>114</v>
      </c>
      <c r="V656" s="1">
        <f ca="1">IFERROR(__xludf.DUMMYFUNCTION("""COMPUTED_VALUE"""),185.81)</f>
        <v>185.81</v>
      </c>
      <c r="W656" s="1">
        <f ca="1">IFERROR(__xludf.DUMMYFUNCTION("""COMPUTED_VALUE"""),423.86)</f>
        <v>423.86</v>
      </c>
      <c r="X656" s="1">
        <f ca="1">IFERROR(__xludf.DUMMYFUNCTION("""COMPUTED_VALUE"""),572.75)</f>
        <v>572.75</v>
      </c>
      <c r="Y656" s="1">
        <f ca="1">IFERROR(__xludf.DUMMYFUNCTION("""COMPUTED_VALUE"""),87.94)</f>
        <v>87.94</v>
      </c>
      <c r="Z656" s="1">
        <f ca="1">IFERROR(__xludf.DUMMYFUNCTION("""COMPUTED_VALUE"""),334.68)</f>
        <v>334.68</v>
      </c>
      <c r="AA656" s="1">
        <f ca="1">IFERROR(__xludf.DUMMYFUNCTION("""COMPUTED_VALUE"""),49.57)</f>
        <v>49.57</v>
      </c>
      <c r="AB656" s="1">
        <f ca="1">IFERROR(__xludf.DUMMYFUNCTION("""COMPUTED_VALUE"""),85.72)</f>
        <v>85.72</v>
      </c>
      <c r="AC656" s="1">
        <f ca="1">IFERROR(__xludf.DUMMYFUNCTION("""COMPUTED_VALUE"""),100.07)</f>
        <v>100.07</v>
      </c>
    </row>
    <row r="657" spans="1:29" x14ac:dyDescent="0.25">
      <c r="A657" s="2">
        <f ca="1">IFERROR(__xludf.DUMMYFUNCTION("""COMPUTED_VALUE"""),44782.6666666666)</f>
        <v>44782.666666666599</v>
      </c>
      <c r="B657" s="1">
        <f ca="1">IFERROR(__xludf.DUMMYFUNCTION("""COMPUTED_VALUE"""),164.92)</f>
        <v>164.92</v>
      </c>
      <c r="C657" s="1">
        <f ca="1">IFERROR(__xludf.DUMMYFUNCTION("""COMPUTED_VALUE"""),282.3)</f>
        <v>282.3</v>
      </c>
      <c r="D657" s="1">
        <f ca="1">IFERROR(__xludf.DUMMYFUNCTION("""COMPUTED_VALUE"""),137.83)</f>
        <v>137.83000000000001</v>
      </c>
      <c r="E657" s="1">
        <f ca="1">IFERROR(__xludf.DUMMYFUNCTION("""COMPUTED_VALUE"""),17.09)</f>
        <v>17.09</v>
      </c>
      <c r="F657" s="1">
        <f ca="1">IFERROR(__xludf.DUMMYFUNCTION("""COMPUTED_VALUE"""),168.53)</f>
        <v>168.53</v>
      </c>
      <c r="G657" s="1">
        <f ca="1">IFERROR(__xludf.DUMMYFUNCTION("""COMPUTED_VALUE"""),117.5)</f>
        <v>117.5</v>
      </c>
      <c r="H657" s="1">
        <f ca="1">IFERROR(__xludf.DUMMYFUNCTION("""COMPUTED_VALUE"""),283.33)</f>
        <v>283.33</v>
      </c>
      <c r="I657" s="1">
        <f ca="1">IFERROR(__xludf.DUMMYFUNCTION("""COMPUTED_VALUE"""),174.5)</f>
        <v>174.5</v>
      </c>
      <c r="J657" s="1">
        <f ca="1">IFERROR(__xludf.DUMMYFUNCTION("""COMPUTED_VALUE"""),535.82)</f>
        <v>535.82000000000005</v>
      </c>
      <c r="K657" s="1">
        <f ca="1">IFERROR(__xludf.DUMMYFUNCTION("""COMPUTED_VALUE"""),53.28)</f>
        <v>53.28</v>
      </c>
      <c r="L657" s="1">
        <f ca="1">IFERROR(__xludf.DUMMYFUNCTION("""COMPUTED_VALUE"""),426.57)</f>
        <v>426.57</v>
      </c>
      <c r="M657" s="1">
        <f ca="1">IFERROR(__xludf.DUMMYFUNCTION("""COMPUTED_VALUE"""),229.94)</f>
        <v>229.94</v>
      </c>
      <c r="N657" s="1">
        <f ca="1">IFERROR(__xludf.DUMMYFUNCTION("""COMPUTED_VALUE"""),115.38)</f>
        <v>115.38</v>
      </c>
      <c r="O657" s="1">
        <f ca="1">IFERROR(__xludf.DUMMYFUNCTION("""COMPUTED_VALUE"""),210.26)</f>
        <v>210.26</v>
      </c>
      <c r="P657" s="1">
        <f ca="1">IFERROR(__xludf.DUMMYFUNCTION("""COMPUTED_VALUE"""),170.18)</f>
        <v>170.18</v>
      </c>
      <c r="Q657" s="1">
        <f ca="1">IFERROR(__xludf.DUMMYFUNCTION("""COMPUTED_VALUE"""),537.26)</f>
        <v>537.26</v>
      </c>
      <c r="R657" s="1">
        <f ca="1">IFERROR(__xludf.DUMMYFUNCTION("""COMPUTED_VALUE"""),90.59)</f>
        <v>90.59</v>
      </c>
      <c r="S657" s="1">
        <f ca="1">IFERROR(__xludf.DUMMYFUNCTION("""COMPUTED_VALUE"""),88.92)</f>
        <v>88.92</v>
      </c>
      <c r="T657" s="1">
        <f ca="1">IFERROR(__xludf.DUMMYFUNCTION("""COMPUTED_VALUE"""),42.96)</f>
        <v>42.96</v>
      </c>
      <c r="U657" s="1">
        <f ca="1">IFERROR(__xludf.DUMMYFUNCTION("""COMPUTED_VALUE"""),110.11)</f>
        <v>110.11</v>
      </c>
      <c r="V657" s="1">
        <f ca="1">IFERROR(__xludf.DUMMYFUNCTION("""COMPUTED_VALUE"""),186.03)</f>
        <v>186.03</v>
      </c>
      <c r="W657" s="1">
        <f ca="1">IFERROR(__xludf.DUMMYFUNCTION("""COMPUTED_VALUE"""),428.55)</f>
        <v>428.55</v>
      </c>
      <c r="X657" s="1">
        <f ca="1">IFERROR(__xludf.DUMMYFUNCTION("""COMPUTED_VALUE"""),541.11)</f>
        <v>541.11</v>
      </c>
      <c r="Y657" s="1">
        <f ca="1">IFERROR(__xludf.DUMMYFUNCTION("""COMPUTED_VALUE"""),85.21)</f>
        <v>85.21</v>
      </c>
      <c r="Z657" s="1">
        <f ca="1">IFERROR(__xludf.DUMMYFUNCTION("""COMPUTED_VALUE"""),336.62)</f>
        <v>336.62</v>
      </c>
      <c r="AA657" s="1">
        <f ca="1">IFERROR(__xludf.DUMMYFUNCTION("""COMPUTED_VALUE"""),49.78)</f>
        <v>49.78</v>
      </c>
      <c r="AB657" s="1">
        <f ca="1">IFERROR(__xludf.DUMMYFUNCTION("""COMPUTED_VALUE"""),84.84)</f>
        <v>84.84</v>
      </c>
      <c r="AC657" s="1">
        <f ca="1">IFERROR(__xludf.DUMMYFUNCTION("""COMPUTED_VALUE"""),95.54)</f>
        <v>95.54</v>
      </c>
    </row>
    <row r="658" spans="1:29" x14ac:dyDescent="0.25">
      <c r="A658" s="2">
        <f ca="1">IFERROR(__xludf.DUMMYFUNCTION("""COMPUTED_VALUE"""),44783.6666666666)</f>
        <v>44783.666666666599</v>
      </c>
      <c r="B658" s="1">
        <f ca="1">IFERROR(__xludf.DUMMYFUNCTION("""COMPUTED_VALUE"""),169.24)</f>
        <v>169.24</v>
      </c>
      <c r="C658" s="1">
        <f ca="1">IFERROR(__xludf.DUMMYFUNCTION("""COMPUTED_VALUE"""),289.16)</f>
        <v>289.16000000000003</v>
      </c>
      <c r="D658" s="1">
        <f ca="1">IFERROR(__xludf.DUMMYFUNCTION("""COMPUTED_VALUE"""),142.69)</f>
        <v>142.69</v>
      </c>
      <c r="E658" s="1">
        <f ca="1">IFERROR(__xludf.DUMMYFUNCTION("""COMPUTED_VALUE"""),18.1)</f>
        <v>18.100000000000001</v>
      </c>
      <c r="F658" s="1">
        <f ca="1">IFERROR(__xludf.DUMMYFUNCTION("""COMPUTED_VALUE"""),178.34)</f>
        <v>178.34</v>
      </c>
      <c r="G658" s="1">
        <f ca="1">IFERROR(__xludf.DUMMYFUNCTION("""COMPUTED_VALUE"""),120.65)</f>
        <v>120.65</v>
      </c>
      <c r="H658" s="1">
        <f ca="1">IFERROR(__xludf.DUMMYFUNCTION("""COMPUTED_VALUE"""),294.36)</f>
        <v>294.36</v>
      </c>
      <c r="I658" s="1">
        <f ca="1">IFERROR(__xludf.DUMMYFUNCTION("""COMPUTED_VALUE"""),175.94)</f>
        <v>175.94</v>
      </c>
      <c r="J658" s="1">
        <f ca="1">IFERROR(__xludf.DUMMYFUNCTION("""COMPUTED_VALUE"""),539.82)</f>
        <v>539.82000000000005</v>
      </c>
      <c r="K658" s="1">
        <f ca="1">IFERROR(__xludf.DUMMYFUNCTION("""COMPUTED_VALUE"""),55.04)</f>
        <v>55.04</v>
      </c>
      <c r="L658" s="1">
        <f ca="1">IFERROR(__xludf.DUMMYFUNCTION("""COMPUTED_VALUE"""),438.4)</f>
        <v>438.4</v>
      </c>
      <c r="M658" s="1">
        <f ca="1">IFERROR(__xludf.DUMMYFUNCTION("""COMPUTED_VALUE"""),244.11)</f>
        <v>244.11</v>
      </c>
      <c r="N658" s="1">
        <f ca="1">IFERROR(__xludf.DUMMYFUNCTION("""COMPUTED_VALUE"""),118.39)</f>
        <v>118.39</v>
      </c>
      <c r="O658" s="1">
        <f ca="1">IFERROR(__xludf.DUMMYFUNCTION("""COMPUTED_VALUE"""),212.1)</f>
        <v>212.1</v>
      </c>
      <c r="P658" s="1">
        <f ca="1">IFERROR(__xludf.DUMMYFUNCTION("""COMPUTED_VALUE"""),170.67)</f>
        <v>170.67</v>
      </c>
      <c r="Q658" s="1">
        <f ca="1">IFERROR(__xludf.DUMMYFUNCTION("""COMPUTED_VALUE"""),537.72)</f>
        <v>537.72</v>
      </c>
      <c r="R658" s="1">
        <f ca="1">IFERROR(__xludf.DUMMYFUNCTION("""COMPUTED_VALUE"""),91.45)</f>
        <v>91.45</v>
      </c>
      <c r="S658" s="1">
        <f ca="1">IFERROR(__xludf.DUMMYFUNCTION("""COMPUTED_VALUE"""),89.78)</f>
        <v>89.78</v>
      </c>
      <c r="T658" s="1">
        <f ca="1">IFERROR(__xludf.DUMMYFUNCTION("""COMPUTED_VALUE"""),43.05)</f>
        <v>43.05</v>
      </c>
      <c r="U658" s="1">
        <f ca="1">IFERROR(__xludf.DUMMYFUNCTION("""COMPUTED_VALUE"""),113.14)</f>
        <v>113.14</v>
      </c>
      <c r="V658" s="1">
        <f ca="1">IFERROR(__xludf.DUMMYFUNCTION("""COMPUTED_VALUE"""),190.72)</f>
        <v>190.72</v>
      </c>
      <c r="W658" s="1">
        <f ca="1">IFERROR(__xludf.DUMMYFUNCTION("""COMPUTED_VALUE"""),429.99)</f>
        <v>429.99</v>
      </c>
      <c r="X658" s="1">
        <f ca="1">IFERROR(__xludf.DUMMYFUNCTION("""COMPUTED_VALUE"""),566.05)</f>
        <v>566.04999999999995</v>
      </c>
      <c r="Y658" s="1">
        <f ca="1">IFERROR(__xludf.DUMMYFUNCTION("""COMPUTED_VALUE"""),88.67)</f>
        <v>88.67</v>
      </c>
      <c r="Z658" s="1">
        <f ca="1">IFERROR(__xludf.DUMMYFUNCTION("""COMPUTED_VALUE"""),347.91)</f>
        <v>347.91</v>
      </c>
      <c r="AA658" s="1">
        <f ca="1">IFERROR(__xludf.DUMMYFUNCTION("""COMPUTED_VALUE"""),49.95)</f>
        <v>49.95</v>
      </c>
      <c r="AB658" s="1">
        <f ca="1">IFERROR(__xludf.DUMMYFUNCTION("""COMPUTED_VALUE"""),86.49)</f>
        <v>86.49</v>
      </c>
      <c r="AC658" s="1">
        <f ca="1">IFERROR(__xludf.DUMMYFUNCTION("""COMPUTED_VALUE"""),99.05)</f>
        <v>99.05</v>
      </c>
    </row>
    <row r="659" spans="1:29" x14ac:dyDescent="0.25">
      <c r="A659" s="2">
        <f ca="1">IFERROR(__xludf.DUMMYFUNCTION("""COMPUTED_VALUE"""),44784.6666666666)</f>
        <v>44784.666666666599</v>
      </c>
      <c r="B659" s="1">
        <f ca="1">IFERROR(__xludf.DUMMYFUNCTION("""COMPUTED_VALUE"""),168.49)</f>
        <v>168.49</v>
      </c>
      <c r="C659" s="1">
        <f ca="1">IFERROR(__xludf.DUMMYFUNCTION("""COMPUTED_VALUE"""),287.02)</f>
        <v>287.02</v>
      </c>
      <c r="D659" s="1">
        <f ca="1">IFERROR(__xludf.DUMMYFUNCTION("""COMPUTED_VALUE"""),140.64)</f>
        <v>140.63999999999999</v>
      </c>
      <c r="E659" s="1">
        <f ca="1">IFERROR(__xludf.DUMMYFUNCTION("""COMPUTED_VALUE"""),17.94)</f>
        <v>17.940000000000001</v>
      </c>
      <c r="F659" s="1">
        <f ca="1">IFERROR(__xludf.DUMMYFUNCTION("""COMPUTED_VALUE"""),177.49)</f>
        <v>177.49</v>
      </c>
      <c r="G659" s="1">
        <f ca="1">IFERROR(__xludf.DUMMYFUNCTION("""COMPUTED_VALUE"""),119.82)</f>
        <v>119.82</v>
      </c>
      <c r="H659" s="1">
        <f ca="1">IFERROR(__xludf.DUMMYFUNCTION("""COMPUTED_VALUE"""),286.63)</f>
        <v>286.63</v>
      </c>
      <c r="I659" s="1">
        <f ca="1">IFERROR(__xludf.DUMMYFUNCTION("""COMPUTED_VALUE"""),175.04)</f>
        <v>175.04</v>
      </c>
      <c r="J659" s="1">
        <f ca="1">IFERROR(__xludf.DUMMYFUNCTION("""COMPUTED_VALUE"""),532.2)</f>
        <v>532.20000000000005</v>
      </c>
      <c r="K659" s="1">
        <f ca="1">IFERROR(__xludf.DUMMYFUNCTION("""COMPUTED_VALUE"""),54.54)</f>
        <v>54.54</v>
      </c>
      <c r="L659" s="1">
        <f ca="1">IFERROR(__xludf.DUMMYFUNCTION("""COMPUTED_VALUE"""),434.89)</f>
        <v>434.89</v>
      </c>
      <c r="M659" s="1">
        <f ca="1">IFERROR(__xludf.DUMMYFUNCTION("""COMPUTED_VALUE"""),242.7)</f>
        <v>242.7</v>
      </c>
      <c r="N659" s="1">
        <f ca="1">IFERROR(__xludf.DUMMYFUNCTION("""COMPUTED_VALUE"""),120.14)</f>
        <v>120.14</v>
      </c>
      <c r="O659" s="1">
        <f ca="1">IFERROR(__xludf.DUMMYFUNCTION("""COMPUTED_VALUE"""),211.08)</f>
        <v>211.08</v>
      </c>
      <c r="P659" s="1">
        <f ca="1">IFERROR(__xludf.DUMMYFUNCTION("""COMPUTED_VALUE"""),167.14)</f>
        <v>167.14</v>
      </c>
      <c r="Q659" s="1">
        <f ca="1">IFERROR(__xludf.DUMMYFUNCTION("""COMPUTED_VALUE"""),532.86)</f>
        <v>532.86</v>
      </c>
      <c r="R659" s="1">
        <f ca="1">IFERROR(__xludf.DUMMYFUNCTION("""COMPUTED_VALUE"""),93.19)</f>
        <v>93.19</v>
      </c>
      <c r="S659" s="1">
        <f ca="1">IFERROR(__xludf.DUMMYFUNCTION("""COMPUTED_VALUE"""),89.43)</f>
        <v>89.43</v>
      </c>
      <c r="T659" s="1">
        <f ca="1">IFERROR(__xludf.DUMMYFUNCTION("""COMPUTED_VALUE"""),43.27)</f>
        <v>43.27</v>
      </c>
      <c r="U659" s="1">
        <f ca="1">IFERROR(__xludf.DUMMYFUNCTION("""COMPUTED_VALUE"""),114.1)</f>
        <v>114.1</v>
      </c>
      <c r="V659" s="1">
        <f ca="1">IFERROR(__xludf.DUMMYFUNCTION("""COMPUTED_VALUE"""),194)</f>
        <v>194</v>
      </c>
      <c r="W659" s="1">
        <f ca="1">IFERROR(__xludf.DUMMYFUNCTION("""COMPUTED_VALUE"""),428.85)</f>
        <v>428.85</v>
      </c>
      <c r="X659" s="1">
        <f ca="1">IFERROR(__xludf.DUMMYFUNCTION("""COMPUTED_VALUE"""),562.41)</f>
        <v>562.41</v>
      </c>
      <c r="Y659" s="1">
        <f ca="1">IFERROR(__xludf.DUMMYFUNCTION("""COMPUTED_VALUE"""),89.52)</f>
        <v>89.52</v>
      </c>
      <c r="Z659" s="1">
        <f ca="1">IFERROR(__xludf.DUMMYFUNCTION("""COMPUTED_VALUE"""),351.68)</f>
        <v>351.68</v>
      </c>
      <c r="AA659" s="1">
        <f ca="1">IFERROR(__xludf.DUMMYFUNCTION("""COMPUTED_VALUE"""),48.29)</f>
        <v>48.29</v>
      </c>
      <c r="AB659" s="1">
        <f ca="1">IFERROR(__xludf.DUMMYFUNCTION("""COMPUTED_VALUE"""),87.27)</f>
        <v>87.27</v>
      </c>
      <c r="AC659" s="1">
        <f ca="1">IFERROR(__xludf.DUMMYFUNCTION("""COMPUTED_VALUE"""),98.12)</f>
        <v>98.12</v>
      </c>
    </row>
    <row r="660" spans="1:29" x14ac:dyDescent="0.25">
      <c r="A660" s="2">
        <f ca="1">IFERROR(__xludf.DUMMYFUNCTION("""COMPUTED_VALUE"""),44785.6666666666)</f>
        <v>44785.666666666599</v>
      </c>
      <c r="B660" s="1">
        <f ca="1">IFERROR(__xludf.DUMMYFUNCTION("""COMPUTED_VALUE"""),172.1)</f>
        <v>172.1</v>
      </c>
      <c r="C660" s="1">
        <f ca="1">IFERROR(__xludf.DUMMYFUNCTION("""COMPUTED_VALUE"""),291.91)</f>
        <v>291.91000000000003</v>
      </c>
      <c r="D660" s="1">
        <f ca="1">IFERROR(__xludf.DUMMYFUNCTION("""COMPUTED_VALUE"""),143.55)</f>
        <v>143.55000000000001</v>
      </c>
      <c r="E660" s="1">
        <f ca="1">IFERROR(__xludf.DUMMYFUNCTION("""COMPUTED_VALUE"""),18.71)</f>
        <v>18.71</v>
      </c>
      <c r="F660" s="1">
        <f ca="1">IFERROR(__xludf.DUMMYFUNCTION("""COMPUTED_VALUE"""),180.5)</f>
        <v>180.5</v>
      </c>
      <c r="G660" s="1">
        <f ca="1">IFERROR(__xludf.DUMMYFUNCTION("""COMPUTED_VALUE"""),122.65)</f>
        <v>122.65</v>
      </c>
      <c r="H660" s="1">
        <f ca="1">IFERROR(__xludf.DUMMYFUNCTION("""COMPUTED_VALUE"""),300.03)</f>
        <v>300.02999999999997</v>
      </c>
      <c r="I660" s="1">
        <f ca="1">IFERROR(__xludf.DUMMYFUNCTION("""COMPUTED_VALUE"""),177.33)</f>
        <v>177.33</v>
      </c>
      <c r="J660" s="1">
        <f ca="1">IFERROR(__xludf.DUMMYFUNCTION("""COMPUTED_VALUE"""),537.21)</f>
        <v>537.21</v>
      </c>
      <c r="K660" s="1">
        <f ca="1">IFERROR(__xludf.DUMMYFUNCTION("""COMPUTED_VALUE"""),55.82)</f>
        <v>55.82</v>
      </c>
      <c r="L660" s="1">
        <f ca="1">IFERROR(__xludf.DUMMYFUNCTION("""COMPUTED_VALUE"""),445.67)</f>
        <v>445.67</v>
      </c>
      <c r="M660" s="1">
        <f ca="1">IFERROR(__xludf.DUMMYFUNCTION("""COMPUTED_VALUE"""),249.3)</f>
        <v>249.3</v>
      </c>
      <c r="N660" s="1">
        <f ca="1">IFERROR(__xludf.DUMMYFUNCTION("""COMPUTED_VALUE"""),122.13)</f>
        <v>122.13</v>
      </c>
      <c r="O660" s="1">
        <f ca="1">IFERROR(__xludf.DUMMYFUNCTION("""COMPUTED_VALUE"""),211.33)</f>
        <v>211.33</v>
      </c>
      <c r="P660" s="1">
        <f ca="1">IFERROR(__xludf.DUMMYFUNCTION("""COMPUTED_VALUE"""),165.3)</f>
        <v>165.3</v>
      </c>
      <c r="Q660" s="1">
        <f ca="1">IFERROR(__xludf.DUMMYFUNCTION("""COMPUTED_VALUE"""),543.7)</f>
        <v>543.70000000000005</v>
      </c>
      <c r="R660" s="1">
        <f ca="1">IFERROR(__xludf.DUMMYFUNCTION("""COMPUTED_VALUE"""),94)</f>
        <v>94</v>
      </c>
      <c r="S660" s="1">
        <f ca="1">IFERROR(__xludf.DUMMYFUNCTION("""COMPUTED_VALUE"""),90.47)</f>
        <v>90.47</v>
      </c>
      <c r="T660" s="1">
        <f ca="1">IFERROR(__xludf.DUMMYFUNCTION("""COMPUTED_VALUE"""),44.07)</f>
        <v>44.07</v>
      </c>
      <c r="U660" s="1">
        <f ca="1">IFERROR(__xludf.DUMMYFUNCTION("""COMPUTED_VALUE"""),116.07)</f>
        <v>116.07</v>
      </c>
      <c r="V660" s="1">
        <f ca="1">IFERROR(__xludf.DUMMYFUNCTION("""COMPUTED_VALUE"""),196.84)</f>
        <v>196.84</v>
      </c>
      <c r="W660" s="1">
        <f ca="1">IFERROR(__xludf.DUMMYFUNCTION("""COMPUTED_VALUE"""),434.24)</f>
        <v>434.24</v>
      </c>
      <c r="X660" s="1">
        <f ca="1">IFERROR(__xludf.DUMMYFUNCTION("""COMPUTED_VALUE"""),575.96)</f>
        <v>575.96</v>
      </c>
      <c r="Y660" s="1">
        <f ca="1">IFERROR(__xludf.DUMMYFUNCTION("""COMPUTED_VALUE"""),90.86)</f>
        <v>90.86</v>
      </c>
      <c r="Z660" s="1">
        <f ca="1">IFERROR(__xludf.DUMMYFUNCTION("""COMPUTED_VALUE"""),353.82)</f>
        <v>353.82</v>
      </c>
      <c r="AA660" s="1">
        <f ca="1">IFERROR(__xludf.DUMMYFUNCTION("""COMPUTED_VALUE"""),50.11)</f>
        <v>50.11</v>
      </c>
      <c r="AB660" s="1">
        <f ca="1">IFERROR(__xludf.DUMMYFUNCTION("""COMPUTED_VALUE"""),88.31)</f>
        <v>88.31</v>
      </c>
      <c r="AC660" s="1">
        <f ca="1">IFERROR(__xludf.DUMMYFUNCTION("""COMPUTED_VALUE"""),100.83)</f>
        <v>100.83</v>
      </c>
    </row>
    <row r="661" spans="1:29" x14ac:dyDescent="0.25">
      <c r="A661" s="2">
        <f ca="1">IFERROR(__xludf.DUMMYFUNCTION("""COMPUTED_VALUE"""),44788.6666666666)</f>
        <v>44788.666666666599</v>
      </c>
      <c r="B661" s="1">
        <f ca="1">IFERROR(__xludf.DUMMYFUNCTION("""COMPUTED_VALUE"""),173.19)</f>
        <v>173.19</v>
      </c>
      <c r="C661" s="1">
        <f ca="1">IFERROR(__xludf.DUMMYFUNCTION("""COMPUTED_VALUE"""),293.47)</f>
        <v>293.47000000000003</v>
      </c>
      <c r="D661" s="1">
        <f ca="1">IFERROR(__xludf.DUMMYFUNCTION("""COMPUTED_VALUE"""),143.18)</f>
        <v>143.18</v>
      </c>
      <c r="E661" s="1">
        <f ca="1">IFERROR(__xludf.DUMMYFUNCTION("""COMPUTED_VALUE"""),19.03)</f>
        <v>19.03</v>
      </c>
      <c r="F661" s="1">
        <f ca="1">IFERROR(__xludf.DUMMYFUNCTION("""COMPUTED_VALUE"""),180.89)</f>
        <v>180.89</v>
      </c>
      <c r="G661" s="1">
        <f ca="1">IFERROR(__xludf.DUMMYFUNCTION("""COMPUTED_VALUE"""),122.88)</f>
        <v>122.88</v>
      </c>
      <c r="H661" s="1">
        <f ca="1">IFERROR(__xludf.DUMMYFUNCTION("""COMPUTED_VALUE"""),309.32)</f>
        <v>309.32</v>
      </c>
      <c r="I661" s="1">
        <f ca="1">IFERROR(__xludf.DUMMYFUNCTION("""COMPUTED_VALUE"""),179.28)</f>
        <v>179.28</v>
      </c>
      <c r="J661" s="1">
        <f ca="1">IFERROR(__xludf.DUMMYFUNCTION("""COMPUTED_VALUE"""),545.75)</f>
        <v>545.75</v>
      </c>
      <c r="K661" s="1">
        <f ca="1">IFERROR(__xludf.DUMMYFUNCTION("""COMPUTED_VALUE"""),55.9)</f>
        <v>55.9</v>
      </c>
      <c r="L661" s="1">
        <f ca="1">IFERROR(__xludf.DUMMYFUNCTION("""COMPUTED_VALUE"""),451.02)</f>
        <v>451.02</v>
      </c>
      <c r="M661" s="1">
        <f ca="1">IFERROR(__xludf.DUMMYFUNCTION("""COMPUTED_VALUE"""),249.11)</f>
        <v>249.11</v>
      </c>
      <c r="N661" s="1">
        <f ca="1">IFERROR(__xludf.DUMMYFUNCTION("""COMPUTED_VALUE"""),122.46)</f>
        <v>122.46</v>
      </c>
      <c r="O661" s="1">
        <f ca="1">IFERROR(__xludf.DUMMYFUNCTION("""COMPUTED_VALUE"""),216.42)</f>
        <v>216.42</v>
      </c>
      <c r="P661" s="1">
        <f ca="1">IFERROR(__xludf.DUMMYFUNCTION("""COMPUTED_VALUE"""),166.09)</f>
        <v>166.09</v>
      </c>
      <c r="Q661" s="1">
        <f ca="1">IFERROR(__xludf.DUMMYFUNCTION("""COMPUTED_VALUE"""),544.64)</f>
        <v>544.64</v>
      </c>
      <c r="R661" s="1">
        <f ca="1">IFERROR(__xludf.DUMMYFUNCTION("""COMPUTED_VALUE"""),92.32)</f>
        <v>92.32</v>
      </c>
      <c r="S661" s="1">
        <f ca="1">IFERROR(__xludf.DUMMYFUNCTION("""COMPUTED_VALUE"""),91)</f>
        <v>91</v>
      </c>
      <c r="T661" s="1">
        <f ca="1">IFERROR(__xludf.DUMMYFUNCTION("""COMPUTED_VALUE"""),44.2)</f>
        <v>44.2</v>
      </c>
      <c r="U661" s="1">
        <f ca="1">IFERROR(__xludf.DUMMYFUNCTION("""COMPUTED_VALUE"""),116.32)</f>
        <v>116.32</v>
      </c>
      <c r="V661" s="1">
        <f ca="1">IFERROR(__xludf.DUMMYFUNCTION("""COMPUTED_VALUE"""),195.95)</f>
        <v>195.95</v>
      </c>
      <c r="W661" s="1">
        <f ca="1">IFERROR(__xludf.DUMMYFUNCTION("""COMPUTED_VALUE"""),438.01)</f>
        <v>438.01</v>
      </c>
      <c r="X661" s="1">
        <f ca="1">IFERROR(__xludf.DUMMYFUNCTION("""COMPUTED_VALUE"""),574.94)</f>
        <v>574.94000000000005</v>
      </c>
      <c r="Y661" s="1">
        <f ca="1">IFERROR(__xludf.DUMMYFUNCTION("""COMPUTED_VALUE"""),91.57)</f>
        <v>91.57</v>
      </c>
      <c r="Z661" s="1">
        <f ca="1">IFERROR(__xludf.DUMMYFUNCTION("""COMPUTED_VALUE"""),355.85)</f>
        <v>355.85</v>
      </c>
      <c r="AA661" s="1">
        <f ca="1">IFERROR(__xludf.DUMMYFUNCTION("""COMPUTED_VALUE"""),49.75)</f>
        <v>49.75</v>
      </c>
      <c r="AB661" s="1">
        <f ca="1">IFERROR(__xludf.DUMMYFUNCTION("""COMPUTED_VALUE"""),89.16)</f>
        <v>89.16</v>
      </c>
      <c r="AC661" s="1">
        <f ca="1">IFERROR(__xludf.DUMMYFUNCTION("""COMPUTED_VALUE"""),101.01)</f>
        <v>101.01</v>
      </c>
    </row>
    <row r="662" spans="1:29" x14ac:dyDescent="0.25">
      <c r="A662" s="2">
        <f ca="1">IFERROR(__xludf.DUMMYFUNCTION("""COMPUTED_VALUE"""),44789.6666666666)</f>
        <v>44789.666666666599</v>
      </c>
      <c r="B662" s="1">
        <f ca="1">IFERROR(__xludf.DUMMYFUNCTION("""COMPUTED_VALUE"""),173.03)</f>
        <v>173.03</v>
      </c>
      <c r="C662" s="1">
        <f ca="1">IFERROR(__xludf.DUMMYFUNCTION("""COMPUTED_VALUE"""),292.71)</f>
        <v>292.70999999999998</v>
      </c>
      <c r="D662" s="1">
        <f ca="1">IFERROR(__xludf.DUMMYFUNCTION("""COMPUTED_VALUE"""),144.78)</f>
        <v>144.78</v>
      </c>
      <c r="E662" s="1">
        <f ca="1">IFERROR(__xludf.DUMMYFUNCTION("""COMPUTED_VALUE"""),18.88)</f>
        <v>18.88</v>
      </c>
      <c r="F662" s="1">
        <f ca="1">IFERROR(__xludf.DUMMYFUNCTION("""COMPUTED_VALUE"""),179.47)</f>
        <v>179.47</v>
      </c>
      <c r="G662" s="1">
        <f ca="1">IFERROR(__xludf.DUMMYFUNCTION("""COMPUTED_VALUE"""),122.51)</f>
        <v>122.51</v>
      </c>
      <c r="H662" s="1">
        <f ca="1">IFERROR(__xludf.DUMMYFUNCTION("""COMPUTED_VALUE"""),306.56)</f>
        <v>306.56</v>
      </c>
      <c r="I662" s="1">
        <f ca="1">IFERROR(__xludf.DUMMYFUNCTION("""COMPUTED_VALUE"""),180.32)</f>
        <v>180.32</v>
      </c>
      <c r="J662" s="1">
        <f ca="1">IFERROR(__xludf.DUMMYFUNCTION("""COMPUTED_VALUE"""),553.02)</f>
        <v>553.02</v>
      </c>
      <c r="K662" s="1">
        <f ca="1">IFERROR(__xludf.DUMMYFUNCTION("""COMPUTED_VALUE"""),55.17)</f>
        <v>55.17</v>
      </c>
      <c r="L662" s="1">
        <f ca="1">IFERROR(__xludf.DUMMYFUNCTION("""COMPUTED_VALUE"""),447.56)</f>
        <v>447.56</v>
      </c>
      <c r="M662" s="1">
        <f ca="1">IFERROR(__xludf.DUMMYFUNCTION("""COMPUTED_VALUE"""),245.69)</f>
        <v>245.69</v>
      </c>
      <c r="N662" s="1">
        <f ca="1">IFERROR(__xludf.DUMMYFUNCTION("""COMPUTED_VALUE"""),123.63)</f>
        <v>123.63</v>
      </c>
      <c r="O662" s="1">
        <f ca="1">IFERROR(__xludf.DUMMYFUNCTION("""COMPUTED_VALUE"""),217.14)</f>
        <v>217.14</v>
      </c>
      <c r="P662" s="1">
        <f ca="1">IFERROR(__xludf.DUMMYFUNCTION("""COMPUTED_VALUE"""),167.57)</f>
        <v>167.57</v>
      </c>
      <c r="Q662" s="1">
        <f ca="1">IFERROR(__xludf.DUMMYFUNCTION("""COMPUTED_VALUE"""),546.12)</f>
        <v>546.12</v>
      </c>
      <c r="R662" s="1">
        <f ca="1">IFERROR(__xludf.DUMMYFUNCTION("""COMPUTED_VALUE"""),91.46)</f>
        <v>91.46</v>
      </c>
      <c r="S662" s="1">
        <f ca="1">IFERROR(__xludf.DUMMYFUNCTION("""COMPUTED_VALUE"""),90.53)</f>
        <v>90.53</v>
      </c>
      <c r="T662" s="1">
        <f ca="1">IFERROR(__xludf.DUMMYFUNCTION("""COMPUTED_VALUE"""),46.46)</f>
        <v>46.46</v>
      </c>
      <c r="U662" s="1">
        <f ca="1">IFERROR(__xludf.DUMMYFUNCTION("""COMPUTED_VALUE"""),118.06)</f>
        <v>118.06</v>
      </c>
      <c r="V662" s="1">
        <f ca="1">IFERROR(__xludf.DUMMYFUNCTION("""COMPUTED_VALUE"""),197.52)</f>
        <v>197.52</v>
      </c>
      <c r="W662" s="1">
        <f ca="1">IFERROR(__xludf.DUMMYFUNCTION("""COMPUTED_VALUE"""),440.16)</f>
        <v>440.16</v>
      </c>
      <c r="X662" s="1">
        <f ca="1">IFERROR(__xludf.DUMMYFUNCTION("""COMPUTED_VALUE"""),566.68)</f>
        <v>566.67999999999995</v>
      </c>
      <c r="Y662" s="1">
        <f ca="1">IFERROR(__xludf.DUMMYFUNCTION("""COMPUTED_VALUE"""),89.95)</f>
        <v>89.95</v>
      </c>
      <c r="Z662" s="1">
        <f ca="1">IFERROR(__xludf.DUMMYFUNCTION("""COMPUTED_VALUE"""),354.97)</f>
        <v>354.97</v>
      </c>
      <c r="AA662" s="1">
        <f ca="1">IFERROR(__xludf.DUMMYFUNCTION("""COMPUTED_VALUE"""),49.86)</f>
        <v>49.86</v>
      </c>
      <c r="AB662" s="1">
        <f ca="1">IFERROR(__xludf.DUMMYFUNCTION("""COMPUTED_VALUE"""),89.4)</f>
        <v>89.4</v>
      </c>
      <c r="AC662" s="1">
        <f ca="1">IFERROR(__xludf.DUMMYFUNCTION("""COMPUTED_VALUE"""),100.2)</f>
        <v>100.2</v>
      </c>
    </row>
    <row r="663" spans="1:29" x14ac:dyDescent="0.25">
      <c r="A663" s="2">
        <f ca="1">IFERROR(__xludf.DUMMYFUNCTION("""COMPUTED_VALUE"""),44790.6666666666)</f>
        <v>44790.666666666599</v>
      </c>
      <c r="B663" s="1">
        <f ca="1">IFERROR(__xludf.DUMMYFUNCTION("""COMPUTED_VALUE"""),174.55)</f>
        <v>174.55</v>
      </c>
      <c r="C663" s="1">
        <f ca="1">IFERROR(__xludf.DUMMYFUNCTION("""COMPUTED_VALUE"""),291.32)</f>
        <v>291.32</v>
      </c>
      <c r="D663" s="1">
        <f ca="1">IFERROR(__xludf.DUMMYFUNCTION("""COMPUTED_VALUE"""),142.1)</f>
        <v>142.1</v>
      </c>
      <c r="E663" s="1">
        <f ca="1">IFERROR(__xludf.DUMMYFUNCTION("""COMPUTED_VALUE"""),18.34)</f>
        <v>18.34</v>
      </c>
      <c r="F663" s="1">
        <f ca="1">IFERROR(__xludf.DUMMYFUNCTION("""COMPUTED_VALUE"""),174.85)</f>
        <v>174.85</v>
      </c>
      <c r="G663" s="1">
        <f ca="1">IFERROR(__xludf.DUMMYFUNCTION("""COMPUTED_VALUE"""),120.32)</f>
        <v>120.32</v>
      </c>
      <c r="H663" s="1">
        <f ca="1">IFERROR(__xludf.DUMMYFUNCTION("""COMPUTED_VALUE"""),304)</f>
        <v>304</v>
      </c>
      <c r="I663" s="1">
        <f ca="1">IFERROR(__xludf.DUMMYFUNCTION("""COMPUTED_VALUE"""),180.22)</f>
        <v>180.22</v>
      </c>
      <c r="J663" s="1">
        <f ca="1">IFERROR(__xludf.DUMMYFUNCTION("""COMPUTED_VALUE"""),556.32)</f>
        <v>556.32000000000005</v>
      </c>
      <c r="K663" s="1">
        <f ca="1">IFERROR(__xludf.DUMMYFUNCTION("""COMPUTED_VALUE"""),53.86)</f>
        <v>53.86</v>
      </c>
      <c r="L663" s="1">
        <f ca="1">IFERROR(__xludf.DUMMYFUNCTION("""COMPUTED_VALUE"""),437.82)</f>
        <v>437.82</v>
      </c>
      <c r="M663" s="1">
        <f ca="1">IFERROR(__xludf.DUMMYFUNCTION("""COMPUTED_VALUE"""),241.15)</f>
        <v>241.15</v>
      </c>
      <c r="N663" s="1">
        <f ca="1">IFERROR(__xludf.DUMMYFUNCTION("""COMPUTED_VALUE"""),122.59)</f>
        <v>122.59</v>
      </c>
      <c r="O663" s="1">
        <f ca="1">IFERROR(__xludf.DUMMYFUNCTION("""COMPUTED_VALUE"""),214.52)</f>
        <v>214.52</v>
      </c>
      <c r="P663" s="1">
        <f ca="1">IFERROR(__xludf.DUMMYFUNCTION("""COMPUTED_VALUE"""),167.58)</f>
        <v>167.58</v>
      </c>
      <c r="Q663" s="1">
        <f ca="1">IFERROR(__xludf.DUMMYFUNCTION("""COMPUTED_VALUE"""),545)</f>
        <v>545</v>
      </c>
      <c r="R663" s="1">
        <f ca="1">IFERROR(__xludf.DUMMYFUNCTION("""COMPUTED_VALUE"""),92.2)</f>
        <v>92.2</v>
      </c>
      <c r="S663" s="1">
        <f ca="1">IFERROR(__xludf.DUMMYFUNCTION("""COMPUTED_VALUE"""),90.2)</f>
        <v>90.2</v>
      </c>
      <c r="T663" s="1">
        <f ca="1">IFERROR(__xludf.DUMMYFUNCTION("""COMPUTED_VALUE"""),46.51)</f>
        <v>46.51</v>
      </c>
      <c r="U663" s="1">
        <f ca="1">IFERROR(__xludf.DUMMYFUNCTION("""COMPUTED_VALUE"""),117.04)</f>
        <v>117.04</v>
      </c>
      <c r="V663" s="1">
        <f ca="1">IFERROR(__xludf.DUMMYFUNCTION("""COMPUTED_VALUE"""),195.93)</f>
        <v>195.93</v>
      </c>
      <c r="W663" s="1">
        <f ca="1">IFERROR(__xludf.DUMMYFUNCTION("""COMPUTED_VALUE"""),441.59)</f>
        <v>441.59</v>
      </c>
      <c r="X663" s="1">
        <f ca="1">IFERROR(__xludf.DUMMYFUNCTION("""COMPUTED_VALUE"""),557.28)</f>
        <v>557.28</v>
      </c>
      <c r="Y663" s="1">
        <f ca="1">IFERROR(__xludf.DUMMYFUNCTION("""COMPUTED_VALUE"""),89.2)</f>
        <v>89.2</v>
      </c>
      <c r="Z663" s="1">
        <f ca="1">IFERROR(__xludf.DUMMYFUNCTION("""COMPUTED_VALUE"""),353.74)</f>
        <v>353.74</v>
      </c>
      <c r="AA663" s="1">
        <f ca="1">IFERROR(__xludf.DUMMYFUNCTION("""COMPUTED_VALUE"""),49.27)</f>
        <v>49.27</v>
      </c>
      <c r="AB663" s="1">
        <f ca="1">IFERROR(__xludf.DUMMYFUNCTION("""COMPUTED_VALUE"""),88.35)</f>
        <v>88.35</v>
      </c>
      <c r="AC663" s="1">
        <f ca="1">IFERROR(__xludf.DUMMYFUNCTION("""COMPUTED_VALUE"""),98.27)</f>
        <v>98.27</v>
      </c>
    </row>
    <row r="664" spans="1:29" x14ac:dyDescent="0.25">
      <c r="A664" s="2">
        <f ca="1">IFERROR(__xludf.DUMMYFUNCTION("""COMPUTED_VALUE"""),44791.6666666666)</f>
        <v>44791.666666666599</v>
      </c>
      <c r="B664" s="1">
        <f ca="1">IFERROR(__xludf.DUMMYFUNCTION("""COMPUTED_VALUE"""),174.15)</f>
        <v>174.15</v>
      </c>
      <c r="C664" s="1">
        <f ca="1">IFERROR(__xludf.DUMMYFUNCTION("""COMPUTED_VALUE"""),290.17)</f>
        <v>290.17</v>
      </c>
      <c r="D664" s="1">
        <f ca="1">IFERROR(__xludf.DUMMYFUNCTION("""COMPUTED_VALUE"""),142.3)</f>
        <v>142.30000000000001</v>
      </c>
      <c r="E664" s="1">
        <f ca="1">IFERROR(__xludf.DUMMYFUNCTION("""COMPUTED_VALUE"""),18.77)</f>
        <v>18.77</v>
      </c>
      <c r="F664" s="1">
        <f ca="1">IFERROR(__xludf.DUMMYFUNCTION("""COMPUTED_VALUE"""),174.66)</f>
        <v>174.66</v>
      </c>
      <c r="G664" s="1">
        <f ca="1">IFERROR(__xludf.DUMMYFUNCTION("""COMPUTED_VALUE"""),120.86)</f>
        <v>120.86</v>
      </c>
      <c r="H664" s="1">
        <f ca="1">IFERROR(__xludf.DUMMYFUNCTION("""COMPUTED_VALUE"""),302.87)</f>
        <v>302.87</v>
      </c>
      <c r="I664" s="1">
        <f ca="1">IFERROR(__xludf.DUMMYFUNCTION("""COMPUTED_VALUE"""),180.4)</f>
        <v>180.4</v>
      </c>
      <c r="J664" s="1">
        <f ca="1">IFERROR(__xludf.DUMMYFUNCTION("""COMPUTED_VALUE"""),560.96)</f>
        <v>560.96</v>
      </c>
      <c r="K664" s="1">
        <f ca="1">IFERROR(__xludf.DUMMYFUNCTION("""COMPUTED_VALUE"""),55.85)</f>
        <v>55.85</v>
      </c>
      <c r="L664" s="1">
        <f ca="1">IFERROR(__xludf.DUMMYFUNCTION("""COMPUTED_VALUE"""),439.03)</f>
        <v>439.03</v>
      </c>
      <c r="M664" s="1">
        <f ca="1">IFERROR(__xludf.DUMMYFUNCTION("""COMPUTED_VALUE"""),245.17)</f>
        <v>245.17</v>
      </c>
      <c r="N664" s="1">
        <f ca="1">IFERROR(__xludf.DUMMYFUNCTION("""COMPUTED_VALUE"""),121.64)</f>
        <v>121.64</v>
      </c>
      <c r="O664" s="1">
        <f ca="1">IFERROR(__xludf.DUMMYFUNCTION("""COMPUTED_VALUE"""),215.25)</f>
        <v>215.25</v>
      </c>
      <c r="P664" s="1">
        <f ca="1">IFERROR(__xludf.DUMMYFUNCTION("""COMPUTED_VALUE"""),166.77)</f>
        <v>166.77</v>
      </c>
      <c r="Q664" s="1">
        <f ca="1">IFERROR(__xludf.DUMMYFUNCTION("""COMPUTED_VALUE"""),545.22)</f>
        <v>545.22</v>
      </c>
      <c r="R664" s="1">
        <f ca="1">IFERROR(__xludf.DUMMYFUNCTION("""COMPUTED_VALUE"""),94.38)</f>
        <v>94.38</v>
      </c>
      <c r="S664" s="1">
        <f ca="1">IFERROR(__xludf.DUMMYFUNCTION("""COMPUTED_VALUE"""),90.24)</f>
        <v>90.24</v>
      </c>
      <c r="T664" s="1">
        <f ca="1">IFERROR(__xludf.DUMMYFUNCTION("""COMPUTED_VALUE"""),46.36)</f>
        <v>46.36</v>
      </c>
      <c r="U664" s="1">
        <f ca="1">IFERROR(__xludf.DUMMYFUNCTION("""COMPUTED_VALUE"""),116.01)</f>
        <v>116.01</v>
      </c>
      <c r="V664" s="1">
        <f ca="1">IFERROR(__xludf.DUMMYFUNCTION("""COMPUTED_VALUE"""),197.35)</f>
        <v>197.35</v>
      </c>
      <c r="W664" s="1">
        <f ca="1">IFERROR(__xludf.DUMMYFUNCTION("""COMPUTED_VALUE"""),439.35)</f>
        <v>439.35</v>
      </c>
      <c r="X664" s="1">
        <f ca="1">IFERROR(__xludf.DUMMYFUNCTION("""COMPUTED_VALUE"""),561.3)</f>
        <v>561.29999999999995</v>
      </c>
      <c r="Y664" s="1">
        <f ca="1">IFERROR(__xludf.DUMMYFUNCTION("""COMPUTED_VALUE"""),89.27)</f>
        <v>89.27</v>
      </c>
      <c r="Z664" s="1">
        <f ca="1">IFERROR(__xludf.DUMMYFUNCTION("""COMPUTED_VALUE"""),354.52)</f>
        <v>354.52</v>
      </c>
      <c r="AA664" s="1">
        <f ca="1">IFERROR(__xludf.DUMMYFUNCTION("""COMPUTED_VALUE"""),48.58)</f>
        <v>48.58</v>
      </c>
      <c r="AB664" s="1">
        <f ca="1">IFERROR(__xludf.DUMMYFUNCTION("""COMPUTED_VALUE"""),88.55)</f>
        <v>88.55</v>
      </c>
      <c r="AC664" s="1">
        <f ca="1">IFERROR(__xludf.DUMMYFUNCTION("""COMPUTED_VALUE"""),100.44)</f>
        <v>100.44</v>
      </c>
    </row>
    <row r="665" spans="1:29" x14ac:dyDescent="0.25">
      <c r="A665" s="2">
        <f ca="1">IFERROR(__xludf.DUMMYFUNCTION("""COMPUTED_VALUE"""),44792.6666666666)</f>
        <v>44792.666666666599</v>
      </c>
      <c r="B665" s="1">
        <f ca="1">IFERROR(__xludf.DUMMYFUNCTION("""COMPUTED_VALUE"""),171.52)</f>
        <v>171.52</v>
      </c>
      <c r="C665" s="1">
        <f ca="1">IFERROR(__xludf.DUMMYFUNCTION("""COMPUTED_VALUE"""),286.15)</f>
        <v>286.14999999999998</v>
      </c>
      <c r="D665" s="1">
        <f ca="1">IFERROR(__xludf.DUMMYFUNCTION("""COMPUTED_VALUE"""),138.23)</f>
        <v>138.22999999999999</v>
      </c>
      <c r="E665" s="1">
        <f ca="1">IFERROR(__xludf.DUMMYFUNCTION("""COMPUTED_VALUE"""),17.85)</f>
        <v>17.850000000000001</v>
      </c>
      <c r="F665" s="1">
        <f ca="1">IFERROR(__xludf.DUMMYFUNCTION("""COMPUTED_VALUE"""),167.96)</f>
        <v>167.96</v>
      </c>
      <c r="G665" s="1">
        <f ca="1">IFERROR(__xludf.DUMMYFUNCTION("""COMPUTED_VALUE"""),118.12)</f>
        <v>118.12</v>
      </c>
      <c r="H665" s="1">
        <f ca="1">IFERROR(__xludf.DUMMYFUNCTION("""COMPUTED_VALUE"""),296.67)</f>
        <v>296.67</v>
      </c>
      <c r="I665" s="1">
        <f ca="1">IFERROR(__xludf.DUMMYFUNCTION("""COMPUTED_VALUE"""),180.17)</f>
        <v>180.17</v>
      </c>
      <c r="J665" s="1">
        <f ca="1">IFERROR(__xludf.DUMMYFUNCTION("""COMPUTED_VALUE"""),554.53)</f>
        <v>554.53</v>
      </c>
      <c r="K665" s="1">
        <f ca="1">IFERROR(__xludf.DUMMYFUNCTION("""COMPUTED_VALUE"""),54.84)</f>
        <v>54.84</v>
      </c>
      <c r="L665" s="1">
        <f ca="1">IFERROR(__xludf.DUMMYFUNCTION("""COMPUTED_VALUE"""),425.06)</f>
        <v>425.06</v>
      </c>
      <c r="M665" s="1">
        <f ca="1">IFERROR(__xludf.DUMMYFUNCTION("""COMPUTED_VALUE"""),241.16)</f>
        <v>241.16</v>
      </c>
      <c r="N665" s="1">
        <f ca="1">IFERROR(__xludf.DUMMYFUNCTION("""COMPUTED_VALUE"""),118.63)</f>
        <v>118.63</v>
      </c>
      <c r="O665" s="1">
        <f ca="1">IFERROR(__xludf.DUMMYFUNCTION("""COMPUTED_VALUE"""),212.82)</f>
        <v>212.82</v>
      </c>
      <c r="P665" s="1">
        <f ca="1">IFERROR(__xludf.DUMMYFUNCTION("""COMPUTED_VALUE"""),169.31)</f>
        <v>169.31</v>
      </c>
      <c r="Q665" s="1">
        <f ca="1">IFERROR(__xludf.DUMMYFUNCTION("""COMPUTED_VALUE"""),548.32)</f>
        <v>548.32000000000005</v>
      </c>
      <c r="R665" s="1">
        <f ca="1">IFERROR(__xludf.DUMMYFUNCTION("""COMPUTED_VALUE"""),94.08)</f>
        <v>94.08</v>
      </c>
      <c r="S665" s="1">
        <f ca="1">IFERROR(__xludf.DUMMYFUNCTION("""COMPUTED_VALUE"""),89.71)</f>
        <v>89.71</v>
      </c>
      <c r="T665" s="1">
        <f ca="1">IFERROR(__xludf.DUMMYFUNCTION("""COMPUTED_VALUE"""),45.67)</f>
        <v>45.67</v>
      </c>
      <c r="U665" s="1">
        <f ca="1">IFERROR(__xludf.DUMMYFUNCTION("""COMPUTED_VALUE"""),113.16)</f>
        <v>113.16</v>
      </c>
      <c r="V665" s="1">
        <f ca="1">IFERROR(__xludf.DUMMYFUNCTION("""COMPUTED_VALUE"""),195.6)</f>
        <v>195.6</v>
      </c>
      <c r="W665" s="1">
        <f ca="1">IFERROR(__xludf.DUMMYFUNCTION("""COMPUTED_VALUE"""),440.03)</f>
        <v>440.03</v>
      </c>
      <c r="X665" s="1">
        <f ca="1">IFERROR(__xludf.DUMMYFUNCTION("""COMPUTED_VALUE"""),545.26)</f>
        <v>545.26</v>
      </c>
      <c r="Y665" s="1">
        <f ca="1">IFERROR(__xludf.DUMMYFUNCTION("""COMPUTED_VALUE"""),87.2)</f>
        <v>87.2</v>
      </c>
      <c r="Z665" s="1">
        <f ca="1">IFERROR(__xludf.DUMMYFUNCTION("""COMPUTED_VALUE"""),349.27)</f>
        <v>349.27</v>
      </c>
      <c r="AA665" s="1">
        <f ca="1">IFERROR(__xludf.DUMMYFUNCTION("""COMPUTED_VALUE"""),49.15)</f>
        <v>49.15</v>
      </c>
      <c r="AB665" s="1">
        <f ca="1">IFERROR(__xludf.DUMMYFUNCTION("""COMPUTED_VALUE"""),86.92)</f>
        <v>86.92</v>
      </c>
      <c r="AC665" s="1">
        <f ca="1">IFERROR(__xludf.DUMMYFUNCTION("""COMPUTED_VALUE"""),95.95)</f>
        <v>95.95</v>
      </c>
    </row>
    <row r="666" spans="1:29" x14ac:dyDescent="0.25">
      <c r="A666" s="2">
        <f ca="1">IFERROR(__xludf.DUMMYFUNCTION("""COMPUTED_VALUE"""),44795.6666666666)</f>
        <v>44795.666666666599</v>
      </c>
      <c r="B666" s="1">
        <f ca="1">IFERROR(__xludf.DUMMYFUNCTION("""COMPUTED_VALUE"""),167.57)</f>
        <v>167.57</v>
      </c>
      <c r="C666" s="1">
        <f ca="1">IFERROR(__xludf.DUMMYFUNCTION("""COMPUTED_VALUE"""),277.75)</f>
        <v>277.75</v>
      </c>
      <c r="D666" s="1">
        <f ca="1">IFERROR(__xludf.DUMMYFUNCTION("""COMPUTED_VALUE"""),133.22)</f>
        <v>133.22</v>
      </c>
      <c r="E666" s="1">
        <f ca="1">IFERROR(__xludf.DUMMYFUNCTION("""COMPUTED_VALUE"""),17.03)</f>
        <v>17.03</v>
      </c>
      <c r="F666" s="1">
        <f ca="1">IFERROR(__xludf.DUMMYFUNCTION("""COMPUTED_VALUE"""),163.05)</f>
        <v>163.05000000000001</v>
      </c>
      <c r="G666" s="1">
        <f ca="1">IFERROR(__xludf.DUMMYFUNCTION("""COMPUTED_VALUE"""),115.07)</f>
        <v>115.07</v>
      </c>
      <c r="H666" s="1">
        <f ca="1">IFERROR(__xludf.DUMMYFUNCTION("""COMPUTED_VALUE"""),289.91)</f>
        <v>289.91000000000003</v>
      </c>
      <c r="I666" s="1">
        <f ca="1">IFERROR(__xludf.DUMMYFUNCTION("""COMPUTED_VALUE"""),178.45)</f>
        <v>178.45</v>
      </c>
      <c r="J666" s="1">
        <f ca="1">IFERROR(__xludf.DUMMYFUNCTION("""COMPUTED_VALUE"""),545.47)</f>
        <v>545.47</v>
      </c>
      <c r="K666" s="1">
        <f ca="1">IFERROR(__xludf.DUMMYFUNCTION("""COMPUTED_VALUE"""),52.88)</f>
        <v>52.88</v>
      </c>
      <c r="L666" s="1">
        <f ca="1">IFERROR(__xludf.DUMMYFUNCTION("""COMPUTED_VALUE"""),411.35)</f>
        <v>411.35</v>
      </c>
      <c r="M666" s="1">
        <f ca="1">IFERROR(__xludf.DUMMYFUNCTION("""COMPUTED_VALUE"""),226.54)</f>
        <v>226.54</v>
      </c>
      <c r="N666" s="1">
        <f ca="1">IFERROR(__xludf.DUMMYFUNCTION("""COMPUTED_VALUE"""),116.67)</f>
        <v>116.67</v>
      </c>
      <c r="O666" s="1">
        <f ca="1">IFERROR(__xludf.DUMMYFUNCTION("""COMPUTED_VALUE"""),208.61)</f>
        <v>208.61</v>
      </c>
      <c r="P666" s="1">
        <f ca="1">IFERROR(__xludf.DUMMYFUNCTION("""COMPUTED_VALUE"""),167.59)</f>
        <v>167.59</v>
      </c>
      <c r="Q666" s="1">
        <f ca="1">IFERROR(__xludf.DUMMYFUNCTION("""COMPUTED_VALUE"""),544.57)</f>
        <v>544.57000000000005</v>
      </c>
      <c r="R666" s="1">
        <f ca="1">IFERROR(__xludf.DUMMYFUNCTION("""COMPUTED_VALUE"""),94.01)</f>
        <v>94.01</v>
      </c>
      <c r="S666" s="1">
        <f ca="1">IFERROR(__xludf.DUMMYFUNCTION("""COMPUTED_VALUE"""),88.54)</f>
        <v>88.54</v>
      </c>
      <c r="T666" s="1">
        <f ca="1">IFERROR(__xludf.DUMMYFUNCTION("""COMPUTED_VALUE"""),44.86)</f>
        <v>44.86</v>
      </c>
      <c r="U666" s="1">
        <f ca="1">IFERROR(__xludf.DUMMYFUNCTION("""COMPUTED_VALUE"""),110.34)</f>
        <v>110.34</v>
      </c>
      <c r="V666" s="1">
        <f ca="1">IFERROR(__xludf.DUMMYFUNCTION("""COMPUTED_VALUE"""),191.76)</f>
        <v>191.76</v>
      </c>
      <c r="W666" s="1">
        <f ca="1">IFERROR(__xludf.DUMMYFUNCTION("""COMPUTED_VALUE"""),432.33)</f>
        <v>432.33</v>
      </c>
      <c r="X666" s="1">
        <f ca="1">IFERROR(__xludf.DUMMYFUNCTION("""COMPUTED_VALUE"""),520.07)</f>
        <v>520.07000000000005</v>
      </c>
      <c r="Y666" s="1">
        <f ca="1">IFERROR(__xludf.DUMMYFUNCTION("""COMPUTED_VALUE"""),85.24)</f>
        <v>85.24</v>
      </c>
      <c r="Z666" s="1">
        <f ca="1">IFERROR(__xludf.DUMMYFUNCTION("""COMPUTED_VALUE"""),342.42)</f>
        <v>342.42</v>
      </c>
      <c r="AA666" s="1">
        <f ca="1">IFERROR(__xludf.DUMMYFUNCTION("""COMPUTED_VALUE"""),48.9)</f>
        <v>48.9</v>
      </c>
      <c r="AB666" s="1">
        <f ca="1">IFERROR(__xludf.DUMMYFUNCTION("""COMPUTED_VALUE"""),84.95)</f>
        <v>84.95</v>
      </c>
      <c r="AC666" s="1">
        <f ca="1">IFERROR(__xludf.DUMMYFUNCTION("""COMPUTED_VALUE"""),92.84)</f>
        <v>92.84</v>
      </c>
    </row>
    <row r="667" spans="1:29" x14ac:dyDescent="0.25">
      <c r="A667" s="2">
        <f ca="1">IFERROR(__xludf.DUMMYFUNCTION("""COMPUTED_VALUE"""),44796.6666666666)</f>
        <v>44796.666666666599</v>
      </c>
      <c r="B667" s="1">
        <f ca="1">IFERROR(__xludf.DUMMYFUNCTION("""COMPUTED_VALUE"""),167.23)</f>
        <v>167.23</v>
      </c>
      <c r="C667" s="1">
        <f ca="1">IFERROR(__xludf.DUMMYFUNCTION("""COMPUTED_VALUE"""),276.44)</f>
        <v>276.44</v>
      </c>
      <c r="D667" s="1">
        <f ca="1">IFERROR(__xludf.DUMMYFUNCTION("""COMPUTED_VALUE"""),133.62)</f>
        <v>133.62</v>
      </c>
      <c r="E667" s="1">
        <f ca="1">IFERROR(__xludf.DUMMYFUNCTION("""COMPUTED_VALUE"""),17.18)</f>
        <v>17.18</v>
      </c>
      <c r="F667" s="1">
        <f ca="1">IFERROR(__xludf.DUMMYFUNCTION("""COMPUTED_VALUE"""),161.11)</f>
        <v>161.11000000000001</v>
      </c>
      <c r="G667" s="1">
        <f ca="1">IFERROR(__xludf.DUMMYFUNCTION("""COMPUTED_VALUE"""),114.77)</f>
        <v>114.77</v>
      </c>
      <c r="H667" s="1">
        <f ca="1">IFERROR(__xludf.DUMMYFUNCTION("""COMPUTED_VALUE"""),296.45)</f>
        <v>296.45</v>
      </c>
      <c r="I667" s="1">
        <f ca="1">IFERROR(__xludf.DUMMYFUNCTION("""COMPUTED_VALUE"""),178.37)</f>
        <v>178.37</v>
      </c>
      <c r="J667" s="1">
        <f ca="1">IFERROR(__xludf.DUMMYFUNCTION("""COMPUTED_VALUE"""),542.07)</f>
        <v>542.07000000000005</v>
      </c>
      <c r="K667" s="1">
        <f ca="1">IFERROR(__xludf.DUMMYFUNCTION("""COMPUTED_VALUE"""),52.98)</f>
        <v>52.98</v>
      </c>
      <c r="L667" s="1">
        <f ca="1">IFERROR(__xludf.DUMMYFUNCTION("""COMPUTED_VALUE"""),410.41)</f>
        <v>410.41</v>
      </c>
      <c r="M667" s="1">
        <f ca="1">IFERROR(__xludf.DUMMYFUNCTION("""COMPUTED_VALUE"""),224.55)</f>
        <v>224.55</v>
      </c>
      <c r="N667" s="1">
        <f ca="1">IFERROR(__xludf.DUMMYFUNCTION("""COMPUTED_VALUE"""),115.52)</f>
        <v>115.52</v>
      </c>
      <c r="O667" s="1">
        <f ca="1">IFERROR(__xludf.DUMMYFUNCTION("""COMPUTED_VALUE"""),206.8)</f>
        <v>206.8</v>
      </c>
      <c r="P667" s="1">
        <f ca="1">IFERROR(__xludf.DUMMYFUNCTION("""COMPUTED_VALUE"""),166.13)</f>
        <v>166.13</v>
      </c>
      <c r="Q667" s="1">
        <f ca="1">IFERROR(__xludf.DUMMYFUNCTION("""COMPUTED_VALUE"""),535.8)</f>
        <v>535.79999999999995</v>
      </c>
      <c r="R667" s="1">
        <f ca="1">IFERROR(__xludf.DUMMYFUNCTION("""COMPUTED_VALUE"""),98)</f>
        <v>98</v>
      </c>
      <c r="S667" s="1">
        <f ca="1">IFERROR(__xludf.DUMMYFUNCTION("""COMPUTED_VALUE"""),87.98)</f>
        <v>87.98</v>
      </c>
      <c r="T667" s="1">
        <f ca="1">IFERROR(__xludf.DUMMYFUNCTION("""COMPUTED_VALUE"""),44.67)</f>
        <v>44.67</v>
      </c>
      <c r="U667" s="1">
        <f ca="1">IFERROR(__xludf.DUMMYFUNCTION("""COMPUTED_VALUE"""),110.68)</f>
        <v>110.68</v>
      </c>
      <c r="V667" s="1">
        <f ca="1">IFERROR(__xludf.DUMMYFUNCTION("""COMPUTED_VALUE"""),197.21)</f>
        <v>197.21</v>
      </c>
      <c r="W667" s="1">
        <f ca="1">IFERROR(__xludf.DUMMYFUNCTION("""COMPUTED_VALUE"""),433.12)</f>
        <v>433.12</v>
      </c>
      <c r="X667" s="1">
        <f ca="1">IFERROR(__xludf.DUMMYFUNCTION("""COMPUTED_VALUE"""),525.75)</f>
        <v>525.75</v>
      </c>
      <c r="Y667" s="1">
        <f ca="1">IFERROR(__xludf.DUMMYFUNCTION("""COMPUTED_VALUE"""),86.03)</f>
        <v>86.03</v>
      </c>
      <c r="Z667" s="1">
        <f ca="1">IFERROR(__xludf.DUMMYFUNCTION("""COMPUTED_VALUE"""),340.18)</f>
        <v>340.18</v>
      </c>
      <c r="AA667" s="1">
        <f ca="1">IFERROR(__xludf.DUMMYFUNCTION("""COMPUTED_VALUE"""),48.01)</f>
        <v>48.01</v>
      </c>
      <c r="AB667" s="1">
        <f ca="1">IFERROR(__xludf.DUMMYFUNCTION("""COMPUTED_VALUE"""),84.69)</f>
        <v>84.69</v>
      </c>
      <c r="AC667" s="1">
        <f ca="1">IFERROR(__xludf.DUMMYFUNCTION("""COMPUTED_VALUE"""),92.49)</f>
        <v>92.49</v>
      </c>
    </row>
    <row r="668" spans="1:29" x14ac:dyDescent="0.25">
      <c r="A668" s="2">
        <f ca="1">IFERROR(__xludf.DUMMYFUNCTION("""COMPUTED_VALUE"""),44797.6666666666)</f>
        <v>44797.666666666599</v>
      </c>
      <c r="B668" s="1">
        <f ca="1">IFERROR(__xludf.DUMMYFUNCTION("""COMPUTED_VALUE"""),167.53)</f>
        <v>167.53</v>
      </c>
      <c r="C668" s="1">
        <f ca="1">IFERROR(__xludf.DUMMYFUNCTION("""COMPUTED_VALUE"""),275.79)</f>
        <v>275.79000000000002</v>
      </c>
      <c r="D668" s="1">
        <f ca="1">IFERROR(__xludf.DUMMYFUNCTION("""COMPUTED_VALUE"""),133.8)</f>
        <v>133.80000000000001</v>
      </c>
      <c r="E668" s="1">
        <f ca="1">IFERROR(__xludf.DUMMYFUNCTION("""COMPUTED_VALUE"""),17.22)</f>
        <v>17.22</v>
      </c>
      <c r="F668" s="1">
        <f ca="1">IFERROR(__xludf.DUMMYFUNCTION("""COMPUTED_VALUE"""),163.26)</f>
        <v>163.26</v>
      </c>
      <c r="G668" s="1">
        <f ca="1">IFERROR(__xludf.DUMMYFUNCTION("""COMPUTED_VALUE"""),114.7)</f>
        <v>114.7</v>
      </c>
      <c r="H668" s="1">
        <f ca="1">IFERROR(__xludf.DUMMYFUNCTION("""COMPUTED_VALUE"""),297.1)</f>
        <v>297.10000000000002</v>
      </c>
      <c r="I668" s="1">
        <f ca="1">IFERROR(__xludf.DUMMYFUNCTION("""COMPUTED_VALUE"""),179.26)</f>
        <v>179.26</v>
      </c>
      <c r="J668" s="1">
        <f ca="1">IFERROR(__xludf.DUMMYFUNCTION("""COMPUTED_VALUE"""),543.22)</f>
        <v>543.22</v>
      </c>
      <c r="K668" s="1">
        <f ca="1">IFERROR(__xludf.DUMMYFUNCTION("""COMPUTED_VALUE"""),53.08)</f>
        <v>53.08</v>
      </c>
      <c r="L668" s="1">
        <f ca="1">IFERROR(__xludf.DUMMYFUNCTION("""COMPUTED_VALUE"""),405.65)</f>
        <v>405.65</v>
      </c>
      <c r="M668" s="1">
        <f ca="1">IFERROR(__xludf.DUMMYFUNCTION("""COMPUTED_VALUE"""),229.61)</f>
        <v>229.61</v>
      </c>
      <c r="N668" s="1">
        <f ca="1">IFERROR(__xludf.DUMMYFUNCTION("""COMPUTED_VALUE"""),115.8)</f>
        <v>115.8</v>
      </c>
      <c r="O668" s="1">
        <f ca="1">IFERROR(__xludf.DUMMYFUNCTION("""COMPUTED_VALUE"""),206.67)</f>
        <v>206.67</v>
      </c>
      <c r="P668" s="1">
        <f ca="1">IFERROR(__xludf.DUMMYFUNCTION("""COMPUTED_VALUE"""),165.58)</f>
        <v>165.58</v>
      </c>
      <c r="Q668" s="1">
        <f ca="1">IFERROR(__xludf.DUMMYFUNCTION("""COMPUTED_VALUE"""),536.46)</f>
        <v>536.46</v>
      </c>
      <c r="R668" s="1">
        <f ca="1">IFERROR(__xludf.DUMMYFUNCTION("""COMPUTED_VALUE"""),98.58)</f>
        <v>98.58</v>
      </c>
      <c r="S668" s="1">
        <f ca="1">IFERROR(__xludf.DUMMYFUNCTION("""COMPUTED_VALUE"""),88.71)</f>
        <v>88.71</v>
      </c>
      <c r="T668" s="1">
        <f ca="1">IFERROR(__xludf.DUMMYFUNCTION("""COMPUTED_VALUE"""),44.99)</f>
        <v>44.99</v>
      </c>
      <c r="U668" s="1">
        <f ca="1">IFERROR(__xludf.DUMMYFUNCTION("""COMPUTED_VALUE"""),111.41)</f>
        <v>111.41</v>
      </c>
      <c r="V668" s="1">
        <f ca="1">IFERROR(__xludf.DUMMYFUNCTION("""COMPUTED_VALUE"""),194.16)</f>
        <v>194.16</v>
      </c>
      <c r="W668" s="1">
        <f ca="1">IFERROR(__xludf.DUMMYFUNCTION("""COMPUTED_VALUE"""),433.71)</f>
        <v>433.71</v>
      </c>
      <c r="X668" s="1">
        <f ca="1">IFERROR(__xludf.DUMMYFUNCTION("""COMPUTED_VALUE"""),525.44)</f>
        <v>525.44000000000005</v>
      </c>
      <c r="Y668" s="1">
        <f ca="1">IFERROR(__xludf.DUMMYFUNCTION("""COMPUTED_VALUE"""),85.56)</f>
        <v>85.56</v>
      </c>
      <c r="Z668" s="1">
        <f ca="1">IFERROR(__xludf.DUMMYFUNCTION("""COMPUTED_VALUE"""),341.94)</f>
        <v>341.94</v>
      </c>
      <c r="AA668" s="1">
        <f ca="1">IFERROR(__xludf.DUMMYFUNCTION("""COMPUTED_VALUE"""),47.43)</f>
        <v>47.43</v>
      </c>
      <c r="AB668" s="1">
        <f ca="1">IFERROR(__xludf.DUMMYFUNCTION("""COMPUTED_VALUE"""),86.05)</f>
        <v>86.05</v>
      </c>
      <c r="AC668" s="1">
        <f ca="1">IFERROR(__xludf.DUMMYFUNCTION("""COMPUTED_VALUE"""),92.73)</f>
        <v>92.73</v>
      </c>
    </row>
    <row r="669" spans="1:29" x14ac:dyDescent="0.25">
      <c r="A669" s="2">
        <f ca="1">IFERROR(__xludf.DUMMYFUNCTION("""COMPUTED_VALUE"""),44798.6666666666)</f>
        <v>44798.666666666599</v>
      </c>
      <c r="B669" s="1">
        <f ca="1">IFERROR(__xludf.DUMMYFUNCTION("""COMPUTED_VALUE"""),170.03)</f>
        <v>170.03</v>
      </c>
      <c r="C669" s="1">
        <f ca="1">IFERROR(__xludf.DUMMYFUNCTION("""COMPUTED_VALUE"""),278.85)</f>
        <v>278.85000000000002</v>
      </c>
      <c r="D669" s="1">
        <f ca="1">IFERROR(__xludf.DUMMYFUNCTION("""COMPUTED_VALUE"""),137.28)</f>
        <v>137.28</v>
      </c>
      <c r="E669" s="1">
        <f ca="1">IFERROR(__xludf.DUMMYFUNCTION("""COMPUTED_VALUE"""),17.91)</f>
        <v>17.91</v>
      </c>
      <c r="F669" s="1">
        <f ca="1">IFERROR(__xludf.DUMMYFUNCTION("""COMPUTED_VALUE"""),168.78)</f>
        <v>168.78</v>
      </c>
      <c r="G669" s="1">
        <f ca="1">IFERROR(__xludf.DUMMYFUNCTION("""COMPUTED_VALUE"""),117.7)</f>
        <v>117.7</v>
      </c>
      <c r="H669" s="1">
        <f ca="1">IFERROR(__xludf.DUMMYFUNCTION("""COMPUTED_VALUE"""),296.07)</f>
        <v>296.07</v>
      </c>
      <c r="I669" s="1">
        <f ca="1">IFERROR(__xludf.DUMMYFUNCTION("""COMPUTED_VALUE"""),179.27)</f>
        <v>179.27</v>
      </c>
      <c r="J669" s="1">
        <f ca="1">IFERROR(__xludf.DUMMYFUNCTION("""COMPUTED_VALUE"""),550.77)</f>
        <v>550.77</v>
      </c>
      <c r="K669" s="1">
        <f ca="1">IFERROR(__xludf.DUMMYFUNCTION("""COMPUTED_VALUE"""),55.01)</f>
        <v>55.01</v>
      </c>
      <c r="L669" s="1">
        <f ca="1">IFERROR(__xludf.DUMMYFUNCTION("""COMPUTED_VALUE"""),403.93)</f>
        <v>403.93</v>
      </c>
      <c r="M669" s="1">
        <f ca="1">IFERROR(__xludf.DUMMYFUNCTION("""COMPUTED_VALUE"""),233.98)</f>
        <v>233.98</v>
      </c>
      <c r="N669" s="1">
        <f ca="1">IFERROR(__xludf.DUMMYFUNCTION("""COMPUTED_VALUE"""),118.55)</f>
        <v>118.55</v>
      </c>
      <c r="O669" s="1">
        <f ca="1">IFERROR(__xludf.DUMMYFUNCTION("""COMPUTED_VALUE"""),209.82)</f>
        <v>209.82</v>
      </c>
      <c r="P669" s="1">
        <f ca="1">IFERROR(__xludf.DUMMYFUNCTION("""COMPUTED_VALUE"""),167.13)</f>
        <v>167.13</v>
      </c>
      <c r="Q669" s="1">
        <f ca="1">IFERROR(__xludf.DUMMYFUNCTION("""COMPUTED_VALUE"""),541.57)</f>
        <v>541.57000000000005</v>
      </c>
      <c r="R669" s="1">
        <f ca="1">IFERROR(__xludf.DUMMYFUNCTION("""COMPUTED_VALUE"""),99.09)</f>
        <v>99.09</v>
      </c>
      <c r="S669" s="1">
        <f ca="1">IFERROR(__xludf.DUMMYFUNCTION("""COMPUTED_VALUE"""),89.39)</f>
        <v>89.39</v>
      </c>
      <c r="T669" s="1">
        <f ca="1">IFERROR(__xludf.DUMMYFUNCTION("""COMPUTED_VALUE"""),45.29)</f>
        <v>45.29</v>
      </c>
      <c r="U669" s="1">
        <f ca="1">IFERROR(__xludf.DUMMYFUNCTION("""COMPUTED_VALUE"""),113.22)</f>
        <v>113.22</v>
      </c>
      <c r="V669" s="1">
        <f ca="1">IFERROR(__xludf.DUMMYFUNCTION("""COMPUTED_VALUE"""),198.88)</f>
        <v>198.88</v>
      </c>
      <c r="W669" s="1">
        <f ca="1">IFERROR(__xludf.DUMMYFUNCTION("""COMPUTED_VALUE"""),438.64)</f>
        <v>438.64</v>
      </c>
      <c r="X669" s="1">
        <f ca="1">IFERROR(__xludf.DUMMYFUNCTION("""COMPUTED_VALUE"""),539.74)</f>
        <v>539.74</v>
      </c>
      <c r="Y669" s="1">
        <f ca="1">IFERROR(__xludf.DUMMYFUNCTION("""COMPUTED_VALUE"""),87.57)</f>
        <v>87.57</v>
      </c>
      <c r="Z669" s="1">
        <f ca="1">IFERROR(__xludf.DUMMYFUNCTION("""COMPUTED_VALUE"""),346.49)</f>
        <v>346.49</v>
      </c>
      <c r="AA669" s="1">
        <f ca="1">IFERROR(__xludf.DUMMYFUNCTION("""COMPUTED_VALUE"""),47.9)</f>
        <v>47.9</v>
      </c>
      <c r="AB669" s="1">
        <f ca="1">IFERROR(__xludf.DUMMYFUNCTION("""COMPUTED_VALUE"""),87.39)</f>
        <v>87.39</v>
      </c>
      <c r="AC669" s="1">
        <f ca="1">IFERROR(__xludf.DUMMYFUNCTION("""COMPUTED_VALUE"""),97.18)</f>
        <v>97.18</v>
      </c>
    </row>
    <row r="670" spans="1:29" x14ac:dyDescent="0.25">
      <c r="A670" s="2">
        <f ca="1">IFERROR(__xludf.DUMMYFUNCTION("""COMPUTED_VALUE"""),44799.6666666666)</f>
        <v>44799.666666666599</v>
      </c>
      <c r="B670" s="1">
        <f ca="1">IFERROR(__xludf.DUMMYFUNCTION("""COMPUTED_VALUE"""),163.62)</f>
        <v>163.62</v>
      </c>
      <c r="C670" s="1">
        <f ca="1">IFERROR(__xludf.DUMMYFUNCTION("""COMPUTED_VALUE"""),268.09)</f>
        <v>268.08999999999997</v>
      </c>
      <c r="D670" s="1">
        <f ca="1">IFERROR(__xludf.DUMMYFUNCTION("""COMPUTED_VALUE"""),130.75)</f>
        <v>130.75</v>
      </c>
      <c r="E670" s="1">
        <f ca="1">IFERROR(__xludf.DUMMYFUNCTION("""COMPUTED_VALUE"""),16.26)</f>
        <v>16.260000000000002</v>
      </c>
      <c r="F670" s="1">
        <f ca="1">IFERROR(__xludf.DUMMYFUNCTION("""COMPUTED_VALUE"""),161.78)</f>
        <v>161.78</v>
      </c>
      <c r="G670" s="1">
        <f ca="1">IFERROR(__xludf.DUMMYFUNCTION("""COMPUTED_VALUE"""),111.3)</f>
        <v>111.3</v>
      </c>
      <c r="H670" s="1">
        <f ca="1">IFERROR(__xludf.DUMMYFUNCTION("""COMPUTED_VALUE"""),288.09)</f>
        <v>288.08999999999997</v>
      </c>
      <c r="I670" s="1">
        <f ca="1">IFERROR(__xludf.DUMMYFUNCTION("""COMPUTED_VALUE"""),175.04)</f>
        <v>175.04</v>
      </c>
      <c r="J670" s="1">
        <f ca="1">IFERROR(__xludf.DUMMYFUNCTION("""COMPUTED_VALUE"""),531.82)</f>
        <v>531.82000000000005</v>
      </c>
      <c r="K670" s="1">
        <f ca="1">IFERROR(__xludf.DUMMYFUNCTION("""COMPUTED_VALUE"""),52.09)</f>
        <v>52.09</v>
      </c>
      <c r="L670" s="1">
        <f ca="1">IFERROR(__xludf.DUMMYFUNCTION("""COMPUTED_VALUE"""),381.02)</f>
        <v>381.02</v>
      </c>
      <c r="M670" s="1">
        <f ca="1">IFERROR(__xludf.DUMMYFUNCTION("""COMPUTED_VALUE"""),223.28)</f>
        <v>223.28</v>
      </c>
      <c r="N670" s="1">
        <f ca="1">IFERROR(__xludf.DUMMYFUNCTION("""COMPUTED_VALUE"""),114.67)</f>
        <v>114.67</v>
      </c>
      <c r="O670" s="1">
        <f ca="1">IFERROR(__xludf.DUMMYFUNCTION("""COMPUTED_VALUE"""),202.89)</f>
        <v>202.89</v>
      </c>
      <c r="P670" s="1">
        <f ca="1">IFERROR(__xludf.DUMMYFUNCTION("""COMPUTED_VALUE"""),164.27)</f>
        <v>164.27</v>
      </c>
      <c r="Q670" s="1">
        <f ca="1">IFERROR(__xludf.DUMMYFUNCTION("""COMPUTED_VALUE"""),529.25)</f>
        <v>529.25</v>
      </c>
      <c r="R670" s="1">
        <f ca="1">IFERROR(__xludf.DUMMYFUNCTION("""COMPUTED_VALUE"""),97.87)</f>
        <v>97.87</v>
      </c>
      <c r="S670" s="1">
        <f ca="1">IFERROR(__xludf.DUMMYFUNCTION("""COMPUTED_VALUE"""),88.06)</f>
        <v>88.06</v>
      </c>
      <c r="T670" s="1">
        <f ca="1">IFERROR(__xludf.DUMMYFUNCTION("""COMPUTED_VALUE"""),43.87)</f>
        <v>43.87</v>
      </c>
      <c r="U670" s="1">
        <f ca="1">IFERROR(__xludf.DUMMYFUNCTION("""COMPUTED_VALUE"""),108.28)</f>
        <v>108.28</v>
      </c>
      <c r="V670" s="1">
        <f ca="1">IFERROR(__xludf.DUMMYFUNCTION("""COMPUTED_VALUE"""),191.92)</f>
        <v>191.92</v>
      </c>
      <c r="W670" s="1">
        <f ca="1">IFERROR(__xludf.DUMMYFUNCTION("""COMPUTED_VALUE"""),431.13)</f>
        <v>431.13</v>
      </c>
      <c r="X670" s="1">
        <f ca="1">IFERROR(__xludf.DUMMYFUNCTION("""COMPUTED_VALUE"""),509.94)</f>
        <v>509.94</v>
      </c>
      <c r="Y670" s="1">
        <f ca="1">IFERROR(__xludf.DUMMYFUNCTION("""COMPUTED_VALUE"""),84.74)</f>
        <v>84.74</v>
      </c>
      <c r="Z670" s="1">
        <f ca="1">IFERROR(__xludf.DUMMYFUNCTION("""COMPUTED_VALUE"""),336.4)</f>
        <v>336.4</v>
      </c>
      <c r="AA670" s="1">
        <f ca="1">IFERROR(__xludf.DUMMYFUNCTION("""COMPUTED_VALUE"""),46.82)</f>
        <v>46.82</v>
      </c>
      <c r="AB670" s="1">
        <f ca="1">IFERROR(__xludf.DUMMYFUNCTION("""COMPUTED_VALUE"""),84.06)</f>
        <v>84.06</v>
      </c>
      <c r="AC670" s="1">
        <f ca="1">IFERROR(__xludf.DUMMYFUNCTION("""COMPUTED_VALUE"""),91.18)</f>
        <v>91.18</v>
      </c>
    </row>
    <row r="671" spans="1:29" x14ac:dyDescent="0.25">
      <c r="A671" s="2">
        <f ca="1">IFERROR(__xludf.DUMMYFUNCTION("""COMPUTED_VALUE"""),44802.6666666666)</f>
        <v>44802.666666666599</v>
      </c>
      <c r="B671" s="1">
        <f ca="1">IFERROR(__xludf.DUMMYFUNCTION("""COMPUTED_VALUE"""),161.38)</f>
        <v>161.38</v>
      </c>
      <c r="C671" s="1">
        <f ca="1">IFERROR(__xludf.DUMMYFUNCTION("""COMPUTED_VALUE"""),265.23)</f>
        <v>265.23</v>
      </c>
      <c r="D671" s="1">
        <f ca="1">IFERROR(__xludf.DUMMYFUNCTION("""COMPUTED_VALUE"""),129.79)</f>
        <v>129.79</v>
      </c>
      <c r="E671" s="1">
        <f ca="1">IFERROR(__xludf.DUMMYFUNCTION("""COMPUTED_VALUE"""),15.8)</f>
        <v>15.8</v>
      </c>
      <c r="F671" s="1">
        <f ca="1">IFERROR(__xludf.DUMMYFUNCTION("""COMPUTED_VALUE"""),159.17)</f>
        <v>159.16999999999999</v>
      </c>
      <c r="G671" s="1">
        <f ca="1">IFERROR(__xludf.DUMMYFUNCTION("""COMPUTED_VALUE"""),110.34)</f>
        <v>110.34</v>
      </c>
      <c r="H671" s="1">
        <f ca="1">IFERROR(__xludf.DUMMYFUNCTION("""COMPUTED_VALUE"""),284.82)</f>
        <v>284.82</v>
      </c>
      <c r="I671" s="1">
        <f ca="1">IFERROR(__xludf.DUMMYFUNCTION("""COMPUTED_VALUE"""),174.49)</f>
        <v>174.49</v>
      </c>
      <c r="J671" s="1">
        <f ca="1">IFERROR(__xludf.DUMMYFUNCTION("""COMPUTED_VALUE"""),531.06)</f>
        <v>531.05999999999995</v>
      </c>
      <c r="K671" s="1">
        <f ca="1">IFERROR(__xludf.DUMMYFUNCTION("""COMPUTED_VALUE"""),51.42)</f>
        <v>51.42</v>
      </c>
      <c r="L671" s="1">
        <f ca="1">IFERROR(__xludf.DUMMYFUNCTION("""COMPUTED_VALUE"""),375.26)</f>
        <v>375.26</v>
      </c>
      <c r="M671" s="1">
        <f ca="1">IFERROR(__xludf.DUMMYFUNCTION("""COMPUTED_VALUE"""),224.57)</f>
        <v>224.57</v>
      </c>
      <c r="N671" s="1">
        <f ca="1">IFERROR(__xludf.DUMMYFUNCTION("""COMPUTED_VALUE"""),114.39)</f>
        <v>114.39</v>
      </c>
      <c r="O671" s="1">
        <f ca="1">IFERROR(__xludf.DUMMYFUNCTION("""COMPUTED_VALUE"""),202.33)</f>
        <v>202.33</v>
      </c>
      <c r="P671" s="1">
        <f ca="1">IFERROR(__xludf.DUMMYFUNCTION("""COMPUTED_VALUE"""),163)</f>
        <v>163</v>
      </c>
      <c r="Q671" s="1">
        <f ca="1">IFERROR(__xludf.DUMMYFUNCTION("""COMPUTED_VALUE"""),529.77)</f>
        <v>529.77</v>
      </c>
      <c r="R671" s="1">
        <f ca="1">IFERROR(__xludf.DUMMYFUNCTION("""COMPUTED_VALUE"""),100.12)</f>
        <v>100.12</v>
      </c>
      <c r="S671" s="1">
        <f ca="1">IFERROR(__xludf.DUMMYFUNCTION("""COMPUTED_VALUE"""),87.02)</f>
        <v>87.02</v>
      </c>
      <c r="T671" s="1">
        <f ca="1">IFERROR(__xludf.DUMMYFUNCTION("""COMPUTED_VALUE"""),44.29)</f>
        <v>44.29</v>
      </c>
      <c r="U671" s="1">
        <f ca="1">IFERROR(__xludf.DUMMYFUNCTION("""COMPUTED_VALUE"""),107.88)</f>
        <v>107.88</v>
      </c>
      <c r="V671" s="1">
        <f ca="1">IFERROR(__xludf.DUMMYFUNCTION("""COMPUTED_VALUE"""),191.78)</f>
        <v>191.78</v>
      </c>
      <c r="W671" s="1">
        <f ca="1">IFERROR(__xludf.DUMMYFUNCTION("""COMPUTED_VALUE"""),429.68)</f>
        <v>429.68</v>
      </c>
      <c r="X671" s="1">
        <f ca="1">IFERROR(__xludf.DUMMYFUNCTION("""COMPUTED_VALUE"""),499.88)</f>
        <v>499.88</v>
      </c>
      <c r="Y671" s="1">
        <f ca="1">IFERROR(__xludf.DUMMYFUNCTION("""COMPUTED_VALUE"""),82.85)</f>
        <v>82.85</v>
      </c>
      <c r="Z671" s="1">
        <f ca="1">IFERROR(__xludf.DUMMYFUNCTION("""COMPUTED_VALUE"""),333.92)</f>
        <v>333.92</v>
      </c>
      <c r="AA671" s="1">
        <f ca="1">IFERROR(__xludf.DUMMYFUNCTION("""COMPUTED_VALUE"""),46.23)</f>
        <v>46.23</v>
      </c>
      <c r="AB671" s="1">
        <f ca="1">IFERROR(__xludf.DUMMYFUNCTION("""COMPUTED_VALUE"""),84.12)</f>
        <v>84.12</v>
      </c>
      <c r="AC671" s="1">
        <f ca="1">IFERROR(__xludf.DUMMYFUNCTION("""COMPUTED_VALUE"""),88.49)</f>
        <v>88.49</v>
      </c>
    </row>
    <row r="672" spans="1:29" x14ac:dyDescent="0.25">
      <c r="A672" s="2">
        <f ca="1">IFERROR(__xludf.DUMMYFUNCTION("""COMPUTED_VALUE"""),44803.6666666666)</f>
        <v>44803.666666666599</v>
      </c>
      <c r="B672" s="1">
        <f ca="1">IFERROR(__xludf.DUMMYFUNCTION("""COMPUTED_VALUE"""),158.91)</f>
        <v>158.91</v>
      </c>
      <c r="C672" s="1">
        <f ca="1">IFERROR(__xludf.DUMMYFUNCTION("""COMPUTED_VALUE"""),262.97)</f>
        <v>262.97000000000003</v>
      </c>
      <c r="D672" s="1">
        <f ca="1">IFERROR(__xludf.DUMMYFUNCTION("""COMPUTED_VALUE"""),128.73)</f>
        <v>128.72999999999999</v>
      </c>
      <c r="E672" s="1">
        <f ca="1">IFERROR(__xludf.DUMMYFUNCTION("""COMPUTED_VALUE"""),15.47)</f>
        <v>15.47</v>
      </c>
      <c r="F672" s="1">
        <f ca="1">IFERROR(__xludf.DUMMYFUNCTION("""COMPUTED_VALUE"""),157.16)</f>
        <v>157.16</v>
      </c>
      <c r="G672" s="1">
        <f ca="1">IFERROR(__xludf.DUMMYFUNCTION("""COMPUTED_VALUE"""),109.91)</f>
        <v>109.91</v>
      </c>
      <c r="H672" s="1">
        <f ca="1">IFERROR(__xludf.DUMMYFUNCTION("""COMPUTED_VALUE"""),277.7)</f>
        <v>277.7</v>
      </c>
      <c r="I672" s="1">
        <f ca="1">IFERROR(__xludf.DUMMYFUNCTION("""COMPUTED_VALUE"""),172.99)</f>
        <v>172.99</v>
      </c>
      <c r="J672" s="1">
        <f ca="1">IFERROR(__xludf.DUMMYFUNCTION("""COMPUTED_VALUE"""),524.14)</f>
        <v>524.14</v>
      </c>
      <c r="K672" s="1">
        <f ca="1">IFERROR(__xludf.DUMMYFUNCTION("""COMPUTED_VALUE"""),50.64)</f>
        <v>50.64</v>
      </c>
      <c r="L672" s="1">
        <f ca="1">IFERROR(__xludf.DUMMYFUNCTION("""COMPUTED_VALUE"""),375.07)</f>
        <v>375.07</v>
      </c>
      <c r="M672" s="1">
        <f ca="1">IFERROR(__xludf.DUMMYFUNCTION("""COMPUTED_VALUE"""),220.65)</f>
        <v>220.65</v>
      </c>
      <c r="N672" s="1">
        <f ca="1">IFERROR(__xludf.DUMMYFUNCTION("""COMPUTED_VALUE"""),114.41)</f>
        <v>114.41</v>
      </c>
      <c r="O672" s="1">
        <f ca="1">IFERROR(__xludf.DUMMYFUNCTION("""COMPUTED_VALUE"""),201.38)</f>
        <v>201.38</v>
      </c>
      <c r="P672" s="1">
        <f ca="1">IFERROR(__xludf.DUMMYFUNCTION("""COMPUTED_VALUE"""),162.43)</f>
        <v>162.43</v>
      </c>
      <c r="Q672" s="1">
        <f ca="1">IFERROR(__xludf.DUMMYFUNCTION("""COMPUTED_VALUE"""),522.84)</f>
        <v>522.84</v>
      </c>
      <c r="R672" s="1">
        <f ca="1">IFERROR(__xludf.DUMMYFUNCTION("""COMPUTED_VALUE"""),96.31)</f>
        <v>96.31</v>
      </c>
      <c r="S672" s="1">
        <f ca="1">IFERROR(__xludf.DUMMYFUNCTION("""COMPUTED_VALUE"""),85.7)</f>
        <v>85.7</v>
      </c>
      <c r="T672" s="1">
        <f ca="1">IFERROR(__xludf.DUMMYFUNCTION("""COMPUTED_VALUE"""),44.16)</f>
        <v>44.16</v>
      </c>
      <c r="U672" s="1">
        <f ca="1">IFERROR(__xludf.DUMMYFUNCTION("""COMPUTED_VALUE"""),107.86)</f>
        <v>107.86</v>
      </c>
      <c r="V672" s="1">
        <f ca="1">IFERROR(__xludf.DUMMYFUNCTION("""COMPUTED_VALUE"""),186.94)</f>
        <v>186.94</v>
      </c>
      <c r="W672" s="1">
        <f ca="1">IFERROR(__xludf.DUMMYFUNCTION("""COMPUTED_VALUE"""),425.11)</f>
        <v>425.11</v>
      </c>
      <c r="X672" s="1">
        <f ca="1">IFERROR(__xludf.DUMMYFUNCTION("""COMPUTED_VALUE"""),493.02)</f>
        <v>493.02</v>
      </c>
      <c r="Y672" s="1">
        <f ca="1">IFERROR(__xludf.DUMMYFUNCTION("""COMPUTED_VALUE"""),82.79)</f>
        <v>82.79</v>
      </c>
      <c r="Z672" s="1">
        <f ca="1">IFERROR(__xludf.DUMMYFUNCTION("""COMPUTED_VALUE"""),333.63)</f>
        <v>333.63</v>
      </c>
      <c r="AA672" s="1">
        <f ca="1">IFERROR(__xludf.DUMMYFUNCTION("""COMPUTED_VALUE"""),45.85)</f>
        <v>45.85</v>
      </c>
      <c r="AB672" s="1">
        <f ca="1">IFERROR(__xludf.DUMMYFUNCTION("""COMPUTED_VALUE"""),83.41)</f>
        <v>83.41</v>
      </c>
      <c r="AC672" s="1">
        <f ca="1">IFERROR(__xludf.DUMMYFUNCTION("""COMPUTED_VALUE"""),86.94)</f>
        <v>86.94</v>
      </c>
    </row>
    <row r="673" spans="1:29" x14ac:dyDescent="0.25">
      <c r="A673" s="2">
        <f ca="1">IFERROR(__xludf.DUMMYFUNCTION("""COMPUTED_VALUE"""),44804.6666666666)</f>
        <v>44804.666666666599</v>
      </c>
      <c r="B673" s="1">
        <f ca="1">IFERROR(__xludf.DUMMYFUNCTION("""COMPUTED_VALUE"""),157.22)</f>
        <v>157.22</v>
      </c>
      <c r="C673" s="1">
        <f ca="1">IFERROR(__xludf.DUMMYFUNCTION("""COMPUTED_VALUE"""),261.47)</f>
        <v>261.47000000000003</v>
      </c>
      <c r="D673" s="1">
        <f ca="1">IFERROR(__xludf.DUMMYFUNCTION("""COMPUTED_VALUE"""),126.77)</f>
        <v>126.77</v>
      </c>
      <c r="E673" s="1">
        <f ca="1">IFERROR(__xludf.DUMMYFUNCTION("""COMPUTED_VALUE"""),15.09)</f>
        <v>15.09</v>
      </c>
      <c r="F673" s="1">
        <f ca="1">IFERROR(__xludf.DUMMYFUNCTION("""COMPUTED_VALUE"""),162.93)</f>
        <v>162.93</v>
      </c>
      <c r="G673" s="1">
        <f ca="1">IFERROR(__xludf.DUMMYFUNCTION("""COMPUTED_VALUE"""),109.15)</f>
        <v>109.15</v>
      </c>
      <c r="H673" s="1">
        <f ca="1">IFERROR(__xludf.DUMMYFUNCTION("""COMPUTED_VALUE"""),275.61)</f>
        <v>275.61</v>
      </c>
      <c r="I673" s="1">
        <f ca="1">IFERROR(__xludf.DUMMYFUNCTION("""COMPUTED_VALUE"""),172.27)</f>
        <v>172.27</v>
      </c>
      <c r="J673" s="1">
        <f ca="1">IFERROR(__xludf.DUMMYFUNCTION("""COMPUTED_VALUE"""),522.1)</f>
        <v>522.1</v>
      </c>
      <c r="K673" s="1">
        <f ca="1">IFERROR(__xludf.DUMMYFUNCTION("""COMPUTED_VALUE"""),49.91)</f>
        <v>49.91</v>
      </c>
      <c r="L673" s="1">
        <f ca="1">IFERROR(__xludf.DUMMYFUNCTION("""COMPUTED_VALUE"""),373.44)</f>
        <v>373.44</v>
      </c>
      <c r="M673" s="1">
        <f ca="1">IFERROR(__xludf.DUMMYFUNCTION("""COMPUTED_VALUE"""),223.56)</f>
        <v>223.56</v>
      </c>
      <c r="N673" s="1">
        <f ca="1">IFERROR(__xludf.DUMMYFUNCTION("""COMPUTED_VALUE"""),113.73)</f>
        <v>113.73</v>
      </c>
      <c r="O673" s="1">
        <f ca="1">IFERROR(__xludf.DUMMYFUNCTION("""COMPUTED_VALUE"""),198.71)</f>
        <v>198.71</v>
      </c>
      <c r="P673" s="1">
        <f ca="1">IFERROR(__xludf.DUMMYFUNCTION("""COMPUTED_VALUE"""),161.34)</f>
        <v>161.34</v>
      </c>
      <c r="Q673" s="1">
        <f ca="1">IFERROR(__xludf.DUMMYFUNCTION("""COMPUTED_VALUE"""),519.33)</f>
        <v>519.33000000000004</v>
      </c>
      <c r="R673" s="1">
        <f ca="1">IFERROR(__xludf.DUMMYFUNCTION("""COMPUTED_VALUE"""),95.59)</f>
        <v>95.59</v>
      </c>
      <c r="S673" s="1">
        <f ca="1">IFERROR(__xludf.DUMMYFUNCTION("""COMPUTED_VALUE"""),85.06)</f>
        <v>85.06</v>
      </c>
      <c r="T673" s="1">
        <f ca="1">IFERROR(__xludf.DUMMYFUNCTION("""COMPUTED_VALUE"""),44.18)</f>
        <v>44.18</v>
      </c>
      <c r="U673" s="1">
        <f ca="1">IFERROR(__xludf.DUMMYFUNCTION("""COMPUTED_VALUE"""),106.45)</f>
        <v>106.45</v>
      </c>
      <c r="V673" s="1">
        <f ca="1">IFERROR(__xludf.DUMMYFUNCTION("""COMPUTED_VALUE"""),184.71)</f>
        <v>184.71</v>
      </c>
      <c r="W673" s="1">
        <f ca="1">IFERROR(__xludf.DUMMYFUNCTION("""COMPUTED_VALUE"""),420.11)</f>
        <v>420.11</v>
      </c>
      <c r="X673" s="1">
        <f ca="1">IFERROR(__xludf.DUMMYFUNCTION("""COMPUTED_VALUE"""),489.94)</f>
        <v>489.94</v>
      </c>
      <c r="Y673" s="1">
        <f ca="1">IFERROR(__xludf.DUMMYFUNCTION("""COMPUTED_VALUE"""),83.35)</f>
        <v>83.35</v>
      </c>
      <c r="Z673" s="1">
        <f ca="1">IFERROR(__xludf.DUMMYFUNCTION("""COMPUTED_VALUE"""),332.67)</f>
        <v>332.67</v>
      </c>
      <c r="AA673" s="1">
        <f ca="1">IFERROR(__xludf.DUMMYFUNCTION("""COMPUTED_VALUE"""),45.23)</f>
        <v>45.23</v>
      </c>
      <c r="AB673" s="1">
        <f ca="1">IFERROR(__xludf.DUMMYFUNCTION("""COMPUTED_VALUE"""),84.07)</f>
        <v>84.07</v>
      </c>
      <c r="AC673" s="1">
        <f ca="1">IFERROR(__xludf.DUMMYFUNCTION("""COMPUTED_VALUE"""),84.87)</f>
        <v>84.87</v>
      </c>
    </row>
    <row r="674" spans="1:29" x14ac:dyDescent="0.25">
      <c r="A674" s="2">
        <f ca="1">IFERROR(__xludf.DUMMYFUNCTION("""COMPUTED_VALUE"""),44805.6666666666)</f>
        <v>44805.666666666599</v>
      </c>
      <c r="B674" s="1">
        <f ca="1">IFERROR(__xludf.DUMMYFUNCTION("""COMPUTED_VALUE"""),157.96)</f>
        <v>157.96</v>
      </c>
      <c r="C674" s="1">
        <f ca="1">IFERROR(__xludf.DUMMYFUNCTION("""COMPUTED_VALUE"""),260.4)</f>
        <v>260.39999999999998</v>
      </c>
      <c r="D674" s="1">
        <f ca="1">IFERROR(__xludf.DUMMYFUNCTION("""COMPUTED_VALUE"""),127.82)</f>
        <v>127.82</v>
      </c>
      <c r="E674" s="1">
        <f ca="1">IFERROR(__xludf.DUMMYFUNCTION("""COMPUTED_VALUE"""),13.94)</f>
        <v>13.94</v>
      </c>
      <c r="F674" s="1">
        <f ca="1">IFERROR(__xludf.DUMMYFUNCTION("""COMPUTED_VALUE"""),165.36)</f>
        <v>165.36</v>
      </c>
      <c r="G674" s="1">
        <f ca="1">IFERROR(__xludf.DUMMYFUNCTION("""COMPUTED_VALUE"""),110.55)</f>
        <v>110.55</v>
      </c>
      <c r="H674" s="1">
        <f ca="1">IFERROR(__xludf.DUMMYFUNCTION("""COMPUTED_VALUE"""),277.16)</f>
        <v>277.16000000000003</v>
      </c>
      <c r="I674" s="1">
        <f ca="1">IFERROR(__xludf.DUMMYFUNCTION("""COMPUTED_VALUE"""),172.85)</f>
        <v>172.85</v>
      </c>
      <c r="J674" s="1">
        <f ca="1">IFERROR(__xludf.DUMMYFUNCTION("""COMPUTED_VALUE"""),529.17)</f>
        <v>529.16999999999996</v>
      </c>
      <c r="K674" s="1">
        <f ca="1">IFERROR(__xludf.DUMMYFUNCTION("""COMPUTED_VALUE"""),49.2)</f>
        <v>49.2</v>
      </c>
      <c r="L674" s="1">
        <f ca="1">IFERROR(__xludf.DUMMYFUNCTION("""COMPUTED_VALUE"""),370.53)</f>
        <v>370.53</v>
      </c>
      <c r="M674" s="1">
        <f ca="1">IFERROR(__xludf.DUMMYFUNCTION("""COMPUTED_VALUE"""),230.04)</f>
        <v>230.04</v>
      </c>
      <c r="N674" s="1">
        <f ca="1">IFERROR(__xludf.DUMMYFUNCTION("""COMPUTED_VALUE"""),114.51)</f>
        <v>114.51</v>
      </c>
      <c r="O674" s="1">
        <f ca="1">IFERROR(__xludf.DUMMYFUNCTION("""COMPUTED_VALUE"""),200.13)</f>
        <v>200.13</v>
      </c>
      <c r="P674" s="1">
        <f ca="1">IFERROR(__xludf.DUMMYFUNCTION("""COMPUTED_VALUE"""),165.34)</f>
        <v>165.34</v>
      </c>
      <c r="Q674" s="1">
        <f ca="1">IFERROR(__xludf.DUMMYFUNCTION("""COMPUTED_VALUE"""),524)</f>
        <v>524</v>
      </c>
      <c r="R674" s="1">
        <f ca="1">IFERROR(__xludf.DUMMYFUNCTION("""COMPUTED_VALUE"""),93.87)</f>
        <v>93.87</v>
      </c>
      <c r="S674" s="1">
        <f ca="1">IFERROR(__xludf.DUMMYFUNCTION("""COMPUTED_VALUE"""),86.26)</f>
        <v>86.26</v>
      </c>
      <c r="T674" s="1">
        <f ca="1">IFERROR(__xludf.DUMMYFUNCTION("""COMPUTED_VALUE"""),44.83)</f>
        <v>44.83</v>
      </c>
      <c r="U674" s="1">
        <f ca="1">IFERROR(__xludf.DUMMYFUNCTION("""COMPUTED_VALUE"""),106.49)</f>
        <v>106.49</v>
      </c>
      <c r="V674" s="1">
        <f ca="1">IFERROR(__xludf.DUMMYFUNCTION("""COMPUTED_VALUE"""),182.44)</f>
        <v>182.44</v>
      </c>
      <c r="W674" s="1">
        <f ca="1">IFERROR(__xludf.DUMMYFUNCTION("""COMPUTED_VALUE"""),422.61)</f>
        <v>422.61</v>
      </c>
      <c r="X674" s="1">
        <f ca="1">IFERROR(__xludf.DUMMYFUNCTION("""COMPUTED_VALUE"""),469.92)</f>
        <v>469.92</v>
      </c>
      <c r="Y674" s="1">
        <f ca="1">IFERROR(__xludf.DUMMYFUNCTION("""COMPUTED_VALUE"""),81.64)</f>
        <v>81.64</v>
      </c>
      <c r="Z674" s="1">
        <f ca="1">IFERROR(__xludf.DUMMYFUNCTION("""COMPUTED_VALUE"""),333.5)</f>
        <v>333.5</v>
      </c>
      <c r="AA674" s="1">
        <f ca="1">IFERROR(__xludf.DUMMYFUNCTION("""COMPUTED_VALUE"""),46.63)</f>
        <v>46.63</v>
      </c>
      <c r="AB674" s="1">
        <f ca="1">IFERROR(__xludf.DUMMYFUNCTION("""COMPUTED_VALUE"""),85.4)</f>
        <v>85.4</v>
      </c>
      <c r="AC674" s="1">
        <f ca="1">IFERROR(__xludf.DUMMYFUNCTION("""COMPUTED_VALUE"""),82.33)</f>
        <v>82.33</v>
      </c>
    </row>
    <row r="675" spans="1:29" x14ac:dyDescent="0.25">
      <c r="A675" s="2">
        <f ca="1">IFERROR(__xludf.DUMMYFUNCTION("""COMPUTED_VALUE"""),44806.6666666666)</f>
        <v>44806.666666666599</v>
      </c>
      <c r="B675" s="1">
        <f ca="1">IFERROR(__xludf.DUMMYFUNCTION("""COMPUTED_VALUE"""),155.81)</f>
        <v>155.81</v>
      </c>
      <c r="C675" s="1">
        <f ca="1">IFERROR(__xludf.DUMMYFUNCTION("""COMPUTED_VALUE"""),256.06)</f>
        <v>256.06</v>
      </c>
      <c r="D675" s="1">
        <f ca="1">IFERROR(__xludf.DUMMYFUNCTION("""COMPUTED_VALUE"""),127.51)</f>
        <v>127.51</v>
      </c>
      <c r="E675" s="1">
        <f ca="1">IFERROR(__xludf.DUMMYFUNCTION("""COMPUTED_VALUE"""),13.65)</f>
        <v>13.65</v>
      </c>
      <c r="F675" s="1">
        <f ca="1">IFERROR(__xludf.DUMMYFUNCTION("""COMPUTED_VALUE"""),160.32)</f>
        <v>160.32</v>
      </c>
      <c r="G675" s="1">
        <f ca="1">IFERROR(__xludf.DUMMYFUNCTION("""COMPUTED_VALUE"""),108.68)</f>
        <v>108.68</v>
      </c>
      <c r="H675" s="1">
        <f ca="1">IFERROR(__xludf.DUMMYFUNCTION("""COMPUTED_VALUE"""),270.21)</f>
        <v>270.20999999999998</v>
      </c>
      <c r="I675" s="1">
        <f ca="1">IFERROR(__xludf.DUMMYFUNCTION("""COMPUTED_VALUE"""),170.66)</f>
        <v>170.66</v>
      </c>
      <c r="J675" s="1">
        <f ca="1">IFERROR(__xludf.DUMMYFUNCTION("""COMPUTED_VALUE"""),519.11)</f>
        <v>519.11</v>
      </c>
      <c r="K675" s="1">
        <f ca="1">IFERROR(__xludf.DUMMYFUNCTION("""COMPUTED_VALUE"""),50.02)</f>
        <v>50.02</v>
      </c>
      <c r="L675" s="1">
        <f ca="1">IFERROR(__xludf.DUMMYFUNCTION("""COMPUTED_VALUE"""),368.14)</f>
        <v>368.14</v>
      </c>
      <c r="M675" s="1">
        <f ca="1">IFERROR(__xludf.DUMMYFUNCTION("""COMPUTED_VALUE"""),226.11)</f>
        <v>226.11</v>
      </c>
      <c r="N675" s="1">
        <f ca="1">IFERROR(__xludf.DUMMYFUNCTION("""COMPUTED_VALUE"""),113.71)</f>
        <v>113.71</v>
      </c>
      <c r="O675" s="1">
        <f ca="1">IFERROR(__xludf.DUMMYFUNCTION("""COMPUTED_VALUE"""),197.76)</f>
        <v>197.76</v>
      </c>
      <c r="P675" s="1">
        <f ca="1">IFERROR(__xludf.DUMMYFUNCTION("""COMPUTED_VALUE"""),162.74)</f>
        <v>162.74</v>
      </c>
      <c r="Q675" s="1">
        <f ca="1">IFERROR(__xludf.DUMMYFUNCTION("""COMPUTED_VALUE"""),516.35)</f>
        <v>516.35</v>
      </c>
      <c r="R675" s="1">
        <f ca="1">IFERROR(__xludf.DUMMYFUNCTION("""COMPUTED_VALUE"""),95.59)</f>
        <v>95.59</v>
      </c>
      <c r="S675" s="1">
        <f ca="1">IFERROR(__xludf.DUMMYFUNCTION("""COMPUTED_VALUE"""),85.11)</f>
        <v>85.11</v>
      </c>
      <c r="T675" s="1">
        <f ca="1">IFERROR(__xludf.DUMMYFUNCTION("""COMPUTED_VALUE"""),44.33)</f>
        <v>44.33</v>
      </c>
      <c r="U675" s="1">
        <f ca="1">IFERROR(__xludf.DUMMYFUNCTION("""COMPUTED_VALUE"""),105.74)</f>
        <v>105.74</v>
      </c>
      <c r="V675" s="1">
        <f ca="1">IFERROR(__xludf.DUMMYFUNCTION("""COMPUTED_VALUE"""),180.83)</f>
        <v>180.83</v>
      </c>
      <c r="W675" s="1">
        <f ca="1">IFERROR(__xludf.DUMMYFUNCTION("""COMPUTED_VALUE"""),418.57)</f>
        <v>418.57</v>
      </c>
      <c r="X675" s="1">
        <f ca="1">IFERROR(__xludf.DUMMYFUNCTION("""COMPUTED_VALUE"""),467.19)</f>
        <v>467.19</v>
      </c>
      <c r="Y675" s="1">
        <f ca="1">IFERROR(__xludf.DUMMYFUNCTION("""COMPUTED_VALUE"""),80.9)</f>
        <v>80.900000000000006</v>
      </c>
      <c r="Z675" s="1">
        <f ca="1">IFERROR(__xludf.DUMMYFUNCTION("""COMPUTED_VALUE"""),331.48)</f>
        <v>331.48</v>
      </c>
      <c r="AA675" s="1">
        <f ca="1">IFERROR(__xludf.DUMMYFUNCTION("""COMPUTED_VALUE"""),45.7)</f>
        <v>45.7</v>
      </c>
      <c r="AB675" s="1">
        <f ca="1">IFERROR(__xludf.DUMMYFUNCTION("""COMPUTED_VALUE"""),82.94)</f>
        <v>82.94</v>
      </c>
      <c r="AC675" s="1">
        <f ca="1">IFERROR(__xludf.DUMMYFUNCTION("""COMPUTED_VALUE"""),80.24)</f>
        <v>80.239999999999995</v>
      </c>
    </row>
    <row r="676" spans="1:29" x14ac:dyDescent="0.25">
      <c r="A676" s="2">
        <f ca="1">IFERROR(__xludf.DUMMYFUNCTION("""COMPUTED_VALUE"""),44810.6666666666)</f>
        <v>44810.666666666599</v>
      </c>
      <c r="B676" s="1">
        <f ca="1">IFERROR(__xludf.DUMMYFUNCTION("""COMPUTED_VALUE"""),154.53)</f>
        <v>154.53</v>
      </c>
      <c r="C676" s="1">
        <f ca="1">IFERROR(__xludf.DUMMYFUNCTION("""COMPUTED_VALUE"""),253.25)</f>
        <v>253.25</v>
      </c>
      <c r="D676" s="1">
        <f ca="1">IFERROR(__xludf.DUMMYFUNCTION("""COMPUTED_VALUE"""),126.11)</f>
        <v>126.11</v>
      </c>
      <c r="E676" s="1">
        <f ca="1">IFERROR(__xludf.DUMMYFUNCTION("""COMPUTED_VALUE"""),13.47)</f>
        <v>13.47</v>
      </c>
      <c r="F676" s="1">
        <f ca="1">IFERROR(__xludf.DUMMYFUNCTION("""COMPUTED_VALUE"""),158.54)</f>
        <v>158.54</v>
      </c>
      <c r="G676" s="1">
        <f ca="1">IFERROR(__xludf.DUMMYFUNCTION("""COMPUTED_VALUE"""),107.48)</f>
        <v>107.48</v>
      </c>
      <c r="H676" s="1">
        <f ca="1">IFERROR(__xludf.DUMMYFUNCTION("""COMPUTED_VALUE"""),274.42)</f>
        <v>274.42</v>
      </c>
      <c r="I676" s="1">
        <f ca="1">IFERROR(__xludf.DUMMYFUNCTION("""COMPUTED_VALUE"""),169.51)</f>
        <v>169.51</v>
      </c>
      <c r="J676" s="1">
        <f ca="1">IFERROR(__xludf.DUMMYFUNCTION("""COMPUTED_VALUE"""),518.9)</f>
        <v>518.9</v>
      </c>
      <c r="K676" s="1">
        <f ca="1">IFERROR(__xludf.DUMMYFUNCTION("""COMPUTED_VALUE"""),49.82)</f>
        <v>49.82</v>
      </c>
      <c r="L676" s="1">
        <f ca="1">IFERROR(__xludf.DUMMYFUNCTION("""COMPUTED_VALUE"""),368.3)</f>
        <v>368.3</v>
      </c>
      <c r="M676" s="1">
        <f ca="1">IFERROR(__xludf.DUMMYFUNCTION("""COMPUTED_VALUE"""),218.39)</f>
        <v>218.39</v>
      </c>
      <c r="N676" s="1">
        <f ca="1">IFERROR(__xludf.DUMMYFUNCTION("""COMPUTED_VALUE"""),113.74)</f>
        <v>113.74</v>
      </c>
      <c r="O676" s="1">
        <f ca="1">IFERROR(__xludf.DUMMYFUNCTION("""COMPUTED_VALUE"""),198.64)</f>
        <v>198.64</v>
      </c>
      <c r="P676" s="1">
        <f ca="1">IFERROR(__xludf.DUMMYFUNCTION("""COMPUTED_VALUE"""),163.18)</f>
        <v>163.18</v>
      </c>
      <c r="Q676" s="1">
        <f ca="1">IFERROR(__xludf.DUMMYFUNCTION("""COMPUTED_VALUE"""),517.68)</f>
        <v>517.67999999999995</v>
      </c>
      <c r="R676" s="1">
        <f ca="1">IFERROR(__xludf.DUMMYFUNCTION("""COMPUTED_VALUE"""),94.95)</f>
        <v>94.95</v>
      </c>
      <c r="S676" s="1">
        <f ca="1">IFERROR(__xludf.DUMMYFUNCTION("""COMPUTED_VALUE"""),87.37)</f>
        <v>87.37</v>
      </c>
      <c r="T676" s="1">
        <f ca="1">IFERROR(__xludf.DUMMYFUNCTION("""COMPUTED_VALUE"""),44.11)</f>
        <v>44.11</v>
      </c>
      <c r="U676" s="1">
        <f ca="1">IFERROR(__xludf.DUMMYFUNCTION("""COMPUTED_VALUE"""),105.15)</f>
        <v>105.15</v>
      </c>
      <c r="V676" s="1">
        <f ca="1">IFERROR(__xludf.DUMMYFUNCTION("""COMPUTED_VALUE"""),180.66)</f>
        <v>180.66</v>
      </c>
      <c r="W676" s="1">
        <f ca="1">IFERROR(__xludf.DUMMYFUNCTION("""COMPUTED_VALUE"""),417.78)</f>
        <v>417.78</v>
      </c>
      <c r="X676" s="1">
        <f ca="1">IFERROR(__xludf.DUMMYFUNCTION("""COMPUTED_VALUE"""),469.92)</f>
        <v>469.92</v>
      </c>
      <c r="Y676" s="1">
        <f ca="1">IFERROR(__xludf.DUMMYFUNCTION("""COMPUTED_VALUE"""),80.03)</f>
        <v>80.03</v>
      </c>
      <c r="Z676" s="1">
        <f ca="1">IFERROR(__xludf.DUMMYFUNCTION("""COMPUTED_VALUE"""),326.49)</f>
        <v>326.49</v>
      </c>
      <c r="AA676" s="1">
        <f ca="1">IFERROR(__xludf.DUMMYFUNCTION("""COMPUTED_VALUE"""),45.76)</f>
        <v>45.76</v>
      </c>
      <c r="AB676" s="1">
        <f ca="1">IFERROR(__xludf.DUMMYFUNCTION("""COMPUTED_VALUE"""),84.52)</f>
        <v>84.52</v>
      </c>
      <c r="AC676" s="1">
        <f ca="1">IFERROR(__xludf.DUMMYFUNCTION("""COMPUTED_VALUE"""),78.72)</f>
        <v>78.72</v>
      </c>
    </row>
    <row r="677" spans="1:29" x14ac:dyDescent="0.25">
      <c r="A677" s="2">
        <f ca="1">IFERROR(__xludf.DUMMYFUNCTION("""COMPUTED_VALUE"""),44811.6666666666)</f>
        <v>44811.666666666599</v>
      </c>
      <c r="B677" s="1">
        <f ca="1">IFERROR(__xludf.DUMMYFUNCTION("""COMPUTED_VALUE"""),155.96)</f>
        <v>155.96</v>
      </c>
      <c r="C677" s="1">
        <f ca="1">IFERROR(__xludf.DUMMYFUNCTION("""COMPUTED_VALUE"""),258.09)</f>
        <v>258.08999999999997</v>
      </c>
      <c r="D677" s="1">
        <f ca="1">IFERROR(__xludf.DUMMYFUNCTION("""COMPUTED_VALUE"""),129.48)</f>
        <v>129.47999999999999</v>
      </c>
      <c r="E677" s="1">
        <f ca="1">IFERROR(__xludf.DUMMYFUNCTION("""COMPUTED_VALUE"""),13.71)</f>
        <v>13.71</v>
      </c>
      <c r="F677" s="1">
        <f ca="1">IFERROR(__xludf.DUMMYFUNCTION("""COMPUTED_VALUE"""),160.39)</f>
        <v>160.38999999999999</v>
      </c>
      <c r="G677" s="1">
        <f ca="1">IFERROR(__xludf.DUMMYFUNCTION("""COMPUTED_VALUE"""),110.48)</f>
        <v>110.48</v>
      </c>
      <c r="H677" s="1">
        <f ca="1">IFERROR(__xludf.DUMMYFUNCTION("""COMPUTED_VALUE"""),283.7)</f>
        <v>283.7</v>
      </c>
      <c r="I677" s="1">
        <f ca="1">IFERROR(__xludf.DUMMYFUNCTION("""COMPUTED_VALUE"""),173.25)</f>
        <v>173.25</v>
      </c>
      <c r="J677" s="1">
        <f ca="1">IFERROR(__xludf.DUMMYFUNCTION("""COMPUTED_VALUE"""),529.64)</f>
        <v>529.64</v>
      </c>
      <c r="K677" s="1">
        <f ca="1">IFERROR(__xludf.DUMMYFUNCTION("""COMPUTED_VALUE"""),50.51)</f>
        <v>50.51</v>
      </c>
      <c r="L677" s="1">
        <f ca="1">IFERROR(__xludf.DUMMYFUNCTION("""COMPUTED_VALUE"""),379.72)</f>
        <v>379.72</v>
      </c>
      <c r="M677" s="1">
        <f ca="1">IFERROR(__xludf.DUMMYFUNCTION("""COMPUTED_VALUE"""),228.96)</f>
        <v>228.96</v>
      </c>
      <c r="N677" s="1">
        <f ca="1">IFERROR(__xludf.DUMMYFUNCTION("""COMPUTED_VALUE"""),115.9)</f>
        <v>115.9</v>
      </c>
      <c r="O677" s="1">
        <f ca="1">IFERROR(__xludf.DUMMYFUNCTION("""COMPUTED_VALUE"""),200.42)</f>
        <v>200.42</v>
      </c>
      <c r="P677" s="1">
        <f ca="1">IFERROR(__xludf.DUMMYFUNCTION("""COMPUTED_VALUE"""),164.07)</f>
        <v>164.07</v>
      </c>
      <c r="Q677" s="1">
        <f ca="1">IFERROR(__xludf.DUMMYFUNCTION("""COMPUTED_VALUE"""),521.68)</f>
        <v>521.67999999999995</v>
      </c>
      <c r="R677" s="1">
        <f ca="1">IFERROR(__xludf.DUMMYFUNCTION("""COMPUTED_VALUE"""),94.14)</f>
        <v>94.14</v>
      </c>
      <c r="S677" s="1">
        <f ca="1">IFERROR(__xludf.DUMMYFUNCTION("""COMPUTED_VALUE"""),90.24)</f>
        <v>90.24</v>
      </c>
      <c r="T677" s="1">
        <f ca="1">IFERROR(__xludf.DUMMYFUNCTION("""COMPUTED_VALUE"""),45.25)</f>
        <v>45.25</v>
      </c>
      <c r="U677" s="1">
        <f ca="1">IFERROR(__xludf.DUMMYFUNCTION("""COMPUTED_VALUE"""),108.48)</f>
        <v>108.48</v>
      </c>
      <c r="V677" s="1">
        <f ca="1">IFERROR(__xludf.DUMMYFUNCTION("""COMPUTED_VALUE"""),180.86)</f>
        <v>180.86</v>
      </c>
      <c r="W677" s="1">
        <f ca="1">IFERROR(__xludf.DUMMYFUNCTION("""COMPUTED_VALUE"""),420.14)</f>
        <v>420.14</v>
      </c>
      <c r="X677" s="1">
        <f ca="1">IFERROR(__xludf.DUMMYFUNCTION("""COMPUTED_VALUE"""),476.68)</f>
        <v>476.68</v>
      </c>
      <c r="Y677" s="1">
        <f ca="1">IFERROR(__xludf.DUMMYFUNCTION("""COMPUTED_VALUE"""),79.95)</f>
        <v>79.95</v>
      </c>
      <c r="Z677" s="1">
        <f ca="1">IFERROR(__xludf.DUMMYFUNCTION("""COMPUTED_VALUE"""),330.56)</f>
        <v>330.56</v>
      </c>
      <c r="AA677" s="1">
        <f ca="1">IFERROR(__xludf.DUMMYFUNCTION("""COMPUTED_VALUE"""),46.13)</f>
        <v>46.13</v>
      </c>
      <c r="AB677" s="1">
        <f ca="1">IFERROR(__xludf.DUMMYFUNCTION("""COMPUTED_VALUE"""),88.31)</f>
        <v>88.31</v>
      </c>
      <c r="AC677" s="1">
        <f ca="1">IFERROR(__xludf.DUMMYFUNCTION("""COMPUTED_VALUE"""),79.61)</f>
        <v>79.61</v>
      </c>
    </row>
    <row r="678" spans="1:29" x14ac:dyDescent="0.25">
      <c r="A678" s="2">
        <f ca="1">IFERROR(__xludf.DUMMYFUNCTION("""COMPUTED_VALUE"""),44812.6666666666)</f>
        <v>44812.666666666599</v>
      </c>
      <c r="B678" s="1">
        <f ca="1">IFERROR(__xludf.DUMMYFUNCTION("""COMPUTED_VALUE"""),154.46)</f>
        <v>154.46</v>
      </c>
      <c r="C678" s="1">
        <f ca="1">IFERROR(__xludf.DUMMYFUNCTION("""COMPUTED_VALUE"""),258.52)</f>
        <v>258.52</v>
      </c>
      <c r="D678" s="1">
        <f ca="1">IFERROR(__xludf.DUMMYFUNCTION("""COMPUTED_VALUE"""),129.82)</f>
        <v>129.82</v>
      </c>
      <c r="E678" s="1">
        <f ca="1">IFERROR(__xludf.DUMMYFUNCTION("""COMPUTED_VALUE"""),13.99)</f>
        <v>13.99</v>
      </c>
      <c r="F678" s="1">
        <f ca="1">IFERROR(__xludf.DUMMYFUNCTION("""COMPUTED_VALUE"""),162.06)</f>
        <v>162.06</v>
      </c>
      <c r="G678" s="1">
        <f ca="1">IFERROR(__xludf.DUMMYFUNCTION("""COMPUTED_VALUE"""),109.42)</f>
        <v>109.42</v>
      </c>
      <c r="H678" s="1">
        <f ca="1">IFERROR(__xludf.DUMMYFUNCTION("""COMPUTED_VALUE"""),289.26)</f>
        <v>289.26</v>
      </c>
      <c r="I678" s="1">
        <f ca="1">IFERROR(__xludf.DUMMYFUNCTION("""COMPUTED_VALUE"""),172.67)</f>
        <v>172.67</v>
      </c>
      <c r="J678" s="1">
        <f ca="1">IFERROR(__xludf.DUMMYFUNCTION("""COMPUTED_VALUE"""),529.12)</f>
        <v>529.12</v>
      </c>
      <c r="K678" s="1">
        <f ca="1">IFERROR(__xludf.DUMMYFUNCTION("""COMPUTED_VALUE"""),51.19)</f>
        <v>51.19</v>
      </c>
      <c r="L678" s="1">
        <f ca="1">IFERROR(__xludf.DUMMYFUNCTION("""COMPUTED_VALUE"""),383.63)</f>
        <v>383.63</v>
      </c>
      <c r="M678" s="1">
        <f ca="1">IFERROR(__xludf.DUMMYFUNCTION("""COMPUTED_VALUE"""),227.44)</f>
        <v>227.44</v>
      </c>
      <c r="N678" s="1">
        <f ca="1">IFERROR(__xludf.DUMMYFUNCTION("""COMPUTED_VALUE"""),118.6)</f>
        <v>118.6</v>
      </c>
      <c r="O678" s="1">
        <f ca="1">IFERROR(__xludf.DUMMYFUNCTION("""COMPUTED_VALUE"""),200.71)</f>
        <v>200.71</v>
      </c>
      <c r="P678" s="1">
        <f ca="1">IFERROR(__xludf.DUMMYFUNCTION("""COMPUTED_VALUE"""),165.39)</f>
        <v>165.39</v>
      </c>
      <c r="Q678" s="1">
        <f ca="1">IFERROR(__xludf.DUMMYFUNCTION("""COMPUTED_VALUE"""),527.51)</f>
        <v>527.51</v>
      </c>
      <c r="R678" s="1">
        <f ca="1">IFERROR(__xludf.DUMMYFUNCTION("""COMPUTED_VALUE"""),94.91)</f>
        <v>94.91</v>
      </c>
      <c r="S678" s="1">
        <f ca="1">IFERROR(__xludf.DUMMYFUNCTION("""COMPUTED_VALUE"""),90.27)</f>
        <v>90.27</v>
      </c>
      <c r="T678" s="1">
        <f ca="1">IFERROR(__xludf.DUMMYFUNCTION("""COMPUTED_VALUE"""),45.48)</f>
        <v>45.48</v>
      </c>
      <c r="U678" s="1">
        <f ca="1">IFERROR(__xludf.DUMMYFUNCTION("""COMPUTED_VALUE"""),108.73)</f>
        <v>108.73</v>
      </c>
      <c r="V678" s="1">
        <f ca="1">IFERROR(__xludf.DUMMYFUNCTION("""COMPUTED_VALUE"""),183.15)</f>
        <v>183.15</v>
      </c>
      <c r="W678" s="1">
        <f ca="1">IFERROR(__xludf.DUMMYFUNCTION("""COMPUTED_VALUE"""),419.65)</f>
        <v>419.65</v>
      </c>
      <c r="X678" s="1">
        <f ca="1">IFERROR(__xludf.DUMMYFUNCTION("""COMPUTED_VALUE"""),482.75)</f>
        <v>482.75</v>
      </c>
      <c r="Y678" s="1">
        <f ca="1">IFERROR(__xludf.DUMMYFUNCTION("""COMPUTED_VALUE"""),80.24)</f>
        <v>80.239999999999995</v>
      </c>
      <c r="Z678" s="1">
        <f ca="1">IFERROR(__xludf.DUMMYFUNCTION("""COMPUTED_VALUE"""),335.38)</f>
        <v>335.38</v>
      </c>
      <c r="AA678" s="1">
        <f ca="1">IFERROR(__xludf.DUMMYFUNCTION("""COMPUTED_VALUE"""),47.08)</f>
        <v>47.08</v>
      </c>
      <c r="AB678" s="1">
        <f ca="1">IFERROR(__xludf.DUMMYFUNCTION("""COMPUTED_VALUE"""),89.46)</f>
        <v>89.46</v>
      </c>
      <c r="AC678" s="1">
        <f ca="1">IFERROR(__xludf.DUMMYFUNCTION("""COMPUTED_VALUE"""),82.78)</f>
        <v>82.78</v>
      </c>
    </row>
    <row r="679" spans="1:29" x14ac:dyDescent="0.25">
      <c r="A679" s="2">
        <f ca="1">IFERROR(__xludf.DUMMYFUNCTION("""COMPUTED_VALUE"""),44813.6666666666)</f>
        <v>44813.666666666599</v>
      </c>
      <c r="B679" s="1">
        <f ca="1">IFERROR(__xludf.DUMMYFUNCTION("""COMPUTED_VALUE"""),157.37)</f>
        <v>157.37</v>
      </c>
      <c r="C679" s="1">
        <f ca="1">IFERROR(__xludf.DUMMYFUNCTION("""COMPUTED_VALUE"""),264.46)</f>
        <v>264.45999999999998</v>
      </c>
      <c r="D679" s="1">
        <f ca="1">IFERROR(__xludf.DUMMYFUNCTION("""COMPUTED_VALUE"""),133.27)</f>
        <v>133.27000000000001</v>
      </c>
      <c r="E679" s="1">
        <f ca="1">IFERROR(__xludf.DUMMYFUNCTION("""COMPUTED_VALUE"""),14.39)</f>
        <v>14.39</v>
      </c>
      <c r="F679" s="1">
        <f ca="1">IFERROR(__xludf.DUMMYFUNCTION("""COMPUTED_VALUE"""),169.15)</f>
        <v>169.15</v>
      </c>
      <c r="G679" s="1">
        <f ca="1">IFERROR(__xludf.DUMMYFUNCTION("""COMPUTED_VALUE"""),111.78)</f>
        <v>111.78</v>
      </c>
      <c r="H679" s="1">
        <f ca="1">IFERROR(__xludf.DUMMYFUNCTION("""COMPUTED_VALUE"""),299.68)</f>
        <v>299.68</v>
      </c>
      <c r="I679" s="1">
        <f ca="1">IFERROR(__xludf.DUMMYFUNCTION("""COMPUTED_VALUE"""),173.22)</f>
        <v>173.22</v>
      </c>
      <c r="J679" s="1">
        <f ca="1">IFERROR(__xludf.DUMMYFUNCTION("""COMPUTED_VALUE"""),536.58)</f>
        <v>536.58000000000004</v>
      </c>
      <c r="K679" s="1">
        <f ca="1">IFERROR(__xludf.DUMMYFUNCTION("""COMPUTED_VALUE"""),52.24)</f>
        <v>52.24</v>
      </c>
      <c r="L679" s="1">
        <f ca="1">IFERROR(__xludf.DUMMYFUNCTION("""COMPUTED_VALUE"""),394.78)</f>
        <v>394.78</v>
      </c>
      <c r="M679" s="1">
        <f ca="1">IFERROR(__xludf.DUMMYFUNCTION("""COMPUTED_VALUE"""),233.57)</f>
        <v>233.57</v>
      </c>
      <c r="N679" s="1">
        <f ca="1">IFERROR(__xludf.DUMMYFUNCTION("""COMPUTED_VALUE"""),119.17)</f>
        <v>119.17</v>
      </c>
      <c r="O679" s="1">
        <f ca="1">IFERROR(__xludf.DUMMYFUNCTION("""COMPUTED_VALUE"""),205.2)</f>
        <v>205.2</v>
      </c>
      <c r="P679" s="1">
        <f ca="1">IFERROR(__xludf.DUMMYFUNCTION("""COMPUTED_VALUE"""),165.71)</f>
        <v>165.71</v>
      </c>
      <c r="Q679" s="1">
        <f ca="1">IFERROR(__xludf.DUMMYFUNCTION("""COMPUTED_VALUE"""),524.34)</f>
        <v>524.34</v>
      </c>
      <c r="R679" s="1">
        <f ca="1">IFERROR(__xludf.DUMMYFUNCTION("""COMPUTED_VALUE"""),96.5)</f>
        <v>96.5</v>
      </c>
      <c r="S679" s="1">
        <f ca="1">IFERROR(__xludf.DUMMYFUNCTION("""COMPUTED_VALUE"""),89.9)</f>
        <v>89.9</v>
      </c>
      <c r="T679" s="1">
        <f ca="1">IFERROR(__xludf.DUMMYFUNCTION("""COMPUTED_VALUE"""),45.61)</f>
        <v>45.61</v>
      </c>
      <c r="U679" s="1">
        <f ca="1">IFERROR(__xludf.DUMMYFUNCTION("""COMPUTED_VALUE"""),110.97)</f>
        <v>110.97</v>
      </c>
      <c r="V679" s="1">
        <f ca="1">IFERROR(__xludf.DUMMYFUNCTION("""COMPUTED_VALUE"""),189.49)</f>
        <v>189.49</v>
      </c>
      <c r="W679" s="1">
        <f ca="1">IFERROR(__xludf.DUMMYFUNCTION("""COMPUTED_VALUE"""),421.53)</f>
        <v>421.53</v>
      </c>
      <c r="X679" s="1">
        <f ca="1">IFERROR(__xludf.DUMMYFUNCTION("""COMPUTED_VALUE"""),501)</f>
        <v>501</v>
      </c>
      <c r="Y679" s="1">
        <f ca="1">IFERROR(__xludf.DUMMYFUNCTION("""COMPUTED_VALUE"""),81.53)</f>
        <v>81.53</v>
      </c>
      <c r="Z679" s="1">
        <f ca="1">IFERROR(__xludf.DUMMYFUNCTION("""COMPUTED_VALUE"""),340.1)</f>
        <v>340.1</v>
      </c>
      <c r="AA679" s="1">
        <f ca="1">IFERROR(__xludf.DUMMYFUNCTION("""COMPUTED_VALUE"""),47.84)</f>
        <v>47.84</v>
      </c>
      <c r="AB679" s="1">
        <f ca="1">IFERROR(__xludf.DUMMYFUNCTION("""COMPUTED_VALUE"""),88.69)</f>
        <v>88.69</v>
      </c>
      <c r="AC679" s="1">
        <f ca="1">IFERROR(__xludf.DUMMYFUNCTION("""COMPUTED_VALUE"""),85.45)</f>
        <v>85.45</v>
      </c>
    </row>
    <row r="680" spans="1:29" x14ac:dyDescent="0.25">
      <c r="A680" s="2">
        <f ca="1">IFERROR(__xludf.DUMMYFUNCTION("""COMPUTED_VALUE"""),44816.6666666666)</f>
        <v>44816.666666666599</v>
      </c>
      <c r="B680" s="1">
        <f ca="1">IFERROR(__xludf.DUMMYFUNCTION("""COMPUTED_VALUE"""),163.43)</f>
        <v>163.43</v>
      </c>
      <c r="C680" s="1">
        <f ca="1">IFERROR(__xludf.DUMMYFUNCTION("""COMPUTED_VALUE"""),266.65)</f>
        <v>266.64999999999998</v>
      </c>
      <c r="D680" s="1">
        <f ca="1">IFERROR(__xludf.DUMMYFUNCTION("""COMPUTED_VALUE"""),136.45)</f>
        <v>136.44999999999999</v>
      </c>
      <c r="E680" s="1">
        <f ca="1">IFERROR(__xludf.DUMMYFUNCTION("""COMPUTED_VALUE"""),14.51)</f>
        <v>14.51</v>
      </c>
      <c r="F680" s="1">
        <f ca="1">IFERROR(__xludf.DUMMYFUNCTION("""COMPUTED_VALUE"""),168.96)</f>
        <v>168.96</v>
      </c>
      <c r="G680" s="1">
        <f ca="1">IFERROR(__xludf.DUMMYFUNCTION("""COMPUTED_VALUE"""),111.87)</f>
        <v>111.87</v>
      </c>
      <c r="H680" s="1">
        <f ca="1">IFERROR(__xludf.DUMMYFUNCTION("""COMPUTED_VALUE"""),304.42)</f>
        <v>304.42</v>
      </c>
      <c r="I680" s="1">
        <f ca="1">IFERROR(__xludf.DUMMYFUNCTION("""COMPUTED_VALUE"""),173.9)</f>
        <v>173.9</v>
      </c>
      <c r="J680" s="1">
        <f ca="1">IFERROR(__xludf.DUMMYFUNCTION("""COMPUTED_VALUE"""),539.52)</f>
        <v>539.52</v>
      </c>
      <c r="K680" s="1">
        <f ca="1">IFERROR(__xludf.DUMMYFUNCTION("""COMPUTED_VALUE"""),52.91)</f>
        <v>52.91</v>
      </c>
      <c r="L680" s="1">
        <f ca="1">IFERROR(__xludf.DUMMYFUNCTION("""COMPUTED_VALUE"""),396.36)</f>
        <v>396.36</v>
      </c>
      <c r="M680" s="1">
        <f ca="1">IFERROR(__xludf.DUMMYFUNCTION("""COMPUTED_VALUE"""),236.53)</f>
        <v>236.53</v>
      </c>
      <c r="N680" s="1">
        <f ca="1">IFERROR(__xludf.DUMMYFUNCTION("""COMPUTED_VALUE"""),120.58)</f>
        <v>120.58</v>
      </c>
      <c r="O680" s="1">
        <f ca="1">IFERROR(__xludf.DUMMYFUNCTION("""COMPUTED_VALUE"""),206.63)</f>
        <v>206.63</v>
      </c>
      <c r="P680" s="1">
        <f ca="1">IFERROR(__xludf.DUMMYFUNCTION("""COMPUTED_VALUE"""),165.64)</f>
        <v>165.64</v>
      </c>
      <c r="Q680" s="1">
        <f ca="1">IFERROR(__xludf.DUMMYFUNCTION("""COMPUTED_VALUE"""),531.25)</f>
        <v>531.25</v>
      </c>
      <c r="R680" s="1">
        <f ca="1">IFERROR(__xludf.DUMMYFUNCTION("""COMPUTED_VALUE"""),97.61)</f>
        <v>97.61</v>
      </c>
      <c r="S680" s="1">
        <f ca="1">IFERROR(__xludf.DUMMYFUNCTION("""COMPUTED_VALUE"""),90.81)</f>
        <v>90.81</v>
      </c>
      <c r="T680" s="1">
        <f ca="1">IFERROR(__xludf.DUMMYFUNCTION("""COMPUTED_VALUE"""),46.02)</f>
        <v>46.02</v>
      </c>
      <c r="U680" s="1">
        <f ca="1">IFERROR(__xludf.DUMMYFUNCTION("""COMPUTED_VALUE"""),112.38)</f>
        <v>112.38</v>
      </c>
      <c r="V680" s="1">
        <f ca="1">IFERROR(__xludf.DUMMYFUNCTION("""COMPUTED_VALUE"""),192.4)</f>
        <v>192.4</v>
      </c>
      <c r="W680" s="1">
        <f ca="1">IFERROR(__xludf.DUMMYFUNCTION("""COMPUTED_VALUE"""),418.64)</f>
        <v>418.64</v>
      </c>
      <c r="X680" s="1">
        <f ca="1">IFERROR(__xludf.DUMMYFUNCTION("""COMPUTED_VALUE"""),504.93)</f>
        <v>504.93</v>
      </c>
      <c r="Y680" s="1">
        <f ca="1">IFERROR(__xludf.DUMMYFUNCTION("""COMPUTED_VALUE"""),82.15)</f>
        <v>82.15</v>
      </c>
      <c r="Z680" s="1">
        <f ca="1">IFERROR(__xludf.DUMMYFUNCTION("""COMPUTED_VALUE"""),342.58)</f>
        <v>342.58</v>
      </c>
      <c r="AA680" s="1">
        <f ca="1">IFERROR(__xludf.DUMMYFUNCTION("""COMPUTED_VALUE"""),47.76)</f>
        <v>47.76</v>
      </c>
      <c r="AB680" s="1">
        <f ca="1">IFERROR(__xludf.DUMMYFUNCTION("""COMPUTED_VALUE"""),89.07)</f>
        <v>89.07</v>
      </c>
      <c r="AC680" s="1">
        <f ca="1">IFERROR(__xludf.DUMMYFUNCTION("""COMPUTED_VALUE"""),84.64)</f>
        <v>84.64</v>
      </c>
    </row>
    <row r="681" spans="1:29" x14ac:dyDescent="0.25">
      <c r="A681" s="2">
        <f ca="1">IFERROR(__xludf.DUMMYFUNCTION("""COMPUTED_VALUE"""),44817.6666666666)</f>
        <v>44817.666666666599</v>
      </c>
      <c r="B681" s="1">
        <f ca="1">IFERROR(__xludf.DUMMYFUNCTION("""COMPUTED_VALUE"""),153.84)</f>
        <v>153.84</v>
      </c>
      <c r="C681" s="1">
        <f ca="1">IFERROR(__xludf.DUMMYFUNCTION("""COMPUTED_VALUE"""),251.99)</f>
        <v>251.99</v>
      </c>
      <c r="D681" s="1">
        <f ca="1">IFERROR(__xludf.DUMMYFUNCTION("""COMPUTED_VALUE"""),126.82)</f>
        <v>126.82</v>
      </c>
      <c r="E681" s="1">
        <f ca="1">IFERROR(__xludf.DUMMYFUNCTION("""COMPUTED_VALUE"""),13.13)</f>
        <v>13.13</v>
      </c>
      <c r="F681" s="1">
        <f ca="1">IFERROR(__xludf.DUMMYFUNCTION("""COMPUTED_VALUE"""),153.13)</f>
        <v>153.13</v>
      </c>
      <c r="G681" s="1">
        <f ca="1">IFERROR(__xludf.DUMMYFUNCTION("""COMPUTED_VALUE"""),105.31)</f>
        <v>105.31</v>
      </c>
      <c r="H681" s="1">
        <f ca="1">IFERROR(__xludf.DUMMYFUNCTION("""COMPUTED_VALUE"""),292.13)</f>
        <v>292.13</v>
      </c>
      <c r="I681" s="1">
        <f ca="1">IFERROR(__xludf.DUMMYFUNCTION("""COMPUTED_VALUE"""),167.41)</f>
        <v>167.41</v>
      </c>
      <c r="J681" s="1">
        <f ca="1">IFERROR(__xludf.DUMMYFUNCTION("""COMPUTED_VALUE"""),510.3)</f>
        <v>510.3</v>
      </c>
      <c r="K681" s="1">
        <f ca="1">IFERROR(__xludf.DUMMYFUNCTION("""COMPUTED_VALUE"""),50.37)</f>
        <v>50.37</v>
      </c>
      <c r="L681" s="1">
        <f ca="1">IFERROR(__xludf.DUMMYFUNCTION("""COMPUTED_VALUE"""),368.39)</f>
        <v>368.39</v>
      </c>
      <c r="M681" s="1">
        <f ca="1">IFERROR(__xludf.DUMMYFUNCTION("""COMPUTED_VALUE"""),218.13)</f>
        <v>218.13</v>
      </c>
      <c r="N681" s="1">
        <f ca="1">IFERROR(__xludf.DUMMYFUNCTION("""COMPUTED_VALUE"""),116.39)</f>
        <v>116.39</v>
      </c>
      <c r="O681" s="1">
        <f ca="1">IFERROR(__xludf.DUMMYFUNCTION("""COMPUTED_VALUE"""),199.67)</f>
        <v>199.67</v>
      </c>
      <c r="P681" s="1">
        <f ca="1">IFERROR(__xludf.DUMMYFUNCTION("""COMPUTED_VALUE"""),161.33)</f>
        <v>161.33000000000001</v>
      </c>
      <c r="Q681" s="1">
        <f ca="1">IFERROR(__xludf.DUMMYFUNCTION("""COMPUTED_VALUE"""),513.96)</f>
        <v>513.96</v>
      </c>
      <c r="R681" s="1">
        <f ca="1">IFERROR(__xludf.DUMMYFUNCTION("""COMPUTED_VALUE"""),95.33)</f>
        <v>95.33</v>
      </c>
      <c r="S681" s="1">
        <f ca="1">IFERROR(__xludf.DUMMYFUNCTION("""COMPUTED_VALUE"""),88.86)</f>
        <v>88.86</v>
      </c>
      <c r="T681" s="1">
        <f ca="1">IFERROR(__xludf.DUMMYFUNCTION("""COMPUTED_VALUE"""),45.07)</f>
        <v>45.07</v>
      </c>
      <c r="U681" s="1">
        <f ca="1">IFERROR(__xludf.DUMMYFUNCTION("""COMPUTED_VALUE"""),105.72)</f>
        <v>105.72</v>
      </c>
      <c r="V681" s="1">
        <f ca="1">IFERROR(__xludf.DUMMYFUNCTION("""COMPUTED_VALUE"""),184.31)</f>
        <v>184.31</v>
      </c>
      <c r="W681" s="1">
        <f ca="1">IFERROR(__xludf.DUMMYFUNCTION("""COMPUTED_VALUE"""),409.33)</f>
        <v>409.33</v>
      </c>
      <c r="X681" s="1">
        <f ca="1">IFERROR(__xludf.DUMMYFUNCTION("""COMPUTED_VALUE"""),471.1)</f>
        <v>471.1</v>
      </c>
      <c r="Y681" s="1">
        <f ca="1">IFERROR(__xludf.DUMMYFUNCTION("""COMPUTED_VALUE"""),78.81)</f>
        <v>78.81</v>
      </c>
      <c r="Z681" s="1">
        <f ca="1">IFERROR(__xludf.DUMMYFUNCTION("""COMPUTED_VALUE"""),328.39)</f>
        <v>328.39</v>
      </c>
      <c r="AA681" s="1">
        <f ca="1">IFERROR(__xludf.DUMMYFUNCTION("""COMPUTED_VALUE"""),46.19)</f>
        <v>46.19</v>
      </c>
      <c r="AB681" s="1">
        <f ca="1">IFERROR(__xludf.DUMMYFUNCTION("""COMPUTED_VALUE"""),87.84)</f>
        <v>87.84</v>
      </c>
      <c r="AC681" s="1">
        <f ca="1">IFERROR(__xludf.DUMMYFUNCTION("""COMPUTED_VALUE"""),77.03)</f>
        <v>77.03</v>
      </c>
    </row>
    <row r="682" spans="1:29" x14ac:dyDescent="0.25">
      <c r="A682" s="2">
        <f ca="1">IFERROR(__xludf.DUMMYFUNCTION("""COMPUTED_VALUE"""),44818.6666666666)</f>
        <v>44818.666666666599</v>
      </c>
      <c r="B682" s="1">
        <f ca="1">IFERROR(__xludf.DUMMYFUNCTION("""COMPUTED_VALUE"""),155.31)</f>
        <v>155.31</v>
      </c>
      <c r="C682" s="1">
        <f ca="1">IFERROR(__xludf.DUMMYFUNCTION("""COMPUTED_VALUE"""),252.22)</f>
        <v>252.22</v>
      </c>
      <c r="D682" s="1">
        <f ca="1">IFERROR(__xludf.DUMMYFUNCTION("""COMPUTED_VALUE"""),128.55)</f>
        <v>128.55000000000001</v>
      </c>
      <c r="E682" s="1">
        <f ca="1">IFERROR(__xludf.DUMMYFUNCTION("""COMPUTED_VALUE"""),13.13)</f>
        <v>13.13</v>
      </c>
      <c r="F682" s="1">
        <f ca="1">IFERROR(__xludf.DUMMYFUNCTION("""COMPUTED_VALUE"""),151.47)</f>
        <v>151.47</v>
      </c>
      <c r="G682" s="1">
        <f ca="1">IFERROR(__xludf.DUMMYFUNCTION("""COMPUTED_VALUE"""),105.87)</f>
        <v>105.87</v>
      </c>
      <c r="H682" s="1">
        <f ca="1">IFERROR(__xludf.DUMMYFUNCTION("""COMPUTED_VALUE"""),302.61)</f>
        <v>302.61</v>
      </c>
      <c r="I682" s="1">
        <f ca="1">IFERROR(__xludf.DUMMYFUNCTION("""COMPUTED_VALUE"""),168.68)</f>
        <v>168.68</v>
      </c>
      <c r="J682" s="1">
        <f ca="1">IFERROR(__xludf.DUMMYFUNCTION("""COMPUTED_VALUE"""),508)</f>
        <v>508</v>
      </c>
      <c r="K682" s="1">
        <f ca="1">IFERROR(__xludf.DUMMYFUNCTION("""COMPUTED_VALUE"""),51.08)</f>
        <v>51.08</v>
      </c>
      <c r="L682" s="1">
        <f ca="1">IFERROR(__xludf.DUMMYFUNCTION("""COMPUTED_VALUE"""),371.52)</f>
        <v>371.52</v>
      </c>
      <c r="M682" s="1">
        <f ca="1">IFERROR(__xludf.DUMMYFUNCTION("""COMPUTED_VALUE"""),224.12)</f>
        <v>224.12</v>
      </c>
      <c r="N682" s="1">
        <f ca="1">IFERROR(__xludf.DUMMYFUNCTION("""COMPUTED_VALUE"""),116.12)</f>
        <v>116.12</v>
      </c>
      <c r="O682" s="1">
        <f ca="1">IFERROR(__xludf.DUMMYFUNCTION("""COMPUTED_VALUE"""),199.41)</f>
        <v>199.41</v>
      </c>
      <c r="P682" s="1">
        <f ca="1">IFERROR(__xludf.DUMMYFUNCTION("""COMPUTED_VALUE"""),164.66)</f>
        <v>164.66</v>
      </c>
      <c r="Q682" s="1">
        <f ca="1">IFERROR(__xludf.DUMMYFUNCTION("""COMPUTED_VALUE"""),509.77)</f>
        <v>509.77</v>
      </c>
      <c r="R682" s="1">
        <f ca="1">IFERROR(__xludf.DUMMYFUNCTION("""COMPUTED_VALUE"""),97.67)</f>
        <v>97.67</v>
      </c>
      <c r="S682" s="1">
        <f ca="1">IFERROR(__xludf.DUMMYFUNCTION("""COMPUTED_VALUE"""),88.88)</f>
        <v>88.88</v>
      </c>
      <c r="T682" s="1">
        <f ca="1">IFERROR(__xludf.DUMMYFUNCTION("""COMPUTED_VALUE"""),44.97)</f>
        <v>44.97</v>
      </c>
      <c r="U682" s="1">
        <f ca="1">IFERROR(__xludf.DUMMYFUNCTION("""COMPUTED_VALUE"""),107)</f>
        <v>107</v>
      </c>
      <c r="V682" s="1">
        <f ca="1">IFERROR(__xludf.DUMMYFUNCTION("""COMPUTED_VALUE"""),184.65)</f>
        <v>184.65</v>
      </c>
      <c r="W682" s="1">
        <f ca="1">IFERROR(__xludf.DUMMYFUNCTION("""COMPUTED_VALUE"""),416.63)</f>
        <v>416.63</v>
      </c>
      <c r="X682" s="1">
        <f ca="1">IFERROR(__xludf.DUMMYFUNCTION("""COMPUTED_VALUE"""),478.1)</f>
        <v>478.1</v>
      </c>
      <c r="Y682" s="1">
        <f ca="1">IFERROR(__xludf.DUMMYFUNCTION("""COMPUTED_VALUE"""),79.66)</f>
        <v>79.66</v>
      </c>
      <c r="Z682" s="1">
        <f ca="1">IFERROR(__xludf.DUMMYFUNCTION("""COMPUTED_VALUE"""),327.26)</f>
        <v>327.26</v>
      </c>
      <c r="AA682" s="1">
        <f ca="1">IFERROR(__xludf.DUMMYFUNCTION("""COMPUTED_VALUE"""),46.15)</f>
        <v>46.15</v>
      </c>
      <c r="AB682" s="1">
        <f ca="1">IFERROR(__xludf.DUMMYFUNCTION("""COMPUTED_VALUE"""),92.7)</f>
        <v>92.7</v>
      </c>
      <c r="AC682" s="1">
        <f ca="1">IFERROR(__xludf.DUMMYFUNCTION("""COMPUTED_VALUE"""),77.45)</f>
        <v>77.45</v>
      </c>
    </row>
    <row r="683" spans="1:29" x14ac:dyDescent="0.25">
      <c r="A683" s="2">
        <f ca="1">IFERROR(__xludf.DUMMYFUNCTION("""COMPUTED_VALUE"""),44819.6666666666)</f>
        <v>44819.666666666599</v>
      </c>
      <c r="B683" s="1">
        <f ca="1">IFERROR(__xludf.DUMMYFUNCTION("""COMPUTED_VALUE"""),152.37)</f>
        <v>152.37</v>
      </c>
      <c r="C683" s="1">
        <f ca="1">IFERROR(__xludf.DUMMYFUNCTION("""COMPUTED_VALUE"""),245.38)</f>
        <v>245.38</v>
      </c>
      <c r="D683" s="1">
        <f ca="1">IFERROR(__xludf.DUMMYFUNCTION("""COMPUTED_VALUE"""),126.28)</f>
        <v>126.28</v>
      </c>
      <c r="E683" s="1">
        <f ca="1">IFERROR(__xludf.DUMMYFUNCTION("""COMPUTED_VALUE"""),12.93)</f>
        <v>12.93</v>
      </c>
      <c r="F683" s="1">
        <f ca="1">IFERROR(__xludf.DUMMYFUNCTION("""COMPUTED_VALUE"""),149.55)</f>
        <v>149.55000000000001</v>
      </c>
      <c r="G683" s="1">
        <f ca="1">IFERROR(__xludf.DUMMYFUNCTION("""COMPUTED_VALUE"""),103.9)</f>
        <v>103.9</v>
      </c>
      <c r="H683" s="1">
        <f ca="1">IFERROR(__xludf.DUMMYFUNCTION("""COMPUTED_VALUE"""),303.75)</f>
        <v>303.75</v>
      </c>
      <c r="I683" s="1">
        <f ca="1">IFERROR(__xludf.DUMMYFUNCTION("""COMPUTED_VALUE"""),165.88)</f>
        <v>165.88</v>
      </c>
      <c r="J683" s="1">
        <f ca="1">IFERROR(__xludf.DUMMYFUNCTION("""COMPUTED_VALUE"""),503.5)</f>
        <v>503.5</v>
      </c>
      <c r="K683" s="1">
        <f ca="1">IFERROR(__xludf.DUMMYFUNCTION("""COMPUTED_VALUE"""),50.01)</f>
        <v>50.01</v>
      </c>
      <c r="L683" s="1">
        <f ca="1">IFERROR(__xludf.DUMMYFUNCTION("""COMPUTED_VALUE"""),309.13)</f>
        <v>309.13</v>
      </c>
      <c r="M683" s="1">
        <f ca="1">IFERROR(__xludf.DUMMYFUNCTION("""COMPUTED_VALUE"""),235.38)</f>
        <v>235.38</v>
      </c>
      <c r="N683" s="1">
        <f ca="1">IFERROR(__xludf.DUMMYFUNCTION("""COMPUTED_VALUE"""),117.87)</f>
        <v>117.87</v>
      </c>
      <c r="O683" s="1">
        <f ca="1">IFERROR(__xludf.DUMMYFUNCTION("""COMPUTED_VALUE"""),195.37)</f>
        <v>195.37</v>
      </c>
      <c r="P683" s="1">
        <f ca="1">IFERROR(__xludf.DUMMYFUNCTION("""COMPUTED_VALUE"""),165.08)</f>
        <v>165.08</v>
      </c>
      <c r="Q683" s="1">
        <f ca="1">IFERROR(__xludf.DUMMYFUNCTION("""COMPUTED_VALUE"""),522.91)</f>
        <v>522.91</v>
      </c>
      <c r="R683" s="1">
        <f ca="1">IFERROR(__xludf.DUMMYFUNCTION("""COMPUTED_VALUE"""),94.83)</f>
        <v>94.83</v>
      </c>
      <c r="S683" s="1">
        <f ca="1">IFERROR(__xludf.DUMMYFUNCTION("""COMPUTED_VALUE"""),86.01)</f>
        <v>86.01</v>
      </c>
      <c r="T683" s="1">
        <f ca="1">IFERROR(__xludf.DUMMYFUNCTION("""COMPUTED_VALUE"""),44.49)</f>
        <v>44.49</v>
      </c>
      <c r="U683" s="1">
        <f ca="1">IFERROR(__xludf.DUMMYFUNCTION("""COMPUTED_VALUE"""),105.5)</f>
        <v>105.5</v>
      </c>
      <c r="V683" s="1">
        <f ca="1">IFERROR(__xludf.DUMMYFUNCTION("""COMPUTED_VALUE"""),182.49)</f>
        <v>182.49</v>
      </c>
      <c r="W683" s="1">
        <f ca="1">IFERROR(__xludf.DUMMYFUNCTION("""COMPUTED_VALUE"""),413.59)</f>
        <v>413.59</v>
      </c>
      <c r="X683" s="1">
        <f ca="1">IFERROR(__xludf.DUMMYFUNCTION("""COMPUTED_VALUE"""),465.65)</f>
        <v>465.65</v>
      </c>
      <c r="Y683" s="1">
        <f ca="1">IFERROR(__xludf.DUMMYFUNCTION("""COMPUTED_VALUE"""),77.98)</f>
        <v>77.98</v>
      </c>
      <c r="Z683" s="1">
        <f ca="1">IFERROR(__xludf.DUMMYFUNCTION("""COMPUTED_VALUE"""),331.62)</f>
        <v>331.62</v>
      </c>
      <c r="AA683" s="1">
        <f ca="1">IFERROR(__xludf.DUMMYFUNCTION("""COMPUTED_VALUE"""),45.94)</f>
        <v>45.94</v>
      </c>
      <c r="AB683" s="1">
        <f ca="1">IFERROR(__xludf.DUMMYFUNCTION("""COMPUTED_VALUE"""),92.22)</f>
        <v>92.22</v>
      </c>
      <c r="AC683" s="1">
        <f ca="1">IFERROR(__xludf.DUMMYFUNCTION("""COMPUTED_VALUE"""),76.66)</f>
        <v>76.66</v>
      </c>
    </row>
    <row r="684" spans="1:29" x14ac:dyDescent="0.25">
      <c r="A684" s="2">
        <f ca="1">IFERROR(__xludf.DUMMYFUNCTION("""COMPUTED_VALUE"""),44820.6666666666)</f>
        <v>44820.666666666599</v>
      </c>
      <c r="B684" s="1">
        <f ca="1">IFERROR(__xludf.DUMMYFUNCTION("""COMPUTED_VALUE"""),150.7)</f>
        <v>150.69999999999999</v>
      </c>
      <c r="C684" s="1">
        <f ca="1">IFERROR(__xludf.DUMMYFUNCTION("""COMPUTED_VALUE"""),244.74)</f>
        <v>244.74</v>
      </c>
      <c r="D684" s="1">
        <f ca="1">IFERROR(__xludf.DUMMYFUNCTION("""COMPUTED_VALUE"""),123.53)</f>
        <v>123.53</v>
      </c>
      <c r="E684" s="1">
        <f ca="1">IFERROR(__xludf.DUMMYFUNCTION("""COMPUTED_VALUE"""),13.2)</f>
        <v>13.2</v>
      </c>
      <c r="F684" s="1">
        <f ca="1">IFERROR(__xludf.DUMMYFUNCTION("""COMPUTED_VALUE"""),146.29)</f>
        <v>146.29</v>
      </c>
      <c r="G684" s="1">
        <f ca="1">IFERROR(__xludf.DUMMYFUNCTION("""COMPUTED_VALUE"""),103.63)</f>
        <v>103.63</v>
      </c>
      <c r="H684" s="1">
        <f ca="1">IFERROR(__xludf.DUMMYFUNCTION("""COMPUTED_VALUE"""),303.35)</f>
        <v>303.35000000000002</v>
      </c>
      <c r="I684" s="1">
        <f ca="1">IFERROR(__xludf.DUMMYFUNCTION("""COMPUTED_VALUE"""),166.97)</f>
        <v>166.97</v>
      </c>
      <c r="J684" s="1">
        <f ca="1">IFERROR(__xludf.DUMMYFUNCTION("""COMPUTED_VALUE"""),504.14)</f>
        <v>504.14</v>
      </c>
      <c r="K684" s="1">
        <f ca="1">IFERROR(__xludf.DUMMYFUNCTION("""COMPUTED_VALUE"""),50.25)</f>
        <v>50.25</v>
      </c>
      <c r="L684" s="1">
        <f ca="1">IFERROR(__xludf.DUMMYFUNCTION("""COMPUTED_VALUE"""),299.5)</f>
        <v>299.5</v>
      </c>
      <c r="M684" s="1">
        <f ca="1">IFERROR(__xludf.DUMMYFUNCTION("""COMPUTED_VALUE"""),240.13)</f>
        <v>240.13</v>
      </c>
      <c r="N684" s="1">
        <f ca="1">IFERROR(__xludf.DUMMYFUNCTION("""COMPUTED_VALUE"""),117.08)</f>
        <v>117.08</v>
      </c>
      <c r="O684" s="1">
        <f ca="1">IFERROR(__xludf.DUMMYFUNCTION("""COMPUTED_VALUE"""),193.3)</f>
        <v>193.3</v>
      </c>
      <c r="P684" s="1">
        <f ca="1">IFERROR(__xludf.DUMMYFUNCTION("""COMPUTED_VALUE"""),167.6)</f>
        <v>167.6</v>
      </c>
      <c r="Q684" s="1">
        <f ca="1">IFERROR(__xludf.DUMMYFUNCTION("""COMPUTED_VALUE"""),521.02)</f>
        <v>521.02</v>
      </c>
      <c r="R684" s="1">
        <f ca="1">IFERROR(__xludf.DUMMYFUNCTION("""COMPUTED_VALUE"""),93.21)</f>
        <v>93.21</v>
      </c>
      <c r="S684" s="1">
        <f ca="1">IFERROR(__xludf.DUMMYFUNCTION("""COMPUTED_VALUE"""),84.79)</f>
        <v>84.79</v>
      </c>
      <c r="T684" s="1">
        <f ca="1">IFERROR(__xludf.DUMMYFUNCTION("""COMPUTED_VALUE"""),44.4)</f>
        <v>44.4</v>
      </c>
      <c r="U684" s="1">
        <f ca="1">IFERROR(__xludf.DUMMYFUNCTION("""COMPUTED_VALUE"""),104.12)</f>
        <v>104.12</v>
      </c>
      <c r="V684" s="1">
        <f ca="1">IFERROR(__xludf.DUMMYFUNCTION("""COMPUTED_VALUE"""),179.47)</f>
        <v>179.47</v>
      </c>
      <c r="W684" s="1">
        <f ca="1">IFERROR(__xludf.DUMMYFUNCTION("""COMPUTED_VALUE"""),414.29)</f>
        <v>414.29</v>
      </c>
      <c r="X684" s="1">
        <f ca="1">IFERROR(__xludf.DUMMYFUNCTION("""COMPUTED_VALUE"""),467.25)</f>
        <v>467.25</v>
      </c>
      <c r="Y684" s="1">
        <f ca="1">IFERROR(__xludf.DUMMYFUNCTION("""COMPUTED_VALUE"""),77.89)</f>
        <v>77.89</v>
      </c>
      <c r="Z684" s="1">
        <f ca="1">IFERROR(__xludf.DUMMYFUNCTION("""COMPUTED_VALUE"""),326.21)</f>
        <v>326.20999999999998</v>
      </c>
      <c r="AA684" s="1">
        <f ca="1">IFERROR(__xludf.DUMMYFUNCTION("""COMPUTED_VALUE"""),46.03)</f>
        <v>46.03</v>
      </c>
      <c r="AB684" s="1">
        <f ca="1">IFERROR(__xludf.DUMMYFUNCTION("""COMPUTED_VALUE"""),91.31)</f>
        <v>91.31</v>
      </c>
      <c r="AC684" s="1">
        <f ca="1">IFERROR(__xludf.DUMMYFUNCTION("""COMPUTED_VALUE"""),76.51)</f>
        <v>76.510000000000005</v>
      </c>
    </row>
    <row r="685" spans="1:29" x14ac:dyDescent="0.25">
      <c r="A685" s="2">
        <f ca="1">IFERROR(__xludf.DUMMYFUNCTION("""COMPUTED_VALUE"""),44823.6666666666)</f>
        <v>44823.666666666599</v>
      </c>
      <c r="B685" s="1">
        <f ca="1">IFERROR(__xludf.DUMMYFUNCTION("""COMPUTED_VALUE"""),154.48)</f>
        <v>154.47999999999999</v>
      </c>
      <c r="C685" s="1">
        <f ca="1">IFERROR(__xludf.DUMMYFUNCTION("""COMPUTED_VALUE"""),244.52)</f>
        <v>244.52</v>
      </c>
      <c r="D685" s="1">
        <f ca="1">IFERROR(__xludf.DUMMYFUNCTION("""COMPUTED_VALUE"""),124.66)</f>
        <v>124.66</v>
      </c>
      <c r="E685" s="1">
        <f ca="1">IFERROR(__xludf.DUMMYFUNCTION("""COMPUTED_VALUE"""),13.38)</f>
        <v>13.38</v>
      </c>
      <c r="F685" s="1">
        <f ca="1">IFERROR(__xludf.DUMMYFUNCTION("""COMPUTED_VALUE"""),148.02)</f>
        <v>148.02000000000001</v>
      </c>
      <c r="G685" s="1">
        <f ca="1">IFERROR(__xludf.DUMMYFUNCTION("""COMPUTED_VALUE"""),103.85)</f>
        <v>103.85</v>
      </c>
      <c r="H685" s="1">
        <f ca="1">IFERROR(__xludf.DUMMYFUNCTION("""COMPUTED_VALUE"""),309.07)</f>
        <v>309.07</v>
      </c>
      <c r="I685" s="1">
        <f ca="1">IFERROR(__xludf.DUMMYFUNCTION("""COMPUTED_VALUE"""),168.73)</f>
        <v>168.73</v>
      </c>
      <c r="J685" s="1">
        <f ca="1">IFERROR(__xludf.DUMMYFUNCTION("""COMPUTED_VALUE"""),506.57)</f>
        <v>506.57</v>
      </c>
      <c r="K685" s="1">
        <f ca="1">IFERROR(__xludf.DUMMYFUNCTION("""COMPUTED_VALUE"""),50.18)</f>
        <v>50.18</v>
      </c>
      <c r="L685" s="1">
        <f ca="1">IFERROR(__xludf.DUMMYFUNCTION("""COMPUTED_VALUE"""),296.06)</f>
        <v>296.06</v>
      </c>
      <c r="M685" s="1">
        <f ca="1">IFERROR(__xludf.DUMMYFUNCTION("""COMPUTED_VALUE"""),243.63)</f>
        <v>243.63</v>
      </c>
      <c r="N685" s="1">
        <f ca="1">IFERROR(__xludf.DUMMYFUNCTION("""COMPUTED_VALUE"""),118.16)</f>
        <v>118.16</v>
      </c>
      <c r="O685" s="1">
        <f ca="1">IFERROR(__xludf.DUMMYFUNCTION("""COMPUTED_VALUE"""),193.13)</f>
        <v>193.13</v>
      </c>
      <c r="P685" s="1">
        <f ca="1">IFERROR(__xludf.DUMMYFUNCTION("""COMPUTED_VALUE"""),166.28)</f>
        <v>166.28</v>
      </c>
      <c r="Q685" s="1">
        <f ca="1">IFERROR(__xludf.DUMMYFUNCTION("""COMPUTED_VALUE"""),523.55)</f>
        <v>523.54999999999995</v>
      </c>
      <c r="R685" s="1">
        <f ca="1">IFERROR(__xludf.DUMMYFUNCTION("""COMPUTED_VALUE"""),93.2)</f>
        <v>93.2</v>
      </c>
      <c r="S685" s="1">
        <f ca="1">IFERROR(__xludf.DUMMYFUNCTION("""COMPUTED_VALUE"""),86.84)</f>
        <v>86.84</v>
      </c>
      <c r="T685" s="1">
        <f ca="1">IFERROR(__xludf.DUMMYFUNCTION("""COMPUTED_VALUE"""),44.78)</f>
        <v>44.78</v>
      </c>
      <c r="U685" s="1">
        <f ca="1">IFERROR(__xludf.DUMMYFUNCTION("""COMPUTED_VALUE"""),107.21)</f>
        <v>107.21</v>
      </c>
      <c r="V685" s="1">
        <f ca="1">IFERROR(__xludf.DUMMYFUNCTION("""COMPUTED_VALUE"""),182.11)</f>
        <v>182.11</v>
      </c>
      <c r="W685" s="1">
        <f ca="1">IFERROR(__xludf.DUMMYFUNCTION("""COMPUTED_VALUE"""),416.52)</f>
        <v>416.52</v>
      </c>
      <c r="X685" s="1">
        <f ca="1">IFERROR(__xludf.DUMMYFUNCTION("""COMPUTED_VALUE"""),471.11)</f>
        <v>471.11</v>
      </c>
      <c r="Y685" s="1">
        <f ca="1">IFERROR(__xludf.DUMMYFUNCTION("""COMPUTED_VALUE"""),78.23)</f>
        <v>78.23</v>
      </c>
      <c r="Z685" s="1">
        <f ca="1">IFERROR(__xludf.DUMMYFUNCTION("""COMPUTED_VALUE"""),328.66)</f>
        <v>328.66</v>
      </c>
      <c r="AA685" s="1">
        <f ca="1">IFERROR(__xludf.DUMMYFUNCTION("""COMPUTED_VALUE"""),45.44)</f>
        <v>45.44</v>
      </c>
      <c r="AB685" s="1">
        <f ca="1">IFERROR(__xludf.DUMMYFUNCTION("""COMPUTED_VALUE"""),92.14)</f>
        <v>92.14</v>
      </c>
      <c r="AC685" s="1">
        <f ca="1">IFERROR(__xludf.DUMMYFUNCTION("""COMPUTED_VALUE"""),76.77)</f>
        <v>76.77</v>
      </c>
    </row>
    <row r="686" spans="1:29" x14ac:dyDescent="0.25">
      <c r="A686" s="2">
        <f ca="1">IFERROR(__xludf.DUMMYFUNCTION("""COMPUTED_VALUE"""),44824.6666666666)</f>
        <v>44824.666666666599</v>
      </c>
      <c r="B686" s="1">
        <f ca="1">IFERROR(__xludf.DUMMYFUNCTION("""COMPUTED_VALUE"""),156.9)</f>
        <v>156.9</v>
      </c>
      <c r="C686" s="1">
        <f ca="1">IFERROR(__xludf.DUMMYFUNCTION("""COMPUTED_VALUE"""),242.45)</f>
        <v>242.45</v>
      </c>
      <c r="D686" s="1">
        <f ca="1">IFERROR(__xludf.DUMMYFUNCTION("""COMPUTED_VALUE"""),122.19)</f>
        <v>122.19</v>
      </c>
      <c r="E686" s="1">
        <f ca="1">IFERROR(__xludf.DUMMYFUNCTION("""COMPUTED_VALUE"""),13.18)</f>
        <v>13.18</v>
      </c>
      <c r="F686" s="1">
        <f ca="1">IFERROR(__xludf.DUMMYFUNCTION("""COMPUTED_VALUE"""),146.09)</f>
        <v>146.09</v>
      </c>
      <c r="G686" s="1">
        <f ca="1">IFERROR(__xludf.DUMMYFUNCTION("""COMPUTED_VALUE"""),101.83)</f>
        <v>101.83</v>
      </c>
      <c r="H686" s="1">
        <f ca="1">IFERROR(__xludf.DUMMYFUNCTION("""COMPUTED_VALUE"""),308.73)</f>
        <v>308.73</v>
      </c>
      <c r="I686" s="1">
        <f ca="1">IFERROR(__xludf.DUMMYFUNCTION("""COMPUTED_VALUE"""),168.92)</f>
        <v>168.92</v>
      </c>
      <c r="J686" s="1">
        <f ca="1">IFERROR(__xludf.DUMMYFUNCTION("""COMPUTED_VALUE"""),499.52)</f>
        <v>499.52</v>
      </c>
      <c r="K686" s="1">
        <f ca="1">IFERROR(__xludf.DUMMYFUNCTION("""COMPUTED_VALUE"""),49.31)</f>
        <v>49.31</v>
      </c>
      <c r="L686" s="1">
        <f ca="1">IFERROR(__xludf.DUMMYFUNCTION("""COMPUTED_VALUE"""),291.06)</f>
        <v>291.06</v>
      </c>
      <c r="M686" s="1">
        <f ca="1">IFERROR(__xludf.DUMMYFUNCTION("""COMPUTED_VALUE"""),242.85)</f>
        <v>242.85</v>
      </c>
      <c r="N686" s="1">
        <f ca="1">IFERROR(__xludf.DUMMYFUNCTION("""COMPUTED_VALUE"""),115.83)</f>
        <v>115.83</v>
      </c>
      <c r="O686" s="1">
        <f ca="1">IFERROR(__xludf.DUMMYFUNCTION("""COMPUTED_VALUE"""),192.07)</f>
        <v>192.07</v>
      </c>
      <c r="P686" s="1">
        <f ca="1">IFERROR(__xludf.DUMMYFUNCTION("""COMPUTED_VALUE"""),164.97)</f>
        <v>164.97</v>
      </c>
      <c r="Q686" s="1">
        <f ca="1">IFERROR(__xludf.DUMMYFUNCTION("""COMPUTED_VALUE"""),522.8)</f>
        <v>522.79999999999995</v>
      </c>
      <c r="R686" s="1">
        <f ca="1">IFERROR(__xludf.DUMMYFUNCTION("""COMPUTED_VALUE"""),92.44)</f>
        <v>92.44</v>
      </c>
      <c r="S686" s="1">
        <f ca="1">IFERROR(__xludf.DUMMYFUNCTION("""COMPUTED_VALUE"""),85.69)</f>
        <v>85.69</v>
      </c>
      <c r="T686" s="1">
        <f ca="1">IFERROR(__xludf.DUMMYFUNCTION("""COMPUTED_VALUE"""),44.52)</f>
        <v>44.52</v>
      </c>
      <c r="U686" s="1">
        <f ca="1">IFERROR(__xludf.DUMMYFUNCTION("""COMPUTED_VALUE"""),102.42)</f>
        <v>102.42</v>
      </c>
      <c r="V686" s="1">
        <f ca="1">IFERROR(__xludf.DUMMYFUNCTION("""COMPUTED_VALUE"""),177.99)</f>
        <v>177.99</v>
      </c>
      <c r="W686" s="1">
        <f ca="1">IFERROR(__xludf.DUMMYFUNCTION("""COMPUTED_VALUE"""),420.58)</f>
        <v>420.58</v>
      </c>
      <c r="X686" s="1">
        <f ca="1">IFERROR(__xludf.DUMMYFUNCTION("""COMPUTED_VALUE"""),461.96)</f>
        <v>461.96</v>
      </c>
      <c r="Y686" s="1">
        <f ca="1">IFERROR(__xludf.DUMMYFUNCTION("""COMPUTED_VALUE"""),78.15)</f>
        <v>78.150000000000006</v>
      </c>
      <c r="Z686" s="1">
        <f ca="1">IFERROR(__xludf.DUMMYFUNCTION("""COMPUTED_VALUE"""),323.26)</f>
        <v>323.26</v>
      </c>
      <c r="AA686" s="1">
        <f ca="1">IFERROR(__xludf.DUMMYFUNCTION("""COMPUTED_VALUE"""),44.77)</f>
        <v>44.77</v>
      </c>
      <c r="AB686" s="1">
        <f ca="1">IFERROR(__xludf.DUMMYFUNCTION("""COMPUTED_VALUE"""),90.79)</f>
        <v>90.79</v>
      </c>
      <c r="AC686" s="1">
        <f ca="1">IFERROR(__xludf.DUMMYFUNCTION("""COMPUTED_VALUE"""),75.25)</f>
        <v>75.25</v>
      </c>
    </row>
    <row r="687" spans="1:29" x14ac:dyDescent="0.25">
      <c r="A687" s="2">
        <f ca="1">IFERROR(__xludf.DUMMYFUNCTION("""COMPUTED_VALUE"""),44825.6666666666)</f>
        <v>44825.666666666599</v>
      </c>
      <c r="B687" s="1">
        <f ca="1">IFERROR(__xludf.DUMMYFUNCTION("""COMPUTED_VALUE"""),153.72)</f>
        <v>153.72</v>
      </c>
      <c r="C687" s="1">
        <f ca="1">IFERROR(__xludf.DUMMYFUNCTION("""COMPUTED_VALUE"""),238.95)</f>
        <v>238.95</v>
      </c>
      <c r="D687" s="1">
        <f ca="1">IFERROR(__xludf.DUMMYFUNCTION("""COMPUTED_VALUE"""),118.54)</f>
        <v>118.54</v>
      </c>
      <c r="E687" s="1">
        <f ca="1">IFERROR(__xludf.DUMMYFUNCTION("""COMPUTED_VALUE"""),13.26)</f>
        <v>13.26</v>
      </c>
      <c r="F687" s="1">
        <f ca="1">IFERROR(__xludf.DUMMYFUNCTION("""COMPUTED_VALUE"""),142.12)</f>
        <v>142.12</v>
      </c>
      <c r="G687" s="1">
        <f ca="1">IFERROR(__xludf.DUMMYFUNCTION("""COMPUTED_VALUE"""),100.01)</f>
        <v>100.01</v>
      </c>
      <c r="H687" s="1">
        <f ca="1">IFERROR(__xludf.DUMMYFUNCTION("""COMPUTED_VALUE"""),300.8)</f>
        <v>300.8</v>
      </c>
      <c r="I687" s="1">
        <f ca="1">IFERROR(__xludf.DUMMYFUNCTION("""COMPUTED_VALUE"""),168.44)</f>
        <v>168.44</v>
      </c>
      <c r="J687" s="1">
        <f ca="1">IFERROR(__xludf.DUMMYFUNCTION("""COMPUTED_VALUE"""),493.07)</f>
        <v>493.07</v>
      </c>
      <c r="K687" s="1">
        <f ca="1">IFERROR(__xludf.DUMMYFUNCTION("""COMPUTED_VALUE"""),48.21)</f>
        <v>48.21</v>
      </c>
      <c r="L687" s="1">
        <f ca="1">IFERROR(__xludf.DUMMYFUNCTION("""COMPUTED_VALUE"""),286.3)</f>
        <v>286.3</v>
      </c>
      <c r="M687" s="1">
        <f ca="1">IFERROR(__xludf.DUMMYFUNCTION("""COMPUTED_VALUE"""),236.87)</f>
        <v>236.87</v>
      </c>
      <c r="N687" s="1">
        <f ca="1">IFERROR(__xludf.DUMMYFUNCTION("""COMPUTED_VALUE"""),112.49)</f>
        <v>112.49</v>
      </c>
      <c r="O687" s="1">
        <f ca="1">IFERROR(__xludf.DUMMYFUNCTION("""COMPUTED_VALUE"""),187.02)</f>
        <v>187.02</v>
      </c>
      <c r="P687" s="1">
        <f ca="1">IFERROR(__xludf.DUMMYFUNCTION("""COMPUTED_VALUE"""),163.28)</f>
        <v>163.28</v>
      </c>
      <c r="Q687" s="1">
        <f ca="1">IFERROR(__xludf.DUMMYFUNCTION("""COMPUTED_VALUE"""),512.08)</f>
        <v>512.08000000000004</v>
      </c>
      <c r="R687" s="1">
        <f ca="1">IFERROR(__xludf.DUMMYFUNCTION("""COMPUTED_VALUE"""),90.95)</f>
        <v>90.95</v>
      </c>
      <c r="S687" s="1">
        <f ca="1">IFERROR(__xludf.DUMMYFUNCTION("""COMPUTED_VALUE"""),83.97)</f>
        <v>83.97</v>
      </c>
      <c r="T687" s="1">
        <f ca="1">IFERROR(__xludf.DUMMYFUNCTION("""COMPUTED_VALUE"""),44.92)</f>
        <v>44.92</v>
      </c>
      <c r="U687" s="1">
        <f ca="1">IFERROR(__xludf.DUMMYFUNCTION("""COMPUTED_VALUE"""),99.79)</f>
        <v>99.79</v>
      </c>
      <c r="V687" s="1">
        <f ca="1">IFERROR(__xludf.DUMMYFUNCTION("""COMPUTED_VALUE"""),171.95)</f>
        <v>171.95</v>
      </c>
      <c r="W687" s="1">
        <f ca="1">IFERROR(__xludf.DUMMYFUNCTION("""COMPUTED_VALUE"""),420.2)</f>
        <v>420.2</v>
      </c>
      <c r="X687" s="1">
        <f ca="1">IFERROR(__xludf.DUMMYFUNCTION("""COMPUTED_VALUE"""),454.92)</f>
        <v>454.92</v>
      </c>
      <c r="Y687" s="1">
        <f ca="1">IFERROR(__xludf.DUMMYFUNCTION("""COMPUTED_VALUE"""),77.14)</f>
        <v>77.14</v>
      </c>
      <c r="Z687" s="1">
        <f ca="1">IFERROR(__xludf.DUMMYFUNCTION("""COMPUTED_VALUE"""),320.71)</f>
        <v>320.70999999999998</v>
      </c>
      <c r="AA687" s="1">
        <f ca="1">IFERROR(__xludf.DUMMYFUNCTION("""COMPUTED_VALUE"""),43.92)</f>
        <v>43.92</v>
      </c>
      <c r="AB687" s="1">
        <f ca="1">IFERROR(__xludf.DUMMYFUNCTION("""COMPUTED_VALUE"""),88.6)</f>
        <v>88.6</v>
      </c>
      <c r="AC687" s="1">
        <f ca="1">IFERROR(__xludf.DUMMYFUNCTION("""COMPUTED_VALUE"""),74.48)</f>
        <v>74.48</v>
      </c>
    </row>
    <row r="688" spans="1:29" x14ac:dyDescent="0.25">
      <c r="A688" s="2">
        <f ca="1">IFERROR(__xludf.DUMMYFUNCTION("""COMPUTED_VALUE"""),44826.6666666666)</f>
        <v>44826.666666666599</v>
      </c>
      <c r="B688" s="1">
        <f ca="1">IFERROR(__xludf.DUMMYFUNCTION("""COMPUTED_VALUE"""),152.74)</f>
        <v>152.74</v>
      </c>
      <c r="C688" s="1">
        <f ca="1">IFERROR(__xludf.DUMMYFUNCTION("""COMPUTED_VALUE"""),240.98)</f>
        <v>240.98</v>
      </c>
      <c r="D688" s="1">
        <f ca="1">IFERROR(__xludf.DUMMYFUNCTION("""COMPUTED_VALUE"""),117.31)</f>
        <v>117.31</v>
      </c>
      <c r="E688" s="1">
        <f ca="1">IFERROR(__xludf.DUMMYFUNCTION("""COMPUTED_VALUE"""),12.56)</f>
        <v>12.56</v>
      </c>
      <c r="F688" s="1">
        <f ca="1">IFERROR(__xludf.DUMMYFUNCTION("""COMPUTED_VALUE"""),142.82)</f>
        <v>142.82</v>
      </c>
      <c r="G688" s="1">
        <f ca="1">IFERROR(__xludf.DUMMYFUNCTION("""COMPUTED_VALUE"""),100.57)</f>
        <v>100.57</v>
      </c>
      <c r="H688" s="1">
        <f ca="1">IFERROR(__xludf.DUMMYFUNCTION("""COMPUTED_VALUE"""),288.59)</f>
        <v>288.58999999999997</v>
      </c>
      <c r="I688" s="1">
        <f ca="1">IFERROR(__xludf.DUMMYFUNCTION("""COMPUTED_VALUE"""),168.6)</f>
        <v>168.6</v>
      </c>
      <c r="J688" s="1">
        <f ca="1">IFERROR(__xludf.DUMMYFUNCTION("""COMPUTED_VALUE"""),487.17)</f>
        <v>487.17</v>
      </c>
      <c r="K688" s="1">
        <f ca="1">IFERROR(__xludf.DUMMYFUNCTION("""COMPUTED_VALUE"""),47.76)</f>
        <v>47.76</v>
      </c>
      <c r="L688" s="1">
        <f ca="1">IFERROR(__xludf.DUMMYFUNCTION("""COMPUTED_VALUE"""),287.06)</f>
        <v>287.06</v>
      </c>
      <c r="M688" s="1">
        <f ca="1">IFERROR(__xludf.DUMMYFUNCTION("""COMPUTED_VALUE"""),237.05)</f>
        <v>237.05</v>
      </c>
      <c r="N688" s="1">
        <f ca="1">IFERROR(__xludf.DUMMYFUNCTION("""COMPUTED_VALUE"""),111.21)</f>
        <v>111.21</v>
      </c>
      <c r="O688" s="1">
        <f ca="1">IFERROR(__xludf.DUMMYFUNCTION("""COMPUTED_VALUE"""),185.79)</f>
        <v>185.79</v>
      </c>
      <c r="P688" s="1">
        <f ca="1">IFERROR(__xludf.DUMMYFUNCTION("""COMPUTED_VALUE"""),166.18)</f>
        <v>166.18</v>
      </c>
      <c r="Q688" s="1">
        <f ca="1">IFERROR(__xludf.DUMMYFUNCTION("""COMPUTED_VALUE"""),517.46)</f>
        <v>517.46</v>
      </c>
      <c r="R688" s="1">
        <f ca="1">IFERROR(__xludf.DUMMYFUNCTION("""COMPUTED_VALUE"""),90.57)</f>
        <v>90.57</v>
      </c>
      <c r="S688" s="1">
        <f ca="1">IFERROR(__xludf.DUMMYFUNCTION("""COMPUTED_VALUE"""),83.54)</f>
        <v>83.54</v>
      </c>
      <c r="T688" s="1">
        <f ca="1">IFERROR(__xludf.DUMMYFUNCTION("""COMPUTED_VALUE"""),44.46)</f>
        <v>44.46</v>
      </c>
      <c r="U688" s="1">
        <f ca="1">IFERROR(__xludf.DUMMYFUNCTION("""COMPUTED_VALUE"""),98.55)</f>
        <v>98.55</v>
      </c>
      <c r="V688" s="1">
        <f ca="1">IFERROR(__xludf.DUMMYFUNCTION("""COMPUTED_VALUE"""),170.55)</f>
        <v>170.55</v>
      </c>
      <c r="W688" s="1">
        <f ca="1">IFERROR(__xludf.DUMMYFUNCTION("""COMPUTED_VALUE"""),422.08)</f>
        <v>422.08</v>
      </c>
      <c r="X688" s="1">
        <f ca="1">IFERROR(__xludf.DUMMYFUNCTION("""COMPUTED_VALUE"""),441.04)</f>
        <v>441.04</v>
      </c>
      <c r="Y688" s="1">
        <f ca="1">IFERROR(__xludf.DUMMYFUNCTION("""COMPUTED_VALUE"""),75.63)</f>
        <v>75.63</v>
      </c>
      <c r="Z688" s="1">
        <f ca="1">IFERROR(__xludf.DUMMYFUNCTION("""COMPUTED_VALUE"""),312.92)</f>
        <v>312.92</v>
      </c>
      <c r="AA688" s="1">
        <f ca="1">IFERROR(__xludf.DUMMYFUNCTION("""COMPUTED_VALUE"""),44.57)</f>
        <v>44.57</v>
      </c>
      <c r="AB688" s="1">
        <f ca="1">IFERROR(__xludf.DUMMYFUNCTION("""COMPUTED_VALUE"""),84.7)</f>
        <v>84.7</v>
      </c>
      <c r="AC688" s="1">
        <f ca="1">IFERROR(__xludf.DUMMYFUNCTION("""COMPUTED_VALUE"""),69.5)</f>
        <v>69.5</v>
      </c>
    </row>
    <row r="689" spans="1:29" x14ac:dyDescent="0.25">
      <c r="A689" s="2">
        <f ca="1">IFERROR(__xludf.DUMMYFUNCTION("""COMPUTED_VALUE"""),44827.6666666666)</f>
        <v>44827.666666666599</v>
      </c>
      <c r="B689" s="1">
        <f ca="1">IFERROR(__xludf.DUMMYFUNCTION("""COMPUTED_VALUE"""),150.43)</f>
        <v>150.43</v>
      </c>
      <c r="C689" s="1">
        <f ca="1">IFERROR(__xludf.DUMMYFUNCTION("""COMPUTED_VALUE"""),237.92)</f>
        <v>237.92</v>
      </c>
      <c r="D689" s="1">
        <f ca="1">IFERROR(__xludf.DUMMYFUNCTION("""COMPUTED_VALUE"""),113.78)</f>
        <v>113.78</v>
      </c>
      <c r="E689" s="1">
        <f ca="1">IFERROR(__xludf.DUMMYFUNCTION("""COMPUTED_VALUE"""),12.52)</f>
        <v>12.52</v>
      </c>
      <c r="F689" s="1">
        <f ca="1">IFERROR(__xludf.DUMMYFUNCTION("""COMPUTED_VALUE"""),140.41)</f>
        <v>140.41</v>
      </c>
      <c r="G689" s="1">
        <f ca="1">IFERROR(__xludf.DUMMYFUNCTION("""COMPUTED_VALUE"""),99.17)</f>
        <v>99.17</v>
      </c>
      <c r="H689" s="1">
        <f ca="1">IFERROR(__xludf.DUMMYFUNCTION("""COMPUTED_VALUE"""),275.33)</f>
        <v>275.33</v>
      </c>
      <c r="I689" s="1">
        <f ca="1">IFERROR(__xludf.DUMMYFUNCTION("""COMPUTED_VALUE"""),168.52)</f>
        <v>168.52</v>
      </c>
      <c r="J689" s="1">
        <f ca="1">IFERROR(__xludf.DUMMYFUNCTION("""COMPUTED_VALUE"""),466.4)</f>
        <v>466.4</v>
      </c>
      <c r="K689" s="1">
        <f ca="1">IFERROR(__xludf.DUMMYFUNCTION("""COMPUTED_VALUE"""),46.87)</f>
        <v>46.87</v>
      </c>
      <c r="L689" s="1">
        <f ca="1">IFERROR(__xludf.DUMMYFUNCTION("""COMPUTED_VALUE"""),284.56)</f>
        <v>284.56</v>
      </c>
      <c r="M689" s="1">
        <f ca="1">IFERROR(__xludf.DUMMYFUNCTION("""COMPUTED_VALUE"""),226.41)</f>
        <v>226.41</v>
      </c>
      <c r="N689" s="1">
        <f ca="1">IFERROR(__xludf.DUMMYFUNCTION("""COMPUTED_VALUE"""),109.14)</f>
        <v>109.14</v>
      </c>
      <c r="O689" s="1">
        <f ca="1">IFERROR(__xludf.DUMMYFUNCTION("""COMPUTED_VALUE"""),183.96)</f>
        <v>183.96</v>
      </c>
      <c r="P689" s="1">
        <f ca="1">IFERROR(__xludf.DUMMYFUNCTION("""COMPUTED_VALUE"""),166.72)</f>
        <v>166.72</v>
      </c>
      <c r="Q689" s="1">
        <f ca="1">IFERROR(__xludf.DUMMYFUNCTION("""COMPUTED_VALUE"""),513.61)</f>
        <v>513.61</v>
      </c>
      <c r="R689" s="1">
        <f ca="1">IFERROR(__xludf.DUMMYFUNCTION("""COMPUTED_VALUE"""),85.75)</f>
        <v>85.75</v>
      </c>
      <c r="S689" s="1">
        <f ca="1">IFERROR(__xludf.DUMMYFUNCTION("""COMPUTED_VALUE"""),82.52)</f>
        <v>82.52</v>
      </c>
      <c r="T689" s="1">
        <f ca="1">IFERROR(__xludf.DUMMYFUNCTION("""COMPUTED_VALUE"""),43.35)</f>
        <v>43.35</v>
      </c>
      <c r="U689" s="1">
        <f ca="1">IFERROR(__xludf.DUMMYFUNCTION("""COMPUTED_VALUE"""),97.02)</f>
        <v>97.02</v>
      </c>
      <c r="V689" s="1">
        <f ca="1">IFERROR(__xludf.DUMMYFUNCTION("""COMPUTED_VALUE"""),164.24)</f>
        <v>164.24</v>
      </c>
      <c r="W689" s="1">
        <f ca="1">IFERROR(__xludf.DUMMYFUNCTION("""COMPUTED_VALUE"""),413.07)</f>
        <v>413.07</v>
      </c>
      <c r="X689" s="1">
        <f ca="1">IFERROR(__xludf.DUMMYFUNCTION("""COMPUTED_VALUE"""),436.14)</f>
        <v>436.14</v>
      </c>
      <c r="Y689" s="1">
        <f ca="1">IFERROR(__xludf.DUMMYFUNCTION("""COMPUTED_VALUE"""),73.87)</f>
        <v>73.87</v>
      </c>
      <c r="Z689" s="1">
        <f ca="1">IFERROR(__xludf.DUMMYFUNCTION("""COMPUTED_VALUE"""),301.97)</f>
        <v>301.97000000000003</v>
      </c>
      <c r="AA689" s="1">
        <f ca="1">IFERROR(__xludf.DUMMYFUNCTION("""COMPUTED_VALUE"""),44.08)</f>
        <v>44.08</v>
      </c>
      <c r="AB689" s="1">
        <f ca="1">IFERROR(__xludf.DUMMYFUNCTION("""COMPUTED_VALUE"""),84.17)</f>
        <v>84.17</v>
      </c>
      <c r="AC689" s="1">
        <f ca="1">IFERROR(__xludf.DUMMYFUNCTION("""COMPUTED_VALUE"""),67.96)</f>
        <v>67.959999999999994</v>
      </c>
    </row>
    <row r="690" spans="1:29" x14ac:dyDescent="0.25">
      <c r="A690" s="2">
        <f ca="1">IFERROR(__xludf.DUMMYFUNCTION("""COMPUTED_VALUE"""),44830.6666666666)</f>
        <v>44830.666666666599</v>
      </c>
      <c r="B690" s="1">
        <f ca="1">IFERROR(__xludf.DUMMYFUNCTION("""COMPUTED_VALUE"""),150.77)</f>
        <v>150.77000000000001</v>
      </c>
      <c r="C690" s="1">
        <f ca="1">IFERROR(__xludf.DUMMYFUNCTION("""COMPUTED_VALUE"""),237.45)</f>
        <v>237.45</v>
      </c>
      <c r="D690" s="1">
        <f ca="1">IFERROR(__xludf.DUMMYFUNCTION("""COMPUTED_VALUE"""),115.15)</f>
        <v>115.15</v>
      </c>
      <c r="E690" s="1">
        <f ca="1">IFERROR(__xludf.DUMMYFUNCTION("""COMPUTED_VALUE"""),12.23)</f>
        <v>12.23</v>
      </c>
      <c r="F690" s="1">
        <f ca="1">IFERROR(__xludf.DUMMYFUNCTION("""COMPUTED_VALUE"""),136.37)</f>
        <v>136.37</v>
      </c>
      <c r="G690" s="1">
        <f ca="1">IFERROR(__xludf.DUMMYFUNCTION("""COMPUTED_VALUE"""),98.81)</f>
        <v>98.81</v>
      </c>
      <c r="H690" s="1">
        <f ca="1">IFERROR(__xludf.DUMMYFUNCTION("""COMPUTED_VALUE"""),276.01)</f>
        <v>276.01</v>
      </c>
      <c r="I690" s="1">
        <f ca="1">IFERROR(__xludf.DUMMYFUNCTION("""COMPUTED_VALUE"""),168.45)</f>
        <v>168.45</v>
      </c>
      <c r="J690" s="1">
        <f ca="1">IFERROR(__xludf.DUMMYFUNCTION("""COMPUTED_VALUE"""),480.3)</f>
        <v>480.3</v>
      </c>
      <c r="K690" s="1">
        <f ca="1">IFERROR(__xludf.DUMMYFUNCTION("""COMPUTED_VALUE"""),46.23)</f>
        <v>46.23</v>
      </c>
      <c r="L690" s="1">
        <f ca="1">IFERROR(__xludf.DUMMYFUNCTION("""COMPUTED_VALUE"""),276.96)</f>
        <v>276.95999999999998</v>
      </c>
      <c r="M690" s="1">
        <f ca="1">IFERROR(__xludf.DUMMYFUNCTION("""COMPUTED_VALUE"""),224.07)</f>
        <v>224.07</v>
      </c>
      <c r="N690" s="1">
        <f ca="1">IFERROR(__xludf.DUMMYFUNCTION("""COMPUTED_VALUE"""),106.79)</f>
        <v>106.79</v>
      </c>
      <c r="O690" s="1">
        <f ca="1">IFERROR(__xludf.DUMMYFUNCTION("""COMPUTED_VALUE"""),180.59)</f>
        <v>180.59</v>
      </c>
      <c r="P690" s="1">
        <f ca="1">IFERROR(__xludf.DUMMYFUNCTION("""COMPUTED_VALUE"""),165.7)</f>
        <v>165.7</v>
      </c>
      <c r="Q690" s="1">
        <f ca="1">IFERROR(__xludf.DUMMYFUNCTION("""COMPUTED_VALUE"""),508.36)</f>
        <v>508.36</v>
      </c>
      <c r="R690" s="1">
        <f ca="1">IFERROR(__xludf.DUMMYFUNCTION("""COMPUTED_VALUE"""),83.98)</f>
        <v>83.98</v>
      </c>
      <c r="S690" s="1">
        <f ca="1">IFERROR(__xludf.DUMMYFUNCTION("""COMPUTED_VALUE"""),81.15)</f>
        <v>81.150000000000006</v>
      </c>
      <c r="T690" s="1">
        <f ca="1">IFERROR(__xludf.DUMMYFUNCTION("""COMPUTED_VALUE"""),43.77)</f>
        <v>43.77</v>
      </c>
      <c r="U690" s="1">
        <f ca="1">IFERROR(__xludf.DUMMYFUNCTION("""COMPUTED_VALUE"""),96.06)</f>
        <v>96.06</v>
      </c>
      <c r="V690" s="1">
        <f ca="1">IFERROR(__xludf.DUMMYFUNCTION("""COMPUTED_VALUE"""),162.62)</f>
        <v>162.62</v>
      </c>
      <c r="W690" s="1">
        <f ca="1">IFERROR(__xludf.DUMMYFUNCTION("""COMPUTED_VALUE"""),407.65)</f>
        <v>407.65</v>
      </c>
      <c r="X690" s="1">
        <f ca="1">IFERROR(__xludf.DUMMYFUNCTION("""COMPUTED_VALUE"""),430.81)</f>
        <v>430.81</v>
      </c>
      <c r="Y690" s="1">
        <f ca="1">IFERROR(__xludf.DUMMYFUNCTION("""COMPUTED_VALUE"""),73.01)</f>
        <v>73.010000000000005</v>
      </c>
      <c r="Z690" s="1">
        <f ca="1">IFERROR(__xludf.DUMMYFUNCTION("""COMPUTED_VALUE"""),294.62)</f>
        <v>294.62</v>
      </c>
      <c r="AA690" s="1">
        <f ca="1">IFERROR(__xludf.DUMMYFUNCTION("""COMPUTED_VALUE"""),43.83)</f>
        <v>43.83</v>
      </c>
      <c r="AB690" s="1">
        <f ca="1">IFERROR(__xludf.DUMMYFUNCTION("""COMPUTED_VALUE"""),84.81)</f>
        <v>84.81</v>
      </c>
      <c r="AC690" s="1">
        <f ca="1">IFERROR(__xludf.DUMMYFUNCTION("""COMPUTED_VALUE"""),66.3)</f>
        <v>66.3</v>
      </c>
    </row>
    <row r="691" spans="1:29" x14ac:dyDescent="0.25">
      <c r="A691" s="2">
        <f ca="1">IFERROR(__xludf.DUMMYFUNCTION("""COMPUTED_VALUE"""),44831.6666666666)</f>
        <v>44831.666666666599</v>
      </c>
      <c r="B691" s="1">
        <f ca="1">IFERROR(__xludf.DUMMYFUNCTION("""COMPUTED_VALUE"""),151.76)</f>
        <v>151.76</v>
      </c>
      <c r="C691" s="1">
        <f ca="1">IFERROR(__xludf.DUMMYFUNCTION("""COMPUTED_VALUE"""),236.41)</f>
        <v>236.41</v>
      </c>
      <c r="D691" s="1">
        <f ca="1">IFERROR(__xludf.DUMMYFUNCTION("""COMPUTED_VALUE"""),114.41)</f>
        <v>114.41</v>
      </c>
      <c r="E691" s="1">
        <f ca="1">IFERROR(__xludf.DUMMYFUNCTION("""COMPUTED_VALUE"""),12.41)</f>
        <v>12.41</v>
      </c>
      <c r="F691" s="1">
        <f ca="1">IFERROR(__xludf.DUMMYFUNCTION("""COMPUTED_VALUE"""),134.4)</f>
        <v>134.4</v>
      </c>
      <c r="G691" s="1">
        <f ca="1">IFERROR(__xludf.DUMMYFUNCTION("""COMPUTED_VALUE"""),98.09)</f>
        <v>98.09</v>
      </c>
      <c r="H691" s="1">
        <f ca="1">IFERROR(__xludf.DUMMYFUNCTION("""COMPUTED_VALUE"""),282.94)</f>
        <v>282.94</v>
      </c>
      <c r="I691" s="1">
        <f ca="1">IFERROR(__xludf.DUMMYFUNCTION("""COMPUTED_VALUE"""),166.01)</f>
        <v>166.01</v>
      </c>
      <c r="J691" s="1">
        <f ca="1">IFERROR(__xludf.DUMMYFUNCTION("""COMPUTED_VALUE"""),478.3)</f>
        <v>478.3</v>
      </c>
      <c r="K691" s="1">
        <f ca="1">IFERROR(__xludf.DUMMYFUNCTION("""COMPUTED_VALUE"""),46.48)</f>
        <v>46.48</v>
      </c>
      <c r="L691" s="1">
        <f ca="1">IFERROR(__xludf.DUMMYFUNCTION("""COMPUTED_VALUE"""),277.57)</f>
        <v>277.57</v>
      </c>
      <c r="M691" s="1">
        <f ca="1">IFERROR(__xludf.DUMMYFUNCTION("""COMPUTED_VALUE"""),224.36)</f>
        <v>224.36</v>
      </c>
      <c r="N691" s="1">
        <f ca="1">IFERROR(__xludf.DUMMYFUNCTION("""COMPUTED_VALUE"""),105.85)</f>
        <v>105.85</v>
      </c>
      <c r="O691" s="1">
        <f ca="1">IFERROR(__xludf.DUMMYFUNCTION("""COMPUTED_VALUE"""),177.87)</f>
        <v>177.87</v>
      </c>
      <c r="P691" s="1">
        <f ca="1">IFERROR(__xludf.DUMMYFUNCTION("""COMPUTED_VALUE"""),164.94)</f>
        <v>164.94</v>
      </c>
      <c r="Q691" s="1">
        <f ca="1">IFERROR(__xludf.DUMMYFUNCTION("""COMPUTED_VALUE"""),508.37)</f>
        <v>508.37</v>
      </c>
      <c r="R691" s="1">
        <f ca="1">IFERROR(__xludf.DUMMYFUNCTION("""COMPUTED_VALUE"""),85.74)</f>
        <v>85.74</v>
      </c>
      <c r="S691" s="1">
        <f ca="1">IFERROR(__xludf.DUMMYFUNCTION("""COMPUTED_VALUE"""),81.08)</f>
        <v>81.08</v>
      </c>
      <c r="T691" s="1">
        <f ca="1">IFERROR(__xludf.DUMMYFUNCTION("""COMPUTED_VALUE"""),43.65)</f>
        <v>43.65</v>
      </c>
      <c r="U691" s="1">
        <f ca="1">IFERROR(__xludf.DUMMYFUNCTION("""COMPUTED_VALUE"""),96.29)</f>
        <v>96.29</v>
      </c>
      <c r="V691" s="1">
        <f ca="1">IFERROR(__xludf.DUMMYFUNCTION("""COMPUTED_VALUE"""),162.44)</f>
        <v>162.44</v>
      </c>
      <c r="W691" s="1">
        <f ca="1">IFERROR(__xludf.DUMMYFUNCTION("""COMPUTED_VALUE"""),399.74)</f>
        <v>399.74</v>
      </c>
      <c r="X691" s="1">
        <f ca="1">IFERROR(__xludf.DUMMYFUNCTION("""COMPUTED_VALUE"""),433.29)</f>
        <v>433.29</v>
      </c>
      <c r="Y691" s="1">
        <f ca="1">IFERROR(__xludf.DUMMYFUNCTION("""COMPUTED_VALUE"""),73.03)</f>
        <v>73.03</v>
      </c>
      <c r="Z691" s="1">
        <f ca="1">IFERROR(__xludf.DUMMYFUNCTION("""COMPUTED_VALUE"""),291.38)</f>
        <v>291.38</v>
      </c>
      <c r="AA691" s="1">
        <f ca="1">IFERROR(__xludf.DUMMYFUNCTION("""COMPUTED_VALUE"""),44.09)</f>
        <v>44.09</v>
      </c>
      <c r="AB691" s="1">
        <f ca="1">IFERROR(__xludf.DUMMYFUNCTION("""COMPUTED_VALUE"""),84.28)</f>
        <v>84.28</v>
      </c>
      <c r="AC691" s="1">
        <f ca="1">IFERROR(__xludf.DUMMYFUNCTION("""COMPUTED_VALUE"""),67.17)</f>
        <v>67.17</v>
      </c>
    </row>
    <row r="692" spans="1:29" x14ac:dyDescent="0.25">
      <c r="A692" s="2">
        <f ca="1">IFERROR(__xludf.DUMMYFUNCTION("""COMPUTED_VALUE"""),44832.6666666666)</f>
        <v>44832.666666666599</v>
      </c>
      <c r="B692" s="1">
        <f ca="1">IFERROR(__xludf.DUMMYFUNCTION("""COMPUTED_VALUE"""),149.84)</f>
        <v>149.84</v>
      </c>
      <c r="C692" s="1">
        <f ca="1">IFERROR(__xludf.DUMMYFUNCTION("""COMPUTED_VALUE"""),241.07)</f>
        <v>241.07</v>
      </c>
      <c r="D692" s="1">
        <f ca="1">IFERROR(__xludf.DUMMYFUNCTION("""COMPUTED_VALUE"""),118.01)</f>
        <v>118.01</v>
      </c>
      <c r="E692" s="1">
        <f ca="1">IFERROR(__xludf.DUMMYFUNCTION("""COMPUTED_VALUE"""),12.74)</f>
        <v>12.74</v>
      </c>
      <c r="F692" s="1">
        <f ca="1">IFERROR(__xludf.DUMMYFUNCTION("""COMPUTED_VALUE"""),141.61)</f>
        <v>141.61000000000001</v>
      </c>
      <c r="G692" s="1">
        <f ca="1">IFERROR(__xludf.DUMMYFUNCTION("""COMPUTED_VALUE"""),100.74)</f>
        <v>100.74</v>
      </c>
      <c r="H692" s="1">
        <f ca="1">IFERROR(__xludf.DUMMYFUNCTION("""COMPUTED_VALUE"""),287.81)</f>
        <v>287.81</v>
      </c>
      <c r="I692" s="1">
        <f ca="1">IFERROR(__xludf.DUMMYFUNCTION("""COMPUTED_VALUE"""),168.67)</f>
        <v>168.67</v>
      </c>
      <c r="J692" s="1">
        <f ca="1">IFERROR(__xludf.DUMMYFUNCTION("""COMPUTED_VALUE"""),488.29)</f>
        <v>488.29</v>
      </c>
      <c r="K692" s="1">
        <f ca="1">IFERROR(__xludf.DUMMYFUNCTION("""COMPUTED_VALUE"""),46.6)</f>
        <v>46.6</v>
      </c>
      <c r="L692" s="1">
        <f ca="1">IFERROR(__xludf.DUMMYFUNCTION("""COMPUTED_VALUE"""),281.4)</f>
        <v>281.39999999999998</v>
      </c>
      <c r="M692" s="1">
        <f ca="1">IFERROR(__xludf.DUMMYFUNCTION("""COMPUTED_VALUE"""),245.2)</f>
        <v>245.2</v>
      </c>
      <c r="N692" s="1">
        <f ca="1">IFERROR(__xludf.DUMMYFUNCTION("""COMPUTED_VALUE"""),107.99)</f>
        <v>107.99</v>
      </c>
      <c r="O692" s="1">
        <f ca="1">IFERROR(__xludf.DUMMYFUNCTION("""COMPUTED_VALUE"""),179.18)</f>
        <v>179.18</v>
      </c>
      <c r="P692" s="1">
        <f ca="1">IFERROR(__xludf.DUMMYFUNCTION("""COMPUTED_VALUE"""),166.36)</f>
        <v>166.36</v>
      </c>
      <c r="Q692" s="1">
        <f ca="1">IFERROR(__xludf.DUMMYFUNCTION("""COMPUTED_VALUE"""),513.94)</f>
        <v>513.94000000000005</v>
      </c>
      <c r="R692" s="1">
        <f ca="1">IFERROR(__xludf.DUMMYFUNCTION("""COMPUTED_VALUE"""),88.86)</f>
        <v>88.86</v>
      </c>
      <c r="S692" s="1">
        <f ca="1">IFERROR(__xludf.DUMMYFUNCTION("""COMPUTED_VALUE"""),82.37)</f>
        <v>82.37</v>
      </c>
      <c r="T692" s="1">
        <f ca="1">IFERROR(__xludf.DUMMYFUNCTION("""COMPUTED_VALUE"""),44.37)</f>
        <v>44.37</v>
      </c>
      <c r="U692" s="1">
        <f ca="1">IFERROR(__xludf.DUMMYFUNCTION("""COMPUTED_VALUE"""),98.7)</f>
        <v>98.7</v>
      </c>
      <c r="V692" s="1">
        <f ca="1">IFERROR(__xludf.DUMMYFUNCTION("""COMPUTED_VALUE"""),167.76)</f>
        <v>167.76</v>
      </c>
      <c r="W692" s="1">
        <f ca="1">IFERROR(__xludf.DUMMYFUNCTION("""COMPUTED_VALUE"""),400)</f>
        <v>400</v>
      </c>
      <c r="X692" s="1">
        <f ca="1">IFERROR(__xludf.DUMMYFUNCTION("""COMPUTED_VALUE"""),441.23)</f>
        <v>441.23</v>
      </c>
      <c r="Y692" s="1">
        <f ca="1">IFERROR(__xludf.DUMMYFUNCTION("""COMPUTED_VALUE"""),72.13)</f>
        <v>72.13</v>
      </c>
      <c r="Z692" s="1">
        <f ca="1">IFERROR(__xludf.DUMMYFUNCTION("""COMPUTED_VALUE"""),300.79)</f>
        <v>300.79000000000002</v>
      </c>
      <c r="AA692" s="1">
        <f ca="1">IFERROR(__xludf.DUMMYFUNCTION("""COMPUTED_VALUE"""),44.43)</f>
        <v>44.43</v>
      </c>
      <c r="AB692" s="1">
        <f ca="1">IFERROR(__xludf.DUMMYFUNCTION("""COMPUTED_VALUE"""),87.11)</f>
        <v>87.11</v>
      </c>
      <c r="AC692" s="1">
        <f ca="1">IFERROR(__xludf.DUMMYFUNCTION("""COMPUTED_VALUE"""),68.36)</f>
        <v>68.36</v>
      </c>
    </row>
    <row r="693" spans="1:29" x14ac:dyDescent="0.25">
      <c r="A693" s="2">
        <f ca="1">IFERROR(__xludf.DUMMYFUNCTION("""COMPUTED_VALUE"""),44833.6666666666)</f>
        <v>44833.666666666599</v>
      </c>
      <c r="B693" s="1">
        <f ca="1">IFERROR(__xludf.DUMMYFUNCTION("""COMPUTED_VALUE"""),142.48)</f>
        <v>142.47999999999999</v>
      </c>
      <c r="C693" s="1">
        <f ca="1">IFERROR(__xludf.DUMMYFUNCTION("""COMPUTED_VALUE"""),237.5)</f>
        <v>237.5</v>
      </c>
      <c r="D693" s="1">
        <f ca="1">IFERROR(__xludf.DUMMYFUNCTION("""COMPUTED_VALUE"""),114.8)</f>
        <v>114.8</v>
      </c>
      <c r="E693" s="1">
        <f ca="1">IFERROR(__xludf.DUMMYFUNCTION("""COMPUTED_VALUE"""),12.22)</f>
        <v>12.22</v>
      </c>
      <c r="F693" s="1">
        <f ca="1">IFERROR(__xludf.DUMMYFUNCTION("""COMPUTED_VALUE"""),136.41)</f>
        <v>136.41</v>
      </c>
      <c r="G693" s="1">
        <f ca="1">IFERROR(__xludf.DUMMYFUNCTION("""COMPUTED_VALUE"""),98.09)</f>
        <v>98.09</v>
      </c>
      <c r="H693" s="1">
        <f ca="1">IFERROR(__xludf.DUMMYFUNCTION("""COMPUTED_VALUE"""),268.21)</f>
        <v>268.20999999999998</v>
      </c>
      <c r="I693" s="1">
        <f ca="1">IFERROR(__xludf.DUMMYFUNCTION("""COMPUTED_VALUE"""),166.61)</f>
        <v>166.61</v>
      </c>
      <c r="J693" s="1">
        <f ca="1">IFERROR(__xludf.DUMMYFUNCTION("""COMPUTED_VALUE"""),478.98)</f>
        <v>478.98</v>
      </c>
      <c r="K693" s="1">
        <f ca="1">IFERROR(__xludf.DUMMYFUNCTION("""COMPUTED_VALUE"""),45.01)</f>
        <v>45.01</v>
      </c>
      <c r="L693" s="1">
        <f ca="1">IFERROR(__xludf.DUMMYFUNCTION("""COMPUTED_VALUE"""),278.25)</f>
        <v>278.25</v>
      </c>
      <c r="M693" s="1">
        <f ca="1">IFERROR(__xludf.DUMMYFUNCTION("""COMPUTED_VALUE"""),239.71)</f>
        <v>239.71</v>
      </c>
      <c r="N693" s="1">
        <f ca="1">IFERROR(__xludf.DUMMYFUNCTION("""COMPUTED_VALUE"""),106.16)</f>
        <v>106.16</v>
      </c>
      <c r="O693" s="1">
        <f ca="1">IFERROR(__xludf.DUMMYFUNCTION("""COMPUTED_VALUE"""),180.06)</f>
        <v>180.06</v>
      </c>
      <c r="P693" s="1">
        <f ca="1">IFERROR(__xludf.DUMMYFUNCTION("""COMPUTED_VALUE"""),164.53)</f>
        <v>164.53</v>
      </c>
      <c r="Q693" s="1">
        <f ca="1">IFERROR(__xludf.DUMMYFUNCTION("""COMPUTED_VALUE"""),508.83)</f>
        <v>508.83</v>
      </c>
      <c r="R693" s="1">
        <f ca="1">IFERROR(__xludf.DUMMYFUNCTION("""COMPUTED_VALUE"""),88.68)</f>
        <v>88.68</v>
      </c>
      <c r="S693" s="1">
        <f ca="1">IFERROR(__xludf.DUMMYFUNCTION("""COMPUTED_VALUE"""),79.97)</f>
        <v>79.97</v>
      </c>
      <c r="T693" s="1">
        <f ca="1">IFERROR(__xludf.DUMMYFUNCTION("""COMPUTED_VALUE"""),44.08)</f>
        <v>44.08</v>
      </c>
      <c r="U693" s="1">
        <f ca="1">IFERROR(__xludf.DUMMYFUNCTION("""COMPUTED_VALUE"""),95.33)</f>
        <v>95.33</v>
      </c>
      <c r="V693" s="1">
        <f ca="1">IFERROR(__xludf.DUMMYFUNCTION("""COMPUTED_VALUE"""),165.9)</f>
        <v>165.9</v>
      </c>
      <c r="W693" s="1">
        <f ca="1">IFERROR(__xludf.DUMMYFUNCTION("""COMPUTED_VALUE"""),389.79)</f>
        <v>389.79</v>
      </c>
      <c r="X693" s="1">
        <f ca="1">IFERROR(__xludf.DUMMYFUNCTION("""COMPUTED_VALUE"""),427.78)</f>
        <v>427.78</v>
      </c>
      <c r="Y693" s="1">
        <f ca="1">IFERROR(__xludf.DUMMYFUNCTION("""COMPUTED_VALUE"""),69.28)</f>
        <v>69.28</v>
      </c>
      <c r="Z693" s="1">
        <f ca="1">IFERROR(__xludf.DUMMYFUNCTION("""COMPUTED_VALUE"""),296.11)</f>
        <v>296.11</v>
      </c>
      <c r="AA693" s="1">
        <f ca="1">IFERROR(__xludf.DUMMYFUNCTION("""COMPUTED_VALUE"""),44.16)</f>
        <v>44.16</v>
      </c>
      <c r="AB693" s="1">
        <f ca="1">IFERROR(__xludf.DUMMYFUNCTION("""COMPUTED_VALUE"""),86.57)</f>
        <v>86.57</v>
      </c>
      <c r="AC693" s="1">
        <f ca="1">IFERROR(__xludf.DUMMYFUNCTION("""COMPUTED_VALUE"""),64.14)</f>
        <v>64.14</v>
      </c>
    </row>
    <row r="694" spans="1:29" x14ac:dyDescent="0.25">
      <c r="A694" s="2">
        <f ca="1">IFERROR(__xludf.DUMMYFUNCTION("""COMPUTED_VALUE"""),44834.6666666666)</f>
        <v>44834.666666666599</v>
      </c>
      <c r="B694" s="1">
        <f ca="1">IFERROR(__xludf.DUMMYFUNCTION("""COMPUTED_VALUE"""),138.2)</f>
        <v>138.19999999999999</v>
      </c>
      <c r="C694" s="1">
        <f ca="1">IFERROR(__xludf.DUMMYFUNCTION("""COMPUTED_VALUE"""),232.9)</f>
        <v>232.9</v>
      </c>
      <c r="D694" s="1">
        <f ca="1">IFERROR(__xludf.DUMMYFUNCTION("""COMPUTED_VALUE"""),113)</f>
        <v>113</v>
      </c>
      <c r="E694" s="1">
        <f ca="1">IFERROR(__xludf.DUMMYFUNCTION("""COMPUTED_VALUE"""),12.14)</f>
        <v>12.14</v>
      </c>
      <c r="F694" s="1">
        <f ca="1">IFERROR(__xludf.DUMMYFUNCTION("""COMPUTED_VALUE"""),135.68)</f>
        <v>135.68</v>
      </c>
      <c r="G694" s="1">
        <f ca="1">IFERROR(__xludf.DUMMYFUNCTION("""COMPUTED_VALUE"""),96.15)</f>
        <v>96.15</v>
      </c>
      <c r="H694" s="1">
        <f ca="1">IFERROR(__xludf.DUMMYFUNCTION("""COMPUTED_VALUE"""),265.25)</f>
        <v>265.25</v>
      </c>
      <c r="I694" s="1">
        <f ca="1">IFERROR(__xludf.DUMMYFUNCTION("""COMPUTED_VALUE"""),163.26)</f>
        <v>163.26</v>
      </c>
      <c r="J694" s="1">
        <f ca="1">IFERROR(__xludf.DUMMYFUNCTION("""COMPUTED_VALUE"""),472.27)</f>
        <v>472.27</v>
      </c>
      <c r="K694" s="1">
        <f ca="1">IFERROR(__xludf.DUMMYFUNCTION("""COMPUTED_VALUE"""),44.4)</f>
        <v>44.4</v>
      </c>
      <c r="L694" s="1">
        <f ca="1">IFERROR(__xludf.DUMMYFUNCTION("""COMPUTED_VALUE"""),275.2)</f>
        <v>275.2</v>
      </c>
      <c r="M694" s="1">
        <f ca="1">IFERROR(__xludf.DUMMYFUNCTION("""COMPUTED_VALUE"""),235.44)</f>
        <v>235.44</v>
      </c>
      <c r="N694" s="1">
        <f ca="1">IFERROR(__xludf.DUMMYFUNCTION("""COMPUTED_VALUE"""),104.5)</f>
        <v>104.5</v>
      </c>
      <c r="O694" s="1">
        <f ca="1">IFERROR(__xludf.DUMMYFUNCTION("""COMPUTED_VALUE"""),177.65)</f>
        <v>177.65</v>
      </c>
      <c r="P694" s="1">
        <f ca="1">IFERROR(__xludf.DUMMYFUNCTION("""COMPUTED_VALUE"""),163.36)</f>
        <v>163.36000000000001</v>
      </c>
      <c r="Q694" s="1">
        <f ca="1">IFERROR(__xludf.DUMMYFUNCTION("""COMPUTED_VALUE"""),505.04)</f>
        <v>505.04</v>
      </c>
      <c r="R694" s="1">
        <f ca="1">IFERROR(__xludf.DUMMYFUNCTION("""COMPUTED_VALUE"""),87.31)</f>
        <v>87.31</v>
      </c>
      <c r="S694" s="1">
        <f ca="1">IFERROR(__xludf.DUMMYFUNCTION("""COMPUTED_VALUE"""),78.41)</f>
        <v>78.41</v>
      </c>
      <c r="T694" s="1">
        <f ca="1">IFERROR(__xludf.DUMMYFUNCTION("""COMPUTED_VALUE"""),43.23)</f>
        <v>43.23</v>
      </c>
      <c r="U694" s="1">
        <f ca="1">IFERROR(__xludf.DUMMYFUNCTION("""COMPUTED_VALUE"""),83.12)</f>
        <v>83.12</v>
      </c>
      <c r="V694" s="1">
        <f ca="1">IFERROR(__xludf.DUMMYFUNCTION("""COMPUTED_VALUE"""),164.08)</f>
        <v>164.08</v>
      </c>
      <c r="W694" s="1">
        <f ca="1">IFERROR(__xludf.DUMMYFUNCTION("""COMPUTED_VALUE"""),386.29)</f>
        <v>386.29</v>
      </c>
      <c r="X694" s="1">
        <f ca="1">IFERROR(__xludf.DUMMYFUNCTION("""COMPUTED_VALUE"""),415.35)</f>
        <v>415.35</v>
      </c>
      <c r="Y694" s="1">
        <f ca="1">IFERROR(__xludf.DUMMYFUNCTION("""COMPUTED_VALUE"""),68.56)</f>
        <v>68.56</v>
      </c>
      <c r="Z694" s="1">
        <f ca="1">IFERROR(__xludf.DUMMYFUNCTION("""COMPUTED_VALUE"""),293.05)</f>
        <v>293.05</v>
      </c>
      <c r="AA694" s="1">
        <f ca="1">IFERROR(__xludf.DUMMYFUNCTION("""COMPUTED_VALUE"""),43.76)</f>
        <v>43.76</v>
      </c>
      <c r="AB694" s="1">
        <f ca="1">IFERROR(__xludf.DUMMYFUNCTION("""COMPUTED_VALUE"""),84.26)</f>
        <v>84.26</v>
      </c>
      <c r="AC694" s="1">
        <f ca="1">IFERROR(__xludf.DUMMYFUNCTION("""COMPUTED_VALUE"""),63.36)</f>
        <v>63.36</v>
      </c>
    </row>
    <row r="695" spans="1:29" x14ac:dyDescent="0.25">
      <c r="A695" s="2">
        <f ca="1">IFERROR(__xludf.DUMMYFUNCTION("""COMPUTED_VALUE"""),44837.6666666666)</f>
        <v>44837.666666666599</v>
      </c>
      <c r="B695" s="1">
        <f ca="1">IFERROR(__xludf.DUMMYFUNCTION("""COMPUTED_VALUE"""),142.45)</f>
        <v>142.44999999999999</v>
      </c>
      <c r="C695" s="1">
        <f ca="1">IFERROR(__xludf.DUMMYFUNCTION("""COMPUTED_VALUE"""),240.74)</f>
        <v>240.74</v>
      </c>
      <c r="D695" s="1">
        <f ca="1">IFERROR(__xludf.DUMMYFUNCTION("""COMPUTED_VALUE"""),115.88)</f>
        <v>115.88</v>
      </c>
      <c r="E695" s="1">
        <f ca="1">IFERROR(__xludf.DUMMYFUNCTION("""COMPUTED_VALUE"""),12.51)</f>
        <v>12.51</v>
      </c>
      <c r="F695" s="1">
        <f ca="1">IFERROR(__xludf.DUMMYFUNCTION("""COMPUTED_VALUE"""),138.61)</f>
        <v>138.61000000000001</v>
      </c>
      <c r="G695" s="1">
        <f ca="1">IFERROR(__xludf.DUMMYFUNCTION("""COMPUTED_VALUE"""),99.3)</f>
        <v>99.3</v>
      </c>
      <c r="H695" s="1">
        <f ca="1">IFERROR(__xludf.DUMMYFUNCTION("""COMPUTED_VALUE"""),242.4)</f>
        <v>242.4</v>
      </c>
      <c r="I695" s="1">
        <f ca="1">IFERROR(__xludf.DUMMYFUNCTION("""COMPUTED_VALUE"""),165.25)</f>
        <v>165.25</v>
      </c>
      <c r="J695" s="1">
        <f ca="1">IFERROR(__xludf.DUMMYFUNCTION("""COMPUTED_VALUE"""),477.73)</f>
        <v>477.73</v>
      </c>
      <c r="K695" s="1">
        <f ca="1">IFERROR(__xludf.DUMMYFUNCTION("""COMPUTED_VALUE"""),45.68)</f>
        <v>45.68</v>
      </c>
      <c r="L695" s="1">
        <f ca="1">IFERROR(__xludf.DUMMYFUNCTION("""COMPUTED_VALUE"""),285.24)</f>
        <v>285.24</v>
      </c>
      <c r="M695" s="1">
        <f ca="1">IFERROR(__xludf.DUMMYFUNCTION("""COMPUTED_VALUE"""),239.04)</f>
        <v>239.04</v>
      </c>
      <c r="N695" s="1">
        <f ca="1">IFERROR(__xludf.DUMMYFUNCTION("""COMPUTED_VALUE"""),107.73)</f>
        <v>107.73</v>
      </c>
      <c r="O695" s="1">
        <f ca="1">IFERROR(__xludf.DUMMYFUNCTION("""COMPUTED_VALUE"""),181.65)</f>
        <v>181.65</v>
      </c>
      <c r="P695" s="1">
        <f ca="1">IFERROR(__xludf.DUMMYFUNCTION("""COMPUTED_VALUE"""),163.2)</f>
        <v>163.19999999999999</v>
      </c>
      <c r="Q695" s="1">
        <f ca="1">IFERROR(__xludf.DUMMYFUNCTION("""COMPUTED_VALUE"""),515.51)</f>
        <v>515.51</v>
      </c>
      <c r="R695" s="1">
        <f ca="1">IFERROR(__xludf.DUMMYFUNCTION("""COMPUTED_VALUE"""),91.92)</f>
        <v>91.92</v>
      </c>
      <c r="S695" s="1">
        <f ca="1">IFERROR(__xludf.DUMMYFUNCTION("""COMPUTED_VALUE"""),81.19)</f>
        <v>81.19</v>
      </c>
      <c r="T695" s="1">
        <f ca="1">IFERROR(__xludf.DUMMYFUNCTION("""COMPUTED_VALUE"""),44.18)</f>
        <v>44.18</v>
      </c>
      <c r="U695" s="1">
        <f ca="1">IFERROR(__xludf.DUMMYFUNCTION("""COMPUTED_VALUE"""),85.4)</f>
        <v>85.4</v>
      </c>
      <c r="V695" s="1">
        <f ca="1">IFERROR(__xludf.DUMMYFUNCTION("""COMPUTED_VALUE"""),171.23)</f>
        <v>171.23</v>
      </c>
      <c r="W695" s="1">
        <f ca="1">IFERROR(__xludf.DUMMYFUNCTION("""COMPUTED_VALUE"""),399.74)</f>
        <v>399.74</v>
      </c>
      <c r="X695" s="1">
        <f ca="1">IFERROR(__xludf.DUMMYFUNCTION("""COMPUTED_VALUE"""),431.68)</f>
        <v>431.68</v>
      </c>
      <c r="Y695" s="1">
        <f ca="1">IFERROR(__xludf.DUMMYFUNCTION("""COMPUTED_VALUE"""),69.25)</f>
        <v>69.25</v>
      </c>
      <c r="Z695" s="1">
        <f ca="1">IFERROR(__xludf.DUMMYFUNCTION("""COMPUTED_VALUE"""),299.15)</f>
        <v>299.14999999999998</v>
      </c>
      <c r="AA695" s="1">
        <f ca="1">IFERROR(__xludf.DUMMYFUNCTION("""COMPUTED_VALUE"""),44.14)</f>
        <v>44.14</v>
      </c>
      <c r="AB695" s="1">
        <f ca="1">IFERROR(__xludf.DUMMYFUNCTION("""COMPUTED_VALUE"""),85.62)</f>
        <v>85.62</v>
      </c>
      <c r="AC695" s="1">
        <f ca="1">IFERROR(__xludf.DUMMYFUNCTION("""COMPUTED_VALUE"""),66.11)</f>
        <v>66.11</v>
      </c>
    </row>
    <row r="696" spans="1:29" x14ac:dyDescent="0.25">
      <c r="A696" s="2">
        <f ca="1">IFERROR(__xludf.DUMMYFUNCTION("""COMPUTED_VALUE"""),44838.6666666666)</f>
        <v>44838.666666666599</v>
      </c>
      <c r="B696" s="1">
        <f ca="1">IFERROR(__xludf.DUMMYFUNCTION("""COMPUTED_VALUE"""),146.1)</f>
        <v>146.1</v>
      </c>
      <c r="C696" s="1">
        <f ca="1">IFERROR(__xludf.DUMMYFUNCTION("""COMPUTED_VALUE"""),248.88)</f>
        <v>248.88</v>
      </c>
      <c r="D696" s="1">
        <f ca="1">IFERROR(__xludf.DUMMYFUNCTION("""COMPUTED_VALUE"""),121.09)</f>
        <v>121.09</v>
      </c>
      <c r="E696" s="1">
        <f ca="1">IFERROR(__xludf.DUMMYFUNCTION("""COMPUTED_VALUE"""),13.17)</f>
        <v>13.17</v>
      </c>
      <c r="F696" s="1">
        <f ca="1">IFERROR(__xludf.DUMMYFUNCTION("""COMPUTED_VALUE"""),140.28)</f>
        <v>140.28</v>
      </c>
      <c r="G696" s="1">
        <f ca="1">IFERROR(__xludf.DUMMYFUNCTION("""COMPUTED_VALUE"""),102.41)</f>
        <v>102.41</v>
      </c>
      <c r="H696" s="1">
        <f ca="1">IFERROR(__xludf.DUMMYFUNCTION("""COMPUTED_VALUE"""),249.44)</f>
        <v>249.44</v>
      </c>
      <c r="I696" s="1">
        <f ca="1">IFERROR(__xludf.DUMMYFUNCTION("""COMPUTED_VALUE"""),167.11)</f>
        <v>167.11</v>
      </c>
      <c r="J696" s="1">
        <f ca="1">IFERROR(__xludf.DUMMYFUNCTION("""COMPUTED_VALUE"""),486.13)</f>
        <v>486.13</v>
      </c>
      <c r="K696" s="1">
        <f ca="1">IFERROR(__xludf.DUMMYFUNCTION("""COMPUTED_VALUE"""),47.99)</f>
        <v>47.99</v>
      </c>
      <c r="L696" s="1">
        <f ca="1">IFERROR(__xludf.DUMMYFUNCTION("""COMPUTED_VALUE"""),294.97)</f>
        <v>294.97000000000003</v>
      </c>
      <c r="M696" s="1">
        <f ca="1">IFERROR(__xludf.DUMMYFUNCTION("""COMPUTED_VALUE"""),240.74)</f>
        <v>240.74</v>
      </c>
      <c r="N696" s="1">
        <f ca="1">IFERROR(__xludf.DUMMYFUNCTION("""COMPUTED_VALUE"""),112.77)</f>
        <v>112.77</v>
      </c>
      <c r="O696" s="1">
        <f ca="1">IFERROR(__xludf.DUMMYFUNCTION("""COMPUTED_VALUE"""),185.65)</f>
        <v>185.65</v>
      </c>
      <c r="P696" s="1">
        <f ca="1">IFERROR(__xludf.DUMMYFUNCTION("""COMPUTED_VALUE"""),165.62)</f>
        <v>165.62</v>
      </c>
      <c r="Q696" s="1">
        <f ca="1">IFERROR(__xludf.DUMMYFUNCTION("""COMPUTED_VALUE"""),523.17)</f>
        <v>523.16999999999996</v>
      </c>
      <c r="R696" s="1">
        <f ca="1">IFERROR(__xludf.DUMMYFUNCTION("""COMPUTED_VALUE"""),95.27)</f>
        <v>95.27</v>
      </c>
      <c r="S696" s="1">
        <f ca="1">IFERROR(__xludf.DUMMYFUNCTION("""COMPUTED_VALUE"""),82.82)</f>
        <v>82.82</v>
      </c>
      <c r="T696" s="1">
        <f ca="1">IFERROR(__xludf.DUMMYFUNCTION("""COMPUTED_VALUE"""),44.75)</f>
        <v>44.75</v>
      </c>
      <c r="U696" s="1">
        <f ca="1">IFERROR(__xludf.DUMMYFUNCTION("""COMPUTED_VALUE"""),88.64)</f>
        <v>88.64</v>
      </c>
      <c r="V696" s="1">
        <f ca="1">IFERROR(__xludf.DUMMYFUNCTION("""COMPUTED_VALUE"""),179.63)</f>
        <v>179.63</v>
      </c>
      <c r="W696" s="1">
        <f ca="1">IFERROR(__xludf.DUMMYFUNCTION("""COMPUTED_VALUE"""),406.11)</f>
        <v>406.11</v>
      </c>
      <c r="X696" s="1">
        <f ca="1">IFERROR(__xludf.DUMMYFUNCTION("""COMPUTED_VALUE"""),465.11)</f>
        <v>465.11</v>
      </c>
      <c r="Y696" s="1">
        <f ca="1">IFERROR(__xludf.DUMMYFUNCTION("""COMPUTED_VALUE"""),72.81)</f>
        <v>72.81</v>
      </c>
      <c r="Z696" s="1">
        <f ca="1">IFERROR(__xludf.DUMMYFUNCTION("""COMPUTED_VALUE"""),314.87)</f>
        <v>314.87</v>
      </c>
      <c r="AA696" s="1">
        <f ca="1">IFERROR(__xludf.DUMMYFUNCTION("""COMPUTED_VALUE"""),44.46)</f>
        <v>44.46</v>
      </c>
      <c r="AB696" s="1">
        <f ca="1">IFERROR(__xludf.DUMMYFUNCTION("""COMPUTED_VALUE"""),88.51)</f>
        <v>88.51</v>
      </c>
      <c r="AC696" s="1">
        <f ca="1">IFERROR(__xludf.DUMMYFUNCTION("""COMPUTED_VALUE"""),67.9)</f>
        <v>67.900000000000006</v>
      </c>
    </row>
    <row r="697" spans="1:29" x14ac:dyDescent="0.25">
      <c r="A697" s="2">
        <f ca="1">IFERROR(__xludf.DUMMYFUNCTION("""COMPUTED_VALUE"""),44839.6666666666)</f>
        <v>44839.666666666599</v>
      </c>
      <c r="B697" s="1">
        <f ca="1">IFERROR(__xludf.DUMMYFUNCTION("""COMPUTED_VALUE"""),146.4)</f>
        <v>146.4</v>
      </c>
      <c r="C697" s="1">
        <f ca="1">IFERROR(__xludf.DUMMYFUNCTION("""COMPUTED_VALUE"""),249.2)</f>
        <v>249.2</v>
      </c>
      <c r="D697" s="1">
        <f ca="1">IFERROR(__xludf.DUMMYFUNCTION("""COMPUTED_VALUE"""),120.95)</f>
        <v>120.95</v>
      </c>
      <c r="E697" s="1">
        <f ca="1">IFERROR(__xludf.DUMMYFUNCTION("""COMPUTED_VALUE"""),13.21)</f>
        <v>13.21</v>
      </c>
      <c r="F697" s="1">
        <f ca="1">IFERROR(__xludf.DUMMYFUNCTION("""COMPUTED_VALUE"""),138.98)</f>
        <v>138.97999999999999</v>
      </c>
      <c r="G697" s="1">
        <f ca="1">IFERROR(__xludf.DUMMYFUNCTION("""COMPUTED_VALUE"""),102.22)</f>
        <v>102.22</v>
      </c>
      <c r="H697" s="1">
        <f ca="1">IFERROR(__xludf.DUMMYFUNCTION("""COMPUTED_VALUE"""),240.81)</f>
        <v>240.81</v>
      </c>
      <c r="I697" s="1">
        <f ca="1">IFERROR(__xludf.DUMMYFUNCTION("""COMPUTED_VALUE"""),166)</f>
        <v>166</v>
      </c>
      <c r="J697" s="1">
        <f ca="1">IFERROR(__xludf.DUMMYFUNCTION("""COMPUTED_VALUE"""),480.32)</f>
        <v>480.32</v>
      </c>
      <c r="K697" s="1">
        <f ca="1">IFERROR(__xludf.DUMMYFUNCTION("""COMPUTED_VALUE"""),48.48)</f>
        <v>48.48</v>
      </c>
      <c r="L697" s="1">
        <f ca="1">IFERROR(__xludf.DUMMYFUNCTION("""COMPUTED_VALUE"""),297.38)</f>
        <v>297.38</v>
      </c>
      <c r="M697" s="1">
        <f ca="1">IFERROR(__xludf.DUMMYFUNCTION("""COMPUTED_VALUE"""),236.73)</f>
        <v>236.73</v>
      </c>
      <c r="N697" s="1">
        <f ca="1">IFERROR(__xludf.DUMMYFUNCTION("""COMPUTED_VALUE"""),110.39)</f>
        <v>110.39</v>
      </c>
      <c r="O697" s="1">
        <f ca="1">IFERROR(__xludf.DUMMYFUNCTION("""COMPUTED_VALUE"""),187.67)</f>
        <v>187.67</v>
      </c>
      <c r="P697" s="1">
        <f ca="1">IFERROR(__xludf.DUMMYFUNCTION("""COMPUTED_VALUE"""),165.11)</f>
        <v>165.11</v>
      </c>
      <c r="Q697" s="1">
        <f ca="1">IFERROR(__xludf.DUMMYFUNCTION("""COMPUTED_VALUE"""),527.07)</f>
        <v>527.07000000000005</v>
      </c>
      <c r="R697" s="1">
        <f ca="1">IFERROR(__xludf.DUMMYFUNCTION("""COMPUTED_VALUE"""),99.12)</f>
        <v>99.12</v>
      </c>
      <c r="S697" s="1">
        <f ca="1">IFERROR(__xludf.DUMMYFUNCTION("""COMPUTED_VALUE"""),81.77)</f>
        <v>81.77</v>
      </c>
      <c r="T697" s="1">
        <f ca="1">IFERROR(__xludf.DUMMYFUNCTION("""COMPUTED_VALUE"""),44.31)</f>
        <v>44.31</v>
      </c>
      <c r="U697" s="1">
        <f ca="1">IFERROR(__xludf.DUMMYFUNCTION("""COMPUTED_VALUE"""),91.1)</f>
        <v>91.1</v>
      </c>
      <c r="V697" s="1">
        <f ca="1">IFERROR(__xludf.DUMMYFUNCTION("""COMPUTED_VALUE"""),178.38)</f>
        <v>178.38</v>
      </c>
      <c r="W697" s="1">
        <f ca="1">IFERROR(__xludf.DUMMYFUNCTION("""COMPUTED_VALUE"""),402.51)</f>
        <v>402.51</v>
      </c>
      <c r="X697" s="1">
        <f ca="1">IFERROR(__xludf.DUMMYFUNCTION("""COMPUTED_VALUE"""),469.29)</f>
        <v>469.29</v>
      </c>
      <c r="Y697" s="1">
        <f ca="1">IFERROR(__xludf.DUMMYFUNCTION("""COMPUTED_VALUE"""),74.48)</f>
        <v>74.48</v>
      </c>
      <c r="Z697" s="1">
        <f ca="1">IFERROR(__xludf.DUMMYFUNCTION("""COMPUTED_VALUE"""),309)</f>
        <v>309</v>
      </c>
      <c r="AA697" s="1">
        <f ca="1">IFERROR(__xludf.DUMMYFUNCTION("""COMPUTED_VALUE"""),44.12)</f>
        <v>44.12</v>
      </c>
      <c r="AB697" s="1">
        <f ca="1">IFERROR(__xludf.DUMMYFUNCTION("""COMPUTED_VALUE"""),90.12)</f>
        <v>90.12</v>
      </c>
      <c r="AC697" s="1">
        <f ca="1">IFERROR(__xludf.DUMMYFUNCTION("""COMPUTED_VALUE"""),67.94)</f>
        <v>67.94</v>
      </c>
    </row>
    <row r="698" spans="1:29" x14ac:dyDescent="0.25">
      <c r="A698" s="2">
        <f ca="1">IFERROR(__xludf.DUMMYFUNCTION("""COMPUTED_VALUE"""),44840.6666666666)</f>
        <v>44840.666666666599</v>
      </c>
      <c r="B698" s="1">
        <f ca="1">IFERROR(__xludf.DUMMYFUNCTION("""COMPUTED_VALUE"""),145.43)</f>
        <v>145.43</v>
      </c>
      <c r="C698" s="1">
        <f ca="1">IFERROR(__xludf.DUMMYFUNCTION("""COMPUTED_VALUE"""),246.79)</f>
        <v>246.79</v>
      </c>
      <c r="D698" s="1">
        <f ca="1">IFERROR(__xludf.DUMMYFUNCTION("""COMPUTED_VALUE"""),120.3)</f>
        <v>120.3</v>
      </c>
      <c r="E698" s="1">
        <f ca="1">IFERROR(__xludf.DUMMYFUNCTION("""COMPUTED_VALUE"""),13.13)</f>
        <v>13.13</v>
      </c>
      <c r="F698" s="1">
        <f ca="1">IFERROR(__xludf.DUMMYFUNCTION("""COMPUTED_VALUE"""),139.07)</f>
        <v>139.07</v>
      </c>
      <c r="G698" s="1">
        <f ca="1">IFERROR(__xludf.DUMMYFUNCTION("""COMPUTED_VALUE"""),102.24)</f>
        <v>102.24</v>
      </c>
      <c r="H698" s="1">
        <f ca="1">IFERROR(__xludf.DUMMYFUNCTION("""COMPUTED_VALUE"""),238.13)</f>
        <v>238.13</v>
      </c>
      <c r="I698" s="1">
        <f ca="1">IFERROR(__xludf.DUMMYFUNCTION("""COMPUTED_VALUE"""),162.8)</f>
        <v>162.80000000000001</v>
      </c>
      <c r="J698" s="1">
        <f ca="1">IFERROR(__xludf.DUMMYFUNCTION("""COMPUTED_VALUE"""),482.49)</f>
        <v>482.49</v>
      </c>
      <c r="K698" s="1">
        <f ca="1">IFERROR(__xludf.DUMMYFUNCTION("""COMPUTED_VALUE"""),47.95)</f>
        <v>47.95</v>
      </c>
      <c r="L698" s="1">
        <f ca="1">IFERROR(__xludf.DUMMYFUNCTION("""COMPUTED_VALUE"""),298.41)</f>
        <v>298.41000000000003</v>
      </c>
      <c r="M698" s="1">
        <f ca="1">IFERROR(__xludf.DUMMYFUNCTION("""COMPUTED_VALUE"""),240.02)</f>
        <v>240.02</v>
      </c>
      <c r="N698" s="1">
        <f ca="1">IFERROR(__xludf.DUMMYFUNCTION("""COMPUTED_VALUE"""),108.14)</f>
        <v>108.14</v>
      </c>
      <c r="O698" s="1">
        <f ca="1">IFERROR(__xludf.DUMMYFUNCTION("""COMPUTED_VALUE"""),185.59)</f>
        <v>185.59</v>
      </c>
      <c r="P698" s="1">
        <f ca="1">IFERROR(__xludf.DUMMYFUNCTION("""COMPUTED_VALUE"""),161.91)</f>
        <v>161.91</v>
      </c>
      <c r="Q698" s="1">
        <f ca="1">IFERROR(__xludf.DUMMYFUNCTION("""COMPUTED_VALUE"""),519.13)</f>
        <v>519.13</v>
      </c>
      <c r="R698" s="1">
        <f ca="1">IFERROR(__xludf.DUMMYFUNCTION("""COMPUTED_VALUE"""),102.06)</f>
        <v>102.06</v>
      </c>
      <c r="S698" s="1">
        <f ca="1">IFERROR(__xludf.DUMMYFUNCTION("""COMPUTED_VALUE"""),78.91)</f>
        <v>78.91</v>
      </c>
      <c r="T698" s="1">
        <f ca="1">IFERROR(__xludf.DUMMYFUNCTION("""COMPUTED_VALUE"""),43.89)</f>
        <v>43.89</v>
      </c>
      <c r="U698" s="1">
        <f ca="1">IFERROR(__xludf.DUMMYFUNCTION("""COMPUTED_VALUE"""),90.17)</f>
        <v>90.17</v>
      </c>
      <c r="V698" s="1">
        <f ca="1">IFERROR(__xludf.DUMMYFUNCTION("""COMPUTED_VALUE"""),178.81)</f>
        <v>178.81</v>
      </c>
      <c r="W698" s="1">
        <f ca="1">IFERROR(__xludf.DUMMYFUNCTION("""COMPUTED_VALUE"""),399.61)</f>
        <v>399.61</v>
      </c>
      <c r="X698" s="1">
        <f ca="1">IFERROR(__xludf.DUMMYFUNCTION("""COMPUTED_VALUE"""),462.14)</f>
        <v>462.14</v>
      </c>
      <c r="Y698" s="1">
        <f ca="1">IFERROR(__xludf.DUMMYFUNCTION("""COMPUTED_VALUE"""),74.35)</f>
        <v>74.349999999999994</v>
      </c>
      <c r="Z698" s="1">
        <f ca="1">IFERROR(__xludf.DUMMYFUNCTION("""COMPUTED_VALUE"""),304.67)</f>
        <v>304.67</v>
      </c>
      <c r="AA698" s="1">
        <f ca="1">IFERROR(__xludf.DUMMYFUNCTION("""COMPUTED_VALUE"""),43.09)</f>
        <v>43.09</v>
      </c>
      <c r="AB698" s="1">
        <f ca="1">IFERROR(__xludf.DUMMYFUNCTION("""COMPUTED_VALUE"""),89.35)</f>
        <v>89.35</v>
      </c>
      <c r="AC698" s="1">
        <f ca="1">IFERROR(__xludf.DUMMYFUNCTION("""COMPUTED_VALUE"""),67.85)</f>
        <v>67.849999999999994</v>
      </c>
    </row>
    <row r="699" spans="1:29" x14ac:dyDescent="0.25">
      <c r="A699" s="2">
        <f ca="1">IFERROR(__xludf.DUMMYFUNCTION("""COMPUTED_VALUE"""),44841.6666666666)</f>
        <v>44841.666666666599</v>
      </c>
      <c r="B699" s="1">
        <f ca="1">IFERROR(__xludf.DUMMYFUNCTION("""COMPUTED_VALUE"""),140.09)</f>
        <v>140.09</v>
      </c>
      <c r="C699" s="1">
        <f ca="1">IFERROR(__xludf.DUMMYFUNCTION("""COMPUTED_VALUE"""),234.24)</f>
        <v>234.24</v>
      </c>
      <c r="D699" s="1">
        <f ca="1">IFERROR(__xludf.DUMMYFUNCTION("""COMPUTED_VALUE"""),114.56)</f>
        <v>114.56</v>
      </c>
      <c r="E699" s="1">
        <f ca="1">IFERROR(__xludf.DUMMYFUNCTION("""COMPUTED_VALUE"""),12.08)</f>
        <v>12.08</v>
      </c>
      <c r="F699" s="1">
        <f ca="1">IFERROR(__xludf.DUMMYFUNCTION("""COMPUTED_VALUE"""),133.45)</f>
        <v>133.44999999999999</v>
      </c>
      <c r="G699" s="1">
        <f ca="1">IFERROR(__xludf.DUMMYFUNCTION("""COMPUTED_VALUE"""),99.57)</f>
        <v>99.57</v>
      </c>
      <c r="H699" s="1">
        <f ca="1">IFERROR(__xludf.DUMMYFUNCTION("""COMPUTED_VALUE"""),223.07)</f>
        <v>223.07</v>
      </c>
      <c r="I699" s="1">
        <f ca="1">IFERROR(__xludf.DUMMYFUNCTION("""COMPUTED_VALUE"""),161.61)</f>
        <v>161.61000000000001</v>
      </c>
      <c r="J699" s="1">
        <f ca="1">IFERROR(__xludf.DUMMYFUNCTION("""COMPUTED_VALUE"""),468.15)</f>
        <v>468.15</v>
      </c>
      <c r="K699" s="1">
        <f ca="1">IFERROR(__xludf.DUMMYFUNCTION("""COMPUTED_VALUE"""),46.05)</f>
        <v>46.05</v>
      </c>
      <c r="L699" s="1">
        <f ca="1">IFERROR(__xludf.DUMMYFUNCTION("""COMPUTED_VALUE"""),288.77)</f>
        <v>288.77</v>
      </c>
      <c r="M699" s="1">
        <f ca="1">IFERROR(__xludf.DUMMYFUNCTION("""COMPUTED_VALUE"""),224.75)</f>
        <v>224.75</v>
      </c>
      <c r="N699" s="1">
        <f ca="1">IFERROR(__xludf.DUMMYFUNCTION("""COMPUTED_VALUE"""),105.98)</f>
        <v>105.98</v>
      </c>
      <c r="O699" s="1">
        <f ca="1">IFERROR(__xludf.DUMMYFUNCTION("""COMPUTED_VALUE"""),183.83)</f>
        <v>183.83</v>
      </c>
      <c r="P699" s="1">
        <f ca="1">IFERROR(__xludf.DUMMYFUNCTION("""COMPUTED_VALUE"""),160.2)</f>
        <v>160.19999999999999</v>
      </c>
      <c r="Q699" s="1">
        <f ca="1">IFERROR(__xludf.DUMMYFUNCTION("""COMPUTED_VALUE"""),504.85)</f>
        <v>504.85</v>
      </c>
      <c r="R699" s="1">
        <f ca="1">IFERROR(__xludf.DUMMYFUNCTION("""COMPUTED_VALUE"""),101.03)</f>
        <v>101.03</v>
      </c>
      <c r="S699" s="1">
        <f ca="1">IFERROR(__xludf.DUMMYFUNCTION("""COMPUTED_VALUE"""),76.73)</f>
        <v>76.73</v>
      </c>
      <c r="T699" s="1">
        <f ca="1">IFERROR(__xludf.DUMMYFUNCTION("""COMPUTED_VALUE"""),42.85)</f>
        <v>42.85</v>
      </c>
      <c r="U699" s="1">
        <f ca="1">IFERROR(__xludf.DUMMYFUNCTION("""COMPUTED_VALUE"""),87.16)</f>
        <v>87.16</v>
      </c>
      <c r="V699" s="1">
        <f ca="1">IFERROR(__xludf.DUMMYFUNCTION("""COMPUTED_VALUE"""),177.55)</f>
        <v>177.55</v>
      </c>
      <c r="W699" s="1">
        <f ca="1">IFERROR(__xludf.DUMMYFUNCTION("""COMPUTED_VALUE"""),403.96)</f>
        <v>403.96</v>
      </c>
      <c r="X699" s="1">
        <f ca="1">IFERROR(__xludf.DUMMYFUNCTION("""COMPUTED_VALUE"""),434.26)</f>
        <v>434.26</v>
      </c>
      <c r="Y699" s="1">
        <f ca="1">IFERROR(__xludf.DUMMYFUNCTION("""COMPUTED_VALUE"""),69.75)</f>
        <v>69.75</v>
      </c>
      <c r="Z699" s="1">
        <f ca="1">IFERROR(__xludf.DUMMYFUNCTION("""COMPUTED_VALUE"""),301.08)</f>
        <v>301.08</v>
      </c>
      <c r="AA699" s="1">
        <f ca="1">IFERROR(__xludf.DUMMYFUNCTION("""COMPUTED_VALUE"""),42.32)</f>
        <v>42.32</v>
      </c>
      <c r="AB699" s="1">
        <f ca="1">IFERROR(__xludf.DUMMYFUNCTION("""COMPUTED_VALUE"""),87.03)</f>
        <v>87.03</v>
      </c>
      <c r="AC699" s="1">
        <f ca="1">IFERROR(__xludf.DUMMYFUNCTION("""COMPUTED_VALUE"""),58.44)</f>
        <v>58.44</v>
      </c>
    </row>
    <row r="700" spans="1:29" x14ac:dyDescent="0.25">
      <c r="A700" s="2">
        <f ca="1">IFERROR(__xludf.DUMMYFUNCTION("""COMPUTED_VALUE"""),44844.6666666666)</f>
        <v>44844.666666666599</v>
      </c>
      <c r="B700" s="1">
        <f ca="1">IFERROR(__xludf.DUMMYFUNCTION("""COMPUTED_VALUE"""),140.42)</f>
        <v>140.41999999999999</v>
      </c>
      <c r="C700" s="1">
        <f ca="1">IFERROR(__xludf.DUMMYFUNCTION("""COMPUTED_VALUE"""),229.25)</f>
        <v>229.25</v>
      </c>
      <c r="D700" s="1">
        <f ca="1">IFERROR(__xludf.DUMMYFUNCTION("""COMPUTED_VALUE"""),113.67)</f>
        <v>113.67</v>
      </c>
      <c r="E700" s="1">
        <f ca="1">IFERROR(__xludf.DUMMYFUNCTION("""COMPUTED_VALUE"""),11.67)</f>
        <v>11.67</v>
      </c>
      <c r="F700" s="1">
        <f ca="1">IFERROR(__xludf.DUMMYFUNCTION("""COMPUTED_VALUE"""),133.79)</f>
        <v>133.79</v>
      </c>
      <c r="G700" s="1">
        <f ca="1">IFERROR(__xludf.DUMMYFUNCTION("""COMPUTED_VALUE"""),98.71)</f>
        <v>98.71</v>
      </c>
      <c r="H700" s="1">
        <f ca="1">IFERROR(__xludf.DUMMYFUNCTION("""COMPUTED_VALUE"""),222.96)</f>
        <v>222.96</v>
      </c>
      <c r="I700" s="1">
        <f ca="1">IFERROR(__xludf.DUMMYFUNCTION("""COMPUTED_VALUE"""),161.82)</f>
        <v>161.82</v>
      </c>
      <c r="J700" s="1">
        <f ca="1">IFERROR(__xludf.DUMMYFUNCTION("""COMPUTED_VALUE"""),466.31)</f>
        <v>466.31</v>
      </c>
      <c r="K700" s="1">
        <f ca="1">IFERROR(__xludf.DUMMYFUNCTION("""COMPUTED_VALUE"""),43.77)</f>
        <v>43.77</v>
      </c>
      <c r="L700" s="1">
        <f ca="1">IFERROR(__xludf.DUMMYFUNCTION("""COMPUTED_VALUE"""),285.72)</f>
        <v>285.72000000000003</v>
      </c>
      <c r="M700" s="1">
        <f ca="1">IFERROR(__xludf.DUMMYFUNCTION("""COMPUTED_VALUE"""),229.98)</f>
        <v>229.98</v>
      </c>
      <c r="N700" s="1">
        <f ca="1">IFERROR(__xludf.DUMMYFUNCTION("""COMPUTED_VALUE"""),104.99)</f>
        <v>104.99</v>
      </c>
      <c r="O700" s="1">
        <f ca="1">IFERROR(__xludf.DUMMYFUNCTION("""COMPUTED_VALUE"""),182.18)</f>
        <v>182.18</v>
      </c>
      <c r="P700" s="1">
        <f ca="1">IFERROR(__xludf.DUMMYFUNCTION("""COMPUTED_VALUE"""),160.41)</f>
        <v>160.41</v>
      </c>
      <c r="Q700" s="1">
        <f ca="1">IFERROR(__xludf.DUMMYFUNCTION("""COMPUTED_VALUE"""),498.86)</f>
        <v>498.86</v>
      </c>
      <c r="R700" s="1">
        <f ca="1">IFERROR(__xludf.DUMMYFUNCTION("""COMPUTED_VALUE"""),98.84)</f>
        <v>98.84</v>
      </c>
      <c r="S700" s="1">
        <f ca="1">IFERROR(__xludf.DUMMYFUNCTION("""COMPUTED_VALUE"""),76.74)</f>
        <v>76.739999999999995</v>
      </c>
      <c r="T700" s="1">
        <f ca="1">IFERROR(__xludf.DUMMYFUNCTION("""COMPUTED_VALUE"""),43.11)</f>
        <v>43.11</v>
      </c>
      <c r="U700" s="1">
        <f ca="1">IFERROR(__xludf.DUMMYFUNCTION("""COMPUTED_VALUE"""),86.69)</f>
        <v>86.69</v>
      </c>
      <c r="V700" s="1">
        <f ca="1">IFERROR(__xludf.DUMMYFUNCTION("""COMPUTED_VALUE"""),178.67)</f>
        <v>178.67</v>
      </c>
      <c r="W700" s="1">
        <f ca="1">IFERROR(__xludf.DUMMYFUNCTION("""COMPUTED_VALUE"""),409.99)</f>
        <v>409.99</v>
      </c>
      <c r="X700" s="1">
        <f ca="1">IFERROR(__xludf.DUMMYFUNCTION("""COMPUTED_VALUE"""),421.89)</f>
        <v>421.89</v>
      </c>
      <c r="Y700" s="1">
        <f ca="1">IFERROR(__xludf.DUMMYFUNCTION("""COMPUTED_VALUE"""),67.44)</f>
        <v>67.44</v>
      </c>
      <c r="Z700" s="1">
        <f ca="1">IFERROR(__xludf.DUMMYFUNCTION("""COMPUTED_VALUE"""),300.54)</f>
        <v>300.54000000000002</v>
      </c>
      <c r="AA700" s="1">
        <f ca="1">IFERROR(__xludf.DUMMYFUNCTION("""COMPUTED_VALUE"""),41.75)</f>
        <v>41.75</v>
      </c>
      <c r="AB700" s="1">
        <f ca="1">IFERROR(__xludf.DUMMYFUNCTION("""COMPUTED_VALUE"""),87.06)</f>
        <v>87.06</v>
      </c>
      <c r="AC700" s="1">
        <f ca="1">IFERROR(__xludf.DUMMYFUNCTION("""COMPUTED_VALUE"""),57.81)</f>
        <v>57.81</v>
      </c>
    </row>
    <row r="701" spans="1:29" x14ac:dyDescent="0.25">
      <c r="A701" s="2">
        <f ca="1">IFERROR(__xludf.DUMMYFUNCTION("""COMPUTED_VALUE"""),44845.6666666666)</f>
        <v>44845.666666666599</v>
      </c>
      <c r="B701" s="1">
        <f ca="1">IFERROR(__xludf.DUMMYFUNCTION("""COMPUTED_VALUE"""),138.98)</f>
        <v>138.97999999999999</v>
      </c>
      <c r="C701" s="1">
        <f ca="1">IFERROR(__xludf.DUMMYFUNCTION("""COMPUTED_VALUE"""),225.41)</f>
        <v>225.41</v>
      </c>
      <c r="D701" s="1">
        <f ca="1">IFERROR(__xludf.DUMMYFUNCTION("""COMPUTED_VALUE"""),112.21)</f>
        <v>112.21</v>
      </c>
      <c r="E701" s="1">
        <f ca="1">IFERROR(__xludf.DUMMYFUNCTION("""COMPUTED_VALUE"""),11.59)</f>
        <v>11.59</v>
      </c>
      <c r="F701" s="1">
        <f ca="1">IFERROR(__xludf.DUMMYFUNCTION("""COMPUTED_VALUE"""),128.54)</f>
        <v>128.54</v>
      </c>
      <c r="G701" s="1">
        <f ca="1">IFERROR(__xludf.DUMMYFUNCTION("""COMPUTED_VALUE"""),98.05)</f>
        <v>98.05</v>
      </c>
      <c r="H701" s="1">
        <f ca="1">IFERROR(__xludf.DUMMYFUNCTION("""COMPUTED_VALUE"""),216.5)</f>
        <v>216.5</v>
      </c>
      <c r="I701" s="1">
        <f ca="1">IFERROR(__xludf.DUMMYFUNCTION("""COMPUTED_VALUE"""),162.59)</f>
        <v>162.59</v>
      </c>
      <c r="J701" s="1">
        <f ca="1">IFERROR(__xludf.DUMMYFUNCTION("""COMPUTED_VALUE"""),472.02)</f>
        <v>472.02</v>
      </c>
      <c r="K701" s="1">
        <f ca="1">IFERROR(__xludf.DUMMYFUNCTION("""COMPUTED_VALUE"""),43.08)</f>
        <v>43.08</v>
      </c>
      <c r="L701" s="1">
        <f ca="1">IFERROR(__xludf.DUMMYFUNCTION("""COMPUTED_VALUE"""),284.83)</f>
        <v>284.83</v>
      </c>
      <c r="M701" s="1">
        <f ca="1">IFERROR(__xludf.DUMMYFUNCTION("""COMPUTED_VALUE"""),214.29)</f>
        <v>214.29</v>
      </c>
      <c r="N701" s="1">
        <f ca="1">IFERROR(__xludf.DUMMYFUNCTION("""COMPUTED_VALUE"""),101.96)</f>
        <v>101.96</v>
      </c>
      <c r="O701" s="1">
        <f ca="1">IFERROR(__xludf.DUMMYFUNCTION("""COMPUTED_VALUE"""),179.14)</f>
        <v>179.14</v>
      </c>
      <c r="P701" s="1">
        <f ca="1">IFERROR(__xludf.DUMMYFUNCTION("""COMPUTED_VALUE"""),162.73)</f>
        <v>162.72999999999999</v>
      </c>
      <c r="Q701" s="1">
        <f ca="1">IFERROR(__xludf.DUMMYFUNCTION("""COMPUTED_VALUE"""),499.81)</f>
        <v>499.81</v>
      </c>
      <c r="R701" s="1">
        <f ca="1">IFERROR(__xludf.DUMMYFUNCTION("""COMPUTED_VALUE"""),98)</f>
        <v>98</v>
      </c>
      <c r="S701" s="1">
        <f ca="1">IFERROR(__xludf.DUMMYFUNCTION("""COMPUTED_VALUE"""),76.03)</f>
        <v>76.03</v>
      </c>
      <c r="T701" s="1">
        <f ca="1">IFERROR(__xludf.DUMMYFUNCTION("""COMPUTED_VALUE"""),44.22)</f>
        <v>44.22</v>
      </c>
      <c r="U701" s="1">
        <f ca="1">IFERROR(__xludf.DUMMYFUNCTION("""COMPUTED_VALUE"""),87.99)</f>
        <v>87.99</v>
      </c>
      <c r="V701" s="1">
        <f ca="1">IFERROR(__xludf.DUMMYFUNCTION("""COMPUTED_VALUE"""),179.75)</f>
        <v>179.75</v>
      </c>
      <c r="W701" s="1">
        <f ca="1">IFERROR(__xludf.DUMMYFUNCTION("""COMPUTED_VALUE"""),411.06)</f>
        <v>411.06</v>
      </c>
      <c r="X701" s="1">
        <f ca="1">IFERROR(__xludf.DUMMYFUNCTION("""COMPUTED_VALUE"""),399.56)</f>
        <v>399.56</v>
      </c>
      <c r="Y701" s="1">
        <f ca="1">IFERROR(__xludf.DUMMYFUNCTION("""COMPUTED_VALUE"""),63.45)</f>
        <v>63.45</v>
      </c>
      <c r="Z701" s="1">
        <f ca="1">IFERROR(__xludf.DUMMYFUNCTION("""COMPUTED_VALUE"""),294.21)</f>
        <v>294.20999999999998</v>
      </c>
      <c r="AA701" s="1">
        <f ca="1">IFERROR(__xludf.DUMMYFUNCTION("""COMPUTED_VALUE"""),41.92)</f>
        <v>41.92</v>
      </c>
      <c r="AB701" s="1">
        <f ca="1">IFERROR(__xludf.DUMMYFUNCTION("""COMPUTED_VALUE"""),86.21)</f>
        <v>86.21</v>
      </c>
      <c r="AC701" s="1">
        <f ca="1">IFERROR(__xludf.DUMMYFUNCTION("""COMPUTED_VALUE"""),57.63)</f>
        <v>57.63</v>
      </c>
    </row>
    <row r="702" spans="1:29" x14ac:dyDescent="0.25">
      <c r="A702" s="2">
        <f ca="1">IFERROR(__xludf.DUMMYFUNCTION("""COMPUTED_VALUE"""),44846.6666666666)</f>
        <v>44846.666666666599</v>
      </c>
      <c r="B702" s="1">
        <f ca="1">IFERROR(__xludf.DUMMYFUNCTION("""COMPUTED_VALUE"""),138.34)</f>
        <v>138.34</v>
      </c>
      <c r="C702" s="1">
        <f ca="1">IFERROR(__xludf.DUMMYFUNCTION("""COMPUTED_VALUE"""),225.75)</f>
        <v>225.75</v>
      </c>
      <c r="D702" s="1">
        <f ca="1">IFERROR(__xludf.DUMMYFUNCTION("""COMPUTED_VALUE"""),112.9)</f>
        <v>112.9</v>
      </c>
      <c r="E702" s="1">
        <f ca="1">IFERROR(__xludf.DUMMYFUNCTION("""COMPUTED_VALUE"""),11.5)</f>
        <v>11.5</v>
      </c>
      <c r="F702" s="1">
        <f ca="1">IFERROR(__xludf.DUMMYFUNCTION("""COMPUTED_VALUE"""),127.5)</f>
        <v>127.5</v>
      </c>
      <c r="G702" s="1">
        <f ca="1">IFERROR(__xludf.DUMMYFUNCTION("""COMPUTED_VALUE"""),98.3)</f>
        <v>98.3</v>
      </c>
      <c r="H702" s="1">
        <f ca="1">IFERROR(__xludf.DUMMYFUNCTION("""COMPUTED_VALUE"""),217.24)</f>
        <v>217.24</v>
      </c>
      <c r="I702" s="1">
        <f ca="1">IFERROR(__xludf.DUMMYFUNCTION("""COMPUTED_VALUE"""),169.39)</f>
        <v>169.39</v>
      </c>
      <c r="J702" s="1">
        <f ca="1">IFERROR(__xludf.DUMMYFUNCTION("""COMPUTED_VALUE"""),466.38)</f>
        <v>466.38</v>
      </c>
      <c r="K702" s="1">
        <f ca="1">IFERROR(__xludf.DUMMYFUNCTION("""COMPUTED_VALUE"""),43.06)</f>
        <v>43.06</v>
      </c>
      <c r="L702" s="1">
        <f ca="1">IFERROR(__xludf.DUMMYFUNCTION("""COMPUTED_VALUE"""),286.15)</f>
        <v>286.14999999999998</v>
      </c>
      <c r="M702" s="1">
        <f ca="1">IFERROR(__xludf.DUMMYFUNCTION("""COMPUTED_VALUE"""),220.87)</f>
        <v>220.87</v>
      </c>
      <c r="N702" s="1">
        <f ca="1">IFERROR(__xludf.DUMMYFUNCTION("""COMPUTED_VALUE"""),103.61)</f>
        <v>103.61</v>
      </c>
      <c r="O702" s="1">
        <f ca="1">IFERROR(__xludf.DUMMYFUNCTION("""COMPUTED_VALUE"""),178.24)</f>
        <v>178.24</v>
      </c>
      <c r="P702" s="1">
        <f ca="1">IFERROR(__xludf.DUMMYFUNCTION("""COMPUTED_VALUE"""),162.69)</f>
        <v>162.69</v>
      </c>
      <c r="Q702" s="1">
        <f ca="1">IFERROR(__xludf.DUMMYFUNCTION("""COMPUTED_VALUE"""),499.96)</f>
        <v>499.96</v>
      </c>
      <c r="R702" s="1">
        <f ca="1">IFERROR(__xludf.DUMMYFUNCTION("""COMPUTED_VALUE"""),98.43)</f>
        <v>98.43</v>
      </c>
      <c r="S702" s="1">
        <f ca="1">IFERROR(__xludf.DUMMYFUNCTION("""COMPUTED_VALUE"""),72.75)</f>
        <v>72.75</v>
      </c>
      <c r="T702" s="1">
        <f ca="1">IFERROR(__xludf.DUMMYFUNCTION("""COMPUTED_VALUE"""),43.72)</f>
        <v>43.72</v>
      </c>
      <c r="U702" s="1">
        <f ca="1">IFERROR(__xludf.DUMMYFUNCTION("""COMPUTED_VALUE"""),88.51)</f>
        <v>88.51</v>
      </c>
      <c r="V702" s="1">
        <f ca="1">IFERROR(__xludf.DUMMYFUNCTION("""COMPUTED_VALUE"""),179.5)</f>
        <v>179.5</v>
      </c>
      <c r="W702" s="1">
        <f ca="1">IFERROR(__xludf.DUMMYFUNCTION("""COMPUTED_VALUE"""),397.42)</f>
        <v>397.42</v>
      </c>
      <c r="X702" s="1">
        <f ca="1">IFERROR(__xludf.DUMMYFUNCTION("""COMPUTED_VALUE"""),398.33)</f>
        <v>398.33</v>
      </c>
      <c r="Y702" s="1">
        <f ca="1">IFERROR(__xludf.DUMMYFUNCTION("""COMPUTED_VALUE"""),64.11)</f>
        <v>64.11</v>
      </c>
      <c r="Z702" s="1">
        <f ca="1">IFERROR(__xludf.DUMMYFUNCTION("""COMPUTED_VALUE"""),295.31)</f>
        <v>295.31</v>
      </c>
      <c r="AA702" s="1">
        <f ca="1">IFERROR(__xludf.DUMMYFUNCTION("""COMPUTED_VALUE"""),42.03)</f>
        <v>42.03</v>
      </c>
      <c r="AB702" s="1">
        <f ca="1">IFERROR(__xludf.DUMMYFUNCTION("""COMPUTED_VALUE"""),86.87)</f>
        <v>86.87</v>
      </c>
      <c r="AC702" s="1">
        <f ca="1">IFERROR(__xludf.DUMMYFUNCTION("""COMPUTED_VALUE"""),57.85)</f>
        <v>57.85</v>
      </c>
    </row>
    <row r="703" spans="1:29" x14ac:dyDescent="0.25">
      <c r="A703" s="2">
        <f ca="1">IFERROR(__xludf.DUMMYFUNCTION("""COMPUTED_VALUE"""),44847.6666666666)</f>
        <v>44847.666666666599</v>
      </c>
      <c r="B703" s="1">
        <f ca="1">IFERROR(__xludf.DUMMYFUNCTION("""COMPUTED_VALUE"""),142.99)</f>
        <v>142.99</v>
      </c>
      <c r="C703" s="1">
        <f ca="1">IFERROR(__xludf.DUMMYFUNCTION("""COMPUTED_VALUE"""),234.24)</f>
        <v>234.24</v>
      </c>
      <c r="D703" s="1">
        <f ca="1">IFERROR(__xludf.DUMMYFUNCTION("""COMPUTED_VALUE"""),112.53)</f>
        <v>112.53</v>
      </c>
      <c r="E703" s="1">
        <f ca="1">IFERROR(__xludf.DUMMYFUNCTION("""COMPUTED_VALUE"""),11.96)</f>
        <v>11.96</v>
      </c>
      <c r="F703" s="1">
        <f ca="1">IFERROR(__xludf.DUMMYFUNCTION("""COMPUTED_VALUE"""),130.29)</f>
        <v>130.29</v>
      </c>
      <c r="G703" s="1">
        <f ca="1">IFERROR(__xludf.DUMMYFUNCTION("""COMPUTED_VALUE"""),99.71)</f>
        <v>99.71</v>
      </c>
      <c r="H703" s="1">
        <f ca="1">IFERROR(__xludf.DUMMYFUNCTION("""COMPUTED_VALUE"""),221.72)</f>
        <v>221.72</v>
      </c>
      <c r="I703" s="1">
        <f ca="1">IFERROR(__xludf.DUMMYFUNCTION("""COMPUTED_VALUE"""),174.61)</f>
        <v>174.61</v>
      </c>
      <c r="J703" s="1">
        <f ca="1">IFERROR(__xludf.DUMMYFUNCTION("""COMPUTED_VALUE"""),467.99)</f>
        <v>467.99</v>
      </c>
      <c r="K703" s="1">
        <f ca="1">IFERROR(__xludf.DUMMYFUNCTION("""COMPUTED_VALUE"""),43.8)</f>
        <v>43.8</v>
      </c>
      <c r="L703" s="1">
        <f ca="1">IFERROR(__xludf.DUMMYFUNCTION("""COMPUTED_VALUE"""),294.74)</f>
        <v>294.74</v>
      </c>
      <c r="M703" s="1">
        <f ca="1">IFERROR(__xludf.DUMMYFUNCTION("""COMPUTED_VALUE"""),232.51)</f>
        <v>232.51</v>
      </c>
      <c r="N703" s="1">
        <f ca="1">IFERROR(__xludf.DUMMYFUNCTION("""COMPUTED_VALUE"""),109.37)</f>
        <v>109.37</v>
      </c>
      <c r="O703" s="1">
        <f ca="1">IFERROR(__xludf.DUMMYFUNCTION("""COMPUTED_VALUE"""),184.66)</f>
        <v>184.66</v>
      </c>
      <c r="P703" s="1">
        <f ca="1">IFERROR(__xludf.DUMMYFUNCTION("""COMPUTED_VALUE"""),165.15)</f>
        <v>165.15</v>
      </c>
      <c r="Q703" s="1">
        <f ca="1">IFERROR(__xludf.DUMMYFUNCTION("""COMPUTED_VALUE"""),509.91)</f>
        <v>509.91</v>
      </c>
      <c r="R703" s="1">
        <f ca="1">IFERROR(__xludf.DUMMYFUNCTION("""COMPUTED_VALUE"""),101.87)</f>
        <v>101.87</v>
      </c>
      <c r="S703" s="1">
        <f ca="1">IFERROR(__xludf.DUMMYFUNCTION("""COMPUTED_VALUE"""),73.09)</f>
        <v>73.09</v>
      </c>
      <c r="T703" s="1">
        <f ca="1">IFERROR(__xludf.DUMMYFUNCTION("""COMPUTED_VALUE"""),44.09)</f>
        <v>44.09</v>
      </c>
      <c r="U703" s="1">
        <f ca="1">IFERROR(__xludf.DUMMYFUNCTION("""COMPUTED_VALUE"""),89.56)</f>
        <v>89.56</v>
      </c>
      <c r="V703" s="1">
        <f ca="1">IFERROR(__xludf.DUMMYFUNCTION("""COMPUTED_VALUE"""),183.14)</f>
        <v>183.14</v>
      </c>
      <c r="W703" s="1">
        <f ca="1">IFERROR(__xludf.DUMMYFUNCTION("""COMPUTED_VALUE"""),405.96)</f>
        <v>405.96</v>
      </c>
      <c r="X703" s="1">
        <f ca="1">IFERROR(__xludf.DUMMYFUNCTION("""COMPUTED_VALUE"""),405.4)</f>
        <v>405.4</v>
      </c>
      <c r="Y703" s="1">
        <f ca="1">IFERROR(__xludf.DUMMYFUNCTION("""COMPUTED_VALUE"""),66.62)</f>
        <v>66.62</v>
      </c>
      <c r="Z703" s="1">
        <f ca="1">IFERROR(__xludf.DUMMYFUNCTION("""COMPUTED_VALUE"""),307.07)</f>
        <v>307.07</v>
      </c>
      <c r="AA703" s="1">
        <f ca="1">IFERROR(__xludf.DUMMYFUNCTION("""COMPUTED_VALUE"""),42.98)</f>
        <v>42.98</v>
      </c>
      <c r="AB703" s="1">
        <f ca="1">IFERROR(__xludf.DUMMYFUNCTION("""COMPUTED_VALUE"""),89.37)</f>
        <v>89.37</v>
      </c>
      <c r="AC703" s="1">
        <f ca="1">IFERROR(__xludf.DUMMYFUNCTION("""COMPUTED_VALUE"""),58.94)</f>
        <v>58.94</v>
      </c>
    </row>
    <row r="704" spans="1:29" x14ac:dyDescent="0.25">
      <c r="A704" s="2">
        <f ca="1">IFERROR(__xludf.DUMMYFUNCTION("""COMPUTED_VALUE"""),44848.6666666666)</f>
        <v>44848.666666666599</v>
      </c>
      <c r="B704" s="1">
        <f ca="1">IFERROR(__xludf.DUMMYFUNCTION("""COMPUTED_VALUE"""),138.38)</f>
        <v>138.38</v>
      </c>
      <c r="C704" s="1">
        <f ca="1">IFERROR(__xludf.DUMMYFUNCTION("""COMPUTED_VALUE"""),228.56)</f>
        <v>228.56</v>
      </c>
      <c r="D704" s="1">
        <f ca="1">IFERROR(__xludf.DUMMYFUNCTION("""COMPUTED_VALUE"""),106.9)</f>
        <v>106.9</v>
      </c>
      <c r="E704" s="1">
        <f ca="1">IFERROR(__xludf.DUMMYFUNCTION("""COMPUTED_VALUE"""),11.23)</f>
        <v>11.23</v>
      </c>
      <c r="F704" s="1">
        <f ca="1">IFERROR(__xludf.DUMMYFUNCTION("""COMPUTED_VALUE"""),126.76)</f>
        <v>126.76</v>
      </c>
      <c r="G704" s="1">
        <f ca="1">IFERROR(__xludf.DUMMYFUNCTION("""COMPUTED_VALUE"""),97.18)</f>
        <v>97.18</v>
      </c>
      <c r="H704" s="1">
        <f ca="1">IFERROR(__xludf.DUMMYFUNCTION("""COMPUTED_VALUE"""),204.99)</f>
        <v>204.99</v>
      </c>
      <c r="I704" s="1">
        <f ca="1">IFERROR(__xludf.DUMMYFUNCTION("""COMPUTED_VALUE"""),170.19)</f>
        <v>170.19</v>
      </c>
      <c r="J704" s="1">
        <f ca="1">IFERROR(__xludf.DUMMYFUNCTION("""COMPUTED_VALUE"""),454.65)</f>
        <v>454.65</v>
      </c>
      <c r="K704" s="1">
        <f ca="1">IFERROR(__xludf.DUMMYFUNCTION("""COMPUTED_VALUE"""),42.71)</f>
        <v>42.71</v>
      </c>
      <c r="L704" s="1">
        <f ca="1">IFERROR(__xludf.DUMMYFUNCTION("""COMPUTED_VALUE"""),287.94)</f>
        <v>287.94</v>
      </c>
      <c r="M704" s="1">
        <f ca="1">IFERROR(__xludf.DUMMYFUNCTION("""COMPUTED_VALUE"""),230)</f>
        <v>230</v>
      </c>
      <c r="N704" s="1">
        <f ca="1">IFERROR(__xludf.DUMMYFUNCTION("""COMPUTED_VALUE"""),111.19)</f>
        <v>111.19</v>
      </c>
      <c r="O704" s="1">
        <f ca="1">IFERROR(__xludf.DUMMYFUNCTION("""COMPUTED_VALUE"""),182.62)</f>
        <v>182.62</v>
      </c>
      <c r="P704" s="1">
        <f ca="1">IFERROR(__xludf.DUMMYFUNCTION("""COMPUTED_VALUE"""),164.46)</f>
        <v>164.46</v>
      </c>
      <c r="Q704" s="1">
        <f ca="1">IFERROR(__xludf.DUMMYFUNCTION("""COMPUTED_VALUE"""),513.13)</f>
        <v>513.13</v>
      </c>
      <c r="R704" s="1">
        <f ca="1">IFERROR(__xludf.DUMMYFUNCTION("""COMPUTED_VALUE"""),99.19)</f>
        <v>99.19</v>
      </c>
      <c r="S704" s="1">
        <f ca="1">IFERROR(__xludf.DUMMYFUNCTION("""COMPUTED_VALUE"""),71.77)</f>
        <v>71.77</v>
      </c>
      <c r="T704" s="1">
        <f ca="1">IFERROR(__xludf.DUMMYFUNCTION("""COMPUTED_VALUE"""),43.48)</f>
        <v>43.48</v>
      </c>
      <c r="U704" s="1">
        <f ca="1">IFERROR(__xludf.DUMMYFUNCTION("""COMPUTED_VALUE"""),87.55)</f>
        <v>87.55</v>
      </c>
      <c r="V704" s="1">
        <f ca="1">IFERROR(__xludf.DUMMYFUNCTION("""COMPUTED_VALUE"""),178.19)</f>
        <v>178.19</v>
      </c>
      <c r="W704" s="1">
        <f ca="1">IFERROR(__xludf.DUMMYFUNCTION("""COMPUTED_VALUE"""),389.41)</f>
        <v>389.41</v>
      </c>
      <c r="X704" s="1">
        <f ca="1">IFERROR(__xludf.DUMMYFUNCTION("""COMPUTED_VALUE"""),379.13)</f>
        <v>379.13</v>
      </c>
      <c r="Y704" s="1">
        <f ca="1">IFERROR(__xludf.DUMMYFUNCTION("""COMPUTED_VALUE"""),63.92)</f>
        <v>63.92</v>
      </c>
      <c r="Z704" s="1">
        <f ca="1">IFERROR(__xludf.DUMMYFUNCTION("""COMPUTED_VALUE"""),299.99)</f>
        <v>299.99</v>
      </c>
      <c r="AA704" s="1">
        <f ca="1">IFERROR(__xludf.DUMMYFUNCTION("""COMPUTED_VALUE"""),42.86)</f>
        <v>42.86</v>
      </c>
      <c r="AB704" s="1">
        <f ca="1">IFERROR(__xludf.DUMMYFUNCTION("""COMPUTED_VALUE"""),86.37)</f>
        <v>86.37</v>
      </c>
      <c r="AC704" s="1">
        <f ca="1">IFERROR(__xludf.DUMMYFUNCTION("""COMPUTED_VALUE"""),55.94)</f>
        <v>55.94</v>
      </c>
    </row>
    <row r="705" spans="1:29" x14ac:dyDescent="0.25">
      <c r="A705" s="2">
        <f ca="1">IFERROR(__xludf.DUMMYFUNCTION("""COMPUTED_VALUE"""),44851.6666666666)</f>
        <v>44851.666666666599</v>
      </c>
      <c r="B705" s="1">
        <f ca="1">IFERROR(__xludf.DUMMYFUNCTION("""COMPUTED_VALUE"""),142.41)</f>
        <v>142.41</v>
      </c>
      <c r="C705" s="1">
        <f ca="1">IFERROR(__xludf.DUMMYFUNCTION("""COMPUTED_VALUE"""),237.53)</f>
        <v>237.53</v>
      </c>
      <c r="D705" s="1">
        <f ca="1">IFERROR(__xludf.DUMMYFUNCTION("""COMPUTED_VALUE"""),113.79)</f>
        <v>113.79</v>
      </c>
      <c r="E705" s="1">
        <f ca="1">IFERROR(__xludf.DUMMYFUNCTION("""COMPUTED_VALUE"""),11.89)</f>
        <v>11.89</v>
      </c>
      <c r="F705" s="1">
        <f ca="1">IFERROR(__xludf.DUMMYFUNCTION("""COMPUTED_VALUE"""),134.04)</f>
        <v>134.04</v>
      </c>
      <c r="G705" s="1">
        <f ca="1">IFERROR(__xludf.DUMMYFUNCTION("""COMPUTED_VALUE"""),100.78)</f>
        <v>100.78</v>
      </c>
      <c r="H705" s="1">
        <f ca="1">IFERROR(__xludf.DUMMYFUNCTION("""COMPUTED_VALUE"""),219.35)</f>
        <v>219.35</v>
      </c>
      <c r="I705" s="1">
        <f ca="1">IFERROR(__xludf.DUMMYFUNCTION("""COMPUTED_VALUE"""),172.73)</f>
        <v>172.73</v>
      </c>
      <c r="J705" s="1">
        <f ca="1">IFERROR(__xludf.DUMMYFUNCTION("""COMPUTED_VALUE"""),464.17)</f>
        <v>464.17</v>
      </c>
      <c r="K705" s="1">
        <f ca="1">IFERROR(__xludf.DUMMYFUNCTION("""COMPUTED_VALUE"""),43.54)</f>
        <v>43.54</v>
      </c>
      <c r="L705" s="1">
        <f ca="1">IFERROR(__xludf.DUMMYFUNCTION("""COMPUTED_VALUE"""),293.5)</f>
        <v>293.5</v>
      </c>
      <c r="M705" s="1">
        <f ca="1">IFERROR(__xludf.DUMMYFUNCTION("""COMPUTED_VALUE"""),245.1)</f>
        <v>245.1</v>
      </c>
      <c r="N705" s="1">
        <f ca="1">IFERROR(__xludf.DUMMYFUNCTION("""COMPUTED_VALUE"""),115.86)</f>
        <v>115.86</v>
      </c>
      <c r="O705" s="1">
        <f ca="1">IFERROR(__xludf.DUMMYFUNCTION("""COMPUTED_VALUE"""),185.25)</f>
        <v>185.25</v>
      </c>
      <c r="P705" s="1">
        <f ca="1">IFERROR(__xludf.DUMMYFUNCTION("""COMPUTED_VALUE"""),166.59)</f>
        <v>166.59</v>
      </c>
      <c r="Q705" s="1">
        <f ca="1">IFERROR(__xludf.DUMMYFUNCTION("""COMPUTED_VALUE"""),521.88)</f>
        <v>521.88</v>
      </c>
      <c r="R705" s="1">
        <f ca="1">IFERROR(__xludf.DUMMYFUNCTION("""COMPUTED_VALUE"""),100.62)</f>
        <v>100.62</v>
      </c>
      <c r="S705" s="1">
        <f ca="1">IFERROR(__xludf.DUMMYFUNCTION("""COMPUTED_VALUE"""),73.65)</f>
        <v>73.650000000000006</v>
      </c>
      <c r="T705" s="1">
        <f ca="1">IFERROR(__xludf.DUMMYFUNCTION("""COMPUTED_VALUE"""),43.79)</f>
        <v>43.79</v>
      </c>
      <c r="U705" s="1">
        <f ca="1">IFERROR(__xludf.DUMMYFUNCTION("""COMPUTED_VALUE"""),89.97)</f>
        <v>89.97</v>
      </c>
      <c r="V705" s="1">
        <f ca="1">IFERROR(__xludf.DUMMYFUNCTION("""COMPUTED_VALUE"""),180.8)</f>
        <v>180.8</v>
      </c>
      <c r="W705" s="1">
        <f ca="1">IFERROR(__xludf.DUMMYFUNCTION("""COMPUTED_VALUE"""),397.31)</f>
        <v>397.31</v>
      </c>
      <c r="X705" s="1">
        <f ca="1">IFERROR(__xludf.DUMMYFUNCTION("""COMPUTED_VALUE"""),392.22)</f>
        <v>392.22</v>
      </c>
      <c r="Y705" s="1">
        <f ca="1">IFERROR(__xludf.DUMMYFUNCTION("""COMPUTED_VALUE"""),64.89)</f>
        <v>64.89</v>
      </c>
      <c r="Z705" s="1">
        <f ca="1">IFERROR(__xludf.DUMMYFUNCTION("""COMPUTED_VALUE"""),306.71)</f>
        <v>306.70999999999998</v>
      </c>
      <c r="AA705" s="1">
        <f ca="1">IFERROR(__xludf.DUMMYFUNCTION("""COMPUTED_VALUE"""),43.65)</f>
        <v>43.65</v>
      </c>
      <c r="AB705" s="1">
        <f ca="1">IFERROR(__xludf.DUMMYFUNCTION("""COMPUTED_VALUE"""),88.9)</f>
        <v>88.9</v>
      </c>
      <c r="AC705" s="1">
        <f ca="1">IFERROR(__xludf.DUMMYFUNCTION("""COMPUTED_VALUE"""),57.96)</f>
        <v>57.96</v>
      </c>
    </row>
    <row r="706" spans="1:29" x14ac:dyDescent="0.25">
      <c r="A706" s="2">
        <f ca="1">IFERROR(__xludf.DUMMYFUNCTION("""COMPUTED_VALUE"""),44852.6666666666)</f>
        <v>44852.666666666599</v>
      </c>
      <c r="B706" s="1">
        <f ca="1">IFERROR(__xludf.DUMMYFUNCTION("""COMPUTED_VALUE"""),143.75)</f>
        <v>143.75</v>
      </c>
      <c r="C706" s="1">
        <f ca="1">IFERROR(__xludf.DUMMYFUNCTION("""COMPUTED_VALUE"""),238.5)</f>
        <v>238.5</v>
      </c>
      <c r="D706" s="1">
        <f ca="1">IFERROR(__xludf.DUMMYFUNCTION("""COMPUTED_VALUE"""),116.36)</f>
        <v>116.36</v>
      </c>
      <c r="E706" s="1">
        <f ca="1">IFERROR(__xludf.DUMMYFUNCTION("""COMPUTED_VALUE"""),11.97)</f>
        <v>11.97</v>
      </c>
      <c r="F706" s="1">
        <f ca="1">IFERROR(__xludf.DUMMYFUNCTION("""COMPUTED_VALUE"""),132.8)</f>
        <v>132.80000000000001</v>
      </c>
      <c r="G706" s="1">
        <f ca="1">IFERROR(__xludf.DUMMYFUNCTION("""COMPUTED_VALUE"""),101.39)</f>
        <v>101.39</v>
      </c>
      <c r="H706" s="1">
        <f ca="1">IFERROR(__xludf.DUMMYFUNCTION("""COMPUTED_VALUE"""),220.19)</f>
        <v>220.19</v>
      </c>
      <c r="I706" s="1">
        <f ca="1">IFERROR(__xludf.DUMMYFUNCTION("""COMPUTED_VALUE"""),175.06)</f>
        <v>175.06</v>
      </c>
      <c r="J706" s="1">
        <f ca="1">IFERROR(__xludf.DUMMYFUNCTION("""COMPUTED_VALUE"""),473.27)</f>
        <v>473.27</v>
      </c>
      <c r="K706" s="1">
        <f ca="1">IFERROR(__xludf.DUMMYFUNCTION("""COMPUTED_VALUE"""),43.48)</f>
        <v>43.48</v>
      </c>
      <c r="L706" s="1">
        <f ca="1">IFERROR(__xludf.DUMMYFUNCTION("""COMPUTED_VALUE"""),292.98)</f>
        <v>292.98</v>
      </c>
      <c r="M706" s="1">
        <f ca="1">IFERROR(__xludf.DUMMYFUNCTION("""COMPUTED_VALUE"""),240.86)</f>
        <v>240.86</v>
      </c>
      <c r="N706" s="1">
        <f ca="1">IFERROR(__xludf.DUMMYFUNCTION("""COMPUTED_VALUE"""),118.84)</f>
        <v>118.84</v>
      </c>
      <c r="O706" s="1">
        <f ca="1">IFERROR(__xludf.DUMMYFUNCTION("""COMPUTED_VALUE"""),187.17)</f>
        <v>187.17</v>
      </c>
      <c r="P706" s="1">
        <f ca="1">IFERROR(__xludf.DUMMYFUNCTION("""COMPUTED_VALUE"""),166.01)</f>
        <v>166.01</v>
      </c>
      <c r="Q706" s="1">
        <f ca="1">IFERROR(__xludf.DUMMYFUNCTION("""COMPUTED_VALUE"""),522.21)</f>
        <v>522.21</v>
      </c>
      <c r="R706" s="1">
        <f ca="1">IFERROR(__xludf.DUMMYFUNCTION("""COMPUTED_VALUE"""),100.8)</f>
        <v>100.8</v>
      </c>
      <c r="S706" s="1">
        <f ca="1">IFERROR(__xludf.DUMMYFUNCTION("""COMPUTED_VALUE"""),75.06)</f>
        <v>75.06</v>
      </c>
      <c r="T706" s="1">
        <f ca="1">IFERROR(__xludf.DUMMYFUNCTION("""COMPUTED_VALUE"""),44.71)</f>
        <v>44.71</v>
      </c>
      <c r="U706" s="1">
        <f ca="1">IFERROR(__xludf.DUMMYFUNCTION("""COMPUTED_VALUE"""),89.68)</f>
        <v>89.68</v>
      </c>
      <c r="V706" s="1">
        <f ca="1">IFERROR(__xludf.DUMMYFUNCTION("""COMPUTED_VALUE"""),183.55)</f>
        <v>183.55</v>
      </c>
      <c r="W706" s="1">
        <f ca="1">IFERROR(__xludf.DUMMYFUNCTION("""COMPUTED_VALUE"""),431.84)</f>
        <v>431.84</v>
      </c>
      <c r="X706" s="1">
        <f ca="1">IFERROR(__xludf.DUMMYFUNCTION("""COMPUTED_VALUE"""),398.99)</f>
        <v>398.99</v>
      </c>
      <c r="Y706" s="1">
        <f ca="1">IFERROR(__xludf.DUMMYFUNCTION("""COMPUTED_VALUE"""),63.71)</f>
        <v>63.71</v>
      </c>
      <c r="Z706" s="1">
        <f ca="1">IFERROR(__xludf.DUMMYFUNCTION("""COMPUTED_VALUE"""),313.85)</f>
        <v>313.85000000000002</v>
      </c>
      <c r="AA706" s="1">
        <f ca="1">IFERROR(__xludf.DUMMYFUNCTION("""COMPUTED_VALUE"""),44.09)</f>
        <v>44.09</v>
      </c>
      <c r="AB706" s="1">
        <f ca="1">IFERROR(__xludf.DUMMYFUNCTION("""COMPUTED_VALUE"""),88.96)</f>
        <v>88.96</v>
      </c>
      <c r="AC706" s="1">
        <f ca="1">IFERROR(__xludf.DUMMYFUNCTION("""COMPUTED_VALUE"""),57.92)</f>
        <v>57.92</v>
      </c>
    </row>
    <row r="707" spans="1:29" x14ac:dyDescent="0.25">
      <c r="A707" s="2">
        <f ca="1">IFERROR(__xludf.DUMMYFUNCTION("""COMPUTED_VALUE"""),44853.6666666666)</f>
        <v>44853.666666666599</v>
      </c>
      <c r="B707" s="1">
        <f ca="1">IFERROR(__xludf.DUMMYFUNCTION("""COMPUTED_VALUE"""),143.86)</f>
        <v>143.86000000000001</v>
      </c>
      <c r="C707" s="1">
        <f ca="1">IFERROR(__xludf.DUMMYFUNCTION("""COMPUTED_VALUE"""),236.48)</f>
        <v>236.48</v>
      </c>
      <c r="D707" s="1">
        <f ca="1">IFERROR(__xludf.DUMMYFUNCTION("""COMPUTED_VALUE"""),115.07)</f>
        <v>115.07</v>
      </c>
      <c r="E707" s="1">
        <f ca="1">IFERROR(__xludf.DUMMYFUNCTION("""COMPUTED_VALUE"""),12.05)</f>
        <v>12.05</v>
      </c>
      <c r="F707" s="1">
        <f ca="1">IFERROR(__xludf.DUMMYFUNCTION("""COMPUTED_VALUE"""),133.23)</f>
        <v>133.22999999999999</v>
      </c>
      <c r="G707" s="1">
        <f ca="1">IFERROR(__xludf.DUMMYFUNCTION("""COMPUTED_VALUE"""),100.29)</f>
        <v>100.29</v>
      </c>
      <c r="H707" s="1">
        <f ca="1">IFERROR(__xludf.DUMMYFUNCTION("""COMPUTED_VALUE"""),222.04)</f>
        <v>222.04</v>
      </c>
      <c r="I707" s="1">
        <f ca="1">IFERROR(__xludf.DUMMYFUNCTION("""COMPUTED_VALUE"""),173.36)</f>
        <v>173.36</v>
      </c>
      <c r="J707" s="1">
        <f ca="1">IFERROR(__xludf.DUMMYFUNCTION("""COMPUTED_VALUE"""),471.43)</f>
        <v>471.43</v>
      </c>
      <c r="K707" s="1">
        <f ca="1">IFERROR(__xludf.DUMMYFUNCTION("""COMPUTED_VALUE"""),43.53)</f>
        <v>43.53</v>
      </c>
      <c r="L707" s="1">
        <f ca="1">IFERROR(__xludf.DUMMYFUNCTION("""COMPUTED_VALUE"""),299.83)</f>
        <v>299.83</v>
      </c>
      <c r="M707" s="1">
        <f ca="1">IFERROR(__xludf.DUMMYFUNCTION("""COMPUTED_VALUE"""),272.38)</f>
        <v>272.38</v>
      </c>
      <c r="N707" s="1">
        <f ca="1">IFERROR(__xludf.DUMMYFUNCTION("""COMPUTED_VALUE"""),116.51)</f>
        <v>116.51</v>
      </c>
      <c r="O707" s="1">
        <f ca="1">IFERROR(__xludf.DUMMYFUNCTION("""COMPUTED_VALUE"""),186.41)</f>
        <v>186.41</v>
      </c>
      <c r="P707" s="1">
        <f ca="1">IFERROR(__xludf.DUMMYFUNCTION("""COMPUTED_VALUE"""),164.69)</f>
        <v>164.69</v>
      </c>
      <c r="Q707" s="1">
        <f ca="1">IFERROR(__xludf.DUMMYFUNCTION("""COMPUTED_VALUE"""),520.32)</f>
        <v>520.32000000000005</v>
      </c>
      <c r="R707" s="1">
        <f ca="1">IFERROR(__xludf.DUMMYFUNCTION("""COMPUTED_VALUE"""),103.79)</f>
        <v>103.79</v>
      </c>
      <c r="S707" s="1">
        <f ca="1">IFERROR(__xludf.DUMMYFUNCTION("""COMPUTED_VALUE"""),73.64)</f>
        <v>73.64</v>
      </c>
      <c r="T707" s="1">
        <f ca="1">IFERROR(__xludf.DUMMYFUNCTION("""COMPUTED_VALUE"""),44.59)</f>
        <v>44.59</v>
      </c>
      <c r="U707" s="1">
        <f ca="1">IFERROR(__xludf.DUMMYFUNCTION("""COMPUTED_VALUE"""),88.57)</f>
        <v>88.57</v>
      </c>
      <c r="V707" s="1">
        <f ca="1">IFERROR(__xludf.DUMMYFUNCTION("""COMPUTED_VALUE"""),184.41)</f>
        <v>184.41</v>
      </c>
      <c r="W707" s="1">
        <f ca="1">IFERROR(__xludf.DUMMYFUNCTION("""COMPUTED_VALUE"""),439.96)</f>
        <v>439.96</v>
      </c>
      <c r="X707" s="1">
        <f ca="1">IFERROR(__xludf.DUMMYFUNCTION("""COMPUTED_VALUE"""),424.02)</f>
        <v>424.02</v>
      </c>
      <c r="Y707" s="1">
        <f ca="1">IFERROR(__xludf.DUMMYFUNCTION("""COMPUTED_VALUE"""),63.66)</f>
        <v>63.66</v>
      </c>
      <c r="Z707" s="1">
        <f ca="1">IFERROR(__xludf.DUMMYFUNCTION("""COMPUTED_VALUE"""),311.76)</f>
        <v>311.76</v>
      </c>
      <c r="AA707" s="1">
        <f ca="1">IFERROR(__xludf.DUMMYFUNCTION("""COMPUTED_VALUE"""),43.11)</f>
        <v>43.11</v>
      </c>
      <c r="AB707" s="1">
        <f ca="1">IFERROR(__xludf.DUMMYFUNCTION("""COMPUTED_VALUE"""),87.52)</f>
        <v>87.52</v>
      </c>
      <c r="AC707" s="1">
        <f ca="1">IFERROR(__xludf.DUMMYFUNCTION("""COMPUTED_VALUE"""),57.23)</f>
        <v>57.23</v>
      </c>
    </row>
    <row r="708" spans="1:29" x14ac:dyDescent="0.25">
      <c r="A708" s="2">
        <f ca="1">IFERROR(__xludf.DUMMYFUNCTION("""COMPUTED_VALUE"""),44854.6666666666)</f>
        <v>44854.666666666599</v>
      </c>
      <c r="B708" s="1">
        <f ca="1">IFERROR(__xludf.DUMMYFUNCTION("""COMPUTED_VALUE"""),143.39)</f>
        <v>143.38999999999999</v>
      </c>
      <c r="C708" s="1">
        <f ca="1">IFERROR(__xludf.DUMMYFUNCTION("""COMPUTED_VALUE"""),236.15)</f>
        <v>236.15</v>
      </c>
      <c r="D708" s="1">
        <f ca="1">IFERROR(__xludf.DUMMYFUNCTION("""COMPUTED_VALUE"""),115.25)</f>
        <v>115.25</v>
      </c>
      <c r="E708" s="1">
        <f ca="1">IFERROR(__xludf.DUMMYFUNCTION("""COMPUTED_VALUE"""),12.19)</f>
        <v>12.19</v>
      </c>
      <c r="F708" s="1">
        <f ca="1">IFERROR(__xludf.DUMMYFUNCTION("""COMPUTED_VALUE"""),131.53)</f>
        <v>131.53</v>
      </c>
      <c r="G708" s="1">
        <f ca="1">IFERROR(__xludf.DUMMYFUNCTION("""COMPUTED_VALUE"""),100.53)</f>
        <v>100.53</v>
      </c>
      <c r="H708" s="1">
        <f ca="1">IFERROR(__xludf.DUMMYFUNCTION("""COMPUTED_VALUE"""),207.28)</f>
        <v>207.28</v>
      </c>
      <c r="I708" s="1">
        <f ca="1">IFERROR(__xludf.DUMMYFUNCTION("""COMPUTED_VALUE"""),171.46)</f>
        <v>171.46</v>
      </c>
      <c r="J708" s="1">
        <f ca="1">IFERROR(__xludf.DUMMYFUNCTION("""COMPUTED_VALUE"""),464.62)</f>
        <v>464.62</v>
      </c>
      <c r="K708" s="1">
        <f ca="1">IFERROR(__xludf.DUMMYFUNCTION("""COMPUTED_VALUE"""),43.03)</f>
        <v>43.03</v>
      </c>
      <c r="L708" s="1">
        <f ca="1">IFERROR(__xludf.DUMMYFUNCTION("""COMPUTED_VALUE"""),302.38)</f>
        <v>302.38</v>
      </c>
      <c r="M708" s="1">
        <f ca="1">IFERROR(__xludf.DUMMYFUNCTION("""COMPUTED_VALUE"""),268.16)</f>
        <v>268.16000000000003</v>
      </c>
      <c r="N708" s="1">
        <f ca="1">IFERROR(__xludf.DUMMYFUNCTION("""COMPUTED_VALUE"""),116.13)</f>
        <v>116.13</v>
      </c>
      <c r="O708" s="1">
        <f ca="1">IFERROR(__xludf.DUMMYFUNCTION("""COMPUTED_VALUE"""),187.22)</f>
        <v>187.22</v>
      </c>
      <c r="P708" s="1">
        <f ca="1">IFERROR(__xludf.DUMMYFUNCTION("""COMPUTED_VALUE"""),165.11)</f>
        <v>165.11</v>
      </c>
      <c r="Q708" s="1">
        <f ca="1">IFERROR(__xludf.DUMMYFUNCTION("""COMPUTED_VALUE"""),520.88)</f>
        <v>520.88</v>
      </c>
      <c r="R708" s="1">
        <f ca="1">IFERROR(__xludf.DUMMYFUNCTION("""COMPUTED_VALUE"""),103.93)</f>
        <v>103.93</v>
      </c>
      <c r="S708" s="1">
        <f ca="1">IFERROR(__xludf.DUMMYFUNCTION("""COMPUTED_VALUE"""),70.64)</f>
        <v>70.64</v>
      </c>
      <c r="T708" s="1">
        <f ca="1">IFERROR(__xludf.DUMMYFUNCTION("""COMPUTED_VALUE"""),44.7)</f>
        <v>44.7</v>
      </c>
      <c r="U708" s="1">
        <f ca="1">IFERROR(__xludf.DUMMYFUNCTION("""COMPUTED_VALUE"""),86.83)</f>
        <v>86.83</v>
      </c>
      <c r="V708" s="1">
        <f ca="1">IFERROR(__xludf.DUMMYFUNCTION("""COMPUTED_VALUE"""),180.54)</f>
        <v>180.54</v>
      </c>
      <c r="W708" s="1">
        <f ca="1">IFERROR(__xludf.DUMMYFUNCTION("""COMPUTED_VALUE"""),444.34)</f>
        <v>444.34</v>
      </c>
      <c r="X708" s="1">
        <f ca="1">IFERROR(__xludf.DUMMYFUNCTION("""COMPUTED_VALUE"""),437.27)</f>
        <v>437.27</v>
      </c>
      <c r="Y708" s="1">
        <f ca="1">IFERROR(__xludf.DUMMYFUNCTION("""COMPUTED_VALUE"""),63.58)</f>
        <v>63.58</v>
      </c>
      <c r="Z708" s="1">
        <f ca="1">IFERROR(__xludf.DUMMYFUNCTION("""COMPUTED_VALUE"""),310.81)</f>
        <v>310.81</v>
      </c>
      <c r="AA708" s="1">
        <f ca="1">IFERROR(__xludf.DUMMYFUNCTION("""COMPUTED_VALUE"""),42.91)</f>
        <v>42.91</v>
      </c>
      <c r="AB708" s="1">
        <f ca="1">IFERROR(__xludf.DUMMYFUNCTION("""COMPUTED_VALUE"""),86.79)</f>
        <v>86.79</v>
      </c>
      <c r="AC708" s="1">
        <f ca="1">IFERROR(__xludf.DUMMYFUNCTION("""COMPUTED_VALUE"""),57.77)</f>
        <v>57.77</v>
      </c>
    </row>
    <row r="709" spans="1:29" x14ac:dyDescent="0.25">
      <c r="A709" s="2">
        <f ca="1">IFERROR(__xludf.DUMMYFUNCTION("""COMPUTED_VALUE"""),44855.6666666666)</f>
        <v>44855.666666666599</v>
      </c>
      <c r="B709" s="1">
        <f ca="1">IFERROR(__xludf.DUMMYFUNCTION("""COMPUTED_VALUE"""),147.27)</f>
        <v>147.27000000000001</v>
      </c>
      <c r="C709" s="1">
        <f ca="1">IFERROR(__xludf.DUMMYFUNCTION("""COMPUTED_VALUE"""),242.12)</f>
        <v>242.12</v>
      </c>
      <c r="D709" s="1">
        <f ca="1">IFERROR(__xludf.DUMMYFUNCTION("""COMPUTED_VALUE"""),119.32)</f>
        <v>119.32</v>
      </c>
      <c r="E709" s="1">
        <f ca="1">IFERROR(__xludf.DUMMYFUNCTION("""COMPUTED_VALUE"""),12.47)</f>
        <v>12.47</v>
      </c>
      <c r="F709" s="1">
        <f ca="1">IFERROR(__xludf.DUMMYFUNCTION("""COMPUTED_VALUE"""),130.01)</f>
        <v>130.01</v>
      </c>
      <c r="G709" s="1">
        <f ca="1">IFERROR(__xludf.DUMMYFUNCTION("""COMPUTED_VALUE"""),101.48)</f>
        <v>101.48</v>
      </c>
      <c r="H709" s="1">
        <f ca="1">IFERROR(__xludf.DUMMYFUNCTION("""COMPUTED_VALUE"""),214.44)</f>
        <v>214.44</v>
      </c>
      <c r="I709" s="1">
        <f ca="1">IFERROR(__xludf.DUMMYFUNCTION("""COMPUTED_VALUE"""),173.06)</f>
        <v>173.06</v>
      </c>
      <c r="J709" s="1">
        <f ca="1">IFERROR(__xludf.DUMMYFUNCTION("""COMPUTED_VALUE"""),478.18)</f>
        <v>478.18</v>
      </c>
      <c r="K709" s="1">
        <f ca="1">IFERROR(__xludf.DUMMYFUNCTION("""COMPUTED_VALUE"""),44.97)</f>
        <v>44.97</v>
      </c>
      <c r="L709" s="1">
        <f ca="1">IFERROR(__xludf.DUMMYFUNCTION("""COMPUTED_VALUE"""),306.37)</f>
        <v>306.37</v>
      </c>
      <c r="M709" s="1">
        <f ca="1">IFERROR(__xludf.DUMMYFUNCTION("""COMPUTED_VALUE"""),289.57)</f>
        <v>289.57</v>
      </c>
      <c r="N709" s="1">
        <f ca="1">IFERROR(__xludf.DUMMYFUNCTION("""COMPUTED_VALUE"""),122.23)</f>
        <v>122.23</v>
      </c>
      <c r="O709" s="1">
        <f ca="1">IFERROR(__xludf.DUMMYFUNCTION("""COMPUTED_VALUE"""),190.37)</f>
        <v>190.37</v>
      </c>
      <c r="P709" s="1">
        <f ca="1">IFERROR(__xludf.DUMMYFUNCTION("""COMPUTED_VALUE"""),168.71)</f>
        <v>168.71</v>
      </c>
      <c r="Q709" s="1">
        <f ca="1">IFERROR(__xludf.DUMMYFUNCTION("""COMPUTED_VALUE"""),533.73)</f>
        <v>533.73</v>
      </c>
      <c r="R709" s="1">
        <f ca="1">IFERROR(__xludf.DUMMYFUNCTION("""COMPUTED_VALUE"""),105.86)</f>
        <v>105.86</v>
      </c>
      <c r="S709" s="1">
        <f ca="1">IFERROR(__xludf.DUMMYFUNCTION("""COMPUTED_VALUE"""),71.65)</f>
        <v>71.650000000000006</v>
      </c>
      <c r="T709" s="1">
        <f ca="1">IFERROR(__xludf.DUMMYFUNCTION("""COMPUTED_VALUE"""),45.6)</f>
        <v>45.6</v>
      </c>
      <c r="U709" s="1">
        <f ca="1">IFERROR(__xludf.DUMMYFUNCTION("""COMPUTED_VALUE"""),88.5)</f>
        <v>88.5</v>
      </c>
      <c r="V709" s="1">
        <f ca="1">IFERROR(__xludf.DUMMYFUNCTION("""COMPUTED_VALUE"""),190.22)</f>
        <v>190.22</v>
      </c>
      <c r="W709" s="1">
        <f ca="1">IFERROR(__xludf.DUMMYFUNCTION("""COMPUTED_VALUE"""),454.61)</f>
        <v>454.61</v>
      </c>
      <c r="X709" s="1">
        <f ca="1">IFERROR(__xludf.DUMMYFUNCTION("""COMPUTED_VALUE"""),462.23)</f>
        <v>462.23</v>
      </c>
      <c r="Y709" s="1">
        <f ca="1">IFERROR(__xludf.DUMMYFUNCTION("""COMPUTED_VALUE"""),63.75)</f>
        <v>63.75</v>
      </c>
      <c r="Z709" s="1">
        <f ca="1">IFERROR(__xludf.DUMMYFUNCTION("""COMPUTED_VALUE"""),325.1)</f>
        <v>325.10000000000002</v>
      </c>
      <c r="AA709" s="1">
        <f ca="1">IFERROR(__xludf.DUMMYFUNCTION("""COMPUTED_VALUE"""),44.95)</f>
        <v>44.95</v>
      </c>
      <c r="AB709" s="1">
        <f ca="1">IFERROR(__xludf.DUMMYFUNCTION("""COMPUTED_VALUE"""),88.61)</f>
        <v>88.61</v>
      </c>
      <c r="AC709" s="1">
        <f ca="1">IFERROR(__xludf.DUMMYFUNCTION("""COMPUTED_VALUE"""),58.82)</f>
        <v>58.82</v>
      </c>
    </row>
    <row r="710" spans="1:29" x14ac:dyDescent="0.25">
      <c r="A710" s="2">
        <f ca="1">IFERROR(__xludf.DUMMYFUNCTION("""COMPUTED_VALUE"""),44858.6666666666)</f>
        <v>44858.666666666599</v>
      </c>
      <c r="B710" s="1">
        <f ca="1">IFERROR(__xludf.DUMMYFUNCTION("""COMPUTED_VALUE"""),149.45)</f>
        <v>149.44999999999999</v>
      </c>
      <c r="C710" s="1">
        <f ca="1">IFERROR(__xludf.DUMMYFUNCTION("""COMPUTED_VALUE"""),247.25)</f>
        <v>247.25</v>
      </c>
      <c r="D710" s="1">
        <f ca="1">IFERROR(__xludf.DUMMYFUNCTION("""COMPUTED_VALUE"""),119.82)</f>
        <v>119.82</v>
      </c>
      <c r="E710" s="1">
        <f ca="1">IFERROR(__xludf.DUMMYFUNCTION("""COMPUTED_VALUE"""),12.6)</f>
        <v>12.6</v>
      </c>
      <c r="F710" s="1">
        <f ca="1">IFERROR(__xludf.DUMMYFUNCTION("""COMPUTED_VALUE"""),129.72)</f>
        <v>129.72</v>
      </c>
      <c r="G710" s="1">
        <f ca="1">IFERROR(__xludf.DUMMYFUNCTION("""COMPUTED_VALUE"""),102.97)</f>
        <v>102.97</v>
      </c>
      <c r="H710" s="1">
        <f ca="1">IFERROR(__xludf.DUMMYFUNCTION("""COMPUTED_VALUE"""),211.25)</f>
        <v>211.25</v>
      </c>
      <c r="I710" s="1">
        <f ca="1">IFERROR(__xludf.DUMMYFUNCTION("""COMPUTED_VALUE"""),177.68)</f>
        <v>177.68</v>
      </c>
      <c r="J710" s="1">
        <f ca="1">IFERROR(__xludf.DUMMYFUNCTION("""COMPUTED_VALUE"""),496.97)</f>
        <v>496.97</v>
      </c>
      <c r="K710" s="1">
        <f ca="1">IFERROR(__xludf.DUMMYFUNCTION("""COMPUTED_VALUE"""),45.65)</f>
        <v>45.65</v>
      </c>
      <c r="L710" s="1">
        <f ca="1">IFERROR(__xludf.DUMMYFUNCTION("""COMPUTED_VALUE"""),316.22)</f>
        <v>316.22000000000003</v>
      </c>
      <c r="M710" s="1">
        <f ca="1">IFERROR(__xludf.DUMMYFUNCTION("""COMPUTED_VALUE"""),282.45)</f>
        <v>282.45</v>
      </c>
      <c r="N710" s="1">
        <f ca="1">IFERROR(__xludf.DUMMYFUNCTION("""COMPUTED_VALUE"""),122.38)</f>
        <v>122.38</v>
      </c>
      <c r="O710" s="1">
        <f ca="1">IFERROR(__xludf.DUMMYFUNCTION("""COMPUTED_VALUE"""),190.37)</f>
        <v>190.37</v>
      </c>
      <c r="P710" s="1">
        <f ca="1">IFERROR(__xludf.DUMMYFUNCTION("""COMPUTED_VALUE"""),170.98)</f>
        <v>170.98</v>
      </c>
      <c r="Q710" s="1">
        <f ca="1">IFERROR(__xludf.DUMMYFUNCTION("""COMPUTED_VALUE"""),541.6)</f>
        <v>541.6</v>
      </c>
      <c r="R710" s="1">
        <f ca="1">IFERROR(__xludf.DUMMYFUNCTION("""COMPUTED_VALUE"""),106.6)</f>
        <v>106.6</v>
      </c>
      <c r="S710" s="1">
        <f ca="1">IFERROR(__xludf.DUMMYFUNCTION("""COMPUTED_VALUE"""),73.28)</f>
        <v>73.28</v>
      </c>
      <c r="T710" s="1">
        <f ca="1">IFERROR(__xludf.DUMMYFUNCTION("""COMPUTED_VALUE"""),46.47)</f>
        <v>46.47</v>
      </c>
      <c r="U710" s="1">
        <f ca="1">IFERROR(__xludf.DUMMYFUNCTION("""COMPUTED_VALUE"""),88.01)</f>
        <v>88.01</v>
      </c>
      <c r="V710" s="1">
        <f ca="1">IFERROR(__xludf.DUMMYFUNCTION("""COMPUTED_VALUE"""),191.3)</f>
        <v>191.3</v>
      </c>
      <c r="W710" s="1">
        <f ca="1">IFERROR(__xludf.DUMMYFUNCTION("""COMPUTED_VALUE"""),457.46)</f>
        <v>457.46</v>
      </c>
      <c r="X710" s="1">
        <f ca="1">IFERROR(__xludf.DUMMYFUNCTION("""COMPUTED_VALUE"""),472.97)</f>
        <v>472.97</v>
      </c>
      <c r="Y710" s="1">
        <f ca="1">IFERROR(__xludf.DUMMYFUNCTION("""COMPUTED_VALUE"""),61.29)</f>
        <v>61.29</v>
      </c>
      <c r="Z710" s="1">
        <f ca="1">IFERROR(__xludf.DUMMYFUNCTION("""COMPUTED_VALUE"""),328.7)</f>
        <v>328.7</v>
      </c>
      <c r="AA710" s="1">
        <f ca="1">IFERROR(__xludf.DUMMYFUNCTION("""COMPUTED_VALUE"""),45.54)</f>
        <v>45.54</v>
      </c>
      <c r="AB710" s="1">
        <f ca="1">IFERROR(__xludf.DUMMYFUNCTION("""COMPUTED_VALUE"""),83.76)</f>
        <v>83.76</v>
      </c>
      <c r="AC710" s="1">
        <f ca="1">IFERROR(__xludf.DUMMYFUNCTION("""COMPUTED_VALUE"""),58.7)</f>
        <v>58.7</v>
      </c>
    </row>
    <row r="711" spans="1:29" x14ac:dyDescent="0.25">
      <c r="A711" s="2">
        <f ca="1">IFERROR(__xludf.DUMMYFUNCTION("""COMPUTED_VALUE"""),44859.6666666666)</f>
        <v>44859.666666666599</v>
      </c>
      <c r="B711" s="1">
        <f ca="1">IFERROR(__xludf.DUMMYFUNCTION("""COMPUTED_VALUE"""),152.34)</f>
        <v>152.34</v>
      </c>
      <c r="C711" s="1">
        <f ca="1">IFERROR(__xludf.DUMMYFUNCTION("""COMPUTED_VALUE"""),250.66)</f>
        <v>250.66</v>
      </c>
      <c r="D711" s="1">
        <f ca="1">IFERROR(__xludf.DUMMYFUNCTION("""COMPUTED_VALUE"""),120.6)</f>
        <v>120.6</v>
      </c>
      <c r="E711" s="1">
        <f ca="1">IFERROR(__xludf.DUMMYFUNCTION("""COMPUTED_VALUE"""),13.26)</f>
        <v>13.26</v>
      </c>
      <c r="F711" s="1">
        <f ca="1">IFERROR(__xludf.DUMMYFUNCTION("""COMPUTED_VALUE"""),137.51)</f>
        <v>137.51</v>
      </c>
      <c r="G711" s="1">
        <f ca="1">IFERROR(__xludf.DUMMYFUNCTION("""COMPUTED_VALUE"""),104.93)</f>
        <v>104.93</v>
      </c>
      <c r="H711" s="1">
        <f ca="1">IFERROR(__xludf.DUMMYFUNCTION("""COMPUTED_VALUE"""),222.42)</f>
        <v>222.42</v>
      </c>
      <c r="I711" s="1">
        <f ca="1">IFERROR(__xludf.DUMMYFUNCTION("""COMPUTED_VALUE"""),178.27)</f>
        <v>178.27</v>
      </c>
      <c r="J711" s="1">
        <f ca="1">IFERROR(__xludf.DUMMYFUNCTION("""COMPUTED_VALUE"""),499.06)</f>
        <v>499.06</v>
      </c>
      <c r="K711" s="1">
        <f ca="1">IFERROR(__xludf.DUMMYFUNCTION("""COMPUTED_VALUE"""),46.01)</f>
        <v>46.01</v>
      </c>
      <c r="L711" s="1">
        <f ca="1">IFERROR(__xludf.DUMMYFUNCTION("""COMPUTED_VALUE"""),323.79)</f>
        <v>323.79000000000002</v>
      </c>
      <c r="M711" s="1">
        <f ca="1">IFERROR(__xludf.DUMMYFUNCTION("""COMPUTED_VALUE"""),291.02)</f>
        <v>291.02</v>
      </c>
      <c r="N711" s="1">
        <f ca="1">IFERROR(__xludf.DUMMYFUNCTION("""COMPUTED_VALUE"""),122.7)</f>
        <v>122.7</v>
      </c>
      <c r="O711" s="1">
        <f ca="1">IFERROR(__xludf.DUMMYFUNCTION("""COMPUTED_VALUE"""),194.38)</f>
        <v>194.38</v>
      </c>
      <c r="P711" s="1">
        <f ca="1">IFERROR(__xludf.DUMMYFUNCTION("""COMPUTED_VALUE"""),170.71)</f>
        <v>170.71</v>
      </c>
      <c r="Q711" s="1">
        <f ca="1">IFERROR(__xludf.DUMMYFUNCTION("""COMPUTED_VALUE"""),540.22)</f>
        <v>540.22</v>
      </c>
      <c r="R711" s="1">
        <f ca="1">IFERROR(__xludf.DUMMYFUNCTION("""COMPUTED_VALUE"""),105.88)</f>
        <v>105.88</v>
      </c>
      <c r="S711" s="1">
        <f ca="1">IFERROR(__xludf.DUMMYFUNCTION("""COMPUTED_VALUE"""),75.86)</f>
        <v>75.86</v>
      </c>
      <c r="T711" s="1">
        <f ca="1">IFERROR(__xludf.DUMMYFUNCTION("""COMPUTED_VALUE"""),46.69)</f>
        <v>46.69</v>
      </c>
      <c r="U711" s="1">
        <f ca="1">IFERROR(__xludf.DUMMYFUNCTION("""COMPUTED_VALUE"""),91.72)</f>
        <v>91.72</v>
      </c>
      <c r="V711" s="1">
        <f ca="1">IFERROR(__xludf.DUMMYFUNCTION("""COMPUTED_VALUE"""),194.84)</f>
        <v>194.84</v>
      </c>
      <c r="W711" s="1">
        <f ca="1">IFERROR(__xludf.DUMMYFUNCTION("""COMPUTED_VALUE"""),460.15)</f>
        <v>460.15</v>
      </c>
      <c r="X711" s="1">
        <f ca="1">IFERROR(__xludf.DUMMYFUNCTION("""COMPUTED_VALUE"""),486.01)</f>
        <v>486.01</v>
      </c>
      <c r="Y711" s="1">
        <f ca="1">IFERROR(__xludf.DUMMYFUNCTION("""COMPUTED_VALUE"""),61.14)</f>
        <v>61.14</v>
      </c>
      <c r="Z711" s="1">
        <f ca="1">IFERROR(__xludf.DUMMYFUNCTION("""COMPUTED_VALUE"""),332.4)</f>
        <v>332.4</v>
      </c>
      <c r="AA711" s="1">
        <f ca="1">IFERROR(__xludf.DUMMYFUNCTION("""COMPUTED_VALUE"""),45.59)</f>
        <v>45.59</v>
      </c>
      <c r="AB711" s="1">
        <f ca="1">IFERROR(__xludf.DUMMYFUNCTION("""COMPUTED_VALUE"""),85.21)</f>
        <v>85.21</v>
      </c>
      <c r="AC711" s="1">
        <f ca="1">IFERROR(__xludf.DUMMYFUNCTION("""COMPUTED_VALUE"""),61.47)</f>
        <v>61.47</v>
      </c>
    </row>
    <row r="712" spans="1:29" x14ac:dyDescent="0.25">
      <c r="A712" s="2">
        <f ca="1">IFERROR(__xludf.DUMMYFUNCTION("""COMPUTED_VALUE"""),44860.6666666666)</f>
        <v>44860.666666666599</v>
      </c>
      <c r="B712" s="1">
        <f ca="1">IFERROR(__xludf.DUMMYFUNCTION("""COMPUTED_VALUE"""),149.35)</f>
        <v>149.35</v>
      </c>
      <c r="C712" s="1">
        <f ca="1">IFERROR(__xludf.DUMMYFUNCTION("""COMPUTED_VALUE"""),231.32)</f>
        <v>231.32</v>
      </c>
      <c r="D712" s="1">
        <f ca="1">IFERROR(__xludf.DUMMYFUNCTION("""COMPUTED_VALUE"""),115.66)</f>
        <v>115.66</v>
      </c>
      <c r="E712" s="1">
        <f ca="1">IFERROR(__xludf.DUMMYFUNCTION("""COMPUTED_VALUE"""),12.9)</f>
        <v>12.9</v>
      </c>
      <c r="F712" s="1">
        <f ca="1">IFERROR(__xludf.DUMMYFUNCTION("""COMPUTED_VALUE"""),129.82)</f>
        <v>129.82</v>
      </c>
      <c r="G712" s="1">
        <f ca="1">IFERROR(__xludf.DUMMYFUNCTION("""COMPUTED_VALUE"""),94.82)</f>
        <v>94.82</v>
      </c>
      <c r="H712" s="1">
        <f ca="1">IFERROR(__xludf.DUMMYFUNCTION("""COMPUTED_VALUE"""),224.64)</f>
        <v>224.64</v>
      </c>
      <c r="I712" s="1">
        <f ca="1">IFERROR(__xludf.DUMMYFUNCTION("""COMPUTED_VALUE"""),179.07)</f>
        <v>179.07</v>
      </c>
      <c r="J712" s="1">
        <f ca="1">IFERROR(__xludf.DUMMYFUNCTION("""COMPUTED_VALUE"""),499.45)</f>
        <v>499.45</v>
      </c>
      <c r="K712" s="1">
        <f ca="1">IFERROR(__xludf.DUMMYFUNCTION("""COMPUTED_VALUE"""),46.12)</f>
        <v>46.12</v>
      </c>
      <c r="L712" s="1">
        <f ca="1">IFERROR(__xludf.DUMMYFUNCTION("""COMPUTED_VALUE"""),320.48)</f>
        <v>320.48</v>
      </c>
      <c r="M712" s="1">
        <f ca="1">IFERROR(__xludf.DUMMYFUNCTION("""COMPUTED_VALUE"""),298.62)</f>
        <v>298.62</v>
      </c>
      <c r="N712" s="1">
        <f ca="1">IFERROR(__xludf.DUMMYFUNCTION("""COMPUTED_VALUE"""),124.11)</f>
        <v>124.11</v>
      </c>
      <c r="O712" s="1">
        <f ca="1">IFERROR(__xludf.DUMMYFUNCTION("""COMPUTED_VALUE"""),203.33)</f>
        <v>203.33</v>
      </c>
      <c r="P712" s="1">
        <f ca="1">IFERROR(__xludf.DUMMYFUNCTION("""COMPUTED_VALUE"""),172.21)</f>
        <v>172.21</v>
      </c>
      <c r="Q712" s="1">
        <f ca="1">IFERROR(__xludf.DUMMYFUNCTION("""COMPUTED_VALUE"""),543.17)</f>
        <v>543.16999999999996</v>
      </c>
      <c r="R712" s="1">
        <f ca="1">IFERROR(__xludf.DUMMYFUNCTION("""COMPUTED_VALUE"""),107.14)</f>
        <v>107.14</v>
      </c>
      <c r="S712" s="1">
        <f ca="1">IFERROR(__xludf.DUMMYFUNCTION("""COMPUTED_VALUE"""),75.6)</f>
        <v>75.599999999999994</v>
      </c>
      <c r="T712" s="1">
        <f ca="1">IFERROR(__xludf.DUMMYFUNCTION("""COMPUTED_VALUE"""),47.05)</f>
        <v>47.05</v>
      </c>
      <c r="U712" s="1">
        <f ca="1">IFERROR(__xludf.DUMMYFUNCTION("""COMPUTED_VALUE"""),92.39)</f>
        <v>92.39</v>
      </c>
      <c r="V712" s="1">
        <f ca="1">IFERROR(__xludf.DUMMYFUNCTION("""COMPUTED_VALUE"""),196.96)</f>
        <v>196.96</v>
      </c>
      <c r="W712" s="1">
        <f ca="1">IFERROR(__xludf.DUMMYFUNCTION("""COMPUTED_VALUE"""),462.56)</f>
        <v>462.56</v>
      </c>
      <c r="X712" s="1">
        <f ca="1">IFERROR(__xludf.DUMMYFUNCTION("""COMPUTED_VALUE"""),484.09)</f>
        <v>484.09</v>
      </c>
      <c r="Y712" s="1">
        <f ca="1">IFERROR(__xludf.DUMMYFUNCTION("""COMPUTED_VALUE"""),60.84)</f>
        <v>60.84</v>
      </c>
      <c r="Z712" s="1">
        <f ca="1">IFERROR(__xludf.DUMMYFUNCTION("""COMPUTED_VALUE"""),335.69)</f>
        <v>335.69</v>
      </c>
      <c r="AA712" s="1">
        <f ca="1">IFERROR(__xludf.DUMMYFUNCTION("""COMPUTED_VALUE"""),46.06)</f>
        <v>46.06</v>
      </c>
      <c r="AB712" s="1">
        <f ca="1">IFERROR(__xludf.DUMMYFUNCTION("""COMPUTED_VALUE"""),85.89)</f>
        <v>85.89</v>
      </c>
      <c r="AC712" s="1">
        <f ca="1">IFERROR(__xludf.DUMMYFUNCTION("""COMPUTED_VALUE"""),59.73)</f>
        <v>59.73</v>
      </c>
    </row>
    <row r="713" spans="1:29" x14ac:dyDescent="0.25">
      <c r="A713" s="2">
        <f ca="1">IFERROR(__xludf.DUMMYFUNCTION("""COMPUTED_VALUE"""),44861.6666666666)</f>
        <v>44861.666666666599</v>
      </c>
      <c r="B713" s="1">
        <f ca="1">IFERROR(__xludf.DUMMYFUNCTION("""COMPUTED_VALUE"""),144.8)</f>
        <v>144.80000000000001</v>
      </c>
      <c r="C713" s="1">
        <f ca="1">IFERROR(__xludf.DUMMYFUNCTION("""COMPUTED_VALUE"""),226.75)</f>
        <v>226.75</v>
      </c>
      <c r="D713" s="1">
        <f ca="1">IFERROR(__xludf.DUMMYFUNCTION("""COMPUTED_VALUE"""),110.96)</f>
        <v>110.96</v>
      </c>
      <c r="E713" s="1">
        <f ca="1">IFERROR(__xludf.DUMMYFUNCTION("""COMPUTED_VALUE"""),13.18)</f>
        <v>13.18</v>
      </c>
      <c r="F713" s="1">
        <f ca="1">IFERROR(__xludf.DUMMYFUNCTION("""COMPUTED_VALUE"""),97.94)</f>
        <v>97.94</v>
      </c>
      <c r="G713" s="1">
        <f ca="1">IFERROR(__xludf.DUMMYFUNCTION("""COMPUTED_VALUE"""),92.6)</f>
        <v>92.6</v>
      </c>
      <c r="H713" s="1">
        <f ca="1">IFERROR(__xludf.DUMMYFUNCTION("""COMPUTED_VALUE"""),225.09)</f>
        <v>225.09</v>
      </c>
      <c r="I713" s="1">
        <f ca="1">IFERROR(__xludf.DUMMYFUNCTION("""COMPUTED_VALUE"""),178.88)</f>
        <v>178.88</v>
      </c>
      <c r="J713" s="1">
        <f ca="1">IFERROR(__xludf.DUMMYFUNCTION("""COMPUTED_VALUE"""),496.54)</f>
        <v>496.54</v>
      </c>
      <c r="K713" s="1">
        <f ca="1">IFERROR(__xludf.DUMMYFUNCTION("""COMPUTED_VALUE"""),45.54)</f>
        <v>45.54</v>
      </c>
      <c r="L713" s="1">
        <f ca="1">IFERROR(__xludf.DUMMYFUNCTION("""COMPUTED_VALUE"""),318.65)</f>
        <v>318.64999999999998</v>
      </c>
      <c r="M713" s="1">
        <f ca="1">IFERROR(__xludf.DUMMYFUNCTION("""COMPUTED_VALUE"""),296.94)</f>
        <v>296.94</v>
      </c>
      <c r="N713" s="1">
        <f ca="1">IFERROR(__xludf.DUMMYFUNCTION("""COMPUTED_VALUE"""),124.6)</f>
        <v>124.6</v>
      </c>
      <c r="O713" s="1">
        <f ca="1">IFERROR(__xludf.DUMMYFUNCTION("""COMPUTED_VALUE"""),204.29)</f>
        <v>204.29</v>
      </c>
      <c r="P713" s="1">
        <f ca="1">IFERROR(__xludf.DUMMYFUNCTION("""COMPUTED_VALUE"""),172.31)</f>
        <v>172.31</v>
      </c>
      <c r="Q713" s="1">
        <f ca="1">IFERROR(__xludf.DUMMYFUNCTION("""COMPUTED_VALUE"""),541.8)</f>
        <v>541.79999999999995</v>
      </c>
      <c r="R713" s="1">
        <f ca="1">IFERROR(__xludf.DUMMYFUNCTION("""COMPUTED_VALUE"""),107.55)</f>
        <v>107.55</v>
      </c>
      <c r="S713" s="1">
        <f ca="1">IFERROR(__xludf.DUMMYFUNCTION("""COMPUTED_VALUE"""),75.47)</f>
        <v>75.47</v>
      </c>
      <c r="T713" s="1">
        <f ca="1">IFERROR(__xludf.DUMMYFUNCTION("""COMPUTED_VALUE"""),46.91)</f>
        <v>46.91</v>
      </c>
      <c r="U713" s="1">
        <f ca="1">IFERROR(__xludf.DUMMYFUNCTION("""COMPUTED_VALUE"""),90.54)</f>
        <v>90.54</v>
      </c>
      <c r="V713" s="1">
        <f ca="1">IFERROR(__xludf.DUMMYFUNCTION("""COMPUTED_VALUE"""),212.14)</f>
        <v>212.14</v>
      </c>
      <c r="W713" s="1">
        <f ca="1">IFERROR(__xludf.DUMMYFUNCTION("""COMPUTED_VALUE"""),471.93)</f>
        <v>471.93</v>
      </c>
      <c r="X713" s="1">
        <f ca="1">IFERROR(__xludf.DUMMYFUNCTION("""COMPUTED_VALUE"""),474.41)</f>
        <v>474.41</v>
      </c>
      <c r="Y713" s="1">
        <f ca="1">IFERROR(__xludf.DUMMYFUNCTION("""COMPUTED_VALUE"""),60.95)</f>
        <v>60.95</v>
      </c>
      <c r="Z713" s="1">
        <f ca="1">IFERROR(__xludf.DUMMYFUNCTION("""COMPUTED_VALUE"""),337.18)</f>
        <v>337.18</v>
      </c>
      <c r="AA713" s="1">
        <f ca="1">IFERROR(__xludf.DUMMYFUNCTION("""COMPUTED_VALUE"""),45.74)</f>
        <v>45.74</v>
      </c>
      <c r="AB713" s="1">
        <f ca="1">IFERROR(__xludf.DUMMYFUNCTION("""COMPUTED_VALUE"""),85.28)</f>
        <v>85.28</v>
      </c>
      <c r="AC713" s="1">
        <f ca="1">IFERROR(__xludf.DUMMYFUNCTION("""COMPUTED_VALUE"""),58.6)</f>
        <v>58.6</v>
      </c>
    </row>
    <row r="714" spans="1:29" x14ac:dyDescent="0.25">
      <c r="A714" s="2">
        <f ca="1">IFERROR(__xludf.DUMMYFUNCTION("""COMPUTED_VALUE"""),44862.6666666666)</f>
        <v>44862.666666666599</v>
      </c>
      <c r="B714" s="1">
        <f ca="1">IFERROR(__xludf.DUMMYFUNCTION("""COMPUTED_VALUE"""),155.74)</f>
        <v>155.74</v>
      </c>
      <c r="C714" s="1">
        <f ca="1">IFERROR(__xludf.DUMMYFUNCTION("""COMPUTED_VALUE"""),235.87)</f>
        <v>235.87</v>
      </c>
      <c r="D714" s="1">
        <f ca="1">IFERROR(__xludf.DUMMYFUNCTION("""COMPUTED_VALUE"""),103.41)</f>
        <v>103.41</v>
      </c>
      <c r="E714" s="1">
        <f ca="1">IFERROR(__xludf.DUMMYFUNCTION("""COMPUTED_VALUE"""),13.83)</f>
        <v>13.83</v>
      </c>
      <c r="F714" s="1">
        <f ca="1">IFERROR(__xludf.DUMMYFUNCTION("""COMPUTED_VALUE"""),99.2)</f>
        <v>99.2</v>
      </c>
      <c r="G714" s="1">
        <f ca="1">IFERROR(__xludf.DUMMYFUNCTION("""COMPUTED_VALUE"""),96.58)</f>
        <v>96.58</v>
      </c>
      <c r="H714" s="1">
        <f ca="1">IFERROR(__xludf.DUMMYFUNCTION("""COMPUTED_VALUE"""),228.52)</f>
        <v>228.52</v>
      </c>
      <c r="I714" s="1">
        <f ca="1">IFERROR(__xludf.DUMMYFUNCTION("""COMPUTED_VALUE"""),182.23)</f>
        <v>182.23</v>
      </c>
      <c r="J714" s="1">
        <f ca="1">IFERROR(__xludf.DUMMYFUNCTION("""COMPUTED_VALUE"""),510.87)</f>
        <v>510.87</v>
      </c>
      <c r="K714" s="1">
        <f ca="1">IFERROR(__xludf.DUMMYFUNCTION("""COMPUTED_VALUE"""),47.29)</f>
        <v>47.29</v>
      </c>
      <c r="L714" s="1">
        <f ca="1">IFERROR(__xludf.DUMMYFUNCTION("""COMPUTED_VALUE"""),325.68)</f>
        <v>325.68</v>
      </c>
      <c r="M714" s="1">
        <f ca="1">IFERROR(__xludf.DUMMYFUNCTION("""COMPUTED_VALUE"""),295.72)</f>
        <v>295.72000000000003</v>
      </c>
      <c r="N714" s="1">
        <f ca="1">IFERROR(__xludf.DUMMYFUNCTION("""COMPUTED_VALUE"""),126.08)</f>
        <v>126.08</v>
      </c>
      <c r="O714" s="1">
        <f ca="1">IFERROR(__xludf.DUMMYFUNCTION("""COMPUTED_VALUE"""),209.34)</f>
        <v>209.34</v>
      </c>
      <c r="P714" s="1">
        <f ca="1">IFERROR(__xludf.DUMMYFUNCTION("""COMPUTED_VALUE"""),174.87)</f>
        <v>174.87</v>
      </c>
      <c r="Q714" s="1">
        <f ca="1">IFERROR(__xludf.DUMMYFUNCTION("""COMPUTED_VALUE"""),551.24)</f>
        <v>551.24</v>
      </c>
      <c r="R714" s="1">
        <f ca="1">IFERROR(__xludf.DUMMYFUNCTION("""COMPUTED_VALUE"""),110.7)</f>
        <v>110.7</v>
      </c>
      <c r="S714" s="1">
        <f ca="1">IFERROR(__xludf.DUMMYFUNCTION("""COMPUTED_VALUE"""),79.03)</f>
        <v>79.03</v>
      </c>
      <c r="T714" s="1">
        <f ca="1">IFERROR(__xludf.DUMMYFUNCTION("""COMPUTED_VALUE"""),47.5)</f>
        <v>47.5</v>
      </c>
      <c r="U714" s="1">
        <f ca="1">IFERROR(__xludf.DUMMYFUNCTION("""COMPUTED_VALUE"""),93.83)</f>
        <v>93.83</v>
      </c>
      <c r="V714" s="1">
        <f ca="1">IFERROR(__xludf.DUMMYFUNCTION("""COMPUTED_VALUE"""),219.34)</f>
        <v>219.34</v>
      </c>
      <c r="W714" s="1">
        <f ca="1">IFERROR(__xludf.DUMMYFUNCTION("""COMPUTED_VALUE"""),484.87)</f>
        <v>484.87</v>
      </c>
      <c r="X714" s="1">
        <f ca="1">IFERROR(__xludf.DUMMYFUNCTION("""COMPUTED_VALUE"""),489.18)</f>
        <v>489.18</v>
      </c>
      <c r="Y714" s="1">
        <f ca="1">IFERROR(__xludf.DUMMYFUNCTION("""COMPUTED_VALUE"""),62.01)</f>
        <v>62.01</v>
      </c>
      <c r="Z714" s="1">
        <f ca="1">IFERROR(__xludf.DUMMYFUNCTION("""COMPUTED_VALUE"""),341.82)</f>
        <v>341.82</v>
      </c>
      <c r="AA714" s="1">
        <f ca="1">IFERROR(__xludf.DUMMYFUNCTION("""COMPUTED_VALUE"""),47.43)</f>
        <v>47.43</v>
      </c>
      <c r="AB714" s="1">
        <f ca="1">IFERROR(__xludf.DUMMYFUNCTION("""COMPUTED_VALUE"""),87.1)</f>
        <v>87.1</v>
      </c>
      <c r="AC714" s="1">
        <f ca="1">IFERROR(__xludf.DUMMYFUNCTION("""COMPUTED_VALUE"""),62.01)</f>
        <v>62.01</v>
      </c>
    </row>
    <row r="715" spans="1:29" x14ac:dyDescent="0.25">
      <c r="A715" s="2">
        <f ca="1">IFERROR(__xludf.DUMMYFUNCTION("""COMPUTED_VALUE"""),44865.6666666666)</f>
        <v>44865.666666666599</v>
      </c>
      <c r="B715" s="1">
        <f ca="1">IFERROR(__xludf.DUMMYFUNCTION("""COMPUTED_VALUE"""),153.34)</f>
        <v>153.34</v>
      </c>
      <c r="C715" s="1">
        <f ca="1">IFERROR(__xludf.DUMMYFUNCTION("""COMPUTED_VALUE"""),232.13)</f>
        <v>232.13</v>
      </c>
      <c r="D715" s="1">
        <f ca="1">IFERROR(__xludf.DUMMYFUNCTION("""COMPUTED_VALUE"""),102.44)</f>
        <v>102.44</v>
      </c>
      <c r="E715" s="1">
        <f ca="1">IFERROR(__xludf.DUMMYFUNCTION("""COMPUTED_VALUE"""),13.5)</f>
        <v>13.5</v>
      </c>
      <c r="F715" s="1">
        <f ca="1">IFERROR(__xludf.DUMMYFUNCTION("""COMPUTED_VALUE"""),93.16)</f>
        <v>93.16</v>
      </c>
      <c r="G715" s="1">
        <f ca="1">IFERROR(__xludf.DUMMYFUNCTION("""COMPUTED_VALUE"""),94.66)</f>
        <v>94.66</v>
      </c>
      <c r="H715" s="1">
        <f ca="1">IFERROR(__xludf.DUMMYFUNCTION("""COMPUTED_VALUE"""),227.54)</f>
        <v>227.54</v>
      </c>
      <c r="I715" s="1">
        <f ca="1">IFERROR(__xludf.DUMMYFUNCTION("""COMPUTED_VALUE"""),181.58)</f>
        <v>181.58</v>
      </c>
      <c r="J715" s="1">
        <f ca="1">IFERROR(__xludf.DUMMYFUNCTION("""COMPUTED_VALUE"""),501.5)</f>
        <v>501.5</v>
      </c>
      <c r="K715" s="1">
        <f ca="1">IFERROR(__xludf.DUMMYFUNCTION("""COMPUTED_VALUE"""),47.01)</f>
        <v>47.01</v>
      </c>
      <c r="L715" s="1">
        <f ca="1">IFERROR(__xludf.DUMMYFUNCTION("""COMPUTED_VALUE"""),318.5)</f>
        <v>318.5</v>
      </c>
      <c r="M715" s="1">
        <f ca="1">IFERROR(__xludf.DUMMYFUNCTION("""COMPUTED_VALUE"""),291.88)</f>
        <v>291.88</v>
      </c>
      <c r="N715" s="1">
        <f ca="1">IFERROR(__xludf.DUMMYFUNCTION("""COMPUTED_VALUE"""),125.88)</f>
        <v>125.88</v>
      </c>
      <c r="O715" s="1">
        <f ca="1">IFERROR(__xludf.DUMMYFUNCTION("""COMPUTED_VALUE"""),207.16)</f>
        <v>207.16</v>
      </c>
      <c r="P715" s="1">
        <f ca="1">IFERROR(__xludf.DUMMYFUNCTION("""COMPUTED_VALUE"""),173.97)</f>
        <v>173.97</v>
      </c>
      <c r="Q715" s="1">
        <f ca="1">IFERROR(__xludf.DUMMYFUNCTION("""COMPUTED_VALUE"""),555.15)</f>
        <v>555.15</v>
      </c>
      <c r="R715" s="1">
        <f ca="1">IFERROR(__xludf.DUMMYFUNCTION("""COMPUTED_VALUE"""),110.81)</f>
        <v>110.81</v>
      </c>
      <c r="S715" s="1">
        <f ca="1">IFERROR(__xludf.DUMMYFUNCTION("""COMPUTED_VALUE"""),77.5)</f>
        <v>77.5</v>
      </c>
      <c r="T715" s="1">
        <f ca="1">IFERROR(__xludf.DUMMYFUNCTION("""COMPUTED_VALUE"""),47.44)</f>
        <v>47.44</v>
      </c>
      <c r="U715" s="1">
        <f ca="1">IFERROR(__xludf.DUMMYFUNCTION("""COMPUTED_VALUE"""),92.68)</f>
        <v>92.68</v>
      </c>
      <c r="V715" s="1">
        <f ca="1">IFERROR(__xludf.DUMMYFUNCTION("""COMPUTED_VALUE"""),216.46)</f>
        <v>216.46</v>
      </c>
      <c r="W715" s="1">
        <f ca="1">IFERROR(__xludf.DUMMYFUNCTION("""COMPUTED_VALUE"""),486.68)</f>
        <v>486.68</v>
      </c>
      <c r="X715" s="1">
        <f ca="1">IFERROR(__xludf.DUMMYFUNCTION("""COMPUTED_VALUE"""),472.42)</f>
        <v>472.42</v>
      </c>
      <c r="Y715" s="1">
        <f ca="1">IFERROR(__xludf.DUMMYFUNCTION("""COMPUTED_VALUE"""),61.55)</f>
        <v>61.55</v>
      </c>
      <c r="Z715" s="1">
        <f ca="1">IFERROR(__xludf.DUMMYFUNCTION("""COMPUTED_VALUE"""),344.51)</f>
        <v>344.51</v>
      </c>
      <c r="AA715" s="1">
        <f ca="1">IFERROR(__xludf.DUMMYFUNCTION("""COMPUTED_VALUE"""),46.55)</f>
        <v>46.55</v>
      </c>
      <c r="AB715" s="1">
        <f ca="1">IFERROR(__xludf.DUMMYFUNCTION("""COMPUTED_VALUE"""),86.59)</f>
        <v>86.59</v>
      </c>
      <c r="AC715" s="1">
        <f ca="1">IFERROR(__xludf.DUMMYFUNCTION("""COMPUTED_VALUE"""),60.06)</f>
        <v>60.06</v>
      </c>
    </row>
    <row r="716" spans="1:29" x14ac:dyDescent="0.25">
      <c r="A716" s="2">
        <f ca="1">IFERROR(__xludf.DUMMYFUNCTION("""COMPUTED_VALUE"""),44866.6666666666)</f>
        <v>44866.666666666599</v>
      </c>
      <c r="B716" s="1">
        <f ca="1">IFERROR(__xludf.DUMMYFUNCTION("""COMPUTED_VALUE"""),150.65)</f>
        <v>150.65</v>
      </c>
      <c r="C716" s="1">
        <f ca="1">IFERROR(__xludf.DUMMYFUNCTION("""COMPUTED_VALUE"""),228.17)</f>
        <v>228.17</v>
      </c>
      <c r="D716" s="1">
        <f ca="1">IFERROR(__xludf.DUMMYFUNCTION("""COMPUTED_VALUE"""),96.79)</f>
        <v>96.79</v>
      </c>
      <c r="E716" s="1">
        <f ca="1">IFERROR(__xludf.DUMMYFUNCTION("""COMPUTED_VALUE"""),13.54)</f>
        <v>13.54</v>
      </c>
      <c r="F716" s="1">
        <f ca="1">IFERROR(__xludf.DUMMYFUNCTION("""COMPUTED_VALUE"""),95.2)</f>
        <v>95.2</v>
      </c>
      <c r="G716" s="1">
        <f ca="1">IFERROR(__xludf.DUMMYFUNCTION("""COMPUTED_VALUE"""),90.5)</f>
        <v>90.5</v>
      </c>
      <c r="H716" s="1">
        <f ca="1">IFERROR(__xludf.DUMMYFUNCTION("""COMPUTED_VALUE"""),227.82)</f>
        <v>227.82</v>
      </c>
      <c r="I716" s="1">
        <f ca="1">IFERROR(__xludf.DUMMYFUNCTION("""COMPUTED_VALUE"""),180.76)</f>
        <v>180.76</v>
      </c>
      <c r="J716" s="1">
        <f ca="1">IFERROR(__xludf.DUMMYFUNCTION("""COMPUTED_VALUE"""),499.96)</f>
        <v>499.96</v>
      </c>
      <c r="K716" s="1">
        <f ca="1">IFERROR(__xludf.DUMMYFUNCTION("""COMPUTED_VALUE"""),46.79)</f>
        <v>46.79</v>
      </c>
      <c r="L716" s="1">
        <f ca="1">IFERROR(__xludf.DUMMYFUNCTION("""COMPUTED_VALUE"""),316.02)</f>
        <v>316.02</v>
      </c>
      <c r="M716" s="1">
        <f ca="1">IFERROR(__xludf.DUMMYFUNCTION("""COMPUTED_VALUE"""),286.75)</f>
        <v>286.75</v>
      </c>
      <c r="N716" s="1">
        <f ca="1">IFERROR(__xludf.DUMMYFUNCTION("""COMPUTED_VALUE"""),128.15)</f>
        <v>128.15</v>
      </c>
      <c r="O716" s="1">
        <f ca="1">IFERROR(__xludf.DUMMYFUNCTION("""COMPUTED_VALUE"""),206.93)</f>
        <v>206.93</v>
      </c>
      <c r="P716" s="1">
        <f ca="1">IFERROR(__xludf.DUMMYFUNCTION("""COMPUTED_VALUE"""),173.09)</f>
        <v>173.09</v>
      </c>
      <c r="Q716" s="1">
        <f ca="1">IFERROR(__xludf.DUMMYFUNCTION("""COMPUTED_VALUE"""),547.31)</f>
        <v>547.30999999999995</v>
      </c>
      <c r="R716" s="1">
        <f ca="1">IFERROR(__xludf.DUMMYFUNCTION("""COMPUTED_VALUE"""),111.91)</f>
        <v>111.91</v>
      </c>
      <c r="S716" s="1">
        <f ca="1">IFERROR(__xludf.DUMMYFUNCTION("""COMPUTED_VALUE"""),77.71)</f>
        <v>77.709999999999994</v>
      </c>
      <c r="T716" s="1">
        <f ca="1">IFERROR(__xludf.DUMMYFUNCTION("""COMPUTED_VALUE"""),47.23)</f>
        <v>47.23</v>
      </c>
      <c r="U716" s="1">
        <f ca="1">IFERROR(__xludf.DUMMYFUNCTION("""COMPUTED_VALUE"""),93.77)</f>
        <v>93.77</v>
      </c>
      <c r="V716" s="1">
        <f ca="1">IFERROR(__xludf.DUMMYFUNCTION("""COMPUTED_VALUE"""),218.5)</f>
        <v>218.5</v>
      </c>
      <c r="W716" s="1">
        <f ca="1">IFERROR(__xludf.DUMMYFUNCTION("""COMPUTED_VALUE"""),485.63)</f>
        <v>485.63</v>
      </c>
      <c r="X716" s="1">
        <f ca="1">IFERROR(__xludf.DUMMYFUNCTION("""COMPUTED_VALUE"""),475.38)</f>
        <v>475.38</v>
      </c>
      <c r="Y716" s="1">
        <f ca="1">IFERROR(__xludf.DUMMYFUNCTION("""COMPUTED_VALUE"""),61.58)</f>
        <v>61.58</v>
      </c>
      <c r="Z716" s="1">
        <f ca="1">IFERROR(__xludf.DUMMYFUNCTION("""COMPUTED_VALUE"""),348.58)</f>
        <v>348.58</v>
      </c>
      <c r="AA716" s="1">
        <f ca="1">IFERROR(__xludf.DUMMYFUNCTION("""COMPUTED_VALUE"""),48.01)</f>
        <v>48.01</v>
      </c>
      <c r="AB716" s="1">
        <f ca="1">IFERROR(__xludf.DUMMYFUNCTION("""COMPUTED_VALUE"""),87.1)</f>
        <v>87.1</v>
      </c>
      <c r="AC716" s="1">
        <f ca="1">IFERROR(__xludf.DUMMYFUNCTION("""COMPUTED_VALUE"""),59.66)</f>
        <v>59.66</v>
      </c>
    </row>
    <row r="717" spans="1:29" x14ac:dyDescent="0.25">
      <c r="A717" s="2">
        <f ca="1">IFERROR(__xludf.DUMMYFUNCTION("""COMPUTED_VALUE"""),44867.6666666666)</f>
        <v>44867.666666666599</v>
      </c>
      <c r="B717" s="1">
        <f ca="1">IFERROR(__xludf.DUMMYFUNCTION("""COMPUTED_VALUE"""),145.03)</f>
        <v>145.03</v>
      </c>
      <c r="C717" s="1">
        <f ca="1">IFERROR(__xludf.DUMMYFUNCTION("""COMPUTED_VALUE"""),220.1)</f>
        <v>220.1</v>
      </c>
      <c r="D717" s="1">
        <f ca="1">IFERROR(__xludf.DUMMYFUNCTION("""COMPUTED_VALUE"""),92.12)</f>
        <v>92.12</v>
      </c>
      <c r="E717" s="1">
        <f ca="1">IFERROR(__xludf.DUMMYFUNCTION("""COMPUTED_VALUE"""),13.22)</f>
        <v>13.22</v>
      </c>
      <c r="F717" s="1">
        <f ca="1">IFERROR(__xludf.DUMMYFUNCTION("""COMPUTED_VALUE"""),90.54)</f>
        <v>90.54</v>
      </c>
      <c r="G717" s="1">
        <f ca="1">IFERROR(__xludf.DUMMYFUNCTION("""COMPUTED_VALUE"""),87.07)</f>
        <v>87.07</v>
      </c>
      <c r="H717" s="1">
        <f ca="1">IFERROR(__xludf.DUMMYFUNCTION("""COMPUTED_VALUE"""),214.98)</f>
        <v>214.98</v>
      </c>
      <c r="I717" s="1">
        <f ca="1">IFERROR(__xludf.DUMMYFUNCTION("""COMPUTED_VALUE"""),178.24)</f>
        <v>178.24</v>
      </c>
      <c r="J717" s="1">
        <f ca="1">IFERROR(__xludf.DUMMYFUNCTION("""COMPUTED_VALUE"""),483.51)</f>
        <v>483.51</v>
      </c>
      <c r="K717" s="1">
        <f ca="1">IFERROR(__xludf.DUMMYFUNCTION("""COMPUTED_VALUE"""),45.6)</f>
        <v>45.6</v>
      </c>
      <c r="L717" s="1">
        <f ca="1">IFERROR(__xludf.DUMMYFUNCTION("""COMPUTED_VALUE"""),301.22)</f>
        <v>301.22000000000003</v>
      </c>
      <c r="M717" s="1">
        <f ca="1">IFERROR(__xludf.DUMMYFUNCTION("""COMPUTED_VALUE"""),273)</f>
        <v>273</v>
      </c>
      <c r="N717" s="1">
        <f ca="1">IFERROR(__xludf.DUMMYFUNCTION("""COMPUTED_VALUE"""),126.97)</f>
        <v>126.97</v>
      </c>
      <c r="O717" s="1">
        <f ca="1">IFERROR(__xludf.DUMMYFUNCTION("""COMPUTED_VALUE"""),200.95)</f>
        <v>200.95</v>
      </c>
      <c r="P717" s="1">
        <f ca="1">IFERROR(__xludf.DUMMYFUNCTION("""COMPUTED_VALUE"""),170.43)</f>
        <v>170.43</v>
      </c>
      <c r="Q717" s="1">
        <f ca="1">IFERROR(__xludf.DUMMYFUNCTION("""COMPUTED_VALUE"""),543.43)</f>
        <v>543.42999999999995</v>
      </c>
      <c r="R717" s="1">
        <f ca="1">IFERROR(__xludf.DUMMYFUNCTION("""COMPUTED_VALUE"""),109.61)</f>
        <v>109.61</v>
      </c>
      <c r="S717" s="1">
        <f ca="1">IFERROR(__xludf.DUMMYFUNCTION("""COMPUTED_VALUE"""),77.28)</f>
        <v>77.28</v>
      </c>
      <c r="T717" s="1">
        <f ca="1">IFERROR(__xludf.DUMMYFUNCTION("""COMPUTED_VALUE"""),46.92)</f>
        <v>46.92</v>
      </c>
      <c r="U717" s="1">
        <f ca="1">IFERROR(__xludf.DUMMYFUNCTION("""COMPUTED_VALUE"""),90.3)</f>
        <v>90.3</v>
      </c>
      <c r="V717" s="1">
        <f ca="1">IFERROR(__xludf.DUMMYFUNCTION("""COMPUTED_VALUE"""),214.54)</f>
        <v>214.54</v>
      </c>
      <c r="W717" s="1">
        <f ca="1">IFERROR(__xludf.DUMMYFUNCTION("""COMPUTED_VALUE"""),482.06)</f>
        <v>482.06</v>
      </c>
      <c r="X717" s="1">
        <f ca="1">IFERROR(__xludf.DUMMYFUNCTION("""COMPUTED_VALUE"""),446.33)</f>
        <v>446.33</v>
      </c>
      <c r="Y717" s="1">
        <f ca="1">IFERROR(__xludf.DUMMYFUNCTION("""COMPUTED_VALUE"""),60.52)</f>
        <v>60.52</v>
      </c>
      <c r="Z717" s="1">
        <f ca="1">IFERROR(__xludf.DUMMYFUNCTION("""COMPUTED_VALUE"""),349.79)</f>
        <v>349.79</v>
      </c>
      <c r="AA717" s="1">
        <f ca="1">IFERROR(__xludf.DUMMYFUNCTION("""COMPUTED_VALUE"""),47.07)</f>
        <v>47.07</v>
      </c>
      <c r="AB717" s="1">
        <f ca="1">IFERROR(__xludf.DUMMYFUNCTION("""COMPUTED_VALUE"""),84.58)</f>
        <v>84.58</v>
      </c>
      <c r="AC717" s="1">
        <f ca="1">IFERROR(__xludf.DUMMYFUNCTION("""COMPUTED_VALUE"""),58.63)</f>
        <v>58.63</v>
      </c>
    </row>
    <row r="718" spans="1:29" x14ac:dyDescent="0.25">
      <c r="A718" s="2">
        <f ca="1">IFERROR(__xludf.DUMMYFUNCTION("""COMPUTED_VALUE"""),44868.6666666666)</f>
        <v>44868.666666666599</v>
      </c>
      <c r="B718" s="1">
        <f ca="1">IFERROR(__xludf.DUMMYFUNCTION("""COMPUTED_VALUE"""),138.88)</f>
        <v>138.88</v>
      </c>
      <c r="C718" s="1">
        <f ca="1">IFERROR(__xludf.DUMMYFUNCTION("""COMPUTED_VALUE"""),214.25)</f>
        <v>214.25</v>
      </c>
      <c r="D718" s="1">
        <f ca="1">IFERROR(__xludf.DUMMYFUNCTION("""COMPUTED_VALUE"""),89.3)</f>
        <v>89.3</v>
      </c>
      <c r="E718" s="1">
        <f ca="1">IFERROR(__xludf.DUMMYFUNCTION("""COMPUTED_VALUE"""),13.42)</f>
        <v>13.42</v>
      </c>
      <c r="F718" s="1">
        <f ca="1">IFERROR(__xludf.DUMMYFUNCTION("""COMPUTED_VALUE"""),88.91)</f>
        <v>88.91</v>
      </c>
      <c r="G718" s="1">
        <f ca="1">IFERROR(__xludf.DUMMYFUNCTION("""COMPUTED_VALUE"""),83.49)</f>
        <v>83.49</v>
      </c>
      <c r="H718" s="1">
        <f ca="1">IFERROR(__xludf.DUMMYFUNCTION("""COMPUTED_VALUE"""),215.31)</f>
        <v>215.31</v>
      </c>
      <c r="I718" s="1">
        <f ca="1">IFERROR(__xludf.DUMMYFUNCTION("""COMPUTED_VALUE"""),177.78)</f>
        <v>177.78</v>
      </c>
      <c r="J718" s="1">
        <f ca="1">IFERROR(__xludf.DUMMYFUNCTION("""COMPUTED_VALUE"""),486.29)</f>
        <v>486.29</v>
      </c>
      <c r="K718" s="1">
        <f ca="1">IFERROR(__xludf.DUMMYFUNCTION("""COMPUTED_VALUE"""),44.41)</f>
        <v>44.41</v>
      </c>
      <c r="L718" s="1">
        <f ca="1">IFERROR(__xludf.DUMMYFUNCTION("""COMPUTED_VALUE"""),285.93)</f>
        <v>285.93</v>
      </c>
      <c r="M718" s="1">
        <f ca="1">IFERROR(__xludf.DUMMYFUNCTION("""COMPUTED_VALUE"""),269.06)</f>
        <v>269.06</v>
      </c>
      <c r="N718" s="1">
        <f ca="1">IFERROR(__xludf.DUMMYFUNCTION("""COMPUTED_VALUE"""),127.2)</f>
        <v>127.2</v>
      </c>
      <c r="O718" s="1">
        <f ca="1">IFERROR(__xludf.DUMMYFUNCTION("""COMPUTED_VALUE"""),194.75)</f>
        <v>194.75</v>
      </c>
      <c r="P718" s="1">
        <f ca="1">IFERROR(__xludf.DUMMYFUNCTION("""COMPUTED_VALUE"""),170.72)</f>
        <v>170.72</v>
      </c>
      <c r="Q718" s="1">
        <f ca="1">IFERROR(__xludf.DUMMYFUNCTION("""COMPUTED_VALUE"""),543.61)</f>
        <v>543.61</v>
      </c>
      <c r="R718" s="1">
        <f ca="1">IFERROR(__xludf.DUMMYFUNCTION("""COMPUTED_VALUE"""),111.1)</f>
        <v>111.1</v>
      </c>
      <c r="S718" s="1">
        <f ca="1">IFERROR(__xludf.DUMMYFUNCTION("""COMPUTED_VALUE"""),78.18)</f>
        <v>78.180000000000007</v>
      </c>
      <c r="T718" s="1">
        <f ca="1">IFERROR(__xludf.DUMMYFUNCTION("""COMPUTED_VALUE"""),46.91)</f>
        <v>46.91</v>
      </c>
      <c r="U718" s="1">
        <f ca="1">IFERROR(__xludf.DUMMYFUNCTION("""COMPUTED_VALUE"""),90.4)</f>
        <v>90.4</v>
      </c>
      <c r="V718" s="1">
        <f ca="1">IFERROR(__xludf.DUMMYFUNCTION("""COMPUTED_VALUE"""),219.26)</f>
        <v>219.26</v>
      </c>
      <c r="W718" s="1">
        <f ca="1">IFERROR(__xludf.DUMMYFUNCTION("""COMPUTED_VALUE"""),484.82)</f>
        <v>484.82</v>
      </c>
      <c r="X718" s="1">
        <f ca="1">IFERROR(__xludf.DUMMYFUNCTION("""COMPUTED_VALUE"""),439.92)</f>
        <v>439.92</v>
      </c>
      <c r="Y718" s="1">
        <f ca="1">IFERROR(__xludf.DUMMYFUNCTION("""COMPUTED_VALUE"""),60.28)</f>
        <v>60.28</v>
      </c>
      <c r="Z718" s="1">
        <f ca="1">IFERROR(__xludf.DUMMYFUNCTION("""COMPUTED_VALUE"""),348.87)</f>
        <v>348.87</v>
      </c>
      <c r="AA718" s="1">
        <f ca="1">IFERROR(__xludf.DUMMYFUNCTION("""COMPUTED_VALUE"""),46.57)</f>
        <v>46.57</v>
      </c>
      <c r="AB718" s="1">
        <f ca="1">IFERROR(__xludf.DUMMYFUNCTION("""COMPUTED_VALUE"""),84.68)</f>
        <v>84.68</v>
      </c>
      <c r="AC718" s="1">
        <f ca="1">IFERROR(__xludf.DUMMYFUNCTION("""COMPUTED_VALUE"""),60.11)</f>
        <v>60.11</v>
      </c>
    </row>
    <row r="719" spans="1:29" x14ac:dyDescent="0.25">
      <c r="A719" s="2">
        <f ca="1">IFERROR(__xludf.DUMMYFUNCTION("""COMPUTED_VALUE"""),44869.6666666666)</f>
        <v>44869.666666666599</v>
      </c>
      <c r="B719" s="1">
        <f ca="1">IFERROR(__xludf.DUMMYFUNCTION("""COMPUTED_VALUE"""),138.38)</f>
        <v>138.38</v>
      </c>
      <c r="C719" s="1">
        <f ca="1">IFERROR(__xludf.DUMMYFUNCTION("""COMPUTED_VALUE"""),221.39)</f>
        <v>221.39</v>
      </c>
      <c r="D719" s="1">
        <f ca="1">IFERROR(__xludf.DUMMYFUNCTION("""COMPUTED_VALUE"""),90.98)</f>
        <v>90.98</v>
      </c>
      <c r="E719" s="1">
        <f ca="1">IFERROR(__xludf.DUMMYFUNCTION("""COMPUTED_VALUE"""),14.16)</f>
        <v>14.16</v>
      </c>
      <c r="F719" s="1">
        <f ca="1">IFERROR(__xludf.DUMMYFUNCTION("""COMPUTED_VALUE"""),90.79)</f>
        <v>90.79</v>
      </c>
      <c r="G719" s="1">
        <f ca="1">IFERROR(__xludf.DUMMYFUNCTION("""COMPUTED_VALUE"""),86.7)</f>
        <v>86.7</v>
      </c>
      <c r="H719" s="1">
        <f ca="1">IFERROR(__xludf.DUMMYFUNCTION("""COMPUTED_VALUE"""),207.47)</f>
        <v>207.47</v>
      </c>
      <c r="I719" s="1">
        <f ca="1">IFERROR(__xludf.DUMMYFUNCTION("""COMPUTED_VALUE"""),178.78)</f>
        <v>178.78</v>
      </c>
      <c r="J719" s="1">
        <f ca="1">IFERROR(__xludf.DUMMYFUNCTION("""COMPUTED_VALUE"""),486.41)</f>
        <v>486.41</v>
      </c>
      <c r="K719" s="1">
        <f ca="1">IFERROR(__xludf.DUMMYFUNCTION("""COMPUTED_VALUE"""),46.53)</f>
        <v>46.53</v>
      </c>
      <c r="L719" s="1">
        <f ca="1">IFERROR(__xludf.DUMMYFUNCTION("""COMPUTED_VALUE"""),285.75)</f>
        <v>285.75</v>
      </c>
      <c r="M719" s="1">
        <f ca="1">IFERROR(__xludf.DUMMYFUNCTION("""COMPUTED_VALUE"""),260.79)</f>
        <v>260.79000000000002</v>
      </c>
      <c r="N719" s="1">
        <f ca="1">IFERROR(__xludf.DUMMYFUNCTION("""COMPUTED_VALUE"""),130.68)</f>
        <v>130.68</v>
      </c>
      <c r="O719" s="1">
        <f ca="1">IFERROR(__xludf.DUMMYFUNCTION("""COMPUTED_VALUE"""),196.98)</f>
        <v>196.98</v>
      </c>
      <c r="P719" s="1">
        <f ca="1">IFERROR(__xludf.DUMMYFUNCTION("""COMPUTED_VALUE"""),171.48)</f>
        <v>171.48</v>
      </c>
      <c r="Q719" s="1">
        <f ca="1">IFERROR(__xludf.DUMMYFUNCTION("""COMPUTED_VALUE"""),538.17)</f>
        <v>538.16999999999996</v>
      </c>
      <c r="R719" s="1">
        <f ca="1">IFERROR(__xludf.DUMMYFUNCTION("""COMPUTED_VALUE"""),112.31)</f>
        <v>112.31</v>
      </c>
      <c r="S719" s="1">
        <f ca="1">IFERROR(__xludf.DUMMYFUNCTION("""COMPUTED_VALUE"""),78.8)</f>
        <v>78.8</v>
      </c>
      <c r="T719" s="1">
        <f ca="1">IFERROR(__xludf.DUMMYFUNCTION("""COMPUTED_VALUE"""),46.99)</f>
        <v>46.99</v>
      </c>
      <c r="U719" s="1">
        <f ca="1">IFERROR(__xludf.DUMMYFUNCTION("""COMPUTED_VALUE"""),95.79)</f>
        <v>95.79</v>
      </c>
      <c r="V719" s="1">
        <f ca="1">IFERROR(__xludf.DUMMYFUNCTION("""COMPUTED_VALUE"""),227.85)</f>
        <v>227.85</v>
      </c>
      <c r="W719" s="1">
        <f ca="1">IFERROR(__xludf.DUMMYFUNCTION("""COMPUTED_VALUE"""),481.67)</f>
        <v>481.67</v>
      </c>
      <c r="X719" s="1">
        <f ca="1">IFERROR(__xludf.DUMMYFUNCTION("""COMPUTED_VALUE"""),468.76)</f>
        <v>468.76</v>
      </c>
      <c r="Y719" s="1">
        <f ca="1">IFERROR(__xludf.DUMMYFUNCTION("""COMPUTED_VALUE"""),62.48)</f>
        <v>62.48</v>
      </c>
      <c r="Z719" s="1">
        <f ca="1">IFERROR(__xludf.DUMMYFUNCTION("""COMPUTED_VALUE"""),357.91)</f>
        <v>357.91</v>
      </c>
      <c r="AA719" s="1">
        <f ca="1">IFERROR(__xludf.DUMMYFUNCTION("""COMPUTED_VALUE"""),47.22)</f>
        <v>47.22</v>
      </c>
      <c r="AB719" s="1">
        <f ca="1">IFERROR(__xludf.DUMMYFUNCTION("""COMPUTED_VALUE"""),91.86)</f>
        <v>91.86</v>
      </c>
      <c r="AC719" s="1">
        <f ca="1">IFERROR(__xludf.DUMMYFUNCTION("""COMPUTED_VALUE"""),62.19)</f>
        <v>62.19</v>
      </c>
    </row>
    <row r="720" spans="1:29" x14ac:dyDescent="0.25">
      <c r="A720" s="2">
        <f ca="1">IFERROR(__xludf.DUMMYFUNCTION("""COMPUTED_VALUE"""),44872.6666666666)</f>
        <v>44872.666666666599</v>
      </c>
      <c r="B720" s="1">
        <f ca="1">IFERROR(__xludf.DUMMYFUNCTION("""COMPUTED_VALUE"""),138.92)</f>
        <v>138.91999999999999</v>
      </c>
      <c r="C720" s="1">
        <f ca="1">IFERROR(__xludf.DUMMYFUNCTION("""COMPUTED_VALUE"""),227.87)</f>
        <v>227.87</v>
      </c>
      <c r="D720" s="1">
        <f ca="1">IFERROR(__xludf.DUMMYFUNCTION("""COMPUTED_VALUE"""),90.53)</f>
        <v>90.53</v>
      </c>
      <c r="E720" s="1">
        <f ca="1">IFERROR(__xludf.DUMMYFUNCTION("""COMPUTED_VALUE"""),14.3)</f>
        <v>14.3</v>
      </c>
      <c r="F720" s="1">
        <f ca="1">IFERROR(__xludf.DUMMYFUNCTION("""COMPUTED_VALUE"""),96.72)</f>
        <v>96.72</v>
      </c>
      <c r="G720" s="1">
        <f ca="1">IFERROR(__xludf.DUMMYFUNCTION("""COMPUTED_VALUE"""),88.65)</f>
        <v>88.65</v>
      </c>
      <c r="H720" s="1">
        <f ca="1">IFERROR(__xludf.DUMMYFUNCTION("""COMPUTED_VALUE"""),197.08)</f>
        <v>197.08</v>
      </c>
      <c r="I720" s="1">
        <f ca="1">IFERROR(__xludf.DUMMYFUNCTION("""COMPUTED_VALUE"""),180.21)</f>
        <v>180.21</v>
      </c>
      <c r="J720" s="1">
        <f ca="1">IFERROR(__xludf.DUMMYFUNCTION("""COMPUTED_VALUE"""),488.55)</f>
        <v>488.55</v>
      </c>
      <c r="K720" s="1">
        <f ca="1">IFERROR(__xludf.DUMMYFUNCTION("""COMPUTED_VALUE"""),47.52)</f>
        <v>47.52</v>
      </c>
      <c r="L720" s="1">
        <f ca="1">IFERROR(__xludf.DUMMYFUNCTION("""COMPUTED_VALUE"""),299.54)</f>
        <v>299.54000000000002</v>
      </c>
      <c r="M720" s="1">
        <f ca="1">IFERROR(__xludf.DUMMYFUNCTION("""COMPUTED_VALUE"""),258.6)</f>
        <v>258.60000000000002</v>
      </c>
      <c r="N720" s="1">
        <f ca="1">IFERROR(__xludf.DUMMYFUNCTION("""COMPUTED_VALUE"""),131.37)</f>
        <v>131.37</v>
      </c>
      <c r="O720" s="1">
        <f ca="1">IFERROR(__xludf.DUMMYFUNCTION("""COMPUTED_VALUE"""),200.1)</f>
        <v>200.1</v>
      </c>
      <c r="P720" s="1">
        <f ca="1">IFERROR(__xludf.DUMMYFUNCTION("""COMPUTED_VALUE"""),172.98)</f>
        <v>172.98</v>
      </c>
      <c r="Q720" s="1">
        <f ca="1">IFERROR(__xludf.DUMMYFUNCTION("""COMPUTED_VALUE"""),545.02)</f>
        <v>545.02</v>
      </c>
      <c r="R720" s="1">
        <f ca="1">IFERROR(__xludf.DUMMYFUNCTION("""COMPUTED_VALUE"""),113.64)</f>
        <v>113.64</v>
      </c>
      <c r="S720" s="1">
        <f ca="1">IFERROR(__xludf.DUMMYFUNCTION("""COMPUTED_VALUE"""),77.29)</f>
        <v>77.290000000000006</v>
      </c>
      <c r="T720" s="1">
        <f ca="1">IFERROR(__xludf.DUMMYFUNCTION("""COMPUTED_VALUE"""),47.48)</f>
        <v>47.48</v>
      </c>
      <c r="U720" s="1">
        <f ca="1">IFERROR(__xludf.DUMMYFUNCTION("""COMPUTED_VALUE"""),93.44)</f>
        <v>93.44</v>
      </c>
      <c r="V720" s="1">
        <f ca="1">IFERROR(__xludf.DUMMYFUNCTION("""COMPUTED_VALUE"""),228.61)</f>
        <v>228.61</v>
      </c>
      <c r="W720" s="1">
        <f ca="1">IFERROR(__xludf.DUMMYFUNCTION("""COMPUTED_VALUE"""),488.63)</f>
        <v>488.63</v>
      </c>
      <c r="X720" s="1">
        <f ca="1">IFERROR(__xludf.DUMMYFUNCTION("""COMPUTED_VALUE"""),483.39)</f>
        <v>483.39</v>
      </c>
      <c r="Y720" s="1">
        <f ca="1">IFERROR(__xludf.DUMMYFUNCTION("""COMPUTED_VALUE"""),62.76)</f>
        <v>62.76</v>
      </c>
      <c r="Z720" s="1">
        <f ca="1">IFERROR(__xludf.DUMMYFUNCTION("""COMPUTED_VALUE"""),362.56)</f>
        <v>362.56</v>
      </c>
      <c r="AA720" s="1">
        <f ca="1">IFERROR(__xludf.DUMMYFUNCTION("""COMPUTED_VALUE"""),47.09)</f>
        <v>47.09</v>
      </c>
      <c r="AB720" s="1">
        <f ca="1">IFERROR(__xludf.DUMMYFUNCTION("""COMPUTED_VALUE"""),90.45)</f>
        <v>90.45</v>
      </c>
      <c r="AC720" s="1">
        <f ca="1">IFERROR(__xludf.DUMMYFUNCTION("""COMPUTED_VALUE"""),63.08)</f>
        <v>63.08</v>
      </c>
    </row>
    <row r="721" spans="1:29" x14ac:dyDescent="0.25">
      <c r="A721" s="2">
        <f ca="1">IFERROR(__xludf.DUMMYFUNCTION("""COMPUTED_VALUE"""),44873.6666666666)</f>
        <v>44873.666666666599</v>
      </c>
      <c r="B721" s="1">
        <f ca="1">IFERROR(__xludf.DUMMYFUNCTION("""COMPUTED_VALUE"""),139.5)</f>
        <v>139.5</v>
      </c>
      <c r="C721" s="1">
        <f ca="1">IFERROR(__xludf.DUMMYFUNCTION("""COMPUTED_VALUE"""),228.87)</f>
        <v>228.87</v>
      </c>
      <c r="D721" s="1">
        <f ca="1">IFERROR(__xludf.DUMMYFUNCTION("""COMPUTED_VALUE"""),89.98)</f>
        <v>89.98</v>
      </c>
      <c r="E721" s="1">
        <f ca="1">IFERROR(__xludf.DUMMYFUNCTION("""COMPUTED_VALUE"""),14.6)</f>
        <v>14.6</v>
      </c>
      <c r="F721" s="1">
        <f ca="1">IFERROR(__xludf.DUMMYFUNCTION("""COMPUTED_VALUE"""),96.47)</f>
        <v>96.47</v>
      </c>
      <c r="G721" s="1">
        <f ca="1">IFERROR(__xludf.DUMMYFUNCTION("""COMPUTED_VALUE"""),88.91)</f>
        <v>88.91</v>
      </c>
      <c r="H721" s="1">
        <f ca="1">IFERROR(__xludf.DUMMYFUNCTION("""COMPUTED_VALUE"""),191.3)</f>
        <v>191.3</v>
      </c>
      <c r="I721" s="1">
        <f ca="1">IFERROR(__xludf.DUMMYFUNCTION("""COMPUTED_VALUE"""),180.71)</f>
        <v>180.71</v>
      </c>
      <c r="J721" s="1">
        <f ca="1">IFERROR(__xludf.DUMMYFUNCTION("""COMPUTED_VALUE"""),492.76)</f>
        <v>492.76</v>
      </c>
      <c r="K721" s="1">
        <f ca="1">IFERROR(__xludf.DUMMYFUNCTION("""COMPUTED_VALUE"""),48.21)</f>
        <v>48.21</v>
      </c>
      <c r="L721" s="1">
        <f ca="1">IFERROR(__xludf.DUMMYFUNCTION("""COMPUTED_VALUE"""),302.17)</f>
        <v>302.17</v>
      </c>
      <c r="M721" s="1">
        <f ca="1">IFERROR(__xludf.DUMMYFUNCTION("""COMPUTED_VALUE"""),263.46)</f>
        <v>263.45999999999998</v>
      </c>
      <c r="N721" s="1">
        <f ca="1">IFERROR(__xludf.DUMMYFUNCTION("""COMPUTED_VALUE"""),131.45)</f>
        <v>131.44999999999999</v>
      </c>
      <c r="O721" s="1">
        <f ca="1">IFERROR(__xludf.DUMMYFUNCTION("""COMPUTED_VALUE"""),201.78)</f>
        <v>201.78</v>
      </c>
      <c r="P721" s="1">
        <f ca="1">IFERROR(__xludf.DUMMYFUNCTION("""COMPUTED_VALUE"""),173.84)</f>
        <v>173.84</v>
      </c>
      <c r="Q721" s="1">
        <f ca="1">IFERROR(__xludf.DUMMYFUNCTION("""COMPUTED_VALUE"""),553.05)</f>
        <v>553.04999999999995</v>
      </c>
      <c r="R721" s="1">
        <f ca="1">IFERROR(__xludf.DUMMYFUNCTION("""COMPUTED_VALUE"""),114)</f>
        <v>114</v>
      </c>
      <c r="S721" s="1">
        <f ca="1">IFERROR(__xludf.DUMMYFUNCTION("""COMPUTED_VALUE"""),78.27)</f>
        <v>78.27</v>
      </c>
      <c r="T721" s="1">
        <f ca="1">IFERROR(__xludf.DUMMYFUNCTION("""COMPUTED_VALUE"""),47.6)</f>
        <v>47.6</v>
      </c>
      <c r="U721" s="1">
        <f ca="1">IFERROR(__xludf.DUMMYFUNCTION("""COMPUTED_VALUE"""),93.75)</f>
        <v>93.75</v>
      </c>
      <c r="V721" s="1">
        <f ca="1">IFERROR(__xludf.DUMMYFUNCTION("""COMPUTED_VALUE"""),229.81)</f>
        <v>229.81</v>
      </c>
      <c r="W721" s="1">
        <f ca="1">IFERROR(__xludf.DUMMYFUNCTION("""COMPUTED_VALUE"""),494.12)</f>
        <v>494.12</v>
      </c>
      <c r="X721" s="1">
        <f ca="1">IFERROR(__xludf.DUMMYFUNCTION("""COMPUTED_VALUE"""),503.59)</f>
        <v>503.59</v>
      </c>
      <c r="Y721" s="1">
        <f ca="1">IFERROR(__xludf.DUMMYFUNCTION("""COMPUTED_VALUE"""),65.02)</f>
        <v>65.02</v>
      </c>
      <c r="Z721" s="1">
        <f ca="1">IFERROR(__xludf.DUMMYFUNCTION("""COMPUTED_VALUE"""),364.02)</f>
        <v>364.02</v>
      </c>
      <c r="AA721" s="1">
        <f ca="1">IFERROR(__xludf.DUMMYFUNCTION("""COMPUTED_VALUE"""),47.35)</f>
        <v>47.35</v>
      </c>
      <c r="AB721" s="1">
        <f ca="1">IFERROR(__xludf.DUMMYFUNCTION("""COMPUTED_VALUE"""),92.75)</f>
        <v>92.75</v>
      </c>
      <c r="AC721" s="1">
        <f ca="1">IFERROR(__xludf.DUMMYFUNCTION("""COMPUTED_VALUE"""),63.85)</f>
        <v>63.85</v>
      </c>
    </row>
    <row r="722" spans="1:29" x14ac:dyDescent="0.25">
      <c r="A722" s="2">
        <f ca="1">IFERROR(__xludf.DUMMYFUNCTION("""COMPUTED_VALUE"""),44874.6666666666)</f>
        <v>44874.666666666599</v>
      </c>
      <c r="B722" s="1">
        <f ca="1">IFERROR(__xludf.DUMMYFUNCTION("""COMPUTED_VALUE"""),134.87)</f>
        <v>134.87</v>
      </c>
      <c r="C722" s="1">
        <f ca="1">IFERROR(__xludf.DUMMYFUNCTION("""COMPUTED_VALUE"""),224.51)</f>
        <v>224.51</v>
      </c>
      <c r="D722" s="1">
        <f ca="1">IFERROR(__xludf.DUMMYFUNCTION("""COMPUTED_VALUE"""),86.14)</f>
        <v>86.14</v>
      </c>
      <c r="E722" s="1">
        <f ca="1">IFERROR(__xludf.DUMMYFUNCTION("""COMPUTED_VALUE"""),13.78)</f>
        <v>13.78</v>
      </c>
      <c r="F722" s="1">
        <f ca="1">IFERROR(__xludf.DUMMYFUNCTION("""COMPUTED_VALUE"""),101.47)</f>
        <v>101.47</v>
      </c>
      <c r="G722" s="1">
        <f ca="1">IFERROR(__xludf.DUMMYFUNCTION("""COMPUTED_VALUE"""),87.4)</f>
        <v>87.4</v>
      </c>
      <c r="H722" s="1">
        <f ca="1">IFERROR(__xludf.DUMMYFUNCTION("""COMPUTED_VALUE"""),177.59)</f>
        <v>177.59</v>
      </c>
      <c r="I722" s="1">
        <f ca="1">IFERROR(__xludf.DUMMYFUNCTION("""COMPUTED_VALUE"""),178.55)</f>
        <v>178.55</v>
      </c>
      <c r="J722" s="1">
        <f ca="1">IFERROR(__xludf.DUMMYFUNCTION("""COMPUTED_VALUE"""),489.97)</f>
        <v>489.97</v>
      </c>
      <c r="K722" s="1">
        <f ca="1">IFERROR(__xludf.DUMMYFUNCTION("""COMPUTED_VALUE"""),46.95)</f>
        <v>46.95</v>
      </c>
      <c r="L722" s="1">
        <f ca="1">IFERROR(__xludf.DUMMYFUNCTION("""COMPUTED_VALUE"""),298.87)</f>
        <v>298.87</v>
      </c>
      <c r="M722" s="1">
        <f ca="1">IFERROR(__xludf.DUMMYFUNCTION("""COMPUTED_VALUE"""),254.66)</f>
        <v>254.66</v>
      </c>
      <c r="N722" s="1">
        <f ca="1">IFERROR(__xludf.DUMMYFUNCTION("""COMPUTED_VALUE"""),129.74)</f>
        <v>129.74</v>
      </c>
      <c r="O722" s="1">
        <f ca="1">IFERROR(__xludf.DUMMYFUNCTION("""COMPUTED_VALUE"""),193.93)</f>
        <v>193.93</v>
      </c>
      <c r="P722" s="1">
        <f ca="1">IFERROR(__xludf.DUMMYFUNCTION("""COMPUTED_VALUE"""),172.45)</f>
        <v>172.45</v>
      </c>
      <c r="Q722" s="1">
        <f ca="1">IFERROR(__xludf.DUMMYFUNCTION("""COMPUTED_VALUE"""),540.66)</f>
        <v>540.66</v>
      </c>
      <c r="R722" s="1">
        <f ca="1">IFERROR(__xludf.DUMMYFUNCTION("""COMPUTED_VALUE"""),108.9)</f>
        <v>108.9</v>
      </c>
      <c r="S722" s="1">
        <f ca="1">IFERROR(__xludf.DUMMYFUNCTION("""COMPUTED_VALUE"""),78.2)</f>
        <v>78.2</v>
      </c>
      <c r="T722" s="1">
        <f ca="1">IFERROR(__xludf.DUMMYFUNCTION("""COMPUTED_VALUE"""),46.49)</f>
        <v>46.49</v>
      </c>
      <c r="U722" s="1">
        <f ca="1">IFERROR(__xludf.DUMMYFUNCTION("""COMPUTED_VALUE"""),92.1)</f>
        <v>92.1</v>
      </c>
      <c r="V722" s="1">
        <f ca="1">IFERROR(__xludf.DUMMYFUNCTION("""COMPUTED_VALUE"""),225.54)</f>
        <v>225.54</v>
      </c>
      <c r="W722" s="1">
        <f ca="1">IFERROR(__xludf.DUMMYFUNCTION("""COMPUTED_VALUE"""),485.18)</f>
        <v>485.18</v>
      </c>
      <c r="X722" s="1">
        <f ca="1">IFERROR(__xludf.DUMMYFUNCTION("""COMPUTED_VALUE"""),489.46)</f>
        <v>489.46</v>
      </c>
      <c r="Y722" s="1">
        <f ca="1">IFERROR(__xludf.DUMMYFUNCTION("""COMPUTED_VALUE"""),65)</f>
        <v>65</v>
      </c>
      <c r="Z722" s="1">
        <f ca="1">IFERROR(__xludf.DUMMYFUNCTION("""COMPUTED_VALUE"""),362)</f>
        <v>362</v>
      </c>
      <c r="AA722" s="1">
        <f ca="1">IFERROR(__xludf.DUMMYFUNCTION("""COMPUTED_VALUE"""),46.72)</f>
        <v>46.72</v>
      </c>
      <c r="AB722" s="1">
        <f ca="1">IFERROR(__xludf.DUMMYFUNCTION("""COMPUTED_VALUE"""),91.63)</f>
        <v>91.63</v>
      </c>
      <c r="AC722" s="1">
        <f ca="1">IFERROR(__xludf.DUMMYFUNCTION("""COMPUTED_VALUE"""),59.92)</f>
        <v>59.92</v>
      </c>
    </row>
    <row r="723" spans="1:29" x14ac:dyDescent="0.25">
      <c r="A723" s="2">
        <f ca="1">IFERROR(__xludf.DUMMYFUNCTION("""COMPUTED_VALUE"""),44875.6666666666)</f>
        <v>44875.666666666599</v>
      </c>
      <c r="B723" s="1">
        <f ca="1">IFERROR(__xludf.DUMMYFUNCTION("""COMPUTED_VALUE"""),146.87)</f>
        <v>146.87</v>
      </c>
      <c r="C723" s="1">
        <f ca="1">IFERROR(__xludf.DUMMYFUNCTION("""COMPUTED_VALUE"""),242.98)</f>
        <v>242.98</v>
      </c>
      <c r="D723" s="1">
        <f ca="1">IFERROR(__xludf.DUMMYFUNCTION("""COMPUTED_VALUE"""),96.63)</f>
        <v>96.63</v>
      </c>
      <c r="E723" s="1">
        <f ca="1">IFERROR(__xludf.DUMMYFUNCTION("""COMPUTED_VALUE"""),15.75)</f>
        <v>15.75</v>
      </c>
      <c r="F723" s="1">
        <f ca="1">IFERROR(__xludf.DUMMYFUNCTION("""COMPUTED_VALUE"""),111.87)</f>
        <v>111.87</v>
      </c>
      <c r="G723" s="1">
        <f ca="1">IFERROR(__xludf.DUMMYFUNCTION("""COMPUTED_VALUE"""),94.17)</f>
        <v>94.17</v>
      </c>
      <c r="H723" s="1">
        <f ca="1">IFERROR(__xludf.DUMMYFUNCTION("""COMPUTED_VALUE"""),190.72)</f>
        <v>190.72</v>
      </c>
      <c r="I723" s="1">
        <f ca="1">IFERROR(__xludf.DUMMYFUNCTION("""COMPUTED_VALUE"""),181.7)</f>
        <v>181.7</v>
      </c>
      <c r="J723" s="1">
        <f ca="1">IFERROR(__xludf.DUMMYFUNCTION("""COMPUTED_VALUE"""),513.13)</f>
        <v>513.13</v>
      </c>
      <c r="K723" s="1">
        <f ca="1">IFERROR(__xludf.DUMMYFUNCTION("""COMPUTED_VALUE"""),50.66)</f>
        <v>50.66</v>
      </c>
      <c r="L723" s="1">
        <f ca="1">IFERROR(__xludf.DUMMYFUNCTION("""COMPUTED_VALUE"""),329.95)</f>
        <v>329.95</v>
      </c>
      <c r="M723" s="1">
        <f ca="1">IFERROR(__xludf.DUMMYFUNCTION("""COMPUTED_VALUE"""),274.97)</f>
        <v>274.97000000000003</v>
      </c>
      <c r="N723" s="1">
        <f ca="1">IFERROR(__xludf.DUMMYFUNCTION("""COMPUTED_VALUE"""),135.08)</f>
        <v>135.08000000000001</v>
      </c>
      <c r="O723" s="1">
        <f ca="1">IFERROR(__xludf.DUMMYFUNCTION("""COMPUTED_VALUE"""),205.57)</f>
        <v>205.57</v>
      </c>
      <c r="P723" s="1">
        <f ca="1">IFERROR(__xludf.DUMMYFUNCTION("""COMPUTED_VALUE"""),174.47)</f>
        <v>174.47</v>
      </c>
      <c r="Q723" s="1">
        <f ca="1">IFERROR(__xludf.DUMMYFUNCTION("""COMPUTED_VALUE"""),544.17)</f>
        <v>544.16999999999996</v>
      </c>
      <c r="R723" s="1">
        <f ca="1">IFERROR(__xludf.DUMMYFUNCTION("""COMPUTED_VALUE"""),110.5)</f>
        <v>110.5</v>
      </c>
      <c r="S723" s="1">
        <f ca="1">IFERROR(__xludf.DUMMYFUNCTION("""COMPUTED_VALUE"""),83.2)</f>
        <v>83.2</v>
      </c>
      <c r="T723" s="1">
        <f ca="1">IFERROR(__xludf.DUMMYFUNCTION("""COMPUTED_VALUE"""),47.45)</f>
        <v>47.45</v>
      </c>
      <c r="U723" s="1">
        <f ca="1">IFERROR(__xludf.DUMMYFUNCTION("""COMPUTED_VALUE"""),99.49)</f>
        <v>99.49</v>
      </c>
      <c r="V723" s="1">
        <f ca="1">IFERROR(__xludf.DUMMYFUNCTION("""COMPUTED_VALUE"""),232.45)</f>
        <v>232.45</v>
      </c>
      <c r="W723" s="1">
        <f ca="1">IFERROR(__xludf.DUMMYFUNCTION("""COMPUTED_VALUE"""),490.77)</f>
        <v>490.77</v>
      </c>
      <c r="X723" s="1">
        <f ca="1">IFERROR(__xludf.DUMMYFUNCTION("""COMPUTED_VALUE"""),560.79)</f>
        <v>560.79</v>
      </c>
      <c r="Y723" s="1">
        <f ca="1">IFERROR(__xludf.DUMMYFUNCTION("""COMPUTED_VALUE"""),70.84)</f>
        <v>70.84</v>
      </c>
      <c r="Z723" s="1">
        <f ca="1">IFERROR(__xludf.DUMMYFUNCTION("""COMPUTED_VALUE"""),378.31)</f>
        <v>378.31</v>
      </c>
      <c r="AA723" s="1">
        <f ca="1">IFERROR(__xludf.DUMMYFUNCTION("""COMPUTED_VALUE"""),47.38)</f>
        <v>47.38</v>
      </c>
      <c r="AB723" s="1">
        <f ca="1">IFERROR(__xludf.DUMMYFUNCTION("""COMPUTED_VALUE"""),96.26)</f>
        <v>96.26</v>
      </c>
      <c r="AC723" s="1">
        <f ca="1">IFERROR(__xludf.DUMMYFUNCTION("""COMPUTED_VALUE"""),68.47)</f>
        <v>68.47</v>
      </c>
    </row>
    <row r="724" spans="1:29" x14ac:dyDescent="0.25">
      <c r="A724" s="2">
        <f ca="1">IFERROR(__xludf.DUMMYFUNCTION("""COMPUTED_VALUE"""),44876.6666666666)</f>
        <v>44876.666666666599</v>
      </c>
      <c r="B724" s="1">
        <f ca="1">IFERROR(__xludf.DUMMYFUNCTION("""COMPUTED_VALUE"""),149.7)</f>
        <v>149.69999999999999</v>
      </c>
      <c r="C724" s="1">
        <f ca="1">IFERROR(__xludf.DUMMYFUNCTION("""COMPUTED_VALUE"""),247.11)</f>
        <v>247.11</v>
      </c>
      <c r="D724" s="1">
        <f ca="1">IFERROR(__xludf.DUMMYFUNCTION("""COMPUTED_VALUE"""),100.79)</f>
        <v>100.79</v>
      </c>
      <c r="E724" s="1">
        <f ca="1">IFERROR(__xludf.DUMMYFUNCTION("""COMPUTED_VALUE"""),16.33)</f>
        <v>16.329999999999998</v>
      </c>
      <c r="F724" s="1">
        <f ca="1">IFERROR(__xludf.DUMMYFUNCTION("""COMPUTED_VALUE"""),113.02)</f>
        <v>113.02</v>
      </c>
      <c r="G724" s="1">
        <f ca="1">IFERROR(__xludf.DUMMYFUNCTION("""COMPUTED_VALUE"""),96.73)</f>
        <v>96.73</v>
      </c>
      <c r="H724" s="1">
        <f ca="1">IFERROR(__xludf.DUMMYFUNCTION("""COMPUTED_VALUE"""),195.97)</f>
        <v>195.97</v>
      </c>
      <c r="I724" s="1">
        <f ca="1">IFERROR(__xludf.DUMMYFUNCTION("""COMPUTED_VALUE"""),178.05)</f>
        <v>178.05</v>
      </c>
      <c r="J724" s="1">
        <f ca="1">IFERROR(__xludf.DUMMYFUNCTION("""COMPUTED_VALUE"""),515.47)</f>
        <v>515.47</v>
      </c>
      <c r="K724" s="1">
        <f ca="1">IFERROR(__xludf.DUMMYFUNCTION("""COMPUTED_VALUE"""),51.81)</f>
        <v>51.81</v>
      </c>
      <c r="L724" s="1">
        <f ca="1">IFERROR(__xludf.DUMMYFUNCTION("""COMPUTED_VALUE"""),341.15)</f>
        <v>341.15</v>
      </c>
      <c r="M724" s="1">
        <f ca="1">IFERROR(__xludf.DUMMYFUNCTION("""COMPUTED_VALUE"""),290.13)</f>
        <v>290.13</v>
      </c>
      <c r="N724" s="1">
        <f ca="1">IFERROR(__xludf.DUMMYFUNCTION("""COMPUTED_VALUE"""),135.3)</f>
        <v>135.30000000000001</v>
      </c>
      <c r="O724" s="1">
        <f ca="1">IFERROR(__xludf.DUMMYFUNCTION("""COMPUTED_VALUE"""),205)</f>
        <v>205</v>
      </c>
      <c r="P724" s="1">
        <f ca="1">IFERROR(__xludf.DUMMYFUNCTION("""COMPUTED_VALUE"""),169.25)</f>
        <v>169.25</v>
      </c>
      <c r="Q724" s="1">
        <f ca="1">IFERROR(__xludf.DUMMYFUNCTION("""COMPUTED_VALUE"""),522.08)</f>
        <v>522.08000000000004</v>
      </c>
      <c r="R724" s="1">
        <f ca="1">IFERROR(__xludf.DUMMYFUNCTION("""COMPUTED_VALUE"""),113.95)</f>
        <v>113.95</v>
      </c>
      <c r="S724" s="1">
        <f ca="1">IFERROR(__xludf.DUMMYFUNCTION("""COMPUTED_VALUE"""),83.31)</f>
        <v>83.31</v>
      </c>
      <c r="T724" s="1">
        <f ca="1">IFERROR(__xludf.DUMMYFUNCTION("""COMPUTED_VALUE"""),47.53)</f>
        <v>47.53</v>
      </c>
      <c r="U724" s="1">
        <f ca="1">IFERROR(__xludf.DUMMYFUNCTION("""COMPUTED_VALUE"""),106.09)</f>
        <v>106.09</v>
      </c>
      <c r="V724" s="1">
        <f ca="1">IFERROR(__xludf.DUMMYFUNCTION("""COMPUTED_VALUE"""),236.49)</f>
        <v>236.49</v>
      </c>
      <c r="W724" s="1">
        <f ca="1">IFERROR(__xludf.DUMMYFUNCTION("""COMPUTED_VALUE"""),463.86)</f>
        <v>463.86</v>
      </c>
      <c r="X724" s="1">
        <f ca="1">IFERROR(__xludf.DUMMYFUNCTION("""COMPUTED_VALUE"""),576.44)</f>
        <v>576.44000000000005</v>
      </c>
      <c r="Y724" s="1">
        <f ca="1">IFERROR(__xludf.DUMMYFUNCTION("""COMPUTED_VALUE"""),73.83)</f>
        <v>73.83</v>
      </c>
      <c r="Z724" s="1">
        <f ca="1">IFERROR(__xludf.DUMMYFUNCTION("""COMPUTED_VALUE"""),385.17)</f>
        <v>385.17</v>
      </c>
      <c r="AA724" s="1">
        <f ca="1">IFERROR(__xludf.DUMMYFUNCTION("""COMPUTED_VALUE"""),47.6)</f>
        <v>47.6</v>
      </c>
      <c r="AB724" s="1">
        <f ca="1">IFERROR(__xludf.DUMMYFUNCTION("""COMPUTED_VALUE"""),97.38)</f>
        <v>97.38</v>
      </c>
      <c r="AC724" s="1">
        <f ca="1">IFERROR(__xludf.DUMMYFUNCTION("""COMPUTED_VALUE"""),72.37)</f>
        <v>72.37</v>
      </c>
    </row>
    <row r="725" spans="1:29" x14ac:dyDescent="0.25">
      <c r="A725" s="2">
        <f ca="1">IFERROR(__xludf.DUMMYFUNCTION("""COMPUTED_VALUE"""),44879.6666666666)</f>
        <v>44879.666666666599</v>
      </c>
      <c r="B725" s="1">
        <f ca="1">IFERROR(__xludf.DUMMYFUNCTION("""COMPUTED_VALUE"""),148.28)</f>
        <v>148.28</v>
      </c>
      <c r="C725" s="1">
        <f ca="1">IFERROR(__xludf.DUMMYFUNCTION("""COMPUTED_VALUE"""),241.55)</f>
        <v>241.55</v>
      </c>
      <c r="D725" s="1">
        <f ca="1">IFERROR(__xludf.DUMMYFUNCTION("""COMPUTED_VALUE"""),98.49)</f>
        <v>98.49</v>
      </c>
      <c r="E725" s="1">
        <f ca="1">IFERROR(__xludf.DUMMYFUNCTION("""COMPUTED_VALUE"""),16.3)</f>
        <v>16.3</v>
      </c>
      <c r="F725" s="1">
        <f ca="1">IFERROR(__xludf.DUMMYFUNCTION("""COMPUTED_VALUE"""),114.22)</f>
        <v>114.22</v>
      </c>
      <c r="G725" s="1">
        <f ca="1">IFERROR(__xludf.DUMMYFUNCTION("""COMPUTED_VALUE"""),96.03)</f>
        <v>96.03</v>
      </c>
      <c r="H725" s="1">
        <f ca="1">IFERROR(__xludf.DUMMYFUNCTION("""COMPUTED_VALUE"""),190.95)</f>
        <v>190.95</v>
      </c>
      <c r="I725" s="1">
        <f ca="1">IFERROR(__xludf.DUMMYFUNCTION("""COMPUTED_VALUE"""),176.73)</f>
        <v>176.73</v>
      </c>
      <c r="J725" s="1">
        <f ca="1">IFERROR(__xludf.DUMMYFUNCTION("""COMPUTED_VALUE"""),509.68)</f>
        <v>509.68</v>
      </c>
      <c r="K725" s="1">
        <f ca="1">IFERROR(__xludf.DUMMYFUNCTION("""COMPUTED_VALUE"""),51.32)</f>
        <v>51.32</v>
      </c>
      <c r="L725" s="1">
        <f ca="1">IFERROR(__xludf.DUMMYFUNCTION("""COMPUTED_VALUE"""),340.37)</f>
        <v>340.37</v>
      </c>
      <c r="M725" s="1">
        <f ca="1">IFERROR(__xludf.DUMMYFUNCTION("""COMPUTED_VALUE"""),299.27)</f>
        <v>299.27</v>
      </c>
      <c r="N725" s="1">
        <f ca="1">IFERROR(__xludf.DUMMYFUNCTION("""COMPUTED_VALUE"""),133.91)</f>
        <v>133.91</v>
      </c>
      <c r="O725" s="1">
        <f ca="1">IFERROR(__xludf.DUMMYFUNCTION("""COMPUTED_VALUE"""),206.86)</f>
        <v>206.86</v>
      </c>
      <c r="P725" s="1">
        <f ca="1">IFERROR(__xludf.DUMMYFUNCTION("""COMPUTED_VALUE"""),171.91)</f>
        <v>171.91</v>
      </c>
      <c r="Q725" s="1">
        <f ca="1">IFERROR(__xludf.DUMMYFUNCTION("""COMPUTED_VALUE"""),513.75)</f>
        <v>513.75</v>
      </c>
      <c r="R725" s="1">
        <f ca="1">IFERROR(__xludf.DUMMYFUNCTION("""COMPUTED_VALUE"""),113.37)</f>
        <v>113.37</v>
      </c>
      <c r="S725" s="1">
        <f ca="1">IFERROR(__xludf.DUMMYFUNCTION("""COMPUTED_VALUE"""),81.66)</f>
        <v>81.66</v>
      </c>
      <c r="T725" s="1">
        <f ca="1">IFERROR(__xludf.DUMMYFUNCTION("""COMPUTED_VALUE"""),46.13)</f>
        <v>46.13</v>
      </c>
      <c r="U725" s="1">
        <f ca="1">IFERROR(__xludf.DUMMYFUNCTION("""COMPUTED_VALUE"""),104.39)</f>
        <v>104.39</v>
      </c>
      <c r="V725" s="1">
        <f ca="1">IFERROR(__xludf.DUMMYFUNCTION("""COMPUTED_VALUE"""),236.5)</f>
        <v>236.5</v>
      </c>
      <c r="W725" s="1">
        <f ca="1">IFERROR(__xludf.DUMMYFUNCTION("""COMPUTED_VALUE"""),462.04)</f>
        <v>462.04</v>
      </c>
      <c r="X725" s="1">
        <f ca="1">IFERROR(__xludf.DUMMYFUNCTION("""COMPUTED_VALUE"""),577.82)</f>
        <v>577.82000000000005</v>
      </c>
      <c r="Y725" s="1">
        <f ca="1">IFERROR(__xludf.DUMMYFUNCTION("""COMPUTED_VALUE"""),72.8)</f>
        <v>72.8</v>
      </c>
      <c r="Z725" s="1">
        <f ca="1">IFERROR(__xludf.DUMMYFUNCTION("""COMPUTED_VALUE"""),382.36)</f>
        <v>382.36</v>
      </c>
      <c r="AA725" s="1">
        <f ca="1">IFERROR(__xludf.DUMMYFUNCTION("""COMPUTED_VALUE"""),49.24)</f>
        <v>49.24</v>
      </c>
      <c r="AB725" s="1">
        <f ca="1">IFERROR(__xludf.DUMMYFUNCTION("""COMPUTED_VALUE"""),97.42)</f>
        <v>97.42</v>
      </c>
      <c r="AC725" s="1">
        <f ca="1">IFERROR(__xludf.DUMMYFUNCTION("""COMPUTED_VALUE"""),73.53)</f>
        <v>73.53</v>
      </c>
    </row>
    <row r="726" spans="1:29" x14ac:dyDescent="0.25">
      <c r="A726" s="2">
        <f ca="1">IFERROR(__xludf.DUMMYFUNCTION("""COMPUTED_VALUE"""),44880.6666666666)</f>
        <v>44880.666666666599</v>
      </c>
      <c r="B726" s="1">
        <f ca="1">IFERROR(__xludf.DUMMYFUNCTION("""COMPUTED_VALUE"""),150.04)</f>
        <v>150.04</v>
      </c>
      <c r="C726" s="1">
        <f ca="1">IFERROR(__xludf.DUMMYFUNCTION("""COMPUTED_VALUE"""),241.97)</f>
        <v>241.97</v>
      </c>
      <c r="D726" s="1">
        <f ca="1">IFERROR(__xludf.DUMMYFUNCTION("""COMPUTED_VALUE"""),98.94)</f>
        <v>98.94</v>
      </c>
      <c r="E726" s="1">
        <f ca="1">IFERROR(__xludf.DUMMYFUNCTION("""COMPUTED_VALUE"""),16.67)</f>
        <v>16.670000000000002</v>
      </c>
      <c r="F726" s="1">
        <f ca="1">IFERROR(__xludf.DUMMYFUNCTION("""COMPUTED_VALUE"""),117.08)</f>
        <v>117.08</v>
      </c>
      <c r="G726" s="1">
        <f ca="1">IFERROR(__xludf.DUMMYFUNCTION("""COMPUTED_VALUE"""),98.72)</f>
        <v>98.72</v>
      </c>
      <c r="H726" s="1">
        <f ca="1">IFERROR(__xludf.DUMMYFUNCTION("""COMPUTED_VALUE"""),194.42)</f>
        <v>194.42</v>
      </c>
      <c r="I726" s="1">
        <f ca="1">IFERROR(__xludf.DUMMYFUNCTION("""COMPUTED_VALUE"""),177.19)</f>
        <v>177.19</v>
      </c>
      <c r="J726" s="1">
        <f ca="1">IFERROR(__xludf.DUMMYFUNCTION("""COMPUTED_VALUE"""),526.47)</f>
        <v>526.47</v>
      </c>
      <c r="K726" s="1">
        <f ca="1">IFERROR(__xludf.DUMMYFUNCTION("""COMPUTED_VALUE"""),52.44)</f>
        <v>52.44</v>
      </c>
      <c r="L726" s="1">
        <f ca="1">IFERROR(__xludf.DUMMYFUNCTION("""COMPUTED_VALUE"""),345.96)</f>
        <v>345.96</v>
      </c>
      <c r="M726" s="1">
        <f ca="1">IFERROR(__xludf.DUMMYFUNCTION("""COMPUTED_VALUE"""),310.2)</f>
        <v>310.2</v>
      </c>
      <c r="N726" s="1">
        <f ca="1">IFERROR(__xludf.DUMMYFUNCTION("""COMPUTED_VALUE"""),132.94)</f>
        <v>132.94</v>
      </c>
      <c r="O726" s="1">
        <f ca="1">IFERROR(__xludf.DUMMYFUNCTION("""COMPUTED_VALUE"""),209.99)</f>
        <v>209.99</v>
      </c>
      <c r="P726" s="1">
        <f ca="1">IFERROR(__xludf.DUMMYFUNCTION("""COMPUTED_VALUE"""),172.39)</f>
        <v>172.39</v>
      </c>
      <c r="Q726" s="1">
        <f ca="1">IFERROR(__xludf.DUMMYFUNCTION("""COMPUTED_VALUE"""),503.01)</f>
        <v>503.01</v>
      </c>
      <c r="R726" s="1">
        <f ca="1">IFERROR(__xludf.DUMMYFUNCTION("""COMPUTED_VALUE"""),114.13)</f>
        <v>114.13</v>
      </c>
      <c r="S726" s="1">
        <f ca="1">IFERROR(__xludf.DUMMYFUNCTION("""COMPUTED_VALUE"""),82.91)</f>
        <v>82.91</v>
      </c>
      <c r="T726" s="1">
        <f ca="1">IFERROR(__xludf.DUMMYFUNCTION("""COMPUTED_VALUE"""),49.15)</f>
        <v>49.15</v>
      </c>
      <c r="U726" s="1">
        <f ca="1">IFERROR(__xludf.DUMMYFUNCTION("""COMPUTED_VALUE"""),106.71)</f>
        <v>106.71</v>
      </c>
      <c r="V726" s="1">
        <f ca="1">IFERROR(__xludf.DUMMYFUNCTION("""COMPUTED_VALUE"""),234.59)</f>
        <v>234.59</v>
      </c>
      <c r="W726" s="1">
        <f ca="1">IFERROR(__xludf.DUMMYFUNCTION("""COMPUTED_VALUE"""),467.25)</f>
        <v>467.25</v>
      </c>
      <c r="X726" s="1">
        <f ca="1">IFERROR(__xludf.DUMMYFUNCTION("""COMPUTED_VALUE"""),597.47)</f>
        <v>597.47</v>
      </c>
      <c r="Y726" s="1">
        <f ca="1">IFERROR(__xludf.DUMMYFUNCTION("""COMPUTED_VALUE"""),80.46)</f>
        <v>80.459999999999994</v>
      </c>
      <c r="Z726" s="1">
        <f ca="1">IFERROR(__xludf.DUMMYFUNCTION("""COMPUTED_VALUE"""),382.88)</f>
        <v>382.88</v>
      </c>
      <c r="AA726" s="1">
        <f ca="1">IFERROR(__xludf.DUMMYFUNCTION("""COMPUTED_VALUE"""),48.57)</f>
        <v>48.57</v>
      </c>
      <c r="AB726" s="1">
        <f ca="1">IFERROR(__xludf.DUMMYFUNCTION("""COMPUTED_VALUE"""),97.83)</f>
        <v>97.83</v>
      </c>
      <c r="AC726" s="1">
        <f ca="1">IFERROR(__xludf.DUMMYFUNCTION("""COMPUTED_VALUE"""),76.37)</f>
        <v>76.37</v>
      </c>
    </row>
    <row r="727" spans="1:29" x14ac:dyDescent="0.25">
      <c r="A727" s="2">
        <f ca="1">IFERROR(__xludf.DUMMYFUNCTION("""COMPUTED_VALUE"""),44881.6666666666)</f>
        <v>44881.666666666599</v>
      </c>
      <c r="B727" s="1">
        <f ca="1">IFERROR(__xludf.DUMMYFUNCTION("""COMPUTED_VALUE"""),148.79)</f>
        <v>148.79</v>
      </c>
      <c r="C727" s="1">
        <f ca="1">IFERROR(__xludf.DUMMYFUNCTION("""COMPUTED_VALUE"""),241.73)</f>
        <v>241.73</v>
      </c>
      <c r="D727" s="1">
        <f ca="1">IFERROR(__xludf.DUMMYFUNCTION("""COMPUTED_VALUE"""),97.12)</f>
        <v>97.12</v>
      </c>
      <c r="E727" s="1">
        <f ca="1">IFERROR(__xludf.DUMMYFUNCTION("""COMPUTED_VALUE"""),15.91)</f>
        <v>15.91</v>
      </c>
      <c r="F727" s="1">
        <f ca="1">IFERROR(__xludf.DUMMYFUNCTION("""COMPUTED_VALUE"""),113.23)</f>
        <v>113.23</v>
      </c>
      <c r="G727" s="1">
        <f ca="1">IFERROR(__xludf.DUMMYFUNCTION("""COMPUTED_VALUE"""),98.99)</f>
        <v>98.99</v>
      </c>
      <c r="H727" s="1">
        <f ca="1">IFERROR(__xludf.DUMMYFUNCTION("""COMPUTED_VALUE"""),186.92)</f>
        <v>186.92</v>
      </c>
      <c r="I727" s="1">
        <f ca="1">IFERROR(__xludf.DUMMYFUNCTION("""COMPUTED_VALUE"""),178.33)</f>
        <v>178.33</v>
      </c>
      <c r="J727" s="1">
        <f ca="1">IFERROR(__xludf.DUMMYFUNCTION("""COMPUTED_VALUE"""),524.11)</f>
        <v>524.11</v>
      </c>
      <c r="K727" s="1">
        <f ca="1">IFERROR(__xludf.DUMMYFUNCTION("""COMPUTED_VALUE"""),51.17)</f>
        <v>51.17</v>
      </c>
      <c r="L727" s="1">
        <f ca="1">IFERROR(__xludf.DUMMYFUNCTION("""COMPUTED_VALUE"""),338.41)</f>
        <v>338.41</v>
      </c>
      <c r="M727" s="1">
        <f ca="1">IFERROR(__xludf.DUMMYFUNCTION("""COMPUTED_VALUE"""),306.02)</f>
        <v>306.02</v>
      </c>
      <c r="N727" s="1">
        <f ca="1">IFERROR(__xludf.DUMMYFUNCTION("""COMPUTED_VALUE"""),133.12)</f>
        <v>133.12</v>
      </c>
      <c r="O727" s="1">
        <f ca="1">IFERROR(__xludf.DUMMYFUNCTION("""COMPUTED_VALUE"""),210.14)</f>
        <v>210.14</v>
      </c>
      <c r="P727" s="1">
        <f ca="1">IFERROR(__xludf.DUMMYFUNCTION("""COMPUTED_VALUE"""),173.46)</f>
        <v>173.46</v>
      </c>
      <c r="Q727" s="1">
        <f ca="1">IFERROR(__xludf.DUMMYFUNCTION("""COMPUTED_VALUE"""),511.52)</f>
        <v>511.52</v>
      </c>
      <c r="R727" s="1">
        <f ca="1">IFERROR(__xludf.DUMMYFUNCTION("""COMPUTED_VALUE"""),112.91)</f>
        <v>112.91</v>
      </c>
      <c r="S727" s="1">
        <f ca="1">IFERROR(__xludf.DUMMYFUNCTION("""COMPUTED_VALUE"""),84.32)</f>
        <v>84.32</v>
      </c>
      <c r="T727" s="1">
        <f ca="1">IFERROR(__xludf.DUMMYFUNCTION("""COMPUTED_VALUE"""),49.5)</f>
        <v>49.5</v>
      </c>
      <c r="U727" s="1">
        <f ca="1">IFERROR(__xludf.DUMMYFUNCTION("""COMPUTED_VALUE"""),105.23)</f>
        <v>105.23</v>
      </c>
      <c r="V727" s="1">
        <f ca="1">IFERROR(__xludf.DUMMYFUNCTION("""COMPUTED_VALUE"""),232.42)</f>
        <v>232.42</v>
      </c>
      <c r="W727" s="1">
        <f ca="1">IFERROR(__xludf.DUMMYFUNCTION("""COMPUTED_VALUE"""),466.24)</f>
        <v>466.24</v>
      </c>
      <c r="X727" s="1">
        <f ca="1">IFERROR(__xludf.DUMMYFUNCTION("""COMPUTED_VALUE"""),576.7)</f>
        <v>576.70000000000005</v>
      </c>
      <c r="Y727" s="1">
        <f ca="1">IFERROR(__xludf.DUMMYFUNCTION("""COMPUTED_VALUE"""),79.45)</f>
        <v>79.45</v>
      </c>
      <c r="Z727" s="1">
        <f ca="1">IFERROR(__xludf.DUMMYFUNCTION("""COMPUTED_VALUE"""),382.33)</f>
        <v>382.33</v>
      </c>
      <c r="AA727" s="1">
        <f ca="1">IFERROR(__xludf.DUMMYFUNCTION("""COMPUTED_VALUE"""),48.05)</f>
        <v>48.05</v>
      </c>
      <c r="AB727" s="1">
        <f ca="1">IFERROR(__xludf.DUMMYFUNCTION("""COMPUTED_VALUE"""),97.07)</f>
        <v>97.07</v>
      </c>
      <c r="AC727" s="1">
        <f ca="1">IFERROR(__xludf.DUMMYFUNCTION("""COMPUTED_VALUE"""),72.7)</f>
        <v>72.7</v>
      </c>
    </row>
    <row r="728" spans="1:29" x14ac:dyDescent="0.25">
      <c r="A728" s="2">
        <f ca="1">IFERROR(__xludf.DUMMYFUNCTION("""COMPUTED_VALUE"""),44882.6666666666)</f>
        <v>44882.666666666599</v>
      </c>
      <c r="B728" s="1">
        <f ca="1">IFERROR(__xludf.DUMMYFUNCTION("""COMPUTED_VALUE"""),150.72)</f>
        <v>150.72</v>
      </c>
      <c r="C728" s="1">
        <f ca="1">IFERROR(__xludf.DUMMYFUNCTION("""COMPUTED_VALUE"""),241.68)</f>
        <v>241.68</v>
      </c>
      <c r="D728" s="1">
        <f ca="1">IFERROR(__xludf.DUMMYFUNCTION("""COMPUTED_VALUE"""),94.85)</f>
        <v>94.85</v>
      </c>
      <c r="E728" s="1">
        <f ca="1">IFERROR(__xludf.DUMMYFUNCTION("""COMPUTED_VALUE"""),15.68)</f>
        <v>15.68</v>
      </c>
      <c r="F728" s="1">
        <f ca="1">IFERROR(__xludf.DUMMYFUNCTION("""COMPUTED_VALUE"""),111.45)</f>
        <v>111.45</v>
      </c>
      <c r="G728" s="1">
        <f ca="1">IFERROR(__xludf.DUMMYFUNCTION("""COMPUTED_VALUE"""),98.5)</f>
        <v>98.5</v>
      </c>
      <c r="H728" s="1">
        <f ca="1">IFERROR(__xludf.DUMMYFUNCTION("""COMPUTED_VALUE"""),183.17)</f>
        <v>183.17</v>
      </c>
      <c r="I728" s="1">
        <f ca="1">IFERROR(__xludf.DUMMYFUNCTION("""COMPUTED_VALUE"""),180.03)</f>
        <v>180.03</v>
      </c>
      <c r="J728" s="1">
        <f ca="1">IFERROR(__xludf.DUMMYFUNCTION("""COMPUTED_VALUE"""),521.32)</f>
        <v>521.32000000000005</v>
      </c>
      <c r="K728" s="1">
        <f ca="1">IFERROR(__xludf.DUMMYFUNCTION("""COMPUTED_VALUE"""),51.21)</f>
        <v>51.21</v>
      </c>
      <c r="L728" s="1">
        <f ca="1">IFERROR(__xludf.DUMMYFUNCTION("""COMPUTED_VALUE"""),337.83)</f>
        <v>337.83</v>
      </c>
      <c r="M728" s="1">
        <f ca="1">IFERROR(__xludf.DUMMYFUNCTION("""COMPUTED_VALUE"""),295.28)</f>
        <v>295.27999999999997</v>
      </c>
      <c r="N728" s="1">
        <f ca="1">IFERROR(__xludf.DUMMYFUNCTION("""COMPUTED_VALUE"""),132.54)</f>
        <v>132.54</v>
      </c>
      <c r="O728" s="1">
        <f ca="1">IFERROR(__xludf.DUMMYFUNCTION("""COMPUTED_VALUE"""),210.99)</f>
        <v>210.99</v>
      </c>
      <c r="P728" s="1">
        <f ca="1">IFERROR(__xludf.DUMMYFUNCTION("""COMPUTED_VALUE"""),174.86)</f>
        <v>174.86</v>
      </c>
      <c r="Q728" s="1">
        <f ca="1">IFERROR(__xludf.DUMMYFUNCTION("""COMPUTED_VALUE"""),515.31)</f>
        <v>515.30999999999995</v>
      </c>
      <c r="R728" s="1">
        <f ca="1">IFERROR(__xludf.DUMMYFUNCTION("""COMPUTED_VALUE"""),113.06)</f>
        <v>113.06</v>
      </c>
      <c r="S728" s="1">
        <f ca="1">IFERROR(__xludf.DUMMYFUNCTION("""COMPUTED_VALUE"""),82.35)</f>
        <v>82.35</v>
      </c>
      <c r="T728" s="1">
        <f ca="1">IFERROR(__xludf.DUMMYFUNCTION("""COMPUTED_VALUE"""),49.33)</f>
        <v>49.33</v>
      </c>
      <c r="U728" s="1">
        <f ca="1">IFERROR(__xludf.DUMMYFUNCTION("""COMPUTED_VALUE"""),105.36)</f>
        <v>105.36</v>
      </c>
      <c r="V728" s="1">
        <f ca="1">IFERROR(__xludf.DUMMYFUNCTION("""COMPUTED_VALUE"""),230.44)</f>
        <v>230.44</v>
      </c>
      <c r="W728" s="1">
        <f ca="1">IFERROR(__xludf.DUMMYFUNCTION("""COMPUTED_VALUE"""),472.77)</f>
        <v>472.77</v>
      </c>
      <c r="X728" s="1">
        <f ca="1">IFERROR(__xludf.DUMMYFUNCTION("""COMPUTED_VALUE"""),589.03)</f>
        <v>589.03</v>
      </c>
      <c r="Y728" s="1">
        <f ca="1">IFERROR(__xludf.DUMMYFUNCTION("""COMPUTED_VALUE"""),81.48)</f>
        <v>81.48</v>
      </c>
      <c r="Z728" s="1">
        <f ca="1">IFERROR(__xludf.DUMMYFUNCTION("""COMPUTED_VALUE"""),379.78)</f>
        <v>379.78</v>
      </c>
      <c r="AA728" s="1">
        <f ca="1">IFERROR(__xludf.DUMMYFUNCTION("""COMPUTED_VALUE"""),48.33)</f>
        <v>48.33</v>
      </c>
      <c r="AB728" s="1">
        <f ca="1">IFERROR(__xludf.DUMMYFUNCTION("""COMPUTED_VALUE"""),96.97)</f>
        <v>96.97</v>
      </c>
      <c r="AC728" s="1">
        <f ca="1">IFERROR(__xludf.DUMMYFUNCTION("""COMPUTED_VALUE"""),73.9)</f>
        <v>73.900000000000006</v>
      </c>
    </row>
    <row r="729" spans="1:29" x14ac:dyDescent="0.25">
      <c r="A729" s="2">
        <f ca="1">IFERROR(__xludf.DUMMYFUNCTION("""COMPUTED_VALUE"""),44883.6666666666)</f>
        <v>44883.666666666599</v>
      </c>
      <c r="B729" s="1">
        <f ca="1">IFERROR(__xludf.DUMMYFUNCTION("""COMPUTED_VALUE"""),151.29)</f>
        <v>151.29</v>
      </c>
      <c r="C729" s="1">
        <f ca="1">IFERROR(__xludf.DUMMYFUNCTION("""COMPUTED_VALUE"""),241.22)</f>
        <v>241.22</v>
      </c>
      <c r="D729" s="1">
        <f ca="1">IFERROR(__xludf.DUMMYFUNCTION("""COMPUTED_VALUE"""),94.14)</f>
        <v>94.14</v>
      </c>
      <c r="E729" s="1">
        <f ca="1">IFERROR(__xludf.DUMMYFUNCTION("""COMPUTED_VALUE"""),15.41)</f>
        <v>15.41</v>
      </c>
      <c r="F729" s="1">
        <f ca="1">IFERROR(__xludf.DUMMYFUNCTION("""COMPUTED_VALUE"""),112.05)</f>
        <v>112.05</v>
      </c>
      <c r="G729" s="1">
        <f ca="1">IFERROR(__xludf.DUMMYFUNCTION("""COMPUTED_VALUE"""),97.8)</f>
        <v>97.8</v>
      </c>
      <c r="H729" s="1">
        <f ca="1">IFERROR(__xludf.DUMMYFUNCTION("""COMPUTED_VALUE"""),180.19)</f>
        <v>180.19</v>
      </c>
      <c r="I729" s="1">
        <f ca="1">IFERROR(__xludf.DUMMYFUNCTION("""COMPUTED_VALUE"""),181.33)</f>
        <v>181.33</v>
      </c>
      <c r="J729" s="1">
        <f ca="1">IFERROR(__xludf.DUMMYFUNCTION("""COMPUTED_VALUE"""),523.67)</f>
        <v>523.66999999999996</v>
      </c>
      <c r="K729" s="1">
        <f ca="1">IFERROR(__xludf.DUMMYFUNCTION("""COMPUTED_VALUE"""),51.52)</f>
        <v>51.52</v>
      </c>
      <c r="L729" s="1">
        <f ca="1">IFERROR(__xludf.DUMMYFUNCTION("""COMPUTED_VALUE"""),330.86)</f>
        <v>330.86</v>
      </c>
      <c r="M729" s="1">
        <f ca="1">IFERROR(__xludf.DUMMYFUNCTION("""COMPUTED_VALUE"""),287.98)</f>
        <v>287.98</v>
      </c>
      <c r="N729" s="1">
        <f ca="1">IFERROR(__xludf.DUMMYFUNCTION("""COMPUTED_VALUE"""),133.84)</f>
        <v>133.84</v>
      </c>
      <c r="O729" s="1">
        <f ca="1">IFERROR(__xludf.DUMMYFUNCTION("""COMPUTED_VALUE"""),210.8)</f>
        <v>210.8</v>
      </c>
      <c r="P729" s="1">
        <f ca="1">IFERROR(__xludf.DUMMYFUNCTION("""COMPUTED_VALUE"""),176.2)</f>
        <v>176.2</v>
      </c>
      <c r="Q729" s="1">
        <f ca="1">IFERROR(__xludf.DUMMYFUNCTION("""COMPUTED_VALUE"""),530)</f>
        <v>530</v>
      </c>
      <c r="R729" s="1">
        <f ca="1">IFERROR(__xludf.DUMMYFUNCTION("""COMPUTED_VALUE"""),112.08)</f>
        <v>112.08</v>
      </c>
      <c r="S729" s="1">
        <f ca="1">IFERROR(__xludf.DUMMYFUNCTION("""COMPUTED_VALUE"""),83.2)</f>
        <v>83.2</v>
      </c>
      <c r="T729" s="1">
        <f ca="1">IFERROR(__xludf.DUMMYFUNCTION("""COMPUTED_VALUE"""),50.08)</f>
        <v>50.08</v>
      </c>
      <c r="U729" s="1">
        <f ca="1">IFERROR(__xludf.DUMMYFUNCTION("""COMPUTED_VALUE"""),105.42)</f>
        <v>105.42</v>
      </c>
      <c r="V729" s="1">
        <f ca="1">IFERROR(__xludf.DUMMYFUNCTION("""COMPUTED_VALUE"""),231.43)</f>
        <v>231.43</v>
      </c>
      <c r="W729" s="1">
        <f ca="1">IFERROR(__xludf.DUMMYFUNCTION("""COMPUTED_VALUE"""),476.82)</f>
        <v>476.82</v>
      </c>
      <c r="X729" s="1">
        <f ca="1">IFERROR(__xludf.DUMMYFUNCTION("""COMPUTED_VALUE"""),593.16)</f>
        <v>593.16</v>
      </c>
      <c r="Y729" s="1">
        <f ca="1">IFERROR(__xludf.DUMMYFUNCTION("""COMPUTED_VALUE"""),82.27)</f>
        <v>82.27</v>
      </c>
      <c r="Z729" s="1">
        <f ca="1">IFERROR(__xludf.DUMMYFUNCTION("""COMPUTED_VALUE"""),379.2)</f>
        <v>379.2</v>
      </c>
      <c r="AA729" s="1">
        <f ca="1">IFERROR(__xludf.DUMMYFUNCTION("""COMPUTED_VALUE"""),48.23)</f>
        <v>48.23</v>
      </c>
      <c r="AB729" s="1">
        <f ca="1">IFERROR(__xludf.DUMMYFUNCTION("""COMPUTED_VALUE"""),97.95)</f>
        <v>97.95</v>
      </c>
      <c r="AC729" s="1">
        <f ca="1">IFERROR(__xludf.DUMMYFUNCTION("""COMPUTED_VALUE"""),73.57)</f>
        <v>73.569999999999993</v>
      </c>
    </row>
    <row r="730" spans="1:29" x14ac:dyDescent="0.25">
      <c r="A730" s="2">
        <f ca="1">IFERROR(__xludf.DUMMYFUNCTION("""COMPUTED_VALUE"""),44886.6666666666)</f>
        <v>44886.666666666599</v>
      </c>
      <c r="B730" s="1">
        <f ca="1">IFERROR(__xludf.DUMMYFUNCTION("""COMPUTED_VALUE"""),148.01)</f>
        <v>148.01</v>
      </c>
      <c r="C730" s="1">
        <f ca="1">IFERROR(__xludf.DUMMYFUNCTION("""COMPUTED_VALUE"""),242.05)</f>
        <v>242.05</v>
      </c>
      <c r="D730" s="1">
        <f ca="1">IFERROR(__xludf.DUMMYFUNCTION("""COMPUTED_VALUE"""),92.46)</f>
        <v>92.46</v>
      </c>
      <c r="E730" s="1">
        <f ca="1">IFERROR(__xludf.DUMMYFUNCTION("""COMPUTED_VALUE"""),15.32)</f>
        <v>15.32</v>
      </c>
      <c r="F730" s="1">
        <f ca="1">IFERROR(__xludf.DUMMYFUNCTION("""COMPUTED_VALUE"""),109.86)</f>
        <v>109.86</v>
      </c>
      <c r="G730" s="1">
        <f ca="1">IFERROR(__xludf.DUMMYFUNCTION("""COMPUTED_VALUE"""),95.83)</f>
        <v>95.83</v>
      </c>
      <c r="H730" s="1">
        <f ca="1">IFERROR(__xludf.DUMMYFUNCTION("""COMPUTED_VALUE"""),167.87)</f>
        <v>167.87</v>
      </c>
      <c r="I730" s="1">
        <f ca="1">IFERROR(__xludf.DUMMYFUNCTION("""COMPUTED_VALUE"""),184.82)</f>
        <v>184.82</v>
      </c>
      <c r="J730" s="1">
        <f ca="1">IFERROR(__xludf.DUMMYFUNCTION("""COMPUTED_VALUE"""),523.37)</f>
        <v>523.37</v>
      </c>
      <c r="K730" s="1">
        <f ca="1">IFERROR(__xludf.DUMMYFUNCTION("""COMPUTED_VALUE"""),51.74)</f>
        <v>51.74</v>
      </c>
      <c r="L730" s="1">
        <f ca="1">IFERROR(__xludf.DUMMYFUNCTION("""COMPUTED_VALUE"""),321.49)</f>
        <v>321.49</v>
      </c>
      <c r="M730" s="1">
        <f ca="1">IFERROR(__xludf.DUMMYFUNCTION("""COMPUTED_VALUE"""),285.05)</f>
        <v>285.05</v>
      </c>
      <c r="N730" s="1">
        <f ca="1">IFERROR(__xludf.DUMMYFUNCTION("""COMPUTED_VALUE"""),133.05)</f>
        <v>133.05000000000001</v>
      </c>
      <c r="O730" s="1">
        <f ca="1">IFERROR(__xludf.DUMMYFUNCTION("""COMPUTED_VALUE"""),206.32)</f>
        <v>206.32</v>
      </c>
      <c r="P730" s="1">
        <f ca="1">IFERROR(__xludf.DUMMYFUNCTION("""COMPUTED_VALUE"""),175.97)</f>
        <v>175.97</v>
      </c>
      <c r="Q730" s="1">
        <f ca="1">IFERROR(__xludf.DUMMYFUNCTION("""COMPUTED_VALUE"""),517.19)</f>
        <v>517.19000000000005</v>
      </c>
      <c r="R730" s="1">
        <f ca="1">IFERROR(__xludf.DUMMYFUNCTION("""COMPUTED_VALUE"""),110.97)</f>
        <v>110.97</v>
      </c>
      <c r="S730" s="1">
        <f ca="1">IFERROR(__xludf.DUMMYFUNCTION("""COMPUTED_VALUE"""),83.6)</f>
        <v>83.6</v>
      </c>
      <c r="T730" s="1">
        <f ca="1">IFERROR(__xludf.DUMMYFUNCTION("""COMPUTED_VALUE"""),50.38)</f>
        <v>50.38</v>
      </c>
      <c r="U730" s="1">
        <f ca="1">IFERROR(__xludf.DUMMYFUNCTION("""COMPUTED_VALUE"""),103.83)</f>
        <v>103.83</v>
      </c>
      <c r="V730" s="1">
        <f ca="1">IFERROR(__xludf.DUMMYFUNCTION("""COMPUTED_VALUE"""),232.17)</f>
        <v>232.17</v>
      </c>
      <c r="W730" s="1">
        <f ca="1">IFERROR(__xludf.DUMMYFUNCTION("""COMPUTED_VALUE"""),480.94)</f>
        <v>480.94</v>
      </c>
      <c r="X730" s="1">
        <f ca="1">IFERROR(__xludf.DUMMYFUNCTION("""COMPUTED_VALUE"""),580.29)</f>
        <v>580.29</v>
      </c>
      <c r="Y730" s="1">
        <f ca="1">IFERROR(__xludf.DUMMYFUNCTION("""COMPUTED_VALUE"""),79.93)</f>
        <v>79.930000000000007</v>
      </c>
      <c r="Z730" s="1">
        <f ca="1">IFERROR(__xludf.DUMMYFUNCTION("""COMPUTED_VALUE"""),380.21)</f>
        <v>380.21</v>
      </c>
      <c r="AA730" s="1">
        <f ca="1">IFERROR(__xludf.DUMMYFUNCTION("""COMPUTED_VALUE"""),48.18)</f>
        <v>48.18</v>
      </c>
      <c r="AB730" s="1">
        <f ca="1">IFERROR(__xludf.DUMMYFUNCTION("""COMPUTED_VALUE"""),98.32)</f>
        <v>98.32</v>
      </c>
      <c r="AC730" s="1">
        <f ca="1">IFERROR(__xludf.DUMMYFUNCTION("""COMPUTED_VALUE"""),72.46)</f>
        <v>72.459999999999994</v>
      </c>
    </row>
    <row r="731" spans="1:29" x14ac:dyDescent="0.25">
      <c r="A731" s="2">
        <f ca="1">IFERROR(__xludf.DUMMYFUNCTION("""COMPUTED_VALUE"""),44887.6666666666)</f>
        <v>44887.666666666599</v>
      </c>
      <c r="B731" s="1">
        <f ca="1">IFERROR(__xludf.DUMMYFUNCTION("""COMPUTED_VALUE"""),150.18)</f>
        <v>150.18</v>
      </c>
      <c r="C731" s="1">
        <f ca="1">IFERROR(__xludf.DUMMYFUNCTION("""COMPUTED_VALUE"""),245.03)</f>
        <v>245.03</v>
      </c>
      <c r="D731" s="1">
        <f ca="1">IFERROR(__xludf.DUMMYFUNCTION("""COMPUTED_VALUE"""),93.2)</f>
        <v>93.2</v>
      </c>
      <c r="E731" s="1">
        <f ca="1">IFERROR(__xludf.DUMMYFUNCTION("""COMPUTED_VALUE"""),16.04)</f>
        <v>16.04</v>
      </c>
      <c r="F731" s="1">
        <f ca="1">IFERROR(__xludf.DUMMYFUNCTION("""COMPUTED_VALUE"""),111.44)</f>
        <v>111.44</v>
      </c>
      <c r="G731" s="1">
        <f ca="1">IFERROR(__xludf.DUMMYFUNCTION("""COMPUTED_VALUE"""),97.33)</f>
        <v>97.33</v>
      </c>
      <c r="H731" s="1">
        <f ca="1">IFERROR(__xludf.DUMMYFUNCTION("""COMPUTED_VALUE"""),169.91)</f>
        <v>169.91</v>
      </c>
      <c r="I731" s="1">
        <f ca="1">IFERROR(__xludf.DUMMYFUNCTION("""COMPUTED_VALUE"""),184.84)</f>
        <v>184.84</v>
      </c>
      <c r="J731" s="1">
        <f ca="1">IFERROR(__xludf.DUMMYFUNCTION("""COMPUTED_VALUE"""),531.95)</f>
        <v>531.95000000000005</v>
      </c>
      <c r="K731" s="1">
        <f ca="1">IFERROR(__xludf.DUMMYFUNCTION("""COMPUTED_VALUE"""),53.01)</f>
        <v>53.01</v>
      </c>
      <c r="L731" s="1">
        <f ca="1">IFERROR(__xludf.DUMMYFUNCTION("""COMPUTED_VALUE"""),330.88)</f>
        <v>330.88</v>
      </c>
      <c r="M731" s="1">
        <f ca="1">IFERROR(__xludf.DUMMYFUNCTION("""COMPUTED_VALUE"""),286.69)</f>
        <v>286.69</v>
      </c>
      <c r="N731" s="1">
        <f ca="1">IFERROR(__xludf.DUMMYFUNCTION("""COMPUTED_VALUE"""),135.04)</f>
        <v>135.04</v>
      </c>
      <c r="O731" s="1">
        <f ca="1">IFERROR(__xludf.DUMMYFUNCTION("""COMPUTED_VALUE"""),210.33)</f>
        <v>210.33</v>
      </c>
      <c r="P731" s="1">
        <f ca="1">IFERROR(__xludf.DUMMYFUNCTION("""COMPUTED_VALUE"""),176.82)</f>
        <v>176.82</v>
      </c>
      <c r="Q731" s="1">
        <f ca="1">IFERROR(__xludf.DUMMYFUNCTION("""COMPUTED_VALUE"""),523.09)</f>
        <v>523.09</v>
      </c>
      <c r="R731" s="1">
        <f ca="1">IFERROR(__xludf.DUMMYFUNCTION("""COMPUTED_VALUE"""),114.18)</f>
        <v>114.18</v>
      </c>
      <c r="S731" s="1">
        <f ca="1">IFERROR(__xludf.DUMMYFUNCTION("""COMPUTED_VALUE"""),84.11)</f>
        <v>84.11</v>
      </c>
      <c r="T731" s="1">
        <f ca="1">IFERROR(__xludf.DUMMYFUNCTION("""COMPUTED_VALUE"""),50.56)</f>
        <v>50.56</v>
      </c>
      <c r="U731" s="1">
        <f ca="1">IFERROR(__xludf.DUMMYFUNCTION("""COMPUTED_VALUE"""),105.97)</f>
        <v>105.97</v>
      </c>
      <c r="V731" s="1">
        <f ca="1">IFERROR(__xludf.DUMMYFUNCTION("""COMPUTED_VALUE"""),237.26)</f>
        <v>237.26</v>
      </c>
      <c r="W731" s="1">
        <f ca="1">IFERROR(__xludf.DUMMYFUNCTION("""COMPUTED_VALUE"""),479.5)</f>
        <v>479.5</v>
      </c>
      <c r="X731" s="1">
        <f ca="1">IFERROR(__xludf.DUMMYFUNCTION("""COMPUTED_VALUE"""),596.21)</f>
        <v>596.21</v>
      </c>
      <c r="Y731" s="1">
        <f ca="1">IFERROR(__xludf.DUMMYFUNCTION("""COMPUTED_VALUE"""),82.54)</f>
        <v>82.54</v>
      </c>
      <c r="Z731" s="1">
        <f ca="1">IFERROR(__xludf.DUMMYFUNCTION("""COMPUTED_VALUE"""),383.87)</f>
        <v>383.87</v>
      </c>
      <c r="AA731" s="1">
        <f ca="1">IFERROR(__xludf.DUMMYFUNCTION("""COMPUTED_VALUE"""),49.08)</f>
        <v>49.08</v>
      </c>
      <c r="AB731" s="1">
        <f ca="1">IFERROR(__xludf.DUMMYFUNCTION("""COMPUTED_VALUE"""),98.43)</f>
        <v>98.43</v>
      </c>
      <c r="AC731" s="1">
        <f ca="1">IFERROR(__xludf.DUMMYFUNCTION("""COMPUTED_VALUE"""),75.25)</f>
        <v>75.25</v>
      </c>
    </row>
    <row r="732" spans="1:29" x14ac:dyDescent="0.25">
      <c r="A732" s="2">
        <f ca="1">IFERROR(__xludf.DUMMYFUNCTION("""COMPUTED_VALUE"""),44888.6666666666)</f>
        <v>44888.666666666599</v>
      </c>
      <c r="B732" s="1">
        <f ca="1">IFERROR(__xludf.DUMMYFUNCTION("""COMPUTED_VALUE"""),151.07)</f>
        <v>151.07</v>
      </c>
      <c r="C732" s="1">
        <f ca="1">IFERROR(__xludf.DUMMYFUNCTION("""COMPUTED_VALUE"""),247.58)</f>
        <v>247.58</v>
      </c>
      <c r="D732" s="1">
        <f ca="1">IFERROR(__xludf.DUMMYFUNCTION("""COMPUTED_VALUE"""),94.13)</f>
        <v>94.13</v>
      </c>
      <c r="E732" s="1">
        <f ca="1">IFERROR(__xludf.DUMMYFUNCTION("""COMPUTED_VALUE"""),16.52)</f>
        <v>16.52</v>
      </c>
      <c r="F732" s="1">
        <f ca="1">IFERROR(__xludf.DUMMYFUNCTION("""COMPUTED_VALUE"""),112.24)</f>
        <v>112.24</v>
      </c>
      <c r="G732" s="1">
        <f ca="1">IFERROR(__xludf.DUMMYFUNCTION("""COMPUTED_VALUE"""),98.82)</f>
        <v>98.82</v>
      </c>
      <c r="H732" s="1">
        <f ca="1">IFERROR(__xludf.DUMMYFUNCTION("""COMPUTED_VALUE"""),183.2)</f>
        <v>183.2</v>
      </c>
      <c r="I732" s="1">
        <f ca="1">IFERROR(__xludf.DUMMYFUNCTION("""COMPUTED_VALUE"""),185.08)</f>
        <v>185.08</v>
      </c>
      <c r="J732" s="1">
        <f ca="1">IFERROR(__xludf.DUMMYFUNCTION("""COMPUTED_VALUE"""),534.49)</f>
        <v>534.49</v>
      </c>
      <c r="K732" s="1">
        <f ca="1">IFERROR(__xludf.DUMMYFUNCTION("""COMPUTED_VALUE"""),53.36)</f>
        <v>53.36</v>
      </c>
      <c r="L732" s="1">
        <f ca="1">IFERROR(__xludf.DUMMYFUNCTION("""COMPUTED_VALUE"""),335.78)</f>
        <v>335.78</v>
      </c>
      <c r="M732" s="1">
        <f ca="1">IFERROR(__xludf.DUMMYFUNCTION("""COMPUTED_VALUE"""),291.5)</f>
        <v>291.5</v>
      </c>
      <c r="N732" s="1">
        <f ca="1">IFERROR(__xludf.DUMMYFUNCTION("""COMPUTED_VALUE"""),136.48)</f>
        <v>136.47999999999999</v>
      </c>
      <c r="O732" s="1">
        <f ca="1">IFERROR(__xludf.DUMMYFUNCTION("""COMPUTED_VALUE"""),211.73)</f>
        <v>211.73</v>
      </c>
      <c r="P732" s="1">
        <f ca="1">IFERROR(__xludf.DUMMYFUNCTION("""COMPUTED_VALUE"""),177.01)</f>
        <v>177.01</v>
      </c>
      <c r="Q732" s="1">
        <f ca="1">IFERROR(__xludf.DUMMYFUNCTION("""COMPUTED_VALUE"""),529.71)</f>
        <v>529.71</v>
      </c>
      <c r="R732" s="1">
        <f ca="1">IFERROR(__xludf.DUMMYFUNCTION("""COMPUTED_VALUE"""),113.61)</f>
        <v>113.61</v>
      </c>
      <c r="S732" s="1">
        <f ca="1">IFERROR(__xludf.DUMMYFUNCTION("""COMPUTED_VALUE"""),84.92)</f>
        <v>84.92</v>
      </c>
      <c r="T732" s="1">
        <f ca="1">IFERROR(__xludf.DUMMYFUNCTION("""COMPUTED_VALUE"""),50.81)</f>
        <v>50.81</v>
      </c>
      <c r="U732" s="1">
        <f ca="1">IFERROR(__xludf.DUMMYFUNCTION("""COMPUTED_VALUE"""),106.65)</f>
        <v>106.65</v>
      </c>
      <c r="V732" s="1">
        <f ca="1">IFERROR(__xludf.DUMMYFUNCTION("""COMPUTED_VALUE"""),236.92)</f>
        <v>236.92</v>
      </c>
      <c r="W732" s="1">
        <f ca="1">IFERROR(__xludf.DUMMYFUNCTION("""COMPUTED_VALUE"""),481.07)</f>
        <v>481.07</v>
      </c>
      <c r="X732" s="1">
        <f ca="1">IFERROR(__xludf.DUMMYFUNCTION("""COMPUTED_VALUE"""),603.85)</f>
        <v>603.85</v>
      </c>
      <c r="Y732" s="1">
        <f ca="1">IFERROR(__xludf.DUMMYFUNCTION("""COMPUTED_VALUE"""),81.97)</f>
        <v>81.97</v>
      </c>
      <c r="Z732" s="1">
        <f ca="1">IFERROR(__xludf.DUMMYFUNCTION("""COMPUTED_VALUE"""),386.25)</f>
        <v>386.25</v>
      </c>
      <c r="AA732" s="1">
        <f ca="1">IFERROR(__xludf.DUMMYFUNCTION("""COMPUTED_VALUE"""),48.85)</f>
        <v>48.85</v>
      </c>
      <c r="AB732" s="1">
        <f ca="1">IFERROR(__xludf.DUMMYFUNCTION("""COMPUTED_VALUE"""),99.52)</f>
        <v>99.52</v>
      </c>
      <c r="AC732" s="1">
        <f ca="1">IFERROR(__xludf.DUMMYFUNCTION("""COMPUTED_VALUE"""),76.4)</f>
        <v>76.400000000000006</v>
      </c>
    </row>
    <row r="733" spans="1:29" x14ac:dyDescent="0.25">
      <c r="A733" s="2">
        <f ca="1">IFERROR(__xludf.DUMMYFUNCTION("""COMPUTED_VALUE"""),44890.5451388888)</f>
        <v>44890.545138888803</v>
      </c>
      <c r="B733" s="1">
        <f ca="1">IFERROR(__xludf.DUMMYFUNCTION("""COMPUTED_VALUE"""),148.11)</f>
        <v>148.11000000000001</v>
      </c>
      <c r="C733" s="1">
        <f ca="1">IFERROR(__xludf.DUMMYFUNCTION("""COMPUTED_VALUE"""),247.49)</f>
        <v>247.49</v>
      </c>
      <c r="D733" s="1">
        <f ca="1">IFERROR(__xludf.DUMMYFUNCTION("""COMPUTED_VALUE"""),93.41)</f>
        <v>93.41</v>
      </c>
      <c r="E733" s="1">
        <f ca="1">IFERROR(__xludf.DUMMYFUNCTION("""COMPUTED_VALUE"""),16.27)</f>
        <v>16.27</v>
      </c>
      <c r="F733" s="1">
        <f ca="1">IFERROR(__xludf.DUMMYFUNCTION("""COMPUTED_VALUE"""),111.41)</f>
        <v>111.41</v>
      </c>
      <c r="G733" s="1">
        <f ca="1">IFERROR(__xludf.DUMMYFUNCTION("""COMPUTED_VALUE"""),97.6)</f>
        <v>97.6</v>
      </c>
      <c r="H733" s="1">
        <f ca="1">IFERROR(__xludf.DUMMYFUNCTION("""COMPUTED_VALUE"""),182.86)</f>
        <v>182.86</v>
      </c>
      <c r="I733" s="1">
        <f ca="1">IFERROR(__xludf.DUMMYFUNCTION("""COMPUTED_VALUE"""),184.11)</f>
        <v>184.11</v>
      </c>
      <c r="J733" s="1">
        <f ca="1">IFERROR(__xludf.DUMMYFUNCTION("""COMPUTED_VALUE"""),533.66)</f>
        <v>533.66</v>
      </c>
      <c r="K733" s="1">
        <f ca="1">IFERROR(__xludf.DUMMYFUNCTION("""COMPUTED_VALUE"""),52.99)</f>
        <v>52.99</v>
      </c>
      <c r="L733" s="1">
        <f ca="1">IFERROR(__xludf.DUMMYFUNCTION("""COMPUTED_VALUE"""),334.3)</f>
        <v>334.3</v>
      </c>
      <c r="M733" s="1">
        <f ca="1">IFERROR(__xludf.DUMMYFUNCTION("""COMPUTED_VALUE"""),285.54)</f>
        <v>285.54000000000002</v>
      </c>
      <c r="N733" s="1">
        <f ca="1">IFERROR(__xludf.DUMMYFUNCTION("""COMPUTED_VALUE"""),136.74)</f>
        <v>136.74</v>
      </c>
      <c r="O733" s="1">
        <f ca="1">IFERROR(__xludf.DUMMYFUNCTION("""COMPUTED_VALUE"""),213.79)</f>
        <v>213.79</v>
      </c>
      <c r="P733" s="1">
        <f ca="1">IFERROR(__xludf.DUMMYFUNCTION("""COMPUTED_VALUE"""),177.24)</f>
        <v>177.24</v>
      </c>
      <c r="Q733" s="1">
        <f ca="1">IFERROR(__xludf.DUMMYFUNCTION("""COMPUTED_VALUE"""),537.62)</f>
        <v>537.62</v>
      </c>
      <c r="R733" s="1">
        <f ca="1">IFERROR(__xludf.DUMMYFUNCTION("""COMPUTED_VALUE"""),113.21)</f>
        <v>113.21</v>
      </c>
      <c r="S733" s="1">
        <f ca="1">IFERROR(__xludf.DUMMYFUNCTION("""COMPUTED_VALUE"""),85.34)</f>
        <v>85.34</v>
      </c>
      <c r="T733" s="1">
        <f ca="1">IFERROR(__xludf.DUMMYFUNCTION("""COMPUTED_VALUE"""),51.02)</f>
        <v>51.02</v>
      </c>
      <c r="U733" s="1">
        <f ca="1">IFERROR(__xludf.DUMMYFUNCTION("""COMPUTED_VALUE"""),105.96)</f>
        <v>105.96</v>
      </c>
      <c r="V733" s="1">
        <f ca="1">IFERROR(__xludf.DUMMYFUNCTION("""COMPUTED_VALUE"""),235.7)</f>
        <v>235.7</v>
      </c>
      <c r="W733" s="1">
        <f ca="1">IFERROR(__xludf.DUMMYFUNCTION("""COMPUTED_VALUE"""),483.46)</f>
        <v>483.46</v>
      </c>
      <c r="X733" s="1">
        <f ca="1">IFERROR(__xludf.DUMMYFUNCTION("""COMPUTED_VALUE"""),591.84)</f>
        <v>591.84</v>
      </c>
      <c r="Y733" s="1">
        <f ca="1">IFERROR(__xludf.DUMMYFUNCTION("""COMPUTED_VALUE"""),81.4)</f>
        <v>81.400000000000006</v>
      </c>
      <c r="Z733" s="1">
        <f ca="1">IFERROR(__xludf.DUMMYFUNCTION("""COMPUTED_VALUE"""),388.86)</f>
        <v>388.86</v>
      </c>
      <c r="AA733" s="1">
        <f ca="1">IFERROR(__xludf.DUMMYFUNCTION("""COMPUTED_VALUE"""),49.21)</f>
        <v>49.21</v>
      </c>
      <c r="AB733" s="1">
        <f ca="1">IFERROR(__xludf.DUMMYFUNCTION("""COMPUTED_VALUE"""),99.56)</f>
        <v>99.56</v>
      </c>
      <c r="AC733" s="1">
        <f ca="1">IFERROR(__xludf.DUMMYFUNCTION("""COMPUTED_VALUE"""),75.14)</f>
        <v>75.14</v>
      </c>
    </row>
    <row r="734" spans="1:29" x14ac:dyDescent="0.25">
      <c r="A734" s="2">
        <f ca="1">IFERROR(__xludf.DUMMYFUNCTION("""COMPUTED_VALUE"""),44893.6666666666)</f>
        <v>44893.666666666599</v>
      </c>
      <c r="B734" s="1">
        <f ca="1">IFERROR(__xludf.DUMMYFUNCTION("""COMPUTED_VALUE"""),144.22)</f>
        <v>144.22</v>
      </c>
      <c r="C734" s="1">
        <f ca="1">IFERROR(__xludf.DUMMYFUNCTION("""COMPUTED_VALUE"""),241.76)</f>
        <v>241.76</v>
      </c>
      <c r="D734" s="1">
        <f ca="1">IFERROR(__xludf.DUMMYFUNCTION("""COMPUTED_VALUE"""),93.95)</f>
        <v>93.95</v>
      </c>
      <c r="E734" s="1">
        <f ca="1">IFERROR(__xludf.DUMMYFUNCTION("""COMPUTED_VALUE"""),15.83)</f>
        <v>15.83</v>
      </c>
      <c r="F734" s="1">
        <f ca="1">IFERROR(__xludf.DUMMYFUNCTION("""COMPUTED_VALUE"""),108.78)</f>
        <v>108.78</v>
      </c>
      <c r="G734" s="1">
        <f ca="1">IFERROR(__xludf.DUMMYFUNCTION("""COMPUTED_VALUE"""),96.25)</f>
        <v>96.25</v>
      </c>
      <c r="H734" s="1">
        <f ca="1">IFERROR(__xludf.DUMMYFUNCTION("""COMPUTED_VALUE"""),182.92)</f>
        <v>182.92</v>
      </c>
      <c r="I734" s="1">
        <f ca="1">IFERROR(__xludf.DUMMYFUNCTION("""COMPUTED_VALUE"""),183.89)</f>
        <v>183.89</v>
      </c>
      <c r="J734" s="1">
        <f ca="1">IFERROR(__xludf.DUMMYFUNCTION("""COMPUTED_VALUE"""),530.92)</f>
        <v>530.91999999999996</v>
      </c>
      <c r="K734" s="1">
        <f ca="1">IFERROR(__xludf.DUMMYFUNCTION("""COMPUTED_VALUE"""),52.22)</f>
        <v>52.22</v>
      </c>
      <c r="L734" s="1">
        <f ca="1">IFERROR(__xludf.DUMMYFUNCTION("""COMPUTED_VALUE"""),328.97)</f>
        <v>328.97</v>
      </c>
      <c r="M734" s="1">
        <f ca="1">IFERROR(__xludf.DUMMYFUNCTION("""COMPUTED_VALUE"""),281.17)</f>
        <v>281.17</v>
      </c>
      <c r="N734" s="1">
        <f ca="1">IFERROR(__xludf.DUMMYFUNCTION("""COMPUTED_VALUE"""),134.35)</f>
        <v>134.35</v>
      </c>
      <c r="O734" s="1">
        <f ca="1">IFERROR(__xludf.DUMMYFUNCTION("""COMPUTED_VALUE"""),211.26)</f>
        <v>211.26</v>
      </c>
      <c r="P734" s="1">
        <f ca="1">IFERROR(__xludf.DUMMYFUNCTION("""COMPUTED_VALUE"""),177.33)</f>
        <v>177.33</v>
      </c>
      <c r="Q734" s="1">
        <f ca="1">IFERROR(__xludf.DUMMYFUNCTION("""COMPUTED_VALUE"""),532.27)</f>
        <v>532.27</v>
      </c>
      <c r="R734" s="1">
        <f ca="1">IFERROR(__xludf.DUMMYFUNCTION("""COMPUTED_VALUE"""),109.81)</f>
        <v>109.81</v>
      </c>
      <c r="S734" s="1">
        <f ca="1">IFERROR(__xludf.DUMMYFUNCTION("""COMPUTED_VALUE"""),83.73)</f>
        <v>83.73</v>
      </c>
      <c r="T734" s="1">
        <f ca="1">IFERROR(__xludf.DUMMYFUNCTION("""COMPUTED_VALUE"""),51.17)</f>
        <v>51.17</v>
      </c>
      <c r="U734" s="1">
        <f ca="1">IFERROR(__xludf.DUMMYFUNCTION("""COMPUTED_VALUE"""),104.96)</f>
        <v>104.96</v>
      </c>
      <c r="V734" s="1">
        <f ca="1">IFERROR(__xludf.DUMMYFUNCTION("""COMPUTED_VALUE"""),232.3)</f>
        <v>232.3</v>
      </c>
      <c r="W734" s="1">
        <f ca="1">IFERROR(__xludf.DUMMYFUNCTION("""COMPUTED_VALUE"""),483.21)</f>
        <v>483.21</v>
      </c>
      <c r="X734" s="1">
        <f ca="1">IFERROR(__xludf.DUMMYFUNCTION("""COMPUTED_VALUE"""),583.34)</f>
        <v>583.34</v>
      </c>
      <c r="Y734" s="1">
        <f ca="1">IFERROR(__xludf.DUMMYFUNCTION("""COMPUTED_VALUE"""),79.22)</f>
        <v>79.22</v>
      </c>
      <c r="Z734" s="1">
        <f ca="1">IFERROR(__xludf.DUMMYFUNCTION("""COMPUTED_VALUE"""),382.36)</f>
        <v>382.36</v>
      </c>
      <c r="AA734" s="1">
        <f ca="1">IFERROR(__xludf.DUMMYFUNCTION("""COMPUTED_VALUE"""),49.57)</f>
        <v>49.57</v>
      </c>
      <c r="AB734" s="1">
        <f ca="1">IFERROR(__xludf.DUMMYFUNCTION("""COMPUTED_VALUE"""),98.66)</f>
        <v>98.66</v>
      </c>
      <c r="AC734" s="1">
        <f ca="1">IFERROR(__xludf.DUMMYFUNCTION("""COMPUTED_VALUE"""),73.19)</f>
        <v>73.19</v>
      </c>
    </row>
    <row r="735" spans="1:29" x14ac:dyDescent="0.25">
      <c r="A735" s="2">
        <f ca="1">IFERROR(__xludf.DUMMYFUNCTION("""COMPUTED_VALUE"""),44894.6666666666)</f>
        <v>44894.666666666599</v>
      </c>
      <c r="B735" s="1">
        <f ca="1">IFERROR(__xludf.DUMMYFUNCTION("""COMPUTED_VALUE"""),141.17)</f>
        <v>141.16999999999999</v>
      </c>
      <c r="C735" s="1">
        <f ca="1">IFERROR(__xludf.DUMMYFUNCTION("""COMPUTED_VALUE"""),240.33)</f>
        <v>240.33</v>
      </c>
      <c r="D735" s="1">
        <f ca="1">IFERROR(__xludf.DUMMYFUNCTION("""COMPUTED_VALUE"""),92.42)</f>
        <v>92.42</v>
      </c>
      <c r="E735" s="1">
        <f ca="1">IFERROR(__xludf.DUMMYFUNCTION("""COMPUTED_VALUE"""),15.64)</f>
        <v>15.64</v>
      </c>
      <c r="F735" s="1">
        <f ca="1">IFERROR(__xludf.DUMMYFUNCTION("""COMPUTED_VALUE"""),109.46)</f>
        <v>109.46</v>
      </c>
      <c r="G735" s="1">
        <f ca="1">IFERROR(__xludf.DUMMYFUNCTION("""COMPUTED_VALUE"""),95.44)</f>
        <v>95.44</v>
      </c>
      <c r="H735" s="1">
        <f ca="1">IFERROR(__xludf.DUMMYFUNCTION("""COMPUTED_VALUE"""),180.83)</f>
        <v>180.83</v>
      </c>
      <c r="I735" s="1">
        <f ca="1">IFERROR(__xludf.DUMMYFUNCTION("""COMPUTED_VALUE"""),182.59)</f>
        <v>182.59</v>
      </c>
      <c r="J735" s="1">
        <f ca="1">IFERROR(__xludf.DUMMYFUNCTION("""COMPUTED_VALUE"""),528.96)</f>
        <v>528.96</v>
      </c>
      <c r="K735" s="1">
        <f ca="1">IFERROR(__xludf.DUMMYFUNCTION("""COMPUTED_VALUE"""),52.14)</f>
        <v>52.14</v>
      </c>
      <c r="L735" s="1">
        <f ca="1">IFERROR(__xludf.DUMMYFUNCTION("""COMPUTED_VALUE"""),326.78)</f>
        <v>326.77999999999997</v>
      </c>
      <c r="M735" s="1">
        <f ca="1">IFERROR(__xludf.DUMMYFUNCTION("""COMPUTED_VALUE"""),280.96)</f>
        <v>280.95999999999998</v>
      </c>
      <c r="N735" s="1">
        <f ca="1">IFERROR(__xludf.DUMMYFUNCTION("""COMPUTED_VALUE"""),136.56)</f>
        <v>136.56</v>
      </c>
      <c r="O735" s="1">
        <f ca="1">IFERROR(__xludf.DUMMYFUNCTION("""COMPUTED_VALUE"""),209.06)</f>
        <v>209.06</v>
      </c>
      <c r="P735" s="1">
        <f ca="1">IFERROR(__xludf.DUMMYFUNCTION("""COMPUTED_VALUE"""),176.09)</f>
        <v>176.09</v>
      </c>
      <c r="Q735" s="1">
        <f ca="1">IFERROR(__xludf.DUMMYFUNCTION("""COMPUTED_VALUE"""),528)</f>
        <v>528</v>
      </c>
      <c r="R735" s="1">
        <f ca="1">IFERROR(__xludf.DUMMYFUNCTION("""COMPUTED_VALUE"""),110.54)</f>
        <v>110.54</v>
      </c>
      <c r="S735" s="1">
        <f ca="1">IFERROR(__xludf.DUMMYFUNCTION("""COMPUTED_VALUE"""),82.49)</f>
        <v>82.49</v>
      </c>
      <c r="T735" s="1">
        <f ca="1">IFERROR(__xludf.DUMMYFUNCTION("""COMPUTED_VALUE"""),50.99)</f>
        <v>50.99</v>
      </c>
      <c r="U735" s="1">
        <f ca="1">IFERROR(__xludf.DUMMYFUNCTION("""COMPUTED_VALUE"""),106.25)</f>
        <v>106.25</v>
      </c>
      <c r="V735" s="1">
        <f ca="1">IFERROR(__xludf.DUMMYFUNCTION("""COMPUTED_VALUE"""),235.12)</f>
        <v>235.12</v>
      </c>
      <c r="W735" s="1">
        <f ca="1">IFERROR(__xludf.DUMMYFUNCTION("""COMPUTED_VALUE"""),484.1)</f>
        <v>484.1</v>
      </c>
      <c r="X735" s="1">
        <f ca="1">IFERROR(__xludf.DUMMYFUNCTION("""COMPUTED_VALUE"""),578.82)</f>
        <v>578.82000000000005</v>
      </c>
      <c r="Y735" s="1">
        <f ca="1">IFERROR(__xludf.DUMMYFUNCTION("""COMPUTED_VALUE"""),79.33)</f>
        <v>79.33</v>
      </c>
      <c r="Z735" s="1">
        <f ca="1">IFERROR(__xludf.DUMMYFUNCTION("""COMPUTED_VALUE"""),383.71)</f>
        <v>383.71</v>
      </c>
      <c r="AA735" s="1">
        <f ca="1">IFERROR(__xludf.DUMMYFUNCTION("""COMPUTED_VALUE"""),49.49)</f>
        <v>49.49</v>
      </c>
      <c r="AB735" s="1">
        <f ca="1">IFERROR(__xludf.DUMMYFUNCTION("""COMPUTED_VALUE"""),98.66)</f>
        <v>98.66</v>
      </c>
      <c r="AC735" s="1">
        <f ca="1">IFERROR(__xludf.DUMMYFUNCTION("""COMPUTED_VALUE"""),73.39)</f>
        <v>73.39</v>
      </c>
    </row>
    <row r="736" spans="1:29" x14ac:dyDescent="0.25">
      <c r="A736" s="2">
        <f ca="1">IFERROR(__xludf.DUMMYFUNCTION("""COMPUTED_VALUE"""),44895.6666666666)</f>
        <v>44895.666666666599</v>
      </c>
      <c r="B736" s="1">
        <f ca="1">IFERROR(__xludf.DUMMYFUNCTION("""COMPUTED_VALUE"""),148.03)</f>
        <v>148.03</v>
      </c>
      <c r="C736" s="1">
        <f ca="1">IFERROR(__xludf.DUMMYFUNCTION("""COMPUTED_VALUE"""),255.14)</f>
        <v>255.14</v>
      </c>
      <c r="D736" s="1">
        <f ca="1">IFERROR(__xludf.DUMMYFUNCTION("""COMPUTED_VALUE"""),96.54)</f>
        <v>96.54</v>
      </c>
      <c r="E736" s="1">
        <f ca="1">IFERROR(__xludf.DUMMYFUNCTION("""COMPUTED_VALUE"""),16.92)</f>
        <v>16.920000000000002</v>
      </c>
      <c r="F736" s="1">
        <f ca="1">IFERROR(__xludf.DUMMYFUNCTION("""COMPUTED_VALUE"""),118.1)</f>
        <v>118.1</v>
      </c>
      <c r="G736" s="1">
        <f ca="1">IFERROR(__xludf.DUMMYFUNCTION("""COMPUTED_VALUE"""),101.45)</f>
        <v>101.45</v>
      </c>
      <c r="H736" s="1">
        <f ca="1">IFERROR(__xludf.DUMMYFUNCTION("""COMPUTED_VALUE"""),194.7)</f>
        <v>194.7</v>
      </c>
      <c r="I736" s="1">
        <f ca="1">IFERROR(__xludf.DUMMYFUNCTION("""COMPUTED_VALUE"""),185.51)</f>
        <v>185.51</v>
      </c>
      <c r="J736" s="1">
        <f ca="1">IFERROR(__xludf.DUMMYFUNCTION("""COMPUTED_VALUE"""),539.25)</f>
        <v>539.25</v>
      </c>
      <c r="K736" s="1">
        <f ca="1">IFERROR(__xludf.DUMMYFUNCTION("""COMPUTED_VALUE"""),55.1)</f>
        <v>55.1</v>
      </c>
      <c r="L736" s="1">
        <f ca="1">IFERROR(__xludf.DUMMYFUNCTION("""COMPUTED_VALUE"""),344.93)</f>
        <v>344.93</v>
      </c>
      <c r="M736" s="1">
        <f ca="1">IFERROR(__xludf.DUMMYFUNCTION("""COMPUTED_VALUE"""),305.53)</f>
        <v>305.52999999999997</v>
      </c>
      <c r="N736" s="1">
        <f ca="1">IFERROR(__xludf.DUMMYFUNCTION("""COMPUTED_VALUE"""),138.18)</f>
        <v>138.18</v>
      </c>
      <c r="O736" s="1">
        <f ca="1">IFERROR(__xludf.DUMMYFUNCTION("""COMPUTED_VALUE"""),217)</f>
        <v>217</v>
      </c>
      <c r="P736" s="1">
        <f ca="1">IFERROR(__xludf.DUMMYFUNCTION("""COMPUTED_VALUE"""),178)</f>
        <v>178</v>
      </c>
      <c r="Q736" s="1">
        <f ca="1">IFERROR(__xludf.DUMMYFUNCTION("""COMPUTED_VALUE"""),547.76)</f>
        <v>547.76</v>
      </c>
      <c r="R736" s="1">
        <f ca="1">IFERROR(__xludf.DUMMYFUNCTION("""COMPUTED_VALUE"""),111.34)</f>
        <v>111.34</v>
      </c>
      <c r="S736" s="1">
        <f ca="1">IFERROR(__xludf.DUMMYFUNCTION("""COMPUTED_VALUE"""),84.7)</f>
        <v>84.7</v>
      </c>
      <c r="T736" s="1">
        <f ca="1">IFERROR(__xludf.DUMMYFUNCTION("""COMPUTED_VALUE"""),50.81)</f>
        <v>50.81</v>
      </c>
      <c r="U736" s="1">
        <f ca="1">IFERROR(__xludf.DUMMYFUNCTION("""COMPUTED_VALUE"""),109.69)</f>
        <v>109.69</v>
      </c>
      <c r="V736" s="1">
        <f ca="1">IFERROR(__xludf.DUMMYFUNCTION("""COMPUTED_VALUE"""),236.41)</f>
        <v>236.41</v>
      </c>
      <c r="W736" s="1">
        <f ca="1">IFERROR(__xludf.DUMMYFUNCTION("""COMPUTED_VALUE"""),485.19)</f>
        <v>485.19</v>
      </c>
      <c r="X736" s="1">
        <f ca="1">IFERROR(__xludf.DUMMYFUNCTION("""COMPUTED_VALUE"""),608.12)</f>
        <v>608.12</v>
      </c>
      <c r="Y736" s="1">
        <f ca="1">IFERROR(__xludf.DUMMYFUNCTION("""COMPUTED_VALUE"""),82.98)</f>
        <v>82.98</v>
      </c>
      <c r="Z736" s="1">
        <f ca="1">IFERROR(__xludf.DUMMYFUNCTION("""COMPUTED_VALUE"""),386.15)</f>
        <v>386.15</v>
      </c>
      <c r="AA736" s="1">
        <f ca="1">IFERROR(__xludf.DUMMYFUNCTION("""COMPUTED_VALUE"""),50.13)</f>
        <v>50.13</v>
      </c>
      <c r="AB736" s="1">
        <f ca="1">IFERROR(__xludf.DUMMYFUNCTION("""COMPUTED_VALUE"""),102.2)</f>
        <v>102.2</v>
      </c>
      <c r="AC736" s="1">
        <f ca="1">IFERROR(__xludf.DUMMYFUNCTION("""COMPUTED_VALUE"""),77.63)</f>
        <v>77.63</v>
      </c>
    </row>
    <row r="737" spans="1:29" x14ac:dyDescent="0.25">
      <c r="A737" s="2">
        <f ca="1">IFERROR(__xludf.DUMMYFUNCTION("""COMPUTED_VALUE"""),44896.6666666666)</f>
        <v>44896.666666666599</v>
      </c>
      <c r="B737" s="1">
        <f ca="1">IFERROR(__xludf.DUMMYFUNCTION("""COMPUTED_VALUE"""),148.31)</f>
        <v>148.31</v>
      </c>
      <c r="C737" s="1">
        <f ca="1">IFERROR(__xludf.DUMMYFUNCTION("""COMPUTED_VALUE"""),254.69)</f>
        <v>254.69</v>
      </c>
      <c r="D737" s="1">
        <f ca="1">IFERROR(__xludf.DUMMYFUNCTION("""COMPUTED_VALUE"""),95.5)</f>
        <v>95.5</v>
      </c>
      <c r="E737" s="1">
        <f ca="1">IFERROR(__xludf.DUMMYFUNCTION("""COMPUTED_VALUE"""),17.14)</f>
        <v>17.14</v>
      </c>
      <c r="F737" s="1">
        <f ca="1">IFERROR(__xludf.DUMMYFUNCTION("""COMPUTED_VALUE"""),120.44)</f>
        <v>120.44</v>
      </c>
      <c r="G737" s="1">
        <f ca="1">IFERROR(__xludf.DUMMYFUNCTION("""COMPUTED_VALUE"""),101.28)</f>
        <v>101.28</v>
      </c>
      <c r="H737" s="1">
        <f ca="1">IFERROR(__xludf.DUMMYFUNCTION("""COMPUTED_VALUE"""),194.7)</f>
        <v>194.7</v>
      </c>
      <c r="I737" s="1">
        <f ca="1">IFERROR(__xludf.DUMMYFUNCTION("""COMPUTED_VALUE"""),185.9)</f>
        <v>185.9</v>
      </c>
      <c r="J737" s="1">
        <f ca="1">IFERROR(__xludf.DUMMYFUNCTION("""COMPUTED_VALUE"""),503.86)</f>
        <v>503.86</v>
      </c>
      <c r="K737" s="1">
        <f ca="1">IFERROR(__xludf.DUMMYFUNCTION("""COMPUTED_VALUE"""),55.08)</f>
        <v>55.08</v>
      </c>
      <c r="L737" s="1">
        <f ca="1">IFERROR(__xludf.DUMMYFUNCTION("""COMPUTED_VALUE"""),344.11)</f>
        <v>344.11</v>
      </c>
      <c r="M737" s="1">
        <f ca="1">IFERROR(__xludf.DUMMYFUNCTION("""COMPUTED_VALUE"""),316.95)</f>
        <v>316.95</v>
      </c>
      <c r="N737" s="1">
        <f ca="1">IFERROR(__xludf.DUMMYFUNCTION("""COMPUTED_VALUE"""),136.24)</f>
        <v>136.24</v>
      </c>
      <c r="O737" s="1">
        <f ca="1">IFERROR(__xludf.DUMMYFUNCTION("""COMPUTED_VALUE"""),217)</f>
        <v>217</v>
      </c>
      <c r="P737" s="1">
        <f ca="1">IFERROR(__xludf.DUMMYFUNCTION("""COMPUTED_VALUE"""),178.74)</f>
        <v>178.74</v>
      </c>
      <c r="Q737" s="1">
        <f ca="1">IFERROR(__xludf.DUMMYFUNCTION("""COMPUTED_VALUE"""),536.91)</f>
        <v>536.91</v>
      </c>
      <c r="R737" s="1">
        <f ca="1">IFERROR(__xludf.DUMMYFUNCTION("""COMPUTED_VALUE"""),110.8)</f>
        <v>110.8</v>
      </c>
      <c r="S737" s="1">
        <f ca="1">IFERROR(__xludf.DUMMYFUNCTION("""COMPUTED_VALUE"""),84.83)</f>
        <v>84.83</v>
      </c>
      <c r="T737" s="1">
        <f ca="1">IFERROR(__xludf.DUMMYFUNCTION("""COMPUTED_VALUE"""),51.12)</f>
        <v>51.12</v>
      </c>
      <c r="U737" s="1">
        <f ca="1">IFERROR(__xludf.DUMMYFUNCTION("""COMPUTED_VALUE"""),111.11)</f>
        <v>111.11</v>
      </c>
      <c r="V737" s="1">
        <f ca="1">IFERROR(__xludf.DUMMYFUNCTION("""COMPUTED_VALUE"""),235.69)</f>
        <v>235.69</v>
      </c>
      <c r="W737" s="1">
        <f ca="1">IFERROR(__xludf.DUMMYFUNCTION("""COMPUTED_VALUE"""),483.69)</f>
        <v>483.69</v>
      </c>
      <c r="X737" s="1">
        <f ca="1">IFERROR(__xludf.DUMMYFUNCTION("""COMPUTED_VALUE"""),611.26)</f>
        <v>611.26</v>
      </c>
      <c r="Y737" s="1">
        <f ca="1">IFERROR(__xludf.DUMMYFUNCTION("""COMPUTED_VALUE"""),82.68)</f>
        <v>82.68</v>
      </c>
      <c r="Z737" s="1">
        <f ca="1">IFERROR(__xludf.DUMMYFUNCTION("""COMPUTED_VALUE"""),383.81)</f>
        <v>383.81</v>
      </c>
      <c r="AA737" s="1">
        <f ca="1">IFERROR(__xludf.DUMMYFUNCTION("""COMPUTED_VALUE"""),51.08)</f>
        <v>51.08</v>
      </c>
      <c r="AB737" s="1">
        <f ca="1">IFERROR(__xludf.DUMMYFUNCTION("""COMPUTED_VALUE"""),103.37)</f>
        <v>103.37</v>
      </c>
      <c r="AC737" s="1">
        <f ca="1">IFERROR(__xludf.DUMMYFUNCTION("""COMPUTED_VALUE"""),77.48)</f>
        <v>77.48</v>
      </c>
    </row>
    <row r="738" spans="1:29" x14ac:dyDescent="0.25">
      <c r="A738" s="2">
        <f ca="1">IFERROR(__xludf.DUMMYFUNCTION("""COMPUTED_VALUE"""),44897.6666666666)</f>
        <v>44897.666666666599</v>
      </c>
      <c r="B738" s="1">
        <f ca="1">IFERROR(__xludf.DUMMYFUNCTION("""COMPUTED_VALUE"""),147.81)</f>
        <v>147.81</v>
      </c>
      <c r="C738" s="1">
        <f ca="1">IFERROR(__xludf.DUMMYFUNCTION("""COMPUTED_VALUE"""),255.02)</f>
        <v>255.02</v>
      </c>
      <c r="D738" s="1">
        <f ca="1">IFERROR(__xludf.DUMMYFUNCTION("""COMPUTED_VALUE"""),94.13)</f>
        <v>94.13</v>
      </c>
      <c r="E738" s="1">
        <f ca="1">IFERROR(__xludf.DUMMYFUNCTION("""COMPUTED_VALUE"""),16.88)</f>
        <v>16.88</v>
      </c>
      <c r="F738" s="1">
        <f ca="1">IFERROR(__xludf.DUMMYFUNCTION("""COMPUTED_VALUE"""),123.49)</f>
        <v>123.49</v>
      </c>
      <c r="G738" s="1">
        <f ca="1">IFERROR(__xludf.DUMMYFUNCTION("""COMPUTED_VALUE"""),100.83)</f>
        <v>100.83</v>
      </c>
      <c r="H738" s="1">
        <f ca="1">IFERROR(__xludf.DUMMYFUNCTION("""COMPUTED_VALUE"""),194.86)</f>
        <v>194.86</v>
      </c>
      <c r="I738" s="1">
        <f ca="1">IFERROR(__xludf.DUMMYFUNCTION("""COMPUTED_VALUE"""),185.69)</f>
        <v>185.69</v>
      </c>
      <c r="J738" s="1">
        <f ca="1">IFERROR(__xludf.DUMMYFUNCTION("""COMPUTED_VALUE"""),494.53)</f>
        <v>494.53</v>
      </c>
      <c r="K738" s="1">
        <f ca="1">IFERROR(__xludf.DUMMYFUNCTION("""COMPUTED_VALUE"""),54.08)</f>
        <v>54.08</v>
      </c>
      <c r="L738" s="1">
        <f ca="1">IFERROR(__xludf.DUMMYFUNCTION("""COMPUTED_VALUE"""),341.53)</f>
        <v>341.53</v>
      </c>
      <c r="M738" s="1">
        <f ca="1">IFERROR(__xludf.DUMMYFUNCTION("""COMPUTED_VALUE"""),320.41)</f>
        <v>320.41000000000003</v>
      </c>
      <c r="N738" s="1">
        <f ca="1">IFERROR(__xludf.DUMMYFUNCTION("""COMPUTED_VALUE"""),135.16)</f>
        <v>135.16</v>
      </c>
      <c r="O738" s="1">
        <f ca="1">IFERROR(__xludf.DUMMYFUNCTION("""COMPUTED_VALUE"""),217.66)</f>
        <v>217.66</v>
      </c>
      <c r="P738" s="1">
        <f ca="1">IFERROR(__xludf.DUMMYFUNCTION("""COMPUTED_VALUE"""),178.88)</f>
        <v>178.88</v>
      </c>
      <c r="Q738" s="1">
        <f ca="1">IFERROR(__xludf.DUMMYFUNCTION("""COMPUTED_VALUE"""),536.16)</f>
        <v>536.16</v>
      </c>
      <c r="R738" s="1">
        <f ca="1">IFERROR(__xludf.DUMMYFUNCTION("""COMPUTED_VALUE"""),109.86)</f>
        <v>109.86</v>
      </c>
      <c r="S738" s="1">
        <f ca="1">IFERROR(__xludf.DUMMYFUNCTION("""COMPUTED_VALUE"""),85.2)</f>
        <v>85.2</v>
      </c>
      <c r="T738" s="1">
        <f ca="1">IFERROR(__xludf.DUMMYFUNCTION("""COMPUTED_VALUE"""),51.07)</f>
        <v>51.07</v>
      </c>
      <c r="U738" s="1">
        <f ca="1">IFERROR(__xludf.DUMMYFUNCTION("""COMPUTED_VALUE"""),112.2)</f>
        <v>112.2</v>
      </c>
      <c r="V738" s="1">
        <f ca="1">IFERROR(__xludf.DUMMYFUNCTION("""COMPUTED_VALUE"""),236.13)</f>
        <v>236.13</v>
      </c>
      <c r="W738" s="1">
        <f ca="1">IFERROR(__xludf.DUMMYFUNCTION("""COMPUTED_VALUE"""),496.23)</f>
        <v>496.23</v>
      </c>
      <c r="X738" s="1">
        <f ca="1">IFERROR(__xludf.DUMMYFUNCTION("""COMPUTED_VALUE"""),605.71)</f>
        <v>605.71</v>
      </c>
      <c r="Y738" s="1">
        <f ca="1">IFERROR(__xludf.DUMMYFUNCTION("""COMPUTED_VALUE"""),81.5)</f>
        <v>81.5</v>
      </c>
      <c r="Z738" s="1">
        <f ca="1">IFERROR(__xludf.DUMMYFUNCTION("""COMPUTED_VALUE"""),380.58)</f>
        <v>380.58</v>
      </c>
      <c r="AA738" s="1">
        <f ca="1">IFERROR(__xludf.DUMMYFUNCTION("""COMPUTED_VALUE"""),50.91)</f>
        <v>50.91</v>
      </c>
      <c r="AB738" s="1">
        <f ca="1">IFERROR(__xludf.DUMMYFUNCTION("""COMPUTED_VALUE"""),105.05)</f>
        <v>105.05</v>
      </c>
      <c r="AC738" s="1">
        <f ca="1">IFERROR(__xludf.DUMMYFUNCTION("""COMPUTED_VALUE"""),74.98)</f>
        <v>74.98</v>
      </c>
    </row>
    <row r="739" spans="1:29" x14ac:dyDescent="0.25">
      <c r="A739" s="2">
        <f ca="1">IFERROR(__xludf.DUMMYFUNCTION("""COMPUTED_VALUE"""),44900.6666666666)</f>
        <v>44900.666666666599</v>
      </c>
      <c r="B739" s="1">
        <f ca="1">IFERROR(__xludf.DUMMYFUNCTION("""COMPUTED_VALUE"""),146.63)</f>
        <v>146.63</v>
      </c>
      <c r="C739" s="1">
        <f ca="1">IFERROR(__xludf.DUMMYFUNCTION("""COMPUTED_VALUE"""),250.2)</f>
        <v>250.2</v>
      </c>
      <c r="D739" s="1">
        <f ca="1">IFERROR(__xludf.DUMMYFUNCTION("""COMPUTED_VALUE"""),91.01)</f>
        <v>91.01</v>
      </c>
      <c r="E739" s="1">
        <f ca="1">IFERROR(__xludf.DUMMYFUNCTION("""COMPUTED_VALUE"""),16.61)</f>
        <v>16.61</v>
      </c>
      <c r="F739" s="1">
        <f ca="1">IFERROR(__xludf.DUMMYFUNCTION("""COMPUTED_VALUE"""),122.43)</f>
        <v>122.43</v>
      </c>
      <c r="G739" s="1">
        <f ca="1">IFERROR(__xludf.DUMMYFUNCTION("""COMPUTED_VALUE"""),99.87)</f>
        <v>99.87</v>
      </c>
      <c r="H739" s="1">
        <f ca="1">IFERROR(__xludf.DUMMYFUNCTION("""COMPUTED_VALUE"""),182.45)</f>
        <v>182.45</v>
      </c>
      <c r="I739" s="1">
        <f ca="1">IFERROR(__xludf.DUMMYFUNCTION("""COMPUTED_VALUE"""),183.12)</f>
        <v>183.12</v>
      </c>
      <c r="J739" s="1">
        <f ca="1">IFERROR(__xludf.DUMMYFUNCTION("""COMPUTED_VALUE"""),488.66)</f>
        <v>488.66</v>
      </c>
      <c r="K739" s="1">
        <f ca="1">IFERROR(__xludf.DUMMYFUNCTION("""COMPUTED_VALUE"""),53.06)</f>
        <v>53.06</v>
      </c>
      <c r="L739" s="1">
        <f ca="1">IFERROR(__xludf.DUMMYFUNCTION("""COMPUTED_VALUE"""),334.09)</f>
        <v>334.09</v>
      </c>
      <c r="M739" s="1">
        <f ca="1">IFERROR(__xludf.DUMMYFUNCTION("""COMPUTED_VALUE"""),312.59)</f>
        <v>312.58999999999997</v>
      </c>
      <c r="N739" s="1">
        <f ca="1">IFERROR(__xludf.DUMMYFUNCTION("""COMPUTED_VALUE"""),131.37)</f>
        <v>131.37</v>
      </c>
      <c r="O739" s="1">
        <f ca="1">IFERROR(__xludf.DUMMYFUNCTION("""COMPUTED_VALUE"""),213.68)</f>
        <v>213.68</v>
      </c>
      <c r="P739" s="1">
        <f ca="1">IFERROR(__xludf.DUMMYFUNCTION("""COMPUTED_VALUE"""),178.78)</f>
        <v>178.78</v>
      </c>
      <c r="Q739" s="1">
        <f ca="1">IFERROR(__xludf.DUMMYFUNCTION("""COMPUTED_VALUE"""),535.04)</f>
        <v>535.04</v>
      </c>
      <c r="R739" s="1">
        <f ca="1">IFERROR(__xludf.DUMMYFUNCTION("""COMPUTED_VALUE"""),106.85)</f>
        <v>106.85</v>
      </c>
      <c r="S739" s="1">
        <f ca="1">IFERROR(__xludf.DUMMYFUNCTION("""COMPUTED_VALUE"""),85.15)</f>
        <v>85.15</v>
      </c>
      <c r="T739" s="1">
        <f ca="1">IFERROR(__xludf.DUMMYFUNCTION("""COMPUTED_VALUE"""),50.55)</f>
        <v>50.55</v>
      </c>
      <c r="U739" s="1">
        <f ca="1">IFERROR(__xludf.DUMMYFUNCTION("""COMPUTED_VALUE"""),109.62)</f>
        <v>109.62</v>
      </c>
      <c r="V739" s="1">
        <f ca="1">IFERROR(__xludf.DUMMYFUNCTION("""COMPUTED_VALUE"""),232.57)</f>
        <v>232.57</v>
      </c>
      <c r="W739" s="1">
        <f ca="1">IFERROR(__xludf.DUMMYFUNCTION("""COMPUTED_VALUE"""),490.67)</f>
        <v>490.67</v>
      </c>
      <c r="X739" s="1">
        <f ca="1">IFERROR(__xludf.DUMMYFUNCTION("""COMPUTED_VALUE"""),600.79)</f>
        <v>600.79</v>
      </c>
      <c r="Y739" s="1">
        <f ca="1">IFERROR(__xludf.DUMMYFUNCTION("""COMPUTED_VALUE"""),81.62)</f>
        <v>81.62</v>
      </c>
      <c r="Z739" s="1">
        <f ca="1">IFERROR(__xludf.DUMMYFUNCTION("""COMPUTED_VALUE"""),371.54)</f>
        <v>371.54</v>
      </c>
      <c r="AA739" s="1">
        <f ca="1">IFERROR(__xludf.DUMMYFUNCTION("""COMPUTED_VALUE"""),50.73)</f>
        <v>50.73</v>
      </c>
      <c r="AB739" s="1">
        <f ca="1">IFERROR(__xludf.DUMMYFUNCTION("""COMPUTED_VALUE"""),103.55)</f>
        <v>103.55</v>
      </c>
      <c r="AC739" s="1">
        <f ca="1">IFERROR(__xludf.DUMMYFUNCTION("""COMPUTED_VALUE"""),73.62)</f>
        <v>73.62</v>
      </c>
    </row>
    <row r="740" spans="1:29" x14ac:dyDescent="0.25">
      <c r="A740" s="2">
        <f ca="1">IFERROR(__xludf.DUMMYFUNCTION("""COMPUTED_VALUE"""),44901.6666666666)</f>
        <v>44901.666666666599</v>
      </c>
      <c r="B740" s="1">
        <f ca="1">IFERROR(__xludf.DUMMYFUNCTION("""COMPUTED_VALUE"""),142.91)</f>
        <v>142.91</v>
      </c>
      <c r="C740" s="1">
        <f ca="1">IFERROR(__xludf.DUMMYFUNCTION("""COMPUTED_VALUE"""),245.12)</f>
        <v>245.12</v>
      </c>
      <c r="D740" s="1">
        <f ca="1">IFERROR(__xludf.DUMMYFUNCTION("""COMPUTED_VALUE"""),88.25)</f>
        <v>88.25</v>
      </c>
      <c r="E740" s="1">
        <f ca="1">IFERROR(__xludf.DUMMYFUNCTION("""COMPUTED_VALUE"""),15.99)</f>
        <v>15.99</v>
      </c>
      <c r="F740" s="1">
        <f ca="1">IFERROR(__xludf.DUMMYFUNCTION("""COMPUTED_VALUE"""),114.12)</f>
        <v>114.12</v>
      </c>
      <c r="G740" s="1">
        <f ca="1">IFERROR(__xludf.DUMMYFUNCTION("""COMPUTED_VALUE"""),97.31)</f>
        <v>97.31</v>
      </c>
      <c r="H740" s="1">
        <f ca="1">IFERROR(__xludf.DUMMYFUNCTION("""COMPUTED_VALUE"""),179.82)</f>
        <v>179.82</v>
      </c>
      <c r="I740" s="1">
        <f ca="1">IFERROR(__xludf.DUMMYFUNCTION("""COMPUTED_VALUE"""),181.63)</f>
        <v>181.63</v>
      </c>
      <c r="J740" s="1">
        <f ca="1">IFERROR(__xludf.DUMMYFUNCTION("""COMPUTED_VALUE"""),481.16)</f>
        <v>481.16</v>
      </c>
      <c r="K740" s="1">
        <f ca="1">IFERROR(__xludf.DUMMYFUNCTION("""COMPUTED_VALUE"""),52.58)</f>
        <v>52.58</v>
      </c>
      <c r="L740" s="1">
        <f ca="1">IFERROR(__xludf.DUMMYFUNCTION("""COMPUTED_VALUE"""),331.15)</f>
        <v>331.15</v>
      </c>
      <c r="M740" s="1">
        <f ca="1">IFERROR(__xludf.DUMMYFUNCTION("""COMPUTED_VALUE"""),305.56)</f>
        <v>305.56</v>
      </c>
      <c r="N740" s="1">
        <f ca="1">IFERROR(__xludf.DUMMYFUNCTION("""COMPUTED_VALUE"""),131.59)</f>
        <v>131.59</v>
      </c>
      <c r="O740" s="1">
        <f ca="1">IFERROR(__xludf.DUMMYFUNCTION("""COMPUTED_VALUE"""),209.08)</f>
        <v>209.08</v>
      </c>
      <c r="P740" s="1">
        <f ca="1">IFERROR(__xludf.DUMMYFUNCTION("""COMPUTED_VALUE"""),176.1)</f>
        <v>176.1</v>
      </c>
      <c r="Q740" s="1">
        <f ca="1">IFERROR(__xludf.DUMMYFUNCTION("""COMPUTED_VALUE"""),539.32)</f>
        <v>539.32000000000005</v>
      </c>
      <c r="R740" s="1">
        <f ca="1">IFERROR(__xludf.DUMMYFUNCTION("""COMPUTED_VALUE"""),103.88)</f>
        <v>103.88</v>
      </c>
      <c r="S740" s="1">
        <f ca="1">IFERROR(__xludf.DUMMYFUNCTION("""COMPUTED_VALUE"""),85.18)</f>
        <v>85.18</v>
      </c>
      <c r="T740" s="1">
        <f ca="1">IFERROR(__xludf.DUMMYFUNCTION("""COMPUTED_VALUE"""),49.96)</f>
        <v>49.96</v>
      </c>
      <c r="U740" s="1">
        <f ca="1">IFERROR(__xludf.DUMMYFUNCTION("""COMPUTED_VALUE"""),107.93)</f>
        <v>107.93</v>
      </c>
      <c r="V740" s="1">
        <f ca="1">IFERROR(__xludf.DUMMYFUNCTION("""COMPUTED_VALUE"""),228.29)</f>
        <v>228.29</v>
      </c>
      <c r="W740" s="1">
        <f ca="1">IFERROR(__xludf.DUMMYFUNCTION("""COMPUTED_VALUE"""),484)</f>
        <v>484</v>
      </c>
      <c r="X740" s="1">
        <f ca="1">IFERROR(__xludf.DUMMYFUNCTION("""COMPUTED_VALUE"""),593.05)</f>
        <v>593.04999999999995</v>
      </c>
      <c r="Y740" s="1">
        <f ca="1">IFERROR(__xludf.DUMMYFUNCTION("""COMPUTED_VALUE"""),79.56)</f>
        <v>79.56</v>
      </c>
      <c r="Z740" s="1">
        <f ca="1">IFERROR(__xludf.DUMMYFUNCTION("""COMPUTED_VALUE"""),362.91)</f>
        <v>362.91</v>
      </c>
      <c r="AA740" s="1">
        <f ca="1">IFERROR(__xludf.DUMMYFUNCTION("""COMPUTED_VALUE"""),49.71)</f>
        <v>49.71</v>
      </c>
      <c r="AB740" s="1">
        <f ca="1">IFERROR(__xludf.DUMMYFUNCTION("""COMPUTED_VALUE"""),102.08)</f>
        <v>102.08</v>
      </c>
      <c r="AC740" s="1">
        <f ca="1">IFERROR(__xludf.DUMMYFUNCTION("""COMPUTED_VALUE"""),70.27)</f>
        <v>70.27</v>
      </c>
    </row>
    <row r="741" spans="1:29" x14ac:dyDescent="0.25">
      <c r="A741" s="2">
        <f ca="1">IFERROR(__xludf.DUMMYFUNCTION("""COMPUTED_VALUE"""),44902.6666666666)</f>
        <v>44902.666666666599</v>
      </c>
      <c r="B741" s="1">
        <f ca="1">IFERROR(__xludf.DUMMYFUNCTION("""COMPUTED_VALUE"""),140.94)</f>
        <v>140.94</v>
      </c>
      <c r="C741" s="1">
        <f ca="1">IFERROR(__xludf.DUMMYFUNCTION("""COMPUTED_VALUE"""),244.37)</f>
        <v>244.37</v>
      </c>
      <c r="D741" s="1">
        <f ca="1">IFERROR(__xludf.DUMMYFUNCTION("""COMPUTED_VALUE"""),88.46)</f>
        <v>88.46</v>
      </c>
      <c r="E741" s="1">
        <f ca="1">IFERROR(__xludf.DUMMYFUNCTION("""COMPUTED_VALUE"""),16.12)</f>
        <v>16.12</v>
      </c>
      <c r="F741" s="1">
        <f ca="1">IFERROR(__xludf.DUMMYFUNCTION("""COMPUTED_VALUE"""),113.93)</f>
        <v>113.93</v>
      </c>
      <c r="G741" s="1">
        <f ca="1">IFERROR(__xludf.DUMMYFUNCTION("""COMPUTED_VALUE"""),95.15)</f>
        <v>95.15</v>
      </c>
      <c r="H741" s="1">
        <f ca="1">IFERROR(__xludf.DUMMYFUNCTION("""COMPUTED_VALUE"""),174.04)</f>
        <v>174.04</v>
      </c>
      <c r="I741" s="1">
        <f ca="1">IFERROR(__xludf.DUMMYFUNCTION("""COMPUTED_VALUE"""),182.18)</f>
        <v>182.18</v>
      </c>
      <c r="J741" s="1">
        <f ca="1">IFERROR(__xludf.DUMMYFUNCTION("""COMPUTED_VALUE"""),481.97)</f>
        <v>481.97</v>
      </c>
      <c r="K741" s="1">
        <f ca="1">IFERROR(__xludf.DUMMYFUNCTION("""COMPUTED_VALUE"""),51.85)</f>
        <v>51.85</v>
      </c>
      <c r="L741" s="1">
        <f ca="1">IFERROR(__xludf.DUMMYFUNCTION("""COMPUTED_VALUE"""),326.68)</f>
        <v>326.68</v>
      </c>
      <c r="M741" s="1">
        <f ca="1">IFERROR(__xludf.DUMMYFUNCTION("""COMPUTED_VALUE"""),308.42)</f>
        <v>308.42</v>
      </c>
      <c r="N741" s="1">
        <f ca="1">IFERROR(__xludf.DUMMYFUNCTION("""COMPUTED_VALUE"""),131.5)</f>
        <v>131.5</v>
      </c>
      <c r="O741" s="1">
        <f ca="1">IFERROR(__xludf.DUMMYFUNCTION("""COMPUTED_VALUE"""),207.81)</f>
        <v>207.81</v>
      </c>
      <c r="P741" s="1">
        <f ca="1">IFERROR(__xludf.DUMMYFUNCTION("""COMPUTED_VALUE"""),177.17)</f>
        <v>177.17</v>
      </c>
      <c r="Q741" s="1">
        <f ca="1">IFERROR(__xludf.DUMMYFUNCTION("""COMPUTED_VALUE"""),542.91)</f>
        <v>542.91</v>
      </c>
      <c r="R741" s="1">
        <f ca="1">IFERROR(__xludf.DUMMYFUNCTION("""COMPUTED_VALUE"""),103.65)</f>
        <v>103.65</v>
      </c>
      <c r="S741" s="1">
        <f ca="1">IFERROR(__xludf.DUMMYFUNCTION("""COMPUTED_VALUE"""),85.29)</f>
        <v>85.29</v>
      </c>
      <c r="T741" s="1">
        <f ca="1">IFERROR(__xludf.DUMMYFUNCTION("""COMPUTED_VALUE"""),49.7)</f>
        <v>49.7</v>
      </c>
      <c r="U741" s="1">
        <f ca="1">IFERROR(__xludf.DUMMYFUNCTION("""COMPUTED_VALUE"""),108.33)</f>
        <v>108.33</v>
      </c>
      <c r="V741" s="1">
        <f ca="1">IFERROR(__xludf.DUMMYFUNCTION("""COMPUTED_VALUE"""),228.98)</f>
        <v>228.98</v>
      </c>
      <c r="W741" s="1">
        <f ca="1">IFERROR(__xludf.DUMMYFUNCTION("""COMPUTED_VALUE"""),481.2)</f>
        <v>481.2</v>
      </c>
      <c r="X741" s="1">
        <f ca="1">IFERROR(__xludf.DUMMYFUNCTION("""COMPUTED_VALUE"""),601.35)</f>
        <v>601.35</v>
      </c>
      <c r="Y741" s="1">
        <f ca="1">IFERROR(__xludf.DUMMYFUNCTION("""COMPUTED_VALUE"""),79.24)</f>
        <v>79.239999999999995</v>
      </c>
      <c r="Z741" s="1">
        <f ca="1">IFERROR(__xludf.DUMMYFUNCTION("""COMPUTED_VALUE"""),359.92)</f>
        <v>359.92</v>
      </c>
      <c r="AA741" s="1">
        <f ca="1">IFERROR(__xludf.DUMMYFUNCTION("""COMPUTED_VALUE"""),50.24)</f>
        <v>50.24</v>
      </c>
      <c r="AB741" s="1">
        <f ca="1">IFERROR(__xludf.DUMMYFUNCTION("""COMPUTED_VALUE"""),101.87)</f>
        <v>101.87</v>
      </c>
      <c r="AC741" s="1">
        <f ca="1">IFERROR(__xludf.DUMMYFUNCTION("""COMPUTED_VALUE"""),70.14)</f>
        <v>70.14</v>
      </c>
    </row>
    <row r="742" spans="1:29" x14ac:dyDescent="0.25">
      <c r="A742" s="2">
        <f ca="1">IFERROR(__xludf.DUMMYFUNCTION("""COMPUTED_VALUE"""),44903.6666666666)</f>
        <v>44903.666666666599</v>
      </c>
      <c r="B742" s="1">
        <f ca="1">IFERROR(__xludf.DUMMYFUNCTION("""COMPUTED_VALUE"""),142.65)</f>
        <v>142.65</v>
      </c>
      <c r="C742" s="1">
        <f ca="1">IFERROR(__xludf.DUMMYFUNCTION("""COMPUTED_VALUE"""),247.4)</f>
        <v>247.4</v>
      </c>
      <c r="D742" s="1">
        <f ca="1">IFERROR(__xludf.DUMMYFUNCTION("""COMPUTED_VALUE"""),90.35)</f>
        <v>90.35</v>
      </c>
      <c r="E742" s="1">
        <f ca="1">IFERROR(__xludf.DUMMYFUNCTION("""COMPUTED_VALUE"""),17.17)</f>
        <v>17.170000000000002</v>
      </c>
      <c r="F742" s="1">
        <f ca="1">IFERROR(__xludf.DUMMYFUNCTION("""COMPUTED_VALUE"""),115.33)</f>
        <v>115.33</v>
      </c>
      <c r="G742" s="1">
        <f ca="1">IFERROR(__xludf.DUMMYFUNCTION("""COMPUTED_VALUE"""),93.95)</f>
        <v>93.95</v>
      </c>
      <c r="H742" s="1">
        <f ca="1">IFERROR(__xludf.DUMMYFUNCTION("""COMPUTED_VALUE"""),173.44)</f>
        <v>173.44</v>
      </c>
      <c r="I742" s="1">
        <f ca="1">IFERROR(__xludf.DUMMYFUNCTION("""COMPUTED_VALUE"""),183.78)</f>
        <v>183.78</v>
      </c>
      <c r="J742" s="1">
        <f ca="1">IFERROR(__xludf.DUMMYFUNCTION("""COMPUTED_VALUE"""),481.42)</f>
        <v>481.42</v>
      </c>
      <c r="K742" s="1">
        <f ca="1">IFERROR(__xludf.DUMMYFUNCTION("""COMPUTED_VALUE"""),53.11)</f>
        <v>53.11</v>
      </c>
      <c r="L742" s="1">
        <f ca="1">IFERROR(__xludf.DUMMYFUNCTION("""COMPUTED_VALUE"""),332.58)</f>
        <v>332.58</v>
      </c>
      <c r="M742" s="1">
        <f ca="1">IFERROR(__xludf.DUMMYFUNCTION("""COMPUTED_VALUE"""),310.26)</f>
        <v>310.26</v>
      </c>
      <c r="N742" s="1">
        <f ca="1">IFERROR(__xludf.DUMMYFUNCTION("""COMPUTED_VALUE"""),132.88)</f>
        <v>132.88</v>
      </c>
      <c r="O742" s="1">
        <f ca="1">IFERROR(__xludf.DUMMYFUNCTION("""COMPUTED_VALUE"""),209.1)</f>
        <v>209.1</v>
      </c>
      <c r="P742" s="1">
        <f ca="1">IFERROR(__xludf.DUMMYFUNCTION("""COMPUTED_VALUE"""),177.2)</f>
        <v>177.2</v>
      </c>
      <c r="Q742" s="1">
        <f ca="1">IFERROR(__xludf.DUMMYFUNCTION("""COMPUTED_VALUE"""),547.92)</f>
        <v>547.91999999999996</v>
      </c>
      <c r="R742" s="1">
        <f ca="1">IFERROR(__xludf.DUMMYFUNCTION("""COMPUTED_VALUE"""),104.42)</f>
        <v>104.42</v>
      </c>
      <c r="S742" s="1">
        <f ca="1">IFERROR(__xludf.DUMMYFUNCTION("""COMPUTED_VALUE"""),85.76)</f>
        <v>85.76</v>
      </c>
      <c r="T742" s="1">
        <f ca="1">IFERROR(__xludf.DUMMYFUNCTION("""COMPUTED_VALUE"""),49.59)</f>
        <v>49.59</v>
      </c>
      <c r="U742" s="1">
        <f ca="1">IFERROR(__xludf.DUMMYFUNCTION("""COMPUTED_VALUE"""),111.36)</f>
        <v>111.36</v>
      </c>
      <c r="V742" s="1">
        <f ca="1">IFERROR(__xludf.DUMMYFUNCTION("""COMPUTED_VALUE"""),230.92)</f>
        <v>230.92</v>
      </c>
      <c r="W742" s="1">
        <f ca="1">IFERROR(__xludf.DUMMYFUNCTION("""COMPUTED_VALUE"""),485.38)</f>
        <v>485.38</v>
      </c>
      <c r="X742" s="1">
        <f ca="1">IFERROR(__xludf.DUMMYFUNCTION("""COMPUTED_VALUE"""),606.89)</f>
        <v>606.89</v>
      </c>
      <c r="Y742" s="1">
        <f ca="1">IFERROR(__xludf.DUMMYFUNCTION("""COMPUTED_VALUE"""),80.8)</f>
        <v>80.8</v>
      </c>
      <c r="Z742" s="1">
        <f ca="1">IFERROR(__xludf.DUMMYFUNCTION("""COMPUTED_VALUE"""),358.08)</f>
        <v>358.08</v>
      </c>
      <c r="AA742" s="1">
        <f ca="1">IFERROR(__xludf.DUMMYFUNCTION("""COMPUTED_VALUE"""),51.78)</f>
        <v>51.78</v>
      </c>
      <c r="AB742" s="1">
        <f ca="1">IFERROR(__xludf.DUMMYFUNCTION("""COMPUTED_VALUE"""),103.74)</f>
        <v>103.74</v>
      </c>
      <c r="AC742" s="1">
        <f ca="1">IFERROR(__xludf.DUMMYFUNCTION("""COMPUTED_VALUE"""),70.47)</f>
        <v>70.47</v>
      </c>
    </row>
    <row r="743" spans="1:29" x14ac:dyDescent="0.25">
      <c r="A743" s="2">
        <f ca="1">IFERROR(__xludf.DUMMYFUNCTION("""COMPUTED_VALUE"""),44904.6666666666)</f>
        <v>44904.666666666599</v>
      </c>
      <c r="B743" s="1">
        <f ca="1">IFERROR(__xludf.DUMMYFUNCTION("""COMPUTED_VALUE"""),142.16)</f>
        <v>142.16</v>
      </c>
      <c r="C743" s="1">
        <f ca="1">IFERROR(__xludf.DUMMYFUNCTION("""COMPUTED_VALUE"""),245.42)</f>
        <v>245.42</v>
      </c>
      <c r="D743" s="1">
        <f ca="1">IFERROR(__xludf.DUMMYFUNCTION("""COMPUTED_VALUE"""),89.09)</f>
        <v>89.09</v>
      </c>
      <c r="E743" s="1">
        <f ca="1">IFERROR(__xludf.DUMMYFUNCTION("""COMPUTED_VALUE"""),17)</f>
        <v>17</v>
      </c>
      <c r="F743" s="1">
        <f ca="1">IFERROR(__xludf.DUMMYFUNCTION("""COMPUTED_VALUE"""),115.9)</f>
        <v>115.9</v>
      </c>
      <c r="G743" s="1">
        <f ca="1">IFERROR(__xludf.DUMMYFUNCTION("""COMPUTED_VALUE"""),93.07)</f>
        <v>93.07</v>
      </c>
      <c r="H743" s="1">
        <f ca="1">IFERROR(__xludf.DUMMYFUNCTION("""COMPUTED_VALUE"""),179.05)</f>
        <v>179.05</v>
      </c>
      <c r="I743" s="1">
        <f ca="1">IFERROR(__xludf.DUMMYFUNCTION("""COMPUTED_VALUE"""),183.1)</f>
        <v>183.1</v>
      </c>
      <c r="J743" s="1">
        <f ca="1">IFERROR(__xludf.DUMMYFUNCTION("""COMPUTED_VALUE"""),483.02)</f>
        <v>483.02</v>
      </c>
      <c r="K743" s="1">
        <f ca="1">IFERROR(__xludf.DUMMYFUNCTION("""COMPUTED_VALUE"""),54.47)</f>
        <v>54.47</v>
      </c>
      <c r="L743" s="1">
        <f ca="1">IFERROR(__xludf.DUMMYFUNCTION("""COMPUTED_VALUE"""),330.64)</f>
        <v>330.64</v>
      </c>
      <c r="M743" s="1">
        <f ca="1">IFERROR(__xludf.DUMMYFUNCTION("""COMPUTED_VALUE"""),320.01)</f>
        <v>320.01</v>
      </c>
      <c r="N743" s="1">
        <f ca="1">IFERROR(__xludf.DUMMYFUNCTION("""COMPUTED_VALUE"""),132.16)</f>
        <v>132.16</v>
      </c>
      <c r="O743" s="1">
        <f ca="1">IFERROR(__xludf.DUMMYFUNCTION("""COMPUTED_VALUE"""),208.7)</f>
        <v>208.7</v>
      </c>
      <c r="P743" s="1">
        <f ca="1">IFERROR(__xludf.DUMMYFUNCTION("""COMPUTED_VALUE"""),175.74)</f>
        <v>175.74</v>
      </c>
      <c r="Q743" s="1">
        <f ca="1">IFERROR(__xludf.DUMMYFUNCTION("""COMPUTED_VALUE"""),539.2)</f>
        <v>539.20000000000005</v>
      </c>
      <c r="R743" s="1">
        <f ca="1">IFERROR(__xludf.DUMMYFUNCTION("""COMPUTED_VALUE"""),103.54)</f>
        <v>103.54</v>
      </c>
      <c r="S743" s="1">
        <f ca="1">IFERROR(__xludf.DUMMYFUNCTION("""COMPUTED_VALUE"""),84.51)</f>
        <v>84.51</v>
      </c>
      <c r="T743" s="1">
        <f ca="1">IFERROR(__xludf.DUMMYFUNCTION("""COMPUTED_VALUE"""),48.44)</f>
        <v>48.44</v>
      </c>
      <c r="U743" s="1">
        <f ca="1">IFERROR(__xludf.DUMMYFUNCTION("""COMPUTED_VALUE"""),109.42)</f>
        <v>109.42</v>
      </c>
      <c r="V743" s="1">
        <f ca="1">IFERROR(__xludf.DUMMYFUNCTION("""COMPUTED_VALUE"""),227.29)</f>
        <v>227.29</v>
      </c>
      <c r="W743" s="1">
        <f ca="1">IFERROR(__xludf.DUMMYFUNCTION("""COMPUTED_VALUE"""),483.58)</f>
        <v>483.58</v>
      </c>
      <c r="X743" s="1">
        <f ca="1">IFERROR(__xludf.DUMMYFUNCTION("""COMPUTED_VALUE"""),597.7)</f>
        <v>597.70000000000005</v>
      </c>
      <c r="Y743" s="1">
        <f ca="1">IFERROR(__xludf.DUMMYFUNCTION("""COMPUTED_VALUE"""),80.69)</f>
        <v>80.69</v>
      </c>
      <c r="Z743" s="1">
        <f ca="1">IFERROR(__xludf.DUMMYFUNCTION("""COMPUTED_VALUE"""),359.14)</f>
        <v>359.14</v>
      </c>
      <c r="AA743" s="1">
        <f ca="1">IFERROR(__xludf.DUMMYFUNCTION("""COMPUTED_VALUE"""),51.72)</f>
        <v>51.72</v>
      </c>
      <c r="AB743" s="1">
        <f ca="1">IFERROR(__xludf.DUMMYFUNCTION("""COMPUTED_VALUE"""),101.79)</f>
        <v>101.79</v>
      </c>
      <c r="AC743" s="1">
        <f ca="1">IFERROR(__xludf.DUMMYFUNCTION("""COMPUTED_VALUE"""),68.59)</f>
        <v>68.59</v>
      </c>
    </row>
    <row r="744" spans="1:29" x14ac:dyDescent="0.25">
      <c r="A744" s="2">
        <f ca="1">IFERROR(__xludf.DUMMYFUNCTION("""COMPUTED_VALUE"""),44907.6666666666)</f>
        <v>44907.666666666599</v>
      </c>
      <c r="B744" s="1">
        <f ca="1">IFERROR(__xludf.DUMMYFUNCTION("""COMPUTED_VALUE"""),144.49)</f>
        <v>144.49</v>
      </c>
      <c r="C744" s="1">
        <f ca="1">IFERROR(__xludf.DUMMYFUNCTION("""COMPUTED_VALUE"""),252.51)</f>
        <v>252.51</v>
      </c>
      <c r="D744" s="1">
        <f ca="1">IFERROR(__xludf.DUMMYFUNCTION("""COMPUTED_VALUE"""),90.55)</f>
        <v>90.55</v>
      </c>
      <c r="E744" s="1">
        <f ca="1">IFERROR(__xludf.DUMMYFUNCTION("""COMPUTED_VALUE"""),17.54)</f>
        <v>17.54</v>
      </c>
      <c r="F744" s="1">
        <f ca="1">IFERROR(__xludf.DUMMYFUNCTION("""COMPUTED_VALUE"""),114.71)</f>
        <v>114.71</v>
      </c>
      <c r="G744" s="1">
        <f ca="1">IFERROR(__xludf.DUMMYFUNCTION("""COMPUTED_VALUE"""),93.56)</f>
        <v>93.56</v>
      </c>
      <c r="H744" s="1">
        <f ca="1">IFERROR(__xludf.DUMMYFUNCTION("""COMPUTED_VALUE"""),167.82)</f>
        <v>167.82</v>
      </c>
      <c r="I744" s="1">
        <f ca="1">IFERROR(__xludf.DUMMYFUNCTION("""COMPUTED_VALUE"""),183.97)</f>
        <v>183.97</v>
      </c>
      <c r="J744" s="1">
        <f ca="1">IFERROR(__xludf.DUMMYFUNCTION("""COMPUTED_VALUE"""),487.68)</f>
        <v>487.68</v>
      </c>
      <c r="K744" s="1">
        <f ca="1">IFERROR(__xludf.DUMMYFUNCTION("""COMPUTED_VALUE"""),55.66)</f>
        <v>55.66</v>
      </c>
      <c r="L744" s="1">
        <f ca="1">IFERROR(__xludf.DUMMYFUNCTION("""COMPUTED_VALUE"""),338.17)</f>
        <v>338.17</v>
      </c>
      <c r="M744" s="1">
        <f ca="1">IFERROR(__xludf.DUMMYFUNCTION("""COMPUTED_VALUE"""),315.18)</f>
        <v>315.18</v>
      </c>
      <c r="N744" s="1">
        <f ca="1">IFERROR(__xludf.DUMMYFUNCTION("""COMPUTED_VALUE"""),134.21)</f>
        <v>134.21</v>
      </c>
      <c r="O744" s="1">
        <f ca="1">IFERROR(__xludf.DUMMYFUNCTION("""COMPUTED_VALUE"""),214.59)</f>
        <v>214.59</v>
      </c>
      <c r="P744" s="1">
        <f ca="1">IFERROR(__xludf.DUMMYFUNCTION("""COMPUTED_VALUE"""),177.84)</f>
        <v>177.84</v>
      </c>
      <c r="Q744" s="1">
        <f ca="1">IFERROR(__xludf.DUMMYFUNCTION("""COMPUTED_VALUE"""),545.86)</f>
        <v>545.86</v>
      </c>
      <c r="R744" s="1">
        <f ca="1">IFERROR(__xludf.DUMMYFUNCTION("""COMPUTED_VALUE"""),106.09)</f>
        <v>106.09</v>
      </c>
      <c r="S744" s="1">
        <f ca="1">IFERROR(__xludf.DUMMYFUNCTION("""COMPUTED_VALUE"""),86.55)</f>
        <v>86.55</v>
      </c>
      <c r="T744" s="1">
        <f ca="1">IFERROR(__xludf.DUMMYFUNCTION("""COMPUTED_VALUE"""),49.34)</f>
        <v>49.34</v>
      </c>
      <c r="U744" s="1">
        <f ca="1">IFERROR(__xludf.DUMMYFUNCTION("""COMPUTED_VALUE"""),112.07)</f>
        <v>112.07</v>
      </c>
      <c r="V744" s="1">
        <f ca="1">IFERROR(__xludf.DUMMYFUNCTION("""COMPUTED_VALUE"""),233.06)</f>
        <v>233.06</v>
      </c>
      <c r="W744" s="1">
        <f ca="1">IFERROR(__xludf.DUMMYFUNCTION("""COMPUTED_VALUE"""),486.32)</f>
        <v>486.32</v>
      </c>
      <c r="X744" s="1">
        <f ca="1">IFERROR(__xludf.DUMMYFUNCTION("""COMPUTED_VALUE"""),609.99)</f>
        <v>609.99</v>
      </c>
      <c r="Y744" s="1">
        <f ca="1">IFERROR(__xludf.DUMMYFUNCTION("""COMPUTED_VALUE"""),80.43)</f>
        <v>80.430000000000007</v>
      </c>
      <c r="Z744" s="1">
        <f ca="1">IFERROR(__xludf.DUMMYFUNCTION("""COMPUTED_VALUE"""),363.18)</f>
        <v>363.18</v>
      </c>
      <c r="AA744" s="1">
        <f ca="1">IFERROR(__xludf.DUMMYFUNCTION("""COMPUTED_VALUE"""),52.16)</f>
        <v>52.16</v>
      </c>
      <c r="AB744" s="1">
        <f ca="1">IFERROR(__xludf.DUMMYFUNCTION("""COMPUTED_VALUE"""),102.7)</f>
        <v>102.7</v>
      </c>
      <c r="AC744" s="1">
        <f ca="1">IFERROR(__xludf.DUMMYFUNCTION("""COMPUTED_VALUE"""),70.67)</f>
        <v>70.67</v>
      </c>
    </row>
    <row r="745" spans="1:29" x14ac:dyDescent="0.25">
      <c r="A745" s="2">
        <f ca="1">IFERROR(__xludf.DUMMYFUNCTION("""COMPUTED_VALUE"""),44908.6666666666)</f>
        <v>44908.666666666599</v>
      </c>
      <c r="B745" s="1">
        <f ca="1">IFERROR(__xludf.DUMMYFUNCTION("""COMPUTED_VALUE"""),145.47)</f>
        <v>145.47</v>
      </c>
      <c r="C745" s="1">
        <f ca="1">IFERROR(__xludf.DUMMYFUNCTION("""COMPUTED_VALUE"""),256.92)</f>
        <v>256.92</v>
      </c>
      <c r="D745" s="1">
        <f ca="1">IFERROR(__xludf.DUMMYFUNCTION("""COMPUTED_VALUE"""),92.49)</f>
        <v>92.49</v>
      </c>
      <c r="E745" s="1">
        <f ca="1">IFERROR(__xludf.DUMMYFUNCTION("""COMPUTED_VALUE"""),18.07)</f>
        <v>18.07</v>
      </c>
      <c r="F745" s="1">
        <f ca="1">IFERROR(__xludf.DUMMYFUNCTION("""COMPUTED_VALUE"""),120.15)</f>
        <v>120.15</v>
      </c>
      <c r="G745" s="1">
        <f ca="1">IFERROR(__xludf.DUMMYFUNCTION("""COMPUTED_VALUE"""),95.85)</f>
        <v>95.85</v>
      </c>
      <c r="H745" s="1">
        <f ca="1">IFERROR(__xludf.DUMMYFUNCTION("""COMPUTED_VALUE"""),160.95)</f>
        <v>160.94999999999999</v>
      </c>
      <c r="I745" s="1">
        <f ca="1">IFERROR(__xludf.DUMMYFUNCTION("""COMPUTED_VALUE"""),183.87)</f>
        <v>183.87</v>
      </c>
      <c r="J745" s="1">
        <f ca="1">IFERROR(__xludf.DUMMYFUNCTION("""COMPUTED_VALUE"""),488.2)</f>
        <v>488.2</v>
      </c>
      <c r="K745" s="1">
        <f ca="1">IFERROR(__xludf.DUMMYFUNCTION("""COMPUTED_VALUE"""),57.1)</f>
        <v>57.1</v>
      </c>
      <c r="L745" s="1">
        <f ca="1">IFERROR(__xludf.DUMMYFUNCTION("""COMPUTED_VALUE"""),342.46)</f>
        <v>342.46</v>
      </c>
      <c r="M745" s="1">
        <f ca="1">IFERROR(__xludf.DUMMYFUNCTION("""COMPUTED_VALUE"""),320.34)</f>
        <v>320.33999999999997</v>
      </c>
      <c r="N745" s="1">
        <f ca="1">IFERROR(__xludf.DUMMYFUNCTION("""COMPUTED_VALUE"""),134.08)</f>
        <v>134.08000000000001</v>
      </c>
      <c r="O745" s="1">
        <f ca="1">IFERROR(__xludf.DUMMYFUNCTION("""COMPUTED_VALUE"""),213.04)</f>
        <v>213.04</v>
      </c>
      <c r="P745" s="1">
        <f ca="1">IFERROR(__xludf.DUMMYFUNCTION("""COMPUTED_VALUE"""),179.21)</f>
        <v>179.21</v>
      </c>
      <c r="Q745" s="1">
        <f ca="1">IFERROR(__xludf.DUMMYFUNCTION("""COMPUTED_VALUE"""),538.22)</f>
        <v>538.22</v>
      </c>
      <c r="R745" s="1">
        <f ca="1">IFERROR(__xludf.DUMMYFUNCTION("""COMPUTED_VALUE"""),107.25)</f>
        <v>107.25</v>
      </c>
      <c r="S745" s="1">
        <f ca="1">IFERROR(__xludf.DUMMYFUNCTION("""COMPUTED_VALUE"""),87.15)</f>
        <v>87.15</v>
      </c>
      <c r="T745" s="1">
        <f ca="1">IFERROR(__xludf.DUMMYFUNCTION("""COMPUTED_VALUE"""),49.16)</f>
        <v>49.16</v>
      </c>
      <c r="U745" s="1">
        <f ca="1">IFERROR(__xludf.DUMMYFUNCTION("""COMPUTED_VALUE"""),112.85)</f>
        <v>112.85</v>
      </c>
      <c r="V745" s="1">
        <f ca="1">IFERROR(__xludf.DUMMYFUNCTION("""COMPUTED_VALUE"""),235.49)</f>
        <v>235.49</v>
      </c>
      <c r="W745" s="1">
        <f ca="1">IFERROR(__xludf.DUMMYFUNCTION("""COMPUTED_VALUE"""),480.22)</f>
        <v>480.22</v>
      </c>
      <c r="X745" s="1">
        <f ca="1">IFERROR(__xludf.DUMMYFUNCTION("""COMPUTED_VALUE"""),628.27)</f>
        <v>628.27</v>
      </c>
      <c r="Y745" s="1">
        <f ca="1">IFERROR(__xludf.DUMMYFUNCTION("""COMPUTED_VALUE"""),80.51)</f>
        <v>80.510000000000005</v>
      </c>
      <c r="Z745" s="1">
        <f ca="1">IFERROR(__xludf.DUMMYFUNCTION("""COMPUTED_VALUE"""),368.69)</f>
        <v>368.69</v>
      </c>
      <c r="AA745" s="1">
        <f ca="1">IFERROR(__xludf.DUMMYFUNCTION("""COMPUTED_VALUE"""),53.07)</f>
        <v>53.07</v>
      </c>
      <c r="AB745" s="1">
        <f ca="1">IFERROR(__xludf.DUMMYFUNCTION("""COMPUTED_VALUE"""),102.11)</f>
        <v>102.11</v>
      </c>
      <c r="AC745" s="1">
        <f ca="1">IFERROR(__xludf.DUMMYFUNCTION("""COMPUTED_VALUE"""),71.65)</f>
        <v>71.650000000000006</v>
      </c>
    </row>
    <row r="746" spans="1:29" x14ac:dyDescent="0.25">
      <c r="A746" s="2">
        <f ca="1">IFERROR(__xludf.DUMMYFUNCTION("""COMPUTED_VALUE"""),44909.6666666666)</f>
        <v>44909.666666666599</v>
      </c>
      <c r="B746" s="1">
        <f ca="1">IFERROR(__xludf.DUMMYFUNCTION("""COMPUTED_VALUE"""),143.21)</f>
        <v>143.21</v>
      </c>
      <c r="C746" s="1">
        <f ca="1">IFERROR(__xludf.DUMMYFUNCTION("""COMPUTED_VALUE"""),257.22)</f>
        <v>257.22000000000003</v>
      </c>
      <c r="D746" s="1">
        <f ca="1">IFERROR(__xludf.DUMMYFUNCTION("""COMPUTED_VALUE"""),91.58)</f>
        <v>91.58</v>
      </c>
      <c r="E746" s="1">
        <f ca="1">IFERROR(__xludf.DUMMYFUNCTION("""COMPUTED_VALUE"""),17.67)</f>
        <v>17.670000000000002</v>
      </c>
      <c r="F746" s="1">
        <f ca="1">IFERROR(__xludf.DUMMYFUNCTION("""COMPUTED_VALUE"""),121.59)</f>
        <v>121.59</v>
      </c>
      <c r="G746" s="1">
        <f ca="1">IFERROR(__xludf.DUMMYFUNCTION("""COMPUTED_VALUE"""),95.31)</f>
        <v>95.31</v>
      </c>
      <c r="H746" s="1">
        <f ca="1">IFERROR(__xludf.DUMMYFUNCTION("""COMPUTED_VALUE"""),156.8)</f>
        <v>156.80000000000001</v>
      </c>
      <c r="I746" s="1">
        <f ca="1">IFERROR(__xludf.DUMMYFUNCTION("""COMPUTED_VALUE"""),183.36)</f>
        <v>183.36</v>
      </c>
      <c r="J746" s="1">
        <f ca="1">IFERROR(__xludf.DUMMYFUNCTION("""COMPUTED_VALUE"""),483.52)</f>
        <v>483.52</v>
      </c>
      <c r="K746" s="1">
        <f ca="1">IFERROR(__xludf.DUMMYFUNCTION("""COMPUTED_VALUE"""),57.44)</f>
        <v>57.44</v>
      </c>
      <c r="L746" s="1">
        <f ca="1">IFERROR(__xludf.DUMMYFUNCTION("""COMPUTED_VALUE"""),339.92)</f>
        <v>339.92</v>
      </c>
      <c r="M746" s="1">
        <f ca="1">IFERROR(__xludf.DUMMYFUNCTION("""COMPUTED_VALUE"""),317.83)</f>
        <v>317.83</v>
      </c>
      <c r="N746" s="1">
        <f ca="1">IFERROR(__xludf.DUMMYFUNCTION("""COMPUTED_VALUE"""),133.41)</f>
        <v>133.41</v>
      </c>
      <c r="O746" s="1">
        <f ca="1">IFERROR(__xludf.DUMMYFUNCTION("""COMPUTED_VALUE"""),213.32)</f>
        <v>213.32</v>
      </c>
      <c r="P746" s="1">
        <f ca="1">IFERROR(__xludf.DUMMYFUNCTION("""COMPUTED_VALUE"""),179.76)</f>
        <v>179.76</v>
      </c>
      <c r="Q746" s="1">
        <f ca="1">IFERROR(__xludf.DUMMYFUNCTION("""COMPUTED_VALUE"""),538.36)</f>
        <v>538.36</v>
      </c>
      <c r="R746" s="1">
        <f ca="1">IFERROR(__xludf.DUMMYFUNCTION("""COMPUTED_VALUE"""),106.46)</f>
        <v>106.46</v>
      </c>
      <c r="S746" s="1">
        <f ca="1">IFERROR(__xludf.DUMMYFUNCTION("""COMPUTED_VALUE"""),87.05)</f>
        <v>87.05</v>
      </c>
      <c r="T746" s="1">
        <f ca="1">IFERROR(__xludf.DUMMYFUNCTION("""COMPUTED_VALUE"""),48.89)</f>
        <v>48.89</v>
      </c>
      <c r="U746" s="1">
        <f ca="1">IFERROR(__xludf.DUMMYFUNCTION("""COMPUTED_VALUE"""),111.45)</f>
        <v>111.45</v>
      </c>
      <c r="V746" s="1">
        <f ca="1">IFERROR(__xludf.DUMMYFUNCTION("""COMPUTED_VALUE"""),234.48)</f>
        <v>234.48</v>
      </c>
      <c r="W746" s="1">
        <f ca="1">IFERROR(__xludf.DUMMYFUNCTION("""COMPUTED_VALUE"""),485.19)</f>
        <v>485.19</v>
      </c>
      <c r="X746" s="1">
        <f ca="1">IFERROR(__xludf.DUMMYFUNCTION("""COMPUTED_VALUE"""),615.86)</f>
        <v>615.86</v>
      </c>
      <c r="Y746" s="1">
        <f ca="1">IFERROR(__xludf.DUMMYFUNCTION("""COMPUTED_VALUE"""),80.02)</f>
        <v>80.02</v>
      </c>
      <c r="Z746" s="1">
        <f ca="1">IFERROR(__xludf.DUMMYFUNCTION("""COMPUTED_VALUE"""),360.38)</f>
        <v>360.38</v>
      </c>
      <c r="AA746" s="1">
        <f ca="1">IFERROR(__xludf.DUMMYFUNCTION("""COMPUTED_VALUE"""),54.48)</f>
        <v>54.48</v>
      </c>
      <c r="AB746" s="1">
        <f ca="1">IFERROR(__xludf.DUMMYFUNCTION("""COMPUTED_VALUE"""),102.19)</f>
        <v>102.19</v>
      </c>
      <c r="AC746" s="1">
        <f ca="1">IFERROR(__xludf.DUMMYFUNCTION("""COMPUTED_VALUE"""),68.93)</f>
        <v>68.930000000000007</v>
      </c>
    </row>
    <row r="747" spans="1:29" x14ac:dyDescent="0.25">
      <c r="A747" s="2">
        <f ca="1">IFERROR(__xludf.DUMMYFUNCTION("""COMPUTED_VALUE"""),44910.6666666666)</f>
        <v>44910.666666666599</v>
      </c>
      <c r="B747" s="1">
        <f ca="1">IFERROR(__xludf.DUMMYFUNCTION("""COMPUTED_VALUE"""),136.5)</f>
        <v>136.5</v>
      </c>
      <c r="C747" s="1">
        <f ca="1">IFERROR(__xludf.DUMMYFUNCTION("""COMPUTED_VALUE"""),249.01)</f>
        <v>249.01</v>
      </c>
      <c r="D747" s="1">
        <f ca="1">IFERROR(__xludf.DUMMYFUNCTION("""COMPUTED_VALUE"""),88.45)</f>
        <v>88.45</v>
      </c>
      <c r="E747" s="1">
        <f ca="1">IFERROR(__xludf.DUMMYFUNCTION("""COMPUTED_VALUE"""),16.95)</f>
        <v>16.95</v>
      </c>
      <c r="F747" s="1">
        <f ca="1">IFERROR(__xludf.DUMMYFUNCTION("""COMPUTED_VALUE"""),116.15)</f>
        <v>116.15</v>
      </c>
      <c r="G747" s="1">
        <f ca="1">IFERROR(__xludf.DUMMYFUNCTION("""COMPUTED_VALUE"""),91.2)</f>
        <v>91.2</v>
      </c>
      <c r="H747" s="1">
        <f ca="1">IFERROR(__xludf.DUMMYFUNCTION("""COMPUTED_VALUE"""),157.67)</f>
        <v>157.66999999999999</v>
      </c>
      <c r="I747" s="1">
        <f ca="1">IFERROR(__xludf.DUMMYFUNCTION("""COMPUTED_VALUE"""),180.25)</f>
        <v>180.25</v>
      </c>
      <c r="J747" s="1">
        <f ca="1">IFERROR(__xludf.DUMMYFUNCTION("""COMPUTED_VALUE"""),463.91)</f>
        <v>463.91</v>
      </c>
      <c r="K747" s="1">
        <f ca="1">IFERROR(__xludf.DUMMYFUNCTION("""COMPUTED_VALUE"""),55.8)</f>
        <v>55.8</v>
      </c>
      <c r="L747" s="1">
        <f ca="1">IFERROR(__xludf.DUMMYFUNCTION("""COMPUTED_VALUE"""),328.71)</f>
        <v>328.71</v>
      </c>
      <c r="M747" s="1">
        <f ca="1">IFERROR(__xludf.DUMMYFUNCTION("""COMPUTED_VALUE"""),290.41)</f>
        <v>290.41000000000003</v>
      </c>
      <c r="N747" s="1">
        <f ca="1">IFERROR(__xludf.DUMMYFUNCTION("""COMPUTED_VALUE"""),130.1)</f>
        <v>130.1</v>
      </c>
      <c r="O747" s="1">
        <f ca="1">IFERROR(__xludf.DUMMYFUNCTION("""COMPUTED_VALUE"""),207.91)</f>
        <v>207.91</v>
      </c>
      <c r="P747" s="1">
        <f ca="1">IFERROR(__xludf.DUMMYFUNCTION("""COMPUTED_VALUE"""),177.49)</f>
        <v>177.49</v>
      </c>
      <c r="Q747" s="1">
        <f ca="1">IFERROR(__xludf.DUMMYFUNCTION("""COMPUTED_VALUE"""),527.68)</f>
        <v>527.67999999999995</v>
      </c>
      <c r="R747" s="1">
        <f ca="1">IFERROR(__xludf.DUMMYFUNCTION("""COMPUTED_VALUE"""),105.44)</f>
        <v>105.44</v>
      </c>
      <c r="S747" s="1">
        <f ca="1">IFERROR(__xludf.DUMMYFUNCTION("""COMPUTED_VALUE"""),85.81)</f>
        <v>85.81</v>
      </c>
      <c r="T747" s="1">
        <f ca="1">IFERROR(__xludf.DUMMYFUNCTION("""COMPUTED_VALUE"""),48.45)</f>
        <v>48.45</v>
      </c>
      <c r="U747" s="1">
        <f ca="1">IFERROR(__xludf.DUMMYFUNCTION("""COMPUTED_VALUE"""),108.51)</f>
        <v>108.51</v>
      </c>
      <c r="V747" s="1">
        <f ca="1">IFERROR(__xludf.DUMMYFUNCTION("""COMPUTED_VALUE"""),230.66)</f>
        <v>230.66</v>
      </c>
      <c r="W747" s="1">
        <f ca="1">IFERROR(__xludf.DUMMYFUNCTION("""COMPUTED_VALUE"""),478.79)</f>
        <v>478.79</v>
      </c>
      <c r="X747" s="1">
        <f ca="1">IFERROR(__xludf.DUMMYFUNCTION("""COMPUTED_VALUE"""),586.34)</f>
        <v>586.34</v>
      </c>
      <c r="Y747" s="1">
        <f ca="1">IFERROR(__xludf.DUMMYFUNCTION("""COMPUTED_VALUE"""),77.61)</f>
        <v>77.61</v>
      </c>
      <c r="Z747" s="1">
        <f ca="1">IFERROR(__xludf.DUMMYFUNCTION("""COMPUTED_VALUE"""),349.83)</f>
        <v>349.83</v>
      </c>
      <c r="AA747" s="1">
        <f ca="1">IFERROR(__xludf.DUMMYFUNCTION("""COMPUTED_VALUE"""),53.61)</f>
        <v>53.61</v>
      </c>
      <c r="AB747" s="1">
        <f ca="1">IFERROR(__xludf.DUMMYFUNCTION("""COMPUTED_VALUE"""),99.99)</f>
        <v>99.99</v>
      </c>
      <c r="AC747" s="1">
        <f ca="1">IFERROR(__xludf.DUMMYFUNCTION("""COMPUTED_VALUE"""),66.53)</f>
        <v>66.53</v>
      </c>
    </row>
    <row r="748" spans="1:29" x14ac:dyDescent="0.25">
      <c r="A748" s="2">
        <f ca="1">IFERROR(__xludf.DUMMYFUNCTION("""COMPUTED_VALUE"""),44911.6666666666)</f>
        <v>44911.666666666599</v>
      </c>
      <c r="B748" s="1">
        <f ca="1">IFERROR(__xludf.DUMMYFUNCTION("""COMPUTED_VALUE"""),134.51)</f>
        <v>134.51</v>
      </c>
      <c r="C748" s="1">
        <f ca="1">IFERROR(__xludf.DUMMYFUNCTION("""COMPUTED_VALUE"""),244.69)</f>
        <v>244.69</v>
      </c>
      <c r="D748" s="1">
        <f ca="1">IFERROR(__xludf.DUMMYFUNCTION("""COMPUTED_VALUE"""),87.86)</f>
        <v>87.86</v>
      </c>
      <c r="E748" s="1">
        <f ca="1">IFERROR(__xludf.DUMMYFUNCTION("""COMPUTED_VALUE"""),16.57)</f>
        <v>16.57</v>
      </c>
      <c r="F748" s="1">
        <f ca="1">IFERROR(__xludf.DUMMYFUNCTION("""COMPUTED_VALUE"""),119.43)</f>
        <v>119.43</v>
      </c>
      <c r="G748" s="1">
        <f ca="1">IFERROR(__xludf.DUMMYFUNCTION("""COMPUTED_VALUE"""),90.86)</f>
        <v>90.86</v>
      </c>
      <c r="H748" s="1">
        <f ca="1">IFERROR(__xludf.DUMMYFUNCTION("""COMPUTED_VALUE"""),150.23)</f>
        <v>150.22999999999999</v>
      </c>
      <c r="I748" s="1">
        <f ca="1">IFERROR(__xludf.DUMMYFUNCTION("""COMPUTED_VALUE"""),180.34)</f>
        <v>180.34</v>
      </c>
      <c r="J748" s="1">
        <f ca="1">IFERROR(__xludf.DUMMYFUNCTION("""COMPUTED_VALUE"""),461.45)</f>
        <v>461.45</v>
      </c>
      <c r="K748" s="1">
        <f ca="1">IFERROR(__xludf.DUMMYFUNCTION("""COMPUTED_VALUE"""),55.59)</f>
        <v>55.59</v>
      </c>
      <c r="L748" s="1">
        <f ca="1">IFERROR(__xludf.DUMMYFUNCTION("""COMPUTED_VALUE"""),338.54)</f>
        <v>338.54</v>
      </c>
      <c r="M748" s="1">
        <f ca="1">IFERROR(__xludf.DUMMYFUNCTION("""COMPUTED_VALUE"""),290.71)</f>
        <v>290.70999999999998</v>
      </c>
      <c r="N748" s="1">
        <f ca="1">IFERROR(__xludf.DUMMYFUNCTION("""COMPUTED_VALUE"""),129.29)</f>
        <v>129.29</v>
      </c>
      <c r="O748" s="1">
        <f ca="1">IFERROR(__xludf.DUMMYFUNCTION("""COMPUTED_VALUE"""),206.89)</f>
        <v>206.89</v>
      </c>
      <c r="P748" s="1">
        <f ca="1">IFERROR(__xludf.DUMMYFUNCTION("""COMPUTED_VALUE"""),175.67)</f>
        <v>175.67</v>
      </c>
      <c r="Q748" s="1">
        <f ca="1">IFERROR(__xludf.DUMMYFUNCTION("""COMPUTED_VALUE"""),523.7)</f>
        <v>523.70000000000005</v>
      </c>
      <c r="R748" s="1">
        <f ca="1">IFERROR(__xludf.DUMMYFUNCTION("""COMPUTED_VALUE"""),104.7)</f>
        <v>104.7</v>
      </c>
      <c r="S748" s="1">
        <f ca="1">IFERROR(__xludf.DUMMYFUNCTION("""COMPUTED_VALUE"""),84.14)</f>
        <v>84.14</v>
      </c>
      <c r="T748" s="1">
        <f ca="1">IFERROR(__xludf.DUMMYFUNCTION("""COMPUTED_VALUE"""),47.58)</f>
        <v>47.58</v>
      </c>
      <c r="U748" s="1">
        <f ca="1">IFERROR(__xludf.DUMMYFUNCTION("""COMPUTED_VALUE"""),105.95)</f>
        <v>105.95</v>
      </c>
      <c r="V748" s="1">
        <f ca="1">IFERROR(__xludf.DUMMYFUNCTION("""COMPUTED_VALUE"""),232.72)</f>
        <v>232.72</v>
      </c>
      <c r="W748" s="1">
        <f ca="1">IFERROR(__xludf.DUMMYFUNCTION("""COMPUTED_VALUE"""),481.79)</f>
        <v>481.79</v>
      </c>
      <c r="X748" s="1">
        <f ca="1">IFERROR(__xludf.DUMMYFUNCTION("""COMPUTED_VALUE"""),574.32)</f>
        <v>574.32000000000005</v>
      </c>
      <c r="Y748" s="1">
        <f ca="1">IFERROR(__xludf.DUMMYFUNCTION("""COMPUTED_VALUE"""),76.3)</f>
        <v>76.3</v>
      </c>
      <c r="Z748" s="1">
        <f ca="1">IFERROR(__xludf.DUMMYFUNCTION("""COMPUTED_VALUE"""),346.35)</f>
        <v>346.35</v>
      </c>
      <c r="AA748" s="1">
        <f ca="1">IFERROR(__xludf.DUMMYFUNCTION("""COMPUTED_VALUE"""),51.4)</f>
        <v>51.4</v>
      </c>
      <c r="AB748" s="1">
        <f ca="1">IFERROR(__xludf.DUMMYFUNCTION("""COMPUTED_VALUE"""),98.83)</f>
        <v>98.83</v>
      </c>
      <c r="AC748" s="1">
        <f ca="1">IFERROR(__xludf.DUMMYFUNCTION("""COMPUTED_VALUE"""),65.41)</f>
        <v>65.41</v>
      </c>
    </row>
    <row r="749" spans="1:29" x14ac:dyDescent="0.25">
      <c r="A749" s="2">
        <f ca="1">IFERROR(__xludf.DUMMYFUNCTION("""COMPUTED_VALUE"""),44914.6666666666)</f>
        <v>44914.666666666599</v>
      </c>
      <c r="B749" s="1">
        <f ca="1">IFERROR(__xludf.DUMMYFUNCTION("""COMPUTED_VALUE"""),132.37)</f>
        <v>132.37</v>
      </c>
      <c r="C749" s="1">
        <f ca="1">IFERROR(__xludf.DUMMYFUNCTION("""COMPUTED_VALUE"""),240.45)</f>
        <v>240.45</v>
      </c>
      <c r="D749" s="1">
        <f ca="1">IFERROR(__xludf.DUMMYFUNCTION("""COMPUTED_VALUE"""),84.92)</f>
        <v>84.92</v>
      </c>
      <c r="E749" s="1">
        <f ca="1">IFERROR(__xludf.DUMMYFUNCTION("""COMPUTED_VALUE"""),16.25)</f>
        <v>16.25</v>
      </c>
      <c r="F749" s="1">
        <f ca="1">IFERROR(__xludf.DUMMYFUNCTION("""COMPUTED_VALUE"""),114.48)</f>
        <v>114.48</v>
      </c>
      <c r="G749" s="1">
        <f ca="1">IFERROR(__xludf.DUMMYFUNCTION("""COMPUTED_VALUE"""),89.15)</f>
        <v>89.15</v>
      </c>
      <c r="H749" s="1">
        <f ca="1">IFERROR(__xludf.DUMMYFUNCTION("""COMPUTED_VALUE"""),149.87)</f>
        <v>149.87</v>
      </c>
      <c r="I749" s="1">
        <f ca="1">IFERROR(__xludf.DUMMYFUNCTION("""COMPUTED_VALUE"""),181.34)</f>
        <v>181.34</v>
      </c>
      <c r="J749" s="1">
        <f ca="1">IFERROR(__xludf.DUMMYFUNCTION("""COMPUTED_VALUE"""),458.63)</f>
        <v>458.63</v>
      </c>
      <c r="K749" s="1">
        <f ca="1">IFERROR(__xludf.DUMMYFUNCTION("""COMPUTED_VALUE"""),54.96)</f>
        <v>54.96</v>
      </c>
      <c r="L749" s="1">
        <f ca="1">IFERROR(__xludf.DUMMYFUNCTION("""COMPUTED_VALUE"""),328.76)</f>
        <v>328.76</v>
      </c>
      <c r="M749" s="1">
        <f ca="1">IFERROR(__xludf.DUMMYFUNCTION("""COMPUTED_VALUE"""),288.3)</f>
        <v>288.3</v>
      </c>
      <c r="N749" s="1">
        <f ca="1">IFERROR(__xludf.DUMMYFUNCTION("""COMPUTED_VALUE"""),130.06)</f>
        <v>130.06</v>
      </c>
      <c r="O749" s="1">
        <f ca="1">IFERROR(__xludf.DUMMYFUNCTION("""COMPUTED_VALUE"""),204.82)</f>
        <v>204.82</v>
      </c>
      <c r="P749" s="1">
        <f ca="1">IFERROR(__xludf.DUMMYFUNCTION("""COMPUTED_VALUE"""),175.48)</f>
        <v>175.48</v>
      </c>
      <c r="Q749" s="1">
        <f ca="1">IFERROR(__xludf.DUMMYFUNCTION("""COMPUTED_VALUE"""),523.6)</f>
        <v>523.6</v>
      </c>
      <c r="R749" s="1">
        <f ca="1">IFERROR(__xludf.DUMMYFUNCTION("""COMPUTED_VALUE"""),105.17)</f>
        <v>105.17</v>
      </c>
      <c r="S749" s="1">
        <f ca="1">IFERROR(__xludf.DUMMYFUNCTION("""COMPUTED_VALUE"""),83.52)</f>
        <v>83.52</v>
      </c>
      <c r="T749" s="1">
        <f ca="1">IFERROR(__xludf.DUMMYFUNCTION("""COMPUTED_VALUE"""),47.6)</f>
        <v>47.6</v>
      </c>
      <c r="U749" s="1">
        <f ca="1">IFERROR(__xludf.DUMMYFUNCTION("""COMPUTED_VALUE"""),103.05)</f>
        <v>103.05</v>
      </c>
      <c r="V749" s="1">
        <f ca="1">IFERROR(__xludf.DUMMYFUNCTION("""COMPUTED_VALUE"""),232.29)</f>
        <v>232.29</v>
      </c>
      <c r="W749" s="1">
        <f ca="1">IFERROR(__xludf.DUMMYFUNCTION("""COMPUTED_VALUE"""),481.79)</f>
        <v>481.79</v>
      </c>
      <c r="X749" s="1">
        <f ca="1">IFERROR(__xludf.DUMMYFUNCTION("""COMPUTED_VALUE"""),568.61)</f>
        <v>568.61</v>
      </c>
      <c r="Y749" s="1">
        <f ca="1">IFERROR(__xludf.DUMMYFUNCTION("""COMPUTED_VALUE"""),76.1)</f>
        <v>76.099999999999994</v>
      </c>
      <c r="Z749" s="1">
        <f ca="1">IFERROR(__xludf.DUMMYFUNCTION("""COMPUTED_VALUE"""),344.61)</f>
        <v>344.61</v>
      </c>
      <c r="AA749" s="1">
        <f ca="1">IFERROR(__xludf.DUMMYFUNCTION("""COMPUTED_VALUE"""),51.36)</f>
        <v>51.36</v>
      </c>
      <c r="AB749" s="1">
        <f ca="1">IFERROR(__xludf.DUMMYFUNCTION("""COMPUTED_VALUE"""),98.3)</f>
        <v>98.3</v>
      </c>
      <c r="AC749" s="1">
        <f ca="1">IFERROR(__xludf.DUMMYFUNCTION("""COMPUTED_VALUE"""),64.59)</f>
        <v>64.59</v>
      </c>
    </row>
    <row r="750" spans="1:29" x14ac:dyDescent="0.25">
      <c r="A750" s="2">
        <f ca="1">IFERROR(__xludf.DUMMYFUNCTION("""COMPUTED_VALUE"""),44915.6666666666)</f>
        <v>44915.666666666599</v>
      </c>
      <c r="B750" s="1">
        <f ca="1">IFERROR(__xludf.DUMMYFUNCTION("""COMPUTED_VALUE"""),132.3)</f>
        <v>132.30000000000001</v>
      </c>
      <c r="C750" s="1">
        <f ca="1">IFERROR(__xludf.DUMMYFUNCTION("""COMPUTED_VALUE"""),241.8)</f>
        <v>241.8</v>
      </c>
      <c r="D750" s="1">
        <f ca="1">IFERROR(__xludf.DUMMYFUNCTION("""COMPUTED_VALUE"""),85.19)</f>
        <v>85.19</v>
      </c>
      <c r="E750" s="1">
        <f ca="1">IFERROR(__xludf.DUMMYFUNCTION("""COMPUTED_VALUE"""),16.09)</f>
        <v>16.09</v>
      </c>
      <c r="F750" s="1">
        <f ca="1">IFERROR(__xludf.DUMMYFUNCTION("""COMPUTED_VALUE"""),117.09)</f>
        <v>117.09</v>
      </c>
      <c r="G750" s="1">
        <f ca="1">IFERROR(__xludf.DUMMYFUNCTION("""COMPUTED_VALUE"""),89.63)</f>
        <v>89.63</v>
      </c>
      <c r="H750" s="1">
        <f ca="1">IFERROR(__xludf.DUMMYFUNCTION("""COMPUTED_VALUE"""),137.8)</f>
        <v>137.80000000000001</v>
      </c>
      <c r="I750" s="1">
        <f ca="1">IFERROR(__xludf.DUMMYFUNCTION("""COMPUTED_VALUE"""),181.23)</f>
        <v>181.23</v>
      </c>
      <c r="J750" s="1">
        <f ca="1">IFERROR(__xludf.DUMMYFUNCTION("""COMPUTED_VALUE"""),457.82)</f>
        <v>457.82</v>
      </c>
      <c r="K750" s="1">
        <f ca="1">IFERROR(__xludf.DUMMYFUNCTION("""COMPUTED_VALUE"""),54.4)</f>
        <v>54.4</v>
      </c>
      <c r="L750" s="1">
        <f ca="1">IFERROR(__xludf.DUMMYFUNCTION("""COMPUTED_VALUE"""),338.22)</f>
        <v>338.22</v>
      </c>
      <c r="M750" s="1">
        <f ca="1">IFERROR(__xludf.DUMMYFUNCTION("""COMPUTED_VALUE"""),288.19)</f>
        <v>288.19</v>
      </c>
      <c r="N750" s="1">
        <f ca="1">IFERROR(__xludf.DUMMYFUNCTION("""COMPUTED_VALUE"""),130.69)</f>
        <v>130.69</v>
      </c>
      <c r="O750" s="1">
        <f ca="1">IFERROR(__xludf.DUMMYFUNCTION("""COMPUTED_VALUE"""),205.36)</f>
        <v>205.36</v>
      </c>
      <c r="P750" s="1">
        <f ca="1">IFERROR(__xludf.DUMMYFUNCTION("""COMPUTED_VALUE"""),175.67)</f>
        <v>175.67</v>
      </c>
      <c r="Q750" s="1">
        <f ca="1">IFERROR(__xludf.DUMMYFUNCTION("""COMPUTED_VALUE"""),520.21)</f>
        <v>520.21</v>
      </c>
      <c r="R750" s="1">
        <f ca="1">IFERROR(__xludf.DUMMYFUNCTION("""COMPUTED_VALUE"""),106.69)</f>
        <v>106.69</v>
      </c>
      <c r="S750" s="1">
        <f ca="1">IFERROR(__xludf.DUMMYFUNCTION("""COMPUTED_VALUE"""),83.52)</f>
        <v>83.52</v>
      </c>
      <c r="T750" s="1">
        <f ca="1">IFERROR(__xludf.DUMMYFUNCTION("""COMPUTED_VALUE"""),48.02)</f>
        <v>48.02</v>
      </c>
      <c r="U750" s="1">
        <f ca="1">IFERROR(__xludf.DUMMYFUNCTION("""COMPUTED_VALUE"""),103.21)</f>
        <v>103.21</v>
      </c>
      <c r="V750" s="1">
        <f ca="1">IFERROR(__xludf.DUMMYFUNCTION("""COMPUTED_VALUE"""),235.14)</f>
        <v>235.14</v>
      </c>
      <c r="W750" s="1">
        <f ca="1">IFERROR(__xludf.DUMMYFUNCTION("""COMPUTED_VALUE"""),486.15)</f>
        <v>486.15</v>
      </c>
      <c r="X750" s="1">
        <f ca="1">IFERROR(__xludf.DUMMYFUNCTION("""COMPUTED_VALUE"""),563.16)</f>
        <v>563.16</v>
      </c>
      <c r="Y750" s="1">
        <f ca="1">IFERROR(__xludf.DUMMYFUNCTION("""COMPUTED_VALUE"""),75.62)</f>
        <v>75.62</v>
      </c>
      <c r="Z750" s="1">
        <f ca="1">IFERROR(__xludf.DUMMYFUNCTION("""COMPUTED_VALUE"""),344.49)</f>
        <v>344.49</v>
      </c>
      <c r="AA750" s="1">
        <f ca="1">IFERROR(__xludf.DUMMYFUNCTION("""COMPUTED_VALUE"""),51.32)</f>
        <v>51.32</v>
      </c>
      <c r="AB750" s="1">
        <f ca="1">IFERROR(__xludf.DUMMYFUNCTION("""COMPUTED_VALUE"""),98)</f>
        <v>98</v>
      </c>
      <c r="AC750" s="1">
        <f ca="1">IFERROR(__xludf.DUMMYFUNCTION("""COMPUTED_VALUE"""),65.05)</f>
        <v>65.05</v>
      </c>
    </row>
    <row r="751" spans="1:29" x14ac:dyDescent="0.25">
      <c r="A751" s="2">
        <f ca="1">IFERROR(__xludf.DUMMYFUNCTION("""COMPUTED_VALUE"""),44916.6666666666)</f>
        <v>44916.666666666599</v>
      </c>
      <c r="B751" s="1">
        <f ca="1">IFERROR(__xludf.DUMMYFUNCTION("""COMPUTED_VALUE"""),135.45)</f>
        <v>135.44999999999999</v>
      </c>
      <c r="C751" s="1">
        <f ca="1">IFERROR(__xludf.DUMMYFUNCTION("""COMPUTED_VALUE"""),244.43)</f>
        <v>244.43</v>
      </c>
      <c r="D751" s="1">
        <f ca="1">IFERROR(__xludf.DUMMYFUNCTION("""COMPUTED_VALUE"""),86.77)</f>
        <v>86.77</v>
      </c>
      <c r="E751" s="1">
        <f ca="1">IFERROR(__xludf.DUMMYFUNCTION("""COMPUTED_VALUE"""),16.5)</f>
        <v>16.5</v>
      </c>
      <c r="F751" s="1">
        <f ca="1">IFERROR(__xludf.DUMMYFUNCTION("""COMPUTED_VALUE"""),119.76)</f>
        <v>119.76</v>
      </c>
      <c r="G751" s="1">
        <f ca="1">IFERROR(__xludf.DUMMYFUNCTION("""COMPUTED_VALUE"""),90.25)</f>
        <v>90.25</v>
      </c>
      <c r="H751" s="1">
        <f ca="1">IFERROR(__xludf.DUMMYFUNCTION("""COMPUTED_VALUE"""),137.57)</f>
        <v>137.57</v>
      </c>
      <c r="I751" s="1">
        <f ca="1">IFERROR(__xludf.DUMMYFUNCTION("""COMPUTED_VALUE"""),182.5)</f>
        <v>182.5</v>
      </c>
      <c r="J751" s="1">
        <f ca="1">IFERROR(__xludf.DUMMYFUNCTION("""COMPUTED_VALUE"""),462.06)</f>
        <v>462.06</v>
      </c>
      <c r="K751" s="1">
        <f ca="1">IFERROR(__xludf.DUMMYFUNCTION("""COMPUTED_VALUE"""),56.12)</f>
        <v>56.12</v>
      </c>
      <c r="L751" s="1">
        <f ca="1">IFERROR(__xludf.DUMMYFUNCTION("""COMPUTED_VALUE"""),341.38)</f>
        <v>341.38</v>
      </c>
      <c r="M751" s="1">
        <f ca="1">IFERROR(__xludf.DUMMYFUNCTION("""COMPUTED_VALUE"""),297.96)</f>
        <v>297.95999999999998</v>
      </c>
      <c r="N751" s="1">
        <f ca="1">IFERROR(__xludf.DUMMYFUNCTION("""COMPUTED_VALUE"""),132.16)</f>
        <v>132.16</v>
      </c>
      <c r="O751" s="1">
        <f ca="1">IFERROR(__xludf.DUMMYFUNCTION("""COMPUTED_VALUE"""),206.81)</f>
        <v>206.81</v>
      </c>
      <c r="P751" s="1">
        <f ca="1">IFERROR(__xludf.DUMMYFUNCTION("""COMPUTED_VALUE"""),177.68)</f>
        <v>177.68</v>
      </c>
      <c r="Q751" s="1">
        <f ca="1">IFERROR(__xludf.DUMMYFUNCTION("""COMPUTED_VALUE"""),527.54)</f>
        <v>527.54</v>
      </c>
      <c r="R751" s="1">
        <f ca="1">IFERROR(__xludf.DUMMYFUNCTION("""COMPUTED_VALUE"""),108.06)</f>
        <v>108.06</v>
      </c>
      <c r="S751" s="1">
        <f ca="1">IFERROR(__xludf.DUMMYFUNCTION("""COMPUTED_VALUE"""),84.65)</f>
        <v>84.65</v>
      </c>
      <c r="T751" s="1">
        <f ca="1">IFERROR(__xludf.DUMMYFUNCTION("""COMPUTED_VALUE"""),48.39)</f>
        <v>48.39</v>
      </c>
      <c r="U751" s="1">
        <f ca="1">IFERROR(__xludf.DUMMYFUNCTION("""COMPUTED_VALUE"""),115.78)</f>
        <v>115.78</v>
      </c>
      <c r="V751" s="1">
        <f ca="1">IFERROR(__xludf.DUMMYFUNCTION("""COMPUTED_VALUE"""),241.73)</f>
        <v>241.73</v>
      </c>
      <c r="W751" s="1">
        <f ca="1">IFERROR(__xludf.DUMMYFUNCTION("""COMPUTED_VALUE"""),487.65)</f>
        <v>487.65</v>
      </c>
      <c r="X751" s="1">
        <f ca="1">IFERROR(__xludf.DUMMYFUNCTION("""COMPUTED_VALUE"""),580.96)</f>
        <v>580.96</v>
      </c>
      <c r="Y751" s="1">
        <f ca="1">IFERROR(__xludf.DUMMYFUNCTION("""COMPUTED_VALUE"""),77.14)</f>
        <v>77.14</v>
      </c>
      <c r="Z751" s="1">
        <f ca="1">IFERROR(__xludf.DUMMYFUNCTION("""COMPUTED_VALUE"""),350.16)</f>
        <v>350.16</v>
      </c>
      <c r="AA751" s="1">
        <f ca="1">IFERROR(__xludf.DUMMYFUNCTION("""COMPUTED_VALUE"""),51.66)</f>
        <v>51.66</v>
      </c>
      <c r="AB751" s="1">
        <f ca="1">IFERROR(__xludf.DUMMYFUNCTION("""COMPUTED_VALUE"""),98.67)</f>
        <v>98.67</v>
      </c>
      <c r="AC751" s="1">
        <f ca="1">IFERROR(__xludf.DUMMYFUNCTION("""COMPUTED_VALUE"""),67.68)</f>
        <v>67.680000000000007</v>
      </c>
    </row>
    <row r="752" spans="1:29" x14ac:dyDescent="0.25">
      <c r="A752" s="2">
        <f ca="1">IFERROR(__xludf.DUMMYFUNCTION("""COMPUTED_VALUE"""),44917.6666666666)</f>
        <v>44917.666666666599</v>
      </c>
      <c r="B752" s="1">
        <f ca="1">IFERROR(__xludf.DUMMYFUNCTION("""COMPUTED_VALUE"""),132.23)</f>
        <v>132.22999999999999</v>
      </c>
      <c r="C752" s="1">
        <f ca="1">IFERROR(__xludf.DUMMYFUNCTION("""COMPUTED_VALUE"""),238.19)</f>
        <v>238.19</v>
      </c>
      <c r="D752" s="1">
        <f ca="1">IFERROR(__xludf.DUMMYFUNCTION("""COMPUTED_VALUE"""),83.79)</f>
        <v>83.79</v>
      </c>
      <c r="E752" s="1">
        <f ca="1">IFERROR(__xludf.DUMMYFUNCTION("""COMPUTED_VALUE"""),15.34)</f>
        <v>15.34</v>
      </c>
      <c r="F752" s="1">
        <f ca="1">IFERROR(__xludf.DUMMYFUNCTION("""COMPUTED_VALUE"""),117.12)</f>
        <v>117.12</v>
      </c>
      <c r="G752" s="1">
        <f ca="1">IFERROR(__xludf.DUMMYFUNCTION("""COMPUTED_VALUE"""),88.26)</f>
        <v>88.26</v>
      </c>
      <c r="H752" s="1">
        <f ca="1">IFERROR(__xludf.DUMMYFUNCTION("""COMPUTED_VALUE"""),125.35)</f>
        <v>125.35</v>
      </c>
      <c r="I752" s="1">
        <f ca="1">IFERROR(__xludf.DUMMYFUNCTION("""COMPUTED_VALUE"""),181.09)</f>
        <v>181.09</v>
      </c>
      <c r="J752" s="1">
        <f ca="1">IFERROR(__xludf.DUMMYFUNCTION("""COMPUTED_VALUE"""),458.71)</f>
        <v>458.71</v>
      </c>
      <c r="K752" s="1">
        <f ca="1">IFERROR(__xludf.DUMMYFUNCTION("""COMPUTED_VALUE"""),55.31)</f>
        <v>55.31</v>
      </c>
      <c r="L752" s="1">
        <f ca="1">IFERROR(__xludf.DUMMYFUNCTION("""COMPUTED_VALUE"""),336.52)</f>
        <v>336.52</v>
      </c>
      <c r="M752" s="1">
        <f ca="1">IFERROR(__xludf.DUMMYFUNCTION("""COMPUTED_VALUE"""),297.75)</f>
        <v>297.75</v>
      </c>
      <c r="N752" s="1">
        <f ca="1">IFERROR(__xludf.DUMMYFUNCTION("""COMPUTED_VALUE"""),130.66)</f>
        <v>130.66</v>
      </c>
      <c r="O752" s="1">
        <f ca="1">IFERROR(__xludf.DUMMYFUNCTION("""COMPUTED_VALUE"""),205.06)</f>
        <v>205.06</v>
      </c>
      <c r="P752" s="1">
        <f ca="1">IFERROR(__xludf.DUMMYFUNCTION("""COMPUTED_VALUE"""),177.03)</f>
        <v>177.03</v>
      </c>
      <c r="Q752" s="1">
        <f ca="1">IFERROR(__xludf.DUMMYFUNCTION("""COMPUTED_VALUE"""),527.09)</f>
        <v>527.09</v>
      </c>
      <c r="R752" s="1">
        <f ca="1">IFERROR(__xludf.DUMMYFUNCTION("""COMPUTED_VALUE"""),105.88)</f>
        <v>105.88</v>
      </c>
      <c r="S752" s="1">
        <f ca="1">IFERROR(__xludf.DUMMYFUNCTION("""COMPUTED_VALUE"""),83.34)</f>
        <v>83.34</v>
      </c>
      <c r="T752" s="1">
        <f ca="1">IFERROR(__xludf.DUMMYFUNCTION("""COMPUTED_VALUE"""),47.83)</f>
        <v>47.83</v>
      </c>
      <c r="U752" s="1">
        <f ca="1">IFERROR(__xludf.DUMMYFUNCTION("""COMPUTED_VALUE"""),116.71)</f>
        <v>116.71</v>
      </c>
      <c r="V752" s="1">
        <f ca="1">IFERROR(__xludf.DUMMYFUNCTION("""COMPUTED_VALUE"""),237.54)</f>
        <v>237.54</v>
      </c>
      <c r="W752" s="1">
        <f ca="1">IFERROR(__xludf.DUMMYFUNCTION("""COMPUTED_VALUE"""),479.3)</f>
        <v>479.3</v>
      </c>
      <c r="X752" s="1">
        <f ca="1">IFERROR(__xludf.DUMMYFUNCTION("""COMPUTED_VALUE"""),555.95)</f>
        <v>555.95000000000005</v>
      </c>
      <c r="Y752" s="1">
        <f ca="1">IFERROR(__xludf.DUMMYFUNCTION("""COMPUTED_VALUE"""),75.28)</f>
        <v>75.28</v>
      </c>
      <c r="Z752" s="1">
        <f ca="1">IFERROR(__xludf.DUMMYFUNCTION("""COMPUTED_VALUE"""),345.58)</f>
        <v>345.58</v>
      </c>
      <c r="AA752" s="1">
        <f ca="1">IFERROR(__xludf.DUMMYFUNCTION("""COMPUTED_VALUE"""),51.64)</f>
        <v>51.64</v>
      </c>
      <c r="AB752" s="1">
        <f ca="1">IFERROR(__xludf.DUMMYFUNCTION("""COMPUTED_VALUE"""),97.76)</f>
        <v>97.76</v>
      </c>
      <c r="AC752" s="1">
        <f ca="1">IFERROR(__xludf.DUMMYFUNCTION("""COMPUTED_VALUE"""),63.86)</f>
        <v>63.86</v>
      </c>
    </row>
    <row r="753" spans="1:29" x14ac:dyDescent="0.25">
      <c r="A753" s="2">
        <f ca="1">IFERROR(__xludf.DUMMYFUNCTION("""COMPUTED_VALUE"""),44918.6666666666)</f>
        <v>44918.666666666599</v>
      </c>
      <c r="B753" s="1">
        <f ca="1">IFERROR(__xludf.DUMMYFUNCTION("""COMPUTED_VALUE"""),131.86)</f>
        <v>131.86000000000001</v>
      </c>
      <c r="C753" s="1">
        <f ca="1">IFERROR(__xludf.DUMMYFUNCTION("""COMPUTED_VALUE"""),238.73)</f>
        <v>238.73</v>
      </c>
      <c r="D753" s="1">
        <f ca="1">IFERROR(__xludf.DUMMYFUNCTION("""COMPUTED_VALUE"""),85.25)</f>
        <v>85.25</v>
      </c>
      <c r="E753" s="1">
        <f ca="1">IFERROR(__xludf.DUMMYFUNCTION("""COMPUTED_VALUE"""),15.21)</f>
        <v>15.21</v>
      </c>
      <c r="F753" s="1">
        <f ca="1">IFERROR(__xludf.DUMMYFUNCTION("""COMPUTED_VALUE"""),118.04)</f>
        <v>118.04</v>
      </c>
      <c r="G753" s="1">
        <f ca="1">IFERROR(__xludf.DUMMYFUNCTION("""COMPUTED_VALUE"""),89.81)</f>
        <v>89.81</v>
      </c>
      <c r="H753" s="1">
        <f ca="1">IFERROR(__xludf.DUMMYFUNCTION("""COMPUTED_VALUE"""),123.15)</f>
        <v>123.15</v>
      </c>
      <c r="I753" s="1">
        <f ca="1">IFERROR(__xludf.DUMMYFUNCTION("""COMPUTED_VALUE"""),182.26)</f>
        <v>182.26</v>
      </c>
      <c r="J753" s="1">
        <f ca="1">IFERROR(__xludf.DUMMYFUNCTION("""COMPUTED_VALUE"""),462.65)</f>
        <v>462.65</v>
      </c>
      <c r="K753" s="1">
        <f ca="1">IFERROR(__xludf.DUMMYFUNCTION("""COMPUTED_VALUE"""),55.24)</f>
        <v>55.24</v>
      </c>
      <c r="L753" s="1">
        <f ca="1">IFERROR(__xludf.DUMMYFUNCTION("""COMPUTED_VALUE"""),338.45)</f>
        <v>338.45</v>
      </c>
      <c r="M753" s="1">
        <f ca="1">IFERROR(__xludf.DUMMYFUNCTION("""COMPUTED_VALUE"""),294.96)</f>
        <v>294.95999999999998</v>
      </c>
      <c r="N753" s="1">
        <f ca="1">IFERROR(__xludf.DUMMYFUNCTION("""COMPUTED_VALUE"""),131.28)</f>
        <v>131.28</v>
      </c>
      <c r="O753" s="1">
        <f ca="1">IFERROR(__xludf.DUMMYFUNCTION("""COMPUTED_VALUE"""),205.83)</f>
        <v>205.83</v>
      </c>
      <c r="P753" s="1">
        <f ca="1">IFERROR(__xludf.DUMMYFUNCTION("""COMPUTED_VALUE"""),177.48)</f>
        <v>177.48</v>
      </c>
      <c r="Q753" s="1">
        <f ca="1">IFERROR(__xludf.DUMMYFUNCTION("""COMPUTED_VALUE"""),531.31)</f>
        <v>531.30999999999995</v>
      </c>
      <c r="R753" s="1">
        <f ca="1">IFERROR(__xludf.DUMMYFUNCTION("""COMPUTED_VALUE"""),108.68)</f>
        <v>108.68</v>
      </c>
      <c r="S753" s="1">
        <f ca="1">IFERROR(__xludf.DUMMYFUNCTION("""COMPUTED_VALUE"""),84.17)</f>
        <v>84.17</v>
      </c>
      <c r="T753" s="1">
        <f ca="1">IFERROR(__xludf.DUMMYFUNCTION("""COMPUTED_VALUE"""),47.92)</f>
        <v>47.92</v>
      </c>
      <c r="U753" s="1">
        <f ca="1">IFERROR(__xludf.DUMMYFUNCTION("""COMPUTED_VALUE"""),116.25)</f>
        <v>116.25</v>
      </c>
      <c r="V753" s="1">
        <f ca="1">IFERROR(__xludf.DUMMYFUNCTION("""COMPUTED_VALUE"""),239.87)</f>
        <v>239.87</v>
      </c>
      <c r="W753" s="1">
        <f ca="1">IFERROR(__xludf.DUMMYFUNCTION("""COMPUTED_VALUE"""),483.29)</f>
        <v>483.29</v>
      </c>
      <c r="X753" s="1">
        <f ca="1">IFERROR(__xludf.DUMMYFUNCTION("""COMPUTED_VALUE"""),551.37)</f>
        <v>551.37</v>
      </c>
      <c r="Y753" s="1">
        <f ca="1">IFERROR(__xludf.DUMMYFUNCTION("""COMPUTED_VALUE"""),74.89)</f>
        <v>74.89</v>
      </c>
      <c r="Z753" s="1">
        <f ca="1">IFERROR(__xludf.DUMMYFUNCTION("""COMPUTED_VALUE"""),345.51)</f>
        <v>345.51</v>
      </c>
      <c r="AA753" s="1">
        <f ca="1">IFERROR(__xludf.DUMMYFUNCTION("""COMPUTED_VALUE"""),51.83)</f>
        <v>51.83</v>
      </c>
      <c r="AB753" s="1">
        <f ca="1">IFERROR(__xludf.DUMMYFUNCTION("""COMPUTED_VALUE"""),98.27)</f>
        <v>98.27</v>
      </c>
      <c r="AC753" s="1">
        <f ca="1">IFERROR(__xludf.DUMMYFUNCTION("""COMPUTED_VALUE"""),64.52)</f>
        <v>64.52</v>
      </c>
    </row>
    <row r="754" spans="1:29" x14ac:dyDescent="0.25">
      <c r="A754" s="2">
        <f ca="1">IFERROR(__xludf.DUMMYFUNCTION("""COMPUTED_VALUE"""),44922.6666666666)</f>
        <v>44922.666666666599</v>
      </c>
      <c r="B754" s="1">
        <f ca="1">IFERROR(__xludf.DUMMYFUNCTION("""COMPUTED_VALUE"""),130.03)</f>
        <v>130.03</v>
      </c>
      <c r="C754" s="1">
        <f ca="1">IFERROR(__xludf.DUMMYFUNCTION("""COMPUTED_VALUE"""),236.96)</f>
        <v>236.96</v>
      </c>
      <c r="D754" s="1">
        <f ca="1">IFERROR(__xludf.DUMMYFUNCTION("""COMPUTED_VALUE"""),83.04)</f>
        <v>83.04</v>
      </c>
      <c r="E754" s="1">
        <f ca="1">IFERROR(__xludf.DUMMYFUNCTION("""COMPUTED_VALUE"""),14.12)</f>
        <v>14.12</v>
      </c>
      <c r="F754" s="1">
        <f ca="1">IFERROR(__xludf.DUMMYFUNCTION("""COMPUTED_VALUE"""),116.88)</f>
        <v>116.88</v>
      </c>
      <c r="G754" s="1">
        <f ca="1">IFERROR(__xludf.DUMMYFUNCTION("""COMPUTED_VALUE"""),87.93)</f>
        <v>87.93</v>
      </c>
      <c r="H754" s="1">
        <f ca="1">IFERROR(__xludf.DUMMYFUNCTION("""COMPUTED_VALUE"""),109.1)</f>
        <v>109.1</v>
      </c>
      <c r="I754" s="1">
        <f ca="1">IFERROR(__xludf.DUMMYFUNCTION("""COMPUTED_VALUE"""),183.07)</f>
        <v>183.07</v>
      </c>
      <c r="J754" s="1">
        <f ca="1">IFERROR(__xludf.DUMMYFUNCTION("""COMPUTED_VALUE"""),458.5)</f>
        <v>458.5</v>
      </c>
      <c r="K754" s="1">
        <f ca="1">IFERROR(__xludf.DUMMYFUNCTION("""COMPUTED_VALUE"""),55.35)</f>
        <v>55.35</v>
      </c>
      <c r="L754" s="1">
        <f ca="1">IFERROR(__xludf.DUMMYFUNCTION("""COMPUTED_VALUE"""),335.09)</f>
        <v>335.09</v>
      </c>
      <c r="M754" s="1">
        <f ca="1">IFERROR(__xludf.DUMMYFUNCTION("""COMPUTED_VALUE"""),284.17)</f>
        <v>284.17</v>
      </c>
      <c r="N754" s="1">
        <f ca="1">IFERROR(__xludf.DUMMYFUNCTION("""COMPUTED_VALUE"""),131.74)</f>
        <v>131.74</v>
      </c>
      <c r="O754" s="1">
        <f ca="1">IFERROR(__xludf.DUMMYFUNCTION("""COMPUTED_VALUE"""),206.29)</f>
        <v>206.29</v>
      </c>
      <c r="P754" s="1">
        <f ca="1">IFERROR(__xludf.DUMMYFUNCTION("""COMPUTED_VALUE"""),177.43)</f>
        <v>177.43</v>
      </c>
      <c r="Q754" s="1">
        <f ca="1">IFERROR(__xludf.DUMMYFUNCTION("""COMPUTED_VALUE"""),531.99)</f>
        <v>531.99</v>
      </c>
      <c r="R754" s="1">
        <f ca="1">IFERROR(__xludf.DUMMYFUNCTION("""COMPUTED_VALUE"""),110.19)</f>
        <v>110.19</v>
      </c>
      <c r="S754" s="1">
        <f ca="1">IFERROR(__xludf.DUMMYFUNCTION("""COMPUTED_VALUE"""),84)</f>
        <v>84</v>
      </c>
      <c r="T754" s="1">
        <f ca="1">IFERROR(__xludf.DUMMYFUNCTION("""COMPUTED_VALUE"""),47.94)</f>
        <v>47.94</v>
      </c>
      <c r="U754" s="1">
        <f ca="1">IFERROR(__xludf.DUMMYFUNCTION("""COMPUTED_VALUE"""),117.56)</f>
        <v>117.56</v>
      </c>
      <c r="V754" s="1">
        <f ca="1">IFERROR(__xludf.DUMMYFUNCTION("""COMPUTED_VALUE"""),243.14)</f>
        <v>243.14</v>
      </c>
      <c r="W754" s="1">
        <f ca="1">IFERROR(__xludf.DUMMYFUNCTION("""COMPUTED_VALUE"""),485.5)</f>
        <v>485.5</v>
      </c>
      <c r="X754" s="1">
        <f ca="1">IFERROR(__xludf.DUMMYFUNCTION("""COMPUTED_VALUE"""),537.18)</f>
        <v>537.17999999999995</v>
      </c>
      <c r="Y754" s="1">
        <f ca="1">IFERROR(__xludf.DUMMYFUNCTION("""COMPUTED_VALUE"""),74.32)</f>
        <v>74.319999999999993</v>
      </c>
      <c r="Z754" s="1">
        <f ca="1">IFERROR(__xludf.DUMMYFUNCTION("""COMPUTED_VALUE"""),341.97)</f>
        <v>341.97</v>
      </c>
      <c r="AA754" s="1">
        <f ca="1">IFERROR(__xludf.DUMMYFUNCTION("""COMPUTED_VALUE"""),51.13)</f>
        <v>51.13</v>
      </c>
      <c r="AB754" s="1">
        <f ca="1">IFERROR(__xludf.DUMMYFUNCTION("""COMPUTED_VALUE"""),99.2)</f>
        <v>99.2</v>
      </c>
      <c r="AC754" s="1">
        <f ca="1">IFERROR(__xludf.DUMMYFUNCTION("""COMPUTED_VALUE"""),63.27)</f>
        <v>63.27</v>
      </c>
    </row>
    <row r="755" spans="1:29" x14ac:dyDescent="0.25">
      <c r="A755" s="2">
        <f ca="1">IFERROR(__xludf.DUMMYFUNCTION("""COMPUTED_VALUE"""),44923.6666666666)</f>
        <v>44923.666666666599</v>
      </c>
      <c r="B755" s="1">
        <f ca="1">IFERROR(__xludf.DUMMYFUNCTION("""COMPUTED_VALUE"""),126.04)</f>
        <v>126.04</v>
      </c>
      <c r="C755" s="1">
        <f ca="1">IFERROR(__xludf.DUMMYFUNCTION("""COMPUTED_VALUE"""),234.53)</f>
        <v>234.53</v>
      </c>
      <c r="D755" s="1">
        <f ca="1">IFERROR(__xludf.DUMMYFUNCTION("""COMPUTED_VALUE"""),81.82)</f>
        <v>81.819999999999993</v>
      </c>
      <c r="E755" s="1">
        <f ca="1">IFERROR(__xludf.DUMMYFUNCTION("""COMPUTED_VALUE"""),14.04)</f>
        <v>14.04</v>
      </c>
      <c r="F755" s="1">
        <f ca="1">IFERROR(__xludf.DUMMYFUNCTION("""COMPUTED_VALUE"""),115.62)</f>
        <v>115.62</v>
      </c>
      <c r="G755" s="1">
        <f ca="1">IFERROR(__xludf.DUMMYFUNCTION("""COMPUTED_VALUE"""),86.46)</f>
        <v>86.46</v>
      </c>
      <c r="H755" s="1">
        <f ca="1">IFERROR(__xludf.DUMMYFUNCTION("""COMPUTED_VALUE"""),112.71)</f>
        <v>112.71</v>
      </c>
      <c r="I755" s="1">
        <f ca="1">IFERROR(__xludf.DUMMYFUNCTION("""COMPUTED_VALUE"""),181.75)</f>
        <v>181.75</v>
      </c>
      <c r="J755" s="1">
        <f ca="1">IFERROR(__xludf.DUMMYFUNCTION("""COMPUTED_VALUE"""),452.99)</f>
        <v>452.99</v>
      </c>
      <c r="K755" s="1">
        <f ca="1">IFERROR(__xludf.DUMMYFUNCTION("""COMPUTED_VALUE"""),54.49)</f>
        <v>54.49</v>
      </c>
      <c r="L755" s="1">
        <f ca="1">IFERROR(__xludf.DUMMYFUNCTION("""COMPUTED_VALUE"""),328.33)</f>
        <v>328.33</v>
      </c>
      <c r="M755" s="1">
        <f ca="1">IFERROR(__xludf.DUMMYFUNCTION("""COMPUTED_VALUE"""),276.88)</f>
        <v>276.88</v>
      </c>
      <c r="N755" s="1">
        <f ca="1">IFERROR(__xludf.DUMMYFUNCTION("""COMPUTED_VALUE"""),132.46)</f>
        <v>132.46</v>
      </c>
      <c r="O755" s="1">
        <f ca="1">IFERROR(__xludf.DUMMYFUNCTION("""COMPUTED_VALUE"""),204.99)</f>
        <v>204.99</v>
      </c>
      <c r="P755" s="1">
        <f ca="1">IFERROR(__xludf.DUMMYFUNCTION("""COMPUTED_VALUE"""),176.66)</f>
        <v>176.66</v>
      </c>
      <c r="Q755" s="1">
        <f ca="1">IFERROR(__xludf.DUMMYFUNCTION("""COMPUTED_VALUE"""),528.45)</f>
        <v>528.45000000000005</v>
      </c>
      <c r="R755" s="1">
        <f ca="1">IFERROR(__xludf.DUMMYFUNCTION("""COMPUTED_VALUE"""),108.38)</f>
        <v>108.38</v>
      </c>
      <c r="S755" s="1">
        <f ca="1">IFERROR(__xludf.DUMMYFUNCTION("""COMPUTED_VALUE"""),83.16)</f>
        <v>83.16</v>
      </c>
      <c r="T755" s="1">
        <f ca="1">IFERROR(__xludf.DUMMYFUNCTION("""COMPUTED_VALUE"""),47.1)</f>
        <v>47.1</v>
      </c>
      <c r="U755" s="1">
        <f ca="1">IFERROR(__xludf.DUMMYFUNCTION("""COMPUTED_VALUE"""),114.98)</f>
        <v>114.98</v>
      </c>
      <c r="V755" s="1">
        <f ca="1">IFERROR(__xludf.DUMMYFUNCTION("""COMPUTED_VALUE"""),239.38)</f>
        <v>239.38</v>
      </c>
      <c r="W755" s="1">
        <f ca="1">IFERROR(__xludf.DUMMYFUNCTION("""COMPUTED_VALUE"""),483.22)</f>
        <v>483.22</v>
      </c>
      <c r="X755" s="1">
        <f ca="1">IFERROR(__xludf.DUMMYFUNCTION("""COMPUTED_VALUE"""),531.64)</f>
        <v>531.64</v>
      </c>
      <c r="Y755" s="1">
        <f ca="1">IFERROR(__xludf.DUMMYFUNCTION("""COMPUTED_VALUE"""),73.06)</f>
        <v>73.06</v>
      </c>
      <c r="Z755" s="1">
        <f ca="1">IFERROR(__xludf.DUMMYFUNCTION("""COMPUTED_VALUE"""),340.87)</f>
        <v>340.87</v>
      </c>
      <c r="AA755" s="1">
        <f ca="1">IFERROR(__xludf.DUMMYFUNCTION("""COMPUTED_VALUE"""),50.8)</f>
        <v>50.8</v>
      </c>
      <c r="AB755" s="1">
        <f ca="1">IFERROR(__xludf.DUMMYFUNCTION("""COMPUTED_VALUE"""),98.6)</f>
        <v>98.6</v>
      </c>
      <c r="AC755" s="1">
        <f ca="1">IFERROR(__xludf.DUMMYFUNCTION("""COMPUTED_VALUE"""),62.57)</f>
        <v>62.57</v>
      </c>
    </row>
    <row r="756" spans="1:29" x14ac:dyDescent="0.25">
      <c r="A756" s="2">
        <f ca="1">IFERROR(__xludf.DUMMYFUNCTION("""COMPUTED_VALUE"""),44924.6666666666)</f>
        <v>44924.666666666599</v>
      </c>
      <c r="B756" s="1">
        <f ca="1">IFERROR(__xludf.DUMMYFUNCTION("""COMPUTED_VALUE"""),129.61)</f>
        <v>129.61000000000001</v>
      </c>
      <c r="C756" s="1">
        <f ca="1">IFERROR(__xludf.DUMMYFUNCTION("""COMPUTED_VALUE"""),241.01)</f>
        <v>241.01</v>
      </c>
      <c r="D756" s="1">
        <f ca="1">IFERROR(__xludf.DUMMYFUNCTION("""COMPUTED_VALUE"""),84.18)</f>
        <v>84.18</v>
      </c>
      <c r="E756" s="1">
        <f ca="1">IFERROR(__xludf.DUMMYFUNCTION("""COMPUTED_VALUE"""),14.6)</f>
        <v>14.6</v>
      </c>
      <c r="F756" s="1">
        <f ca="1">IFERROR(__xludf.DUMMYFUNCTION("""COMPUTED_VALUE"""),120.26)</f>
        <v>120.26</v>
      </c>
      <c r="G756" s="1">
        <f ca="1">IFERROR(__xludf.DUMMYFUNCTION("""COMPUTED_VALUE"""),88.95)</f>
        <v>88.95</v>
      </c>
      <c r="H756" s="1">
        <f ca="1">IFERROR(__xludf.DUMMYFUNCTION("""COMPUTED_VALUE"""),121.82)</f>
        <v>121.82</v>
      </c>
      <c r="I756" s="1">
        <f ca="1">IFERROR(__xludf.DUMMYFUNCTION("""COMPUTED_VALUE"""),181.98)</f>
        <v>181.98</v>
      </c>
      <c r="J756" s="1">
        <f ca="1">IFERROR(__xludf.DUMMYFUNCTION("""COMPUTED_VALUE"""),456.53)</f>
        <v>456.53</v>
      </c>
      <c r="K756" s="1">
        <f ca="1">IFERROR(__xludf.DUMMYFUNCTION("""COMPUTED_VALUE"""),55.78)</f>
        <v>55.78</v>
      </c>
      <c r="L756" s="1">
        <f ca="1">IFERROR(__xludf.DUMMYFUNCTION("""COMPUTED_VALUE"""),337.58)</f>
        <v>337.58</v>
      </c>
      <c r="M756" s="1">
        <f ca="1">IFERROR(__xludf.DUMMYFUNCTION("""COMPUTED_VALUE"""),291.12)</f>
        <v>291.12</v>
      </c>
      <c r="N756" s="1">
        <f ca="1">IFERROR(__xludf.DUMMYFUNCTION("""COMPUTED_VALUE"""),133.22)</f>
        <v>133.22</v>
      </c>
      <c r="O756" s="1">
        <f ca="1">IFERROR(__xludf.DUMMYFUNCTION("""COMPUTED_VALUE"""),208.06)</f>
        <v>208.06</v>
      </c>
      <c r="P756" s="1">
        <f ca="1">IFERROR(__xludf.DUMMYFUNCTION("""COMPUTED_VALUE"""),177.56)</f>
        <v>177.56</v>
      </c>
      <c r="Q756" s="1">
        <f ca="1">IFERROR(__xludf.DUMMYFUNCTION("""COMPUTED_VALUE"""),529.88)</f>
        <v>529.88</v>
      </c>
      <c r="R756" s="1">
        <f ca="1">IFERROR(__xludf.DUMMYFUNCTION("""COMPUTED_VALUE"""),109.2)</f>
        <v>109.2</v>
      </c>
      <c r="S756" s="1">
        <f ca="1">IFERROR(__xludf.DUMMYFUNCTION("""COMPUTED_VALUE"""),84.08)</f>
        <v>84.08</v>
      </c>
      <c r="T756" s="1">
        <f ca="1">IFERROR(__xludf.DUMMYFUNCTION("""COMPUTED_VALUE"""),47.38)</f>
        <v>47.38</v>
      </c>
      <c r="U756" s="1">
        <f ca="1">IFERROR(__xludf.DUMMYFUNCTION("""COMPUTED_VALUE"""),117.35)</f>
        <v>117.35</v>
      </c>
      <c r="V756" s="1">
        <f ca="1">IFERROR(__xludf.DUMMYFUNCTION("""COMPUTED_VALUE"""),240.2)</f>
        <v>240.2</v>
      </c>
      <c r="W756" s="1">
        <f ca="1">IFERROR(__xludf.DUMMYFUNCTION("""COMPUTED_VALUE"""),487.05)</f>
        <v>487.05</v>
      </c>
      <c r="X756" s="1">
        <f ca="1">IFERROR(__xludf.DUMMYFUNCTION("""COMPUTED_VALUE"""),551.47)</f>
        <v>551.47</v>
      </c>
      <c r="Y756" s="1">
        <f ca="1">IFERROR(__xludf.DUMMYFUNCTION("""COMPUTED_VALUE"""),76)</f>
        <v>76</v>
      </c>
      <c r="Z756" s="1">
        <f ca="1">IFERROR(__xludf.DUMMYFUNCTION("""COMPUTED_VALUE"""),343.43)</f>
        <v>343.43</v>
      </c>
      <c r="AA756" s="1">
        <f ca="1">IFERROR(__xludf.DUMMYFUNCTION("""COMPUTED_VALUE"""),51.33)</f>
        <v>51.33</v>
      </c>
      <c r="AB756" s="1">
        <f ca="1">IFERROR(__xludf.DUMMYFUNCTION("""COMPUTED_VALUE"""),99.77)</f>
        <v>99.77</v>
      </c>
      <c r="AC756" s="1">
        <f ca="1">IFERROR(__xludf.DUMMYFUNCTION("""COMPUTED_VALUE"""),64.82)</f>
        <v>64.819999999999993</v>
      </c>
    </row>
    <row r="757" spans="1:29" x14ac:dyDescent="0.25">
      <c r="A757" s="2">
        <f ca="1">IFERROR(__xludf.DUMMYFUNCTION("""COMPUTED_VALUE"""),44925.6666666666)</f>
        <v>44925.666666666599</v>
      </c>
      <c r="B757" s="1">
        <f ca="1">IFERROR(__xludf.DUMMYFUNCTION("""COMPUTED_VALUE"""),129.93)</f>
        <v>129.93</v>
      </c>
      <c r="C757" s="1">
        <f ca="1">IFERROR(__xludf.DUMMYFUNCTION("""COMPUTED_VALUE"""),239.82)</f>
        <v>239.82</v>
      </c>
      <c r="D757" s="1">
        <f ca="1">IFERROR(__xludf.DUMMYFUNCTION("""COMPUTED_VALUE"""),84)</f>
        <v>84</v>
      </c>
      <c r="E757" s="1">
        <f ca="1">IFERROR(__xludf.DUMMYFUNCTION("""COMPUTED_VALUE"""),14.61)</f>
        <v>14.61</v>
      </c>
      <c r="F757" s="1">
        <f ca="1">IFERROR(__xludf.DUMMYFUNCTION("""COMPUTED_VALUE"""),120.34)</f>
        <v>120.34</v>
      </c>
      <c r="G757" s="1">
        <f ca="1">IFERROR(__xludf.DUMMYFUNCTION("""COMPUTED_VALUE"""),88.73)</f>
        <v>88.73</v>
      </c>
      <c r="H757" s="1">
        <f ca="1">IFERROR(__xludf.DUMMYFUNCTION("""COMPUTED_VALUE"""),123.18)</f>
        <v>123.18</v>
      </c>
      <c r="I757" s="1">
        <f ca="1">IFERROR(__xludf.DUMMYFUNCTION("""COMPUTED_VALUE"""),180.66)</f>
        <v>180.66</v>
      </c>
      <c r="J757" s="1">
        <f ca="1">IFERROR(__xludf.DUMMYFUNCTION("""COMPUTED_VALUE"""),456.5)</f>
        <v>456.5</v>
      </c>
      <c r="K757" s="1">
        <f ca="1">IFERROR(__xludf.DUMMYFUNCTION("""COMPUTED_VALUE"""),55.91)</f>
        <v>55.91</v>
      </c>
      <c r="L757" s="1">
        <f ca="1">IFERROR(__xludf.DUMMYFUNCTION("""COMPUTED_VALUE"""),336.53)</f>
        <v>336.53</v>
      </c>
      <c r="M757" s="1">
        <f ca="1">IFERROR(__xludf.DUMMYFUNCTION("""COMPUTED_VALUE"""),294.88)</f>
        <v>294.88</v>
      </c>
      <c r="N757" s="1">
        <f ca="1">IFERROR(__xludf.DUMMYFUNCTION("""COMPUTED_VALUE"""),134.1)</f>
        <v>134.1</v>
      </c>
      <c r="O757" s="1">
        <f ca="1">IFERROR(__xludf.DUMMYFUNCTION("""COMPUTED_VALUE"""),207.76)</f>
        <v>207.76</v>
      </c>
      <c r="P757" s="1">
        <f ca="1">IFERROR(__xludf.DUMMYFUNCTION("""COMPUTED_VALUE"""),176.65)</f>
        <v>176.65</v>
      </c>
      <c r="Q757" s="1">
        <f ca="1">IFERROR(__xludf.DUMMYFUNCTION("""COMPUTED_VALUE"""),530.18)</f>
        <v>530.17999999999995</v>
      </c>
      <c r="R757" s="1">
        <f ca="1">IFERROR(__xludf.DUMMYFUNCTION("""COMPUTED_VALUE"""),110.3)</f>
        <v>110.3</v>
      </c>
      <c r="S757" s="1">
        <f ca="1">IFERROR(__xludf.DUMMYFUNCTION("""COMPUTED_VALUE"""),83.6)</f>
        <v>83.6</v>
      </c>
      <c r="T757" s="1">
        <f ca="1">IFERROR(__xludf.DUMMYFUNCTION("""COMPUTED_VALUE"""),47.26)</f>
        <v>47.26</v>
      </c>
      <c r="U757" s="1">
        <f ca="1">IFERROR(__xludf.DUMMYFUNCTION("""COMPUTED_VALUE"""),117.01)</f>
        <v>117.01</v>
      </c>
      <c r="V757" s="1">
        <f ca="1">IFERROR(__xludf.DUMMYFUNCTION("""COMPUTED_VALUE"""),239.56)</f>
        <v>239.56</v>
      </c>
      <c r="W757" s="1">
        <f ca="1">IFERROR(__xludf.DUMMYFUNCTION("""COMPUTED_VALUE"""),486.49)</f>
        <v>486.49</v>
      </c>
      <c r="X757" s="1">
        <f ca="1">IFERROR(__xludf.DUMMYFUNCTION("""COMPUTED_VALUE"""),546.4)</f>
        <v>546.4</v>
      </c>
      <c r="Y757" s="1">
        <f ca="1">IFERROR(__xludf.DUMMYFUNCTION("""COMPUTED_VALUE"""),74.49)</f>
        <v>74.489999999999995</v>
      </c>
      <c r="Z757" s="1">
        <f ca="1">IFERROR(__xludf.DUMMYFUNCTION("""COMPUTED_VALUE"""),343.38)</f>
        <v>343.38</v>
      </c>
      <c r="AA757" s="1">
        <f ca="1">IFERROR(__xludf.DUMMYFUNCTION("""COMPUTED_VALUE"""),51.24)</f>
        <v>51.24</v>
      </c>
      <c r="AB757" s="1">
        <f ca="1">IFERROR(__xludf.DUMMYFUNCTION("""COMPUTED_VALUE"""),99.2)</f>
        <v>99.2</v>
      </c>
      <c r="AC757" s="1">
        <f ca="1">IFERROR(__xludf.DUMMYFUNCTION("""COMPUTED_VALUE"""),64.77)</f>
        <v>64.77</v>
      </c>
    </row>
    <row r="758" spans="1:29" x14ac:dyDescent="0.25">
      <c r="A758" s="2">
        <f ca="1">IFERROR(__xludf.DUMMYFUNCTION("""COMPUTED_VALUE"""),44929.6666666666)</f>
        <v>44929.666666666599</v>
      </c>
      <c r="B758" s="1">
        <f ca="1">IFERROR(__xludf.DUMMYFUNCTION("""COMPUTED_VALUE"""),125.07)</f>
        <v>125.07</v>
      </c>
      <c r="C758" s="1">
        <f ca="1">IFERROR(__xludf.DUMMYFUNCTION("""COMPUTED_VALUE"""),239.58)</f>
        <v>239.58</v>
      </c>
      <c r="D758" s="1">
        <f ca="1">IFERROR(__xludf.DUMMYFUNCTION("""COMPUTED_VALUE"""),85.82)</f>
        <v>85.82</v>
      </c>
      <c r="E758" s="1">
        <f ca="1">IFERROR(__xludf.DUMMYFUNCTION("""COMPUTED_VALUE"""),14.32)</f>
        <v>14.32</v>
      </c>
      <c r="F758" s="1">
        <f ca="1">IFERROR(__xludf.DUMMYFUNCTION("""COMPUTED_VALUE"""),124.74)</f>
        <v>124.74</v>
      </c>
      <c r="G758" s="1">
        <f ca="1">IFERROR(__xludf.DUMMYFUNCTION("""COMPUTED_VALUE"""),89.7)</f>
        <v>89.7</v>
      </c>
      <c r="H758" s="1">
        <f ca="1">IFERROR(__xludf.DUMMYFUNCTION("""COMPUTED_VALUE"""),108.1)</f>
        <v>108.1</v>
      </c>
      <c r="I758" s="1">
        <f ca="1">IFERROR(__xludf.DUMMYFUNCTION("""COMPUTED_VALUE"""),179.41)</f>
        <v>179.41</v>
      </c>
      <c r="J758" s="1">
        <f ca="1">IFERROR(__xludf.DUMMYFUNCTION("""COMPUTED_VALUE"""),453.28)</f>
        <v>453.28</v>
      </c>
      <c r="K758" s="1">
        <f ca="1">IFERROR(__xludf.DUMMYFUNCTION("""COMPUTED_VALUE"""),55.35)</f>
        <v>55.35</v>
      </c>
      <c r="L758" s="1">
        <f ca="1">IFERROR(__xludf.DUMMYFUNCTION("""COMPUTED_VALUE"""),336.92)</f>
        <v>336.92</v>
      </c>
      <c r="M758" s="1">
        <f ca="1">IFERROR(__xludf.DUMMYFUNCTION("""COMPUTED_VALUE"""),294.95)</f>
        <v>294.95</v>
      </c>
      <c r="N758" s="1">
        <f ca="1">IFERROR(__xludf.DUMMYFUNCTION("""COMPUTED_VALUE"""),135.12)</f>
        <v>135.12</v>
      </c>
      <c r="O758" s="1">
        <f ca="1">IFERROR(__xludf.DUMMYFUNCTION("""COMPUTED_VALUE"""),207.39)</f>
        <v>207.39</v>
      </c>
      <c r="P758" s="1">
        <f ca="1">IFERROR(__xludf.DUMMYFUNCTION("""COMPUTED_VALUE"""),178.19)</f>
        <v>178.19</v>
      </c>
      <c r="Q758" s="1">
        <f ca="1">IFERROR(__xludf.DUMMYFUNCTION("""COMPUTED_VALUE"""),518.64)</f>
        <v>518.64</v>
      </c>
      <c r="R758" s="1">
        <f ca="1">IFERROR(__xludf.DUMMYFUNCTION("""COMPUTED_VALUE"""),106.51)</f>
        <v>106.51</v>
      </c>
      <c r="S758" s="1">
        <f ca="1">IFERROR(__xludf.DUMMYFUNCTION("""COMPUTED_VALUE"""),83.83)</f>
        <v>83.83</v>
      </c>
      <c r="T758" s="1">
        <f ca="1">IFERROR(__xludf.DUMMYFUNCTION("""COMPUTED_VALUE"""),47.87)</f>
        <v>47.87</v>
      </c>
      <c r="U758" s="1">
        <f ca="1">IFERROR(__xludf.DUMMYFUNCTION("""COMPUTED_VALUE"""),118.75)</f>
        <v>118.75</v>
      </c>
      <c r="V758" s="1">
        <f ca="1">IFERROR(__xludf.DUMMYFUNCTION("""COMPUTED_VALUE"""),238.88)</f>
        <v>238.88</v>
      </c>
      <c r="W758" s="1">
        <f ca="1">IFERROR(__xludf.DUMMYFUNCTION("""COMPUTED_VALUE"""),477.53)</f>
        <v>477.53</v>
      </c>
      <c r="X758" s="1">
        <f ca="1">IFERROR(__xludf.DUMMYFUNCTION("""COMPUTED_VALUE"""),549.57)</f>
        <v>549.57000000000005</v>
      </c>
      <c r="Y758" s="1">
        <f ca="1">IFERROR(__xludf.DUMMYFUNCTION("""COMPUTED_VALUE"""),74.03)</f>
        <v>74.03</v>
      </c>
      <c r="Z758" s="1">
        <f ca="1">IFERROR(__xludf.DUMMYFUNCTION("""COMPUTED_VALUE"""),346.22)</f>
        <v>346.22</v>
      </c>
      <c r="AA758" s="1">
        <f ca="1">IFERROR(__xludf.DUMMYFUNCTION("""COMPUTED_VALUE"""),51.26)</f>
        <v>51.26</v>
      </c>
      <c r="AB758" s="1">
        <f ca="1">IFERROR(__xludf.DUMMYFUNCTION("""COMPUTED_VALUE"""),100.83)</f>
        <v>100.83</v>
      </c>
      <c r="AC758" s="1">
        <f ca="1">IFERROR(__xludf.DUMMYFUNCTION("""COMPUTED_VALUE"""),64.02)</f>
        <v>64.02</v>
      </c>
    </row>
    <row r="759" spans="1:29" x14ac:dyDescent="0.25">
      <c r="A759" s="2">
        <f ca="1">IFERROR(__xludf.DUMMYFUNCTION("""COMPUTED_VALUE"""),44930.6666666666)</f>
        <v>44930.666666666599</v>
      </c>
      <c r="B759" s="1">
        <f ca="1">IFERROR(__xludf.DUMMYFUNCTION("""COMPUTED_VALUE"""),126.36)</f>
        <v>126.36</v>
      </c>
      <c r="C759" s="1">
        <f ca="1">IFERROR(__xludf.DUMMYFUNCTION("""COMPUTED_VALUE"""),229.1)</f>
        <v>229.1</v>
      </c>
      <c r="D759" s="1">
        <f ca="1">IFERROR(__xludf.DUMMYFUNCTION("""COMPUTED_VALUE"""),85.14)</f>
        <v>85.14</v>
      </c>
      <c r="E759" s="1">
        <f ca="1">IFERROR(__xludf.DUMMYFUNCTION("""COMPUTED_VALUE"""),14.75)</f>
        <v>14.75</v>
      </c>
      <c r="F759" s="1">
        <f ca="1">IFERROR(__xludf.DUMMYFUNCTION("""COMPUTED_VALUE"""),127.37)</f>
        <v>127.37</v>
      </c>
      <c r="G759" s="1">
        <f ca="1">IFERROR(__xludf.DUMMYFUNCTION("""COMPUTED_VALUE"""),88.71)</f>
        <v>88.71</v>
      </c>
      <c r="H759" s="1">
        <f ca="1">IFERROR(__xludf.DUMMYFUNCTION("""COMPUTED_VALUE"""),113.64)</f>
        <v>113.64</v>
      </c>
      <c r="I759" s="1">
        <f ca="1">IFERROR(__xludf.DUMMYFUNCTION("""COMPUTED_VALUE"""),178.97)</f>
        <v>178.97</v>
      </c>
      <c r="J759" s="1">
        <f ca="1">IFERROR(__xludf.DUMMYFUNCTION("""COMPUTED_VALUE"""),456.56)</f>
        <v>456.56</v>
      </c>
      <c r="K759" s="1">
        <f ca="1">IFERROR(__xludf.DUMMYFUNCTION("""COMPUTED_VALUE"""),56.02)</f>
        <v>56.02</v>
      </c>
      <c r="L759" s="1">
        <f ca="1">IFERROR(__xludf.DUMMYFUNCTION("""COMPUTED_VALUE"""),341.41)</f>
        <v>341.41</v>
      </c>
      <c r="M759" s="1">
        <f ca="1">IFERROR(__xludf.DUMMYFUNCTION("""COMPUTED_VALUE"""),309.41)</f>
        <v>309.41000000000003</v>
      </c>
      <c r="N759" s="1">
        <f ca="1">IFERROR(__xludf.DUMMYFUNCTION("""COMPUTED_VALUE"""),136.38)</f>
        <v>136.38</v>
      </c>
      <c r="O759" s="1">
        <f ca="1">IFERROR(__xludf.DUMMYFUNCTION("""COMPUTED_VALUE"""),212.61)</f>
        <v>212.61</v>
      </c>
      <c r="P759" s="1">
        <f ca="1">IFERROR(__xludf.DUMMYFUNCTION("""COMPUTED_VALUE"""),180.13)</f>
        <v>180.13</v>
      </c>
      <c r="Q759" s="1">
        <f ca="1">IFERROR(__xludf.DUMMYFUNCTION("""COMPUTED_VALUE"""),504.5)</f>
        <v>504.5</v>
      </c>
      <c r="R759" s="1">
        <f ca="1">IFERROR(__xludf.DUMMYFUNCTION("""COMPUTED_VALUE"""),106.82)</f>
        <v>106.82</v>
      </c>
      <c r="S759" s="1">
        <f ca="1">IFERROR(__xludf.DUMMYFUNCTION("""COMPUTED_VALUE"""),84.49)</f>
        <v>84.49</v>
      </c>
      <c r="T759" s="1">
        <f ca="1">IFERROR(__xludf.DUMMYFUNCTION("""COMPUTED_VALUE"""),47.92)</f>
        <v>47.92</v>
      </c>
      <c r="U759" s="1">
        <f ca="1">IFERROR(__xludf.DUMMYFUNCTION("""COMPUTED_VALUE"""),121.21)</f>
        <v>121.21</v>
      </c>
      <c r="V759" s="1">
        <f ca="1">IFERROR(__xludf.DUMMYFUNCTION("""COMPUTED_VALUE"""),241.36)</f>
        <v>241.36</v>
      </c>
      <c r="W759" s="1">
        <f ca="1">IFERROR(__xludf.DUMMYFUNCTION("""COMPUTED_VALUE"""),476.5)</f>
        <v>476.5</v>
      </c>
      <c r="X759" s="1">
        <f ca="1">IFERROR(__xludf.DUMMYFUNCTION("""COMPUTED_VALUE"""),570.83)</f>
        <v>570.83000000000004</v>
      </c>
      <c r="Y759" s="1">
        <f ca="1">IFERROR(__xludf.DUMMYFUNCTION("""COMPUTED_VALUE"""),76.32)</f>
        <v>76.319999999999993</v>
      </c>
      <c r="Z759" s="1">
        <f ca="1">IFERROR(__xludf.DUMMYFUNCTION("""COMPUTED_VALUE"""),347.7)</f>
        <v>347.7</v>
      </c>
      <c r="AA759" s="1">
        <f ca="1">IFERROR(__xludf.DUMMYFUNCTION("""COMPUTED_VALUE"""),50.13)</f>
        <v>50.13</v>
      </c>
      <c r="AB759" s="1">
        <f ca="1">IFERROR(__xludf.DUMMYFUNCTION("""COMPUTED_VALUE"""),104.46)</f>
        <v>104.46</v>
      </c>
      <c r="AC759" s="1">
        <f ca="1">IFERROR(__xludf.DUMMYFUNCTION("""COMPUTED_VALUE"""),64.66)</f>
        <v>64.66</v>
      </c>
    </row>
    <row r="760" spans="1:29" x14ac:dyDescent="0.25">
      <c r="A760" s="2">
        <f ca="1">IFERROR(__xludf.DUMMYFUNCTION("""COMPUTED_VALUE"""),44931.6666666666)</f>
        <v>44931.666666666599</v>
      </c>
      <c r="B760" s="1">
        <f ca="1">IFERROR(__xludf.DUMMYFUNCTION("""COMPUTED_VALUE"""),125.02)</f>
        <v>125.02</v>
      </c>
      <c r="C760" s="1">
        <f ca="1">IFERROR(__xludf.DUMMYFUNCTION("""COMPUTED_VALUE"""),222.31)</f>
        <v>222.31</v>
      </c>
      <c r="D760" s="1">
        <f ca="1">IFERROR(__xludf.DUMMYFUNCTION("""COMPUTED_VALUE"""),83.12)</f>
        <v>83.12</v>
      </c>
      <c r="E760" s="1">
        <f ca="1">IFERROR(__xludf.DUMMYFUNCTION("""COMPUTED_VALUE"""),14.27)</f>
        <v>14.27</v>
      </c>
      <c r="F760" s="1">
        <f ca="1">IFERROR(__xludf.DUMMYFUNCTION("""COMPUTED_VALUE"""),126.94)</f>
        <v>126.94</v>
      </c>
      <c r="G760" s="1">
        <f ca="1">IFERROR(__xludf.DUMMYFUNCTION("""COMPUTED_VALUE"""),86.77)</f>
        <v>86.77</v>
      </c>
      <c r="H760" s="1">
        <f ca="1">IFERROR(__xludf.DUMMYFUNCTION("""COMPUTED_VALUE"""),110.34)</f>
        <v>110.34</v>
      </c>
      <c r="I760" s="1">
        <f ca="1">IFERROR(__xludf.DUMMYFUNCTION("""COMPUTED_VALUE"""),177.1)</f>
        <v>177.1</v>
      </c>
      <c r="J760" s="1">
        <f ca="1">IFERROR(__xludf.DUMMYFUNCTION("""COMPUTED_VALUE"""),450.19)</f>
        <v>450.19</v>
      </c>
      <c r="K760" s="1">
        <f ca="1">IFERROR(__xludf.DUMMYFUNCTION("""COMPUTED_VALUE"""),55.5)</f>
        <v>55.5</v>
      </c>
      <c r="L760" s="1">
        <f ca="1">IFERROR(__xludf.DUMMYFUNCTION("""COMPUTED_VALUE"""),328.44)</f>
        <v>328.44</v>
      </c>
      <c r="M760" s="1">
        <f ca="1">IFERROR(__xludf.DUMMYFUNCTION("""COMPUTED_VALUE"""),309.7)</f>
        <v>309.7</v>
      </c>
      <c r="N760" s="1">
        <f ca="1">IFERROR(__xludf.DUMMYFUNCTION("""COMPUTED_VALUE"""),135.35)</f>
        <v>135.35</v>
      </c>
      <c r="O760" s="1">
        <f ca="1">IFERROR(__xludf.DUMMYFUNCTION("""COMPUTED_VALUE"""),211.11)</f>
        <v>211.11</v>
      </c>
      <c r="P760" s="1">
        <f ca="1">IFERROR(__xludf.DUMMYFUNCTION("""COMPUTED_VALUE"""),178.8)</f>
        <v>178.8</v>
      </c>
      <c r="Q760" s="1">
        <f ca="1">IFERROR(__xludf.DUMMYFUNCTION("""COMPUTED_VALUE"""),489.96)</f>
        <v>489.96</v>
      </c>
      <c r="R760" s="1">
        <f ca="1">IFERROR(__xludf.DUMMYFUNCTION("""COMPUTED_VALUE"""),109.21)</f>
        <v>109.21</v>
      </c>
      <c r="S760" s="1">
        <f ca="1">IFERROR(__xludf.DUMMYFUNCTION("""COMPUTED_VALUE"""),82.63)</f>
        <v>82.63</v>
      </c>
      <c r="T760" s="1">
        <f ca="1">IFERROR(__xludf.DUMMYFUNCTION("""COMPUTED_VALUE"""),47.76)</f>
        <v>47.76</v>
      </c>
      <c r="U760" s="1">
        <f ca="1">IFERROR(__xludf.DUMMYFUNCTION("""COMPUTED_VALUE"""),120.62)</f>
        <v>120.62</v>
      </c>
      <c r="V760" s="1">
        <f ca="1">IFERROR(__xludf.DUMMYFUNCTION("""COMPUTED_VALUE"""),240.28)</f>
        <v>240.28</v>
      </c>
      <c r="W760" s="1">
        <f ca="1">IFERROR(__xludf.DUMMYFUNCTION("""COMPUTED_VALUE"""),477.07)</f>
        <v>477.07</v>
      </c>
      <c r="X760" s="1">
        <f ca="1">IFERROR(__xludf.DUMMYFUNCTION("""COMPUTED_VALUE"""),565.32)</f>
        <v>565.32000000000005</v>
      </c>
      <c r="Y760" s="1">
        <f ca="1">IFERROR(__xludf.DUMMYFUNCTION("""COMPUTED_VALUE"""),75.73)</f>
        <v>75.73</v>
      </c>
      <c r="Z760" s="1">
        <f ca="1">IFERROR(__xludf.DUMMYFUNCTION("""COMPUTED_VALUE"""),343.76)</f>
        <v>343.76</v>
      </c>
      <c r="AA760" s="1">
        <f ca="1">IFERROR(__xludf.DUMMYFUNCTION("""COMPUTED_VALUE"""),49.66)</f>
        <v>49.66</v>
      </c>
      <c r="AB760" s="1">
        <f ca="1">IFERROR(__xludf.DUMMYFUNCTION("""COMPUTED_VALUE"""),104.43)</f>
        <v>104.43</v>
      </c>
      <c r="AC760" s="1">
        <f ca="1">IFERROR(__xludf.DUMMYFUNCTION("""COMPUTED_VALUE"""),62.33)</f>
        <v>62.33</v>
      </c>
    </row>
    <row r="761" spans="1:29" x14ac:dyDescent="0.25">
      <c r="A761" s="2">
        <f ca="1">IFERROR(__xludf.DUMMYFUNCTION("""COMPUTED_VALUE"""),44932.6666666666)</f>
        <v>44932.666666666599</v>
      </c>
      <c r="B761" s="1">
        <f ca="1">IFERROR(__xludf.DUMMYFUNCTION("""COMPUTED_VALUE"""),129.62)</f>
        <v>129.62</v>
      </c>
      <c r="C761" s="1">
        <f ca="1">IFERROR(__xludf.DUMMYFUNCTION("""COMPUTED_VALUE"""),224.93)</f>
        <v>224.93</v>
      </c>
      <c r="D761" s="1">
        <f ca="1">IFERROR(__xludf.DUMMYFUNCTION("""COMPUTED_VALUE"""),86.08)</f>
        <v>86.08</v>
      </c>
      <c r="E761" s="1">
        <f ca="1">IFERROR(__xludf.DUMMYFUNCTION("""COMPUTED_VALUE"""),14.86)</f>
        <v>14.86</v>
      </c>
      <c r="F761" s="1">
        <f ca="1">IFERROR(__xludf.DUMMYFUNCTION("""COMPUTED_VALUE"""),130.02)</f>
        <v>130.02000000000001</v>
      </c>
      <c r="G761" s="1">
        <f ca="1">IFERROR(__xludf.DUMMYFUNCTION("""COMPUTED_VALUE"""),88.16)</f>
        <v>88.16</v>
      </c>
      <c r="H761" s="1">
        <f ca="1">IFERROR(__xludf.DUMMYFUNCTION("""COMPUTED_VALUE"""),113.06)</f>
        <v>113.06</v>
      </c>
      <c r="I761" s="1">
        <f ca="1">IFERROR(__xludf.DUMMYFUNCTION("""COMPUTED_VALUE"""),181.1)</f>
        <v>181.1</v>
      </c>
      <c r="J761" s="1">
        <f ca="1">IFERROR(__xludf.DUMMYFUNCTION("""COMPUTED_VALUE"""),482.87)</f>
        <v>482.87</v>
      </c>
      <c r="K761" s="1">
        <f ca="1">IFERROR(__xludf.DUMMYFUNCTION("""COMPUTED_VALUE"""),58.84)</f>
        <v>58.84</v>
      </c>
      <c r="L761" s="1">
        <f ca="1">IFERROR(__xludf.DUMMYFUNCTION("""COMPUTED_VALUE"""),332.75)</f>
        <v>332.75</v>
      </c>
      <c r="M761" s="1">
        <f ca="1">IFERROR(__xludf.DUMMYFUNCTION("""COMPUTED_VALUE"""),315.55)</f>
        <v>315.55</v>
      </c>
      <c r="N761" s="1">
        <f ca="1">IFERROR(__xludf.DUMMYFUNCTION("""COMPUTED_VALUE"""),137.94)</f>
        <v>137.94</v>
      </c>
      <c r="O761" s="1">
        <f ca="1">IFERROR(__xludf.DUMMYFUNCTION("""COMPUTED_VALUE"""),217.75)</f>
        <v>217.75</v>
      </c>
      <c r="P761" s="1">
        <f ca="1">IFERROR(__xludf.DUMMYFUNCTION("""COMPUTED_VALUE"""),180.25)</f>
        <v>180.25</v>
      </c>
      <c r="Q761" s="1">
        <f ca="1">IFERROR(__xludf.DUMMYFUNCTION("""COMPUTED_VALUE"""),490)</f>
        <v>490</v>
      </c>
      <c r="R761" s="1">
        <f ca="1">IFERROR(__xludf.DUMMYFUNCTION("""COMPUTED_VALUE"""),110.53)</f>
        <v>110.53</v>
      </c>
      <c r="S761" s="1">
        <f ca="1">IFERROR(__xludf.DUMMYFUNCTION("""COMPUTED_VALUE"""),83.65)</f>
        <v>83.65</v>
      </c>
      <c r="T761" s="1">
        <f ca="1">IFERROR(__xludf.DUMMYFUNCTION("""COMPUTED_VALUE"""),48.93)</f>
        <v>48.93</v>
      </c>
      <c r="U761" s="1">
        <f ca="1">IFERROR(__xludf.DUMMYFUNCTION("""COMPUTED_VALUE"""),124.53)</f>
        <v>124.53</v>
      </c>
      <c r="V761" s="1">
        <f ca="1">IFERROR(__xludf.DUMMYFUNCTION("""COMPUTED_VALUE"""),248.86)</f>
        <v>248.86</v>
      </c>
      <c r="W761" s="1">
        <f ca="1">IFERROR(__xludf.DUMMYFUNCTION("""COMPUTED_VALUE"""),473.24)</f>
        <v>473.24</v>
      </c>
      <c r="X761" s="1">
        <f ca="1">IFERROR(__xludf.DUMMYFUNCTION("""COMPUTED_VALUE"""),595.85)</f>
        <v>595.85</v>
      </c>
      <c r="Y761" s="1">
        <f ca="1">IFERROR(__xludf.DUMMYFUNCTION("""COMPUTED_VALUE"""),78.07)</f>
        <v>78.069999999999993</v>
      </c>
      <c r="Z761" s="1">
        <f ca="1">IFERROR(__xludf.DUMMYFUNCTION("""COMPUTED_VALUE"""),348.08)</f>
        <v>348.08</v>
      </c>
      <c r="AA761" s="1">
        <f ca="1">IFERROR(__xludf.DUMMYFUNCTION("""COMPUTED_VALUE"""),50.92)</f>
        <v>50.92</v>
      </c>
      <c r="AB761" s="1">
        <f ca="1">IFERROR(__xludf.DUMMYFUNCTION("""COMPUTED_VALUE"""),106.69)</f>
        <v>106.69</v>
      </c>
      <c r="AC761" s="1">
        <f ca="1">IFERROR(__xludf.DUMMYFUNCTION("""COMPUTED_VALUE"""),63.96)</f>
        <v>63.96</v>
      </c>
    </row>
    <row r="762" spans="1:29" x14ac:dyDescent="0.25">
      <c r="A762" s="2">
        <f ca="1">IFERROR(__xludf.DUMMYFUNCTION("""COMPUTED_VALUE"""),44935.6666666666)</f>
        <v>44935.666666666599</v>
      </c>
      <c r="B762" s="1">
        <f ca="1">IFERROR(__xludf.DUMMYFUNCTION("""COMPUTED_VALUE"""),130.15)</f>
        <v>130.15</v>
      </c>
      <c r="C762" s="1">
        <f ca="1">IFERROR(__xludf.DUMMYFUNCTION("""COMPUTED_VALUE"""),227.12)</f>
        <v>227.12</v>
      </c>
      <c r="D762" s="1">
        <f ca="1">IFERROR(__xludf.DUMMYFUNCTION("""COMPUTED_VALUE"""),87.36)</f>
        <v>87.36</v>
      </c>
      <c r="E762" s="1">
        <f ca="1">IFERROR(__xludf.DUMMYFUNCTION("""COMPUTED_VALUE"""),15.63)</f>
        <v>15.63</v>
      </c>
      <c r="F762" s="1">
        <f ca="1">IFERROR(__xludf.DUMMYFUNCTION("""COMPUTED_VALUE"""),129.47)</f>
        <v>129.47</v>
      </c>
      <c r="G762" s="1">
        <f ca="1">IFERROR(__xludf.DUMMYFUNCTION("""COMPUTED_VALUE"""),88.8)</f>
        <v>88.8</v>
      </c>
      <c r="H762" s="1">
        <f ca="1">IFERROR(__xludf.DUMMYFUNCTION("""COMPUTED_VALUE"""),119.77)</f>
        <v>119.77</v>
      </c>
      <c r="I762" s="1">
        <f ca="1">IFERROR(__xludf.DUMMYFUNCTION("""COMPUTED_VALUE"""),179.33)</f>
        <v>179.33</v>
      </c>
      <c r="J762" s="1">
        <f ca="1">IFERROR(__xludf.DUMMYFUNCTION("""COMPUTED_VALUE"""),478.75)</f>
        <v>478.75</v>
      </c>
      <c r="K762" s="1">
        <f ca="1">IFERROR(__xludf.DUMMYFUNCTION("""COMPUTED_VALUE"""),57.69)</f>
        <v>57.69</v>
      </c>
      <c r="L762" s="1">
        <f ca="1">IFERROR(__xludf.DUMMYFUNCTION("""COMPUTED_VALUE"""),341.98)</f>
        <v>341.98</v>
      </c>
      <c r="M762" s="1">
        <f ca="1">IFERROR(__xludf.DUMMYFUNCTION("""COMPUTED_VALUE"""),315.17)</f>
        <v>315.17</v>
      </c>
      <c r="N762" s="1">
        <f ca="1">IFERROR(__xludf.DUMMYFUNCTION("""COMPUTED_VALUE"""),137.37)</f>
        <v>137.37</v>
      </c>
      <c r="O762" s="1">
        <f ca="1">IFERROR(__xludf.DUMMYFUNCTION("""COMPUTED_VALUE"""),218.6)</f>
        <v>218.6</v>
      </c>
      <c r="P762" s="1">
        <f ca="1">IFERROR(__xludf.DUMMYFUNCTION("""COMPUTED_VALUE"""),175.58)</f>
        <v>175.58</v>
      </c>
      <c r="Q762" s="1">
        <f ca="1">IFERROR(__xludf.DUMMYFUNCTION("""COMPUTED_VALUE"""),490.06)</f>
        <v>490.06</v>
      </c>
      <c r="R762" s="1">
        <f ca="1">IFERROR(__xludf.DUMMYFUNCTION("""COMPUTED_VALUE"""),108.47)</f>
        <v>108.47</v>
      </c>
      <c r="S762" s="1">
        <f ca="1">IFERROR(__xludf.DUMMYFUNCTION("""COMPUTED_VALUE"""),84.07)</f>
        <v>84.07</v>
      </c>
      <c r="T762" s="1">
        <f ca="1">IFERROR(__xludf.DUMMYFUNCTION("""COMPUTED_VALUE"""),48.32)</f>
        <v>48.32</v>
      </c>
      <c r="U762" s="1">
        <f ca="1">IFERROR(__xludf.DUMMYFUNCTION("""COMPUTED_VALUE"""),124.85)</f>
        <v>124.85</v>
      </c>
      <c r="V762" s="1">
        <f ca="1">IFERROR(__xludf.DUMMYFUNCTION("""COMPUTED_VALUE"""),246.62)</f>
        <v>246.62</v>
      </c>
      <c r="W762" s="1">
        <f ca="1">IFERROR(__xludf.DUMMYFUNCTION("""COMPUTED_VALUE"""),458.99)</f>
        <v>458.99</v>
      </c>
      <c r="X762" s="1">
        <f ca="1">IFERROR(__xludf.DUMMYFUNCTION("""COMPUTED_VALUE"""),621.33)</f>
        <v>621.33000000000004</v>
      </c>
      <c r="Y762" s="1">
        <f ca="1">IFERROR(__xludf.DUMMYFUNCTION("""COMPUTED_VALUE"""),80.31)</f>
        <v>80.31</v>
      </c>
      <c r="Z762" s="1">
        <f ca="1">IFERROR(__xludf.DUMMYFUNCTION("""COMPUTED_VALUE"""),353)</f>
        <v>353</v>
      </c>
      <c r="AA762" s="1">
        <f ca="1">IFERROR(__xludf.DUMMYFUNCTION("""COMPUTED_VALUE"""),48.39)</f>
        <v>48.39</v>
      </c>
      <c r="AB762" s="1">
        <f ca="1">IFERROR(__xludf.DUMMYFUNCTION("""COMPUTED_VALUE"""),104.74)</f>
        <v>104.74</v>
      </c>
      <c r="AC762" s="1">
        <f ca="1">IFERROR(__xludf.DUMMYFUNCTION("""COMPUTED_VALUE"""),67.24)</f>
        <v>67.239999999999995</v>
      </c>
    </row>
    <row r="763" spans="1:29" x14ac:dyDescent="0.25">
      <c r="A763" s="2">
        <f ca="1">IFERROR(__xludf.DUMMYFUNCTION("""COMPUTED_VALUE"""),44936.6666666666)</f>
        <v>44936.666666666599</v>
      </c>
      <c r="B763" s="1">
        <f ca="1">IFERROR(__xludf.DUMMYFUNCTION("""COMPUTED_VALUE"""),130.73)</f>
        <v>130.72999999999999</v>
      </c>
      <c r="C763" s="1">
        <f ca="1">IFERROR(__xludf.DUMMYFUNCTION("""COMPUTED_VALUE"""),228.85)</f>
        <v>228.85</v>
      </c>
      <c r="D763" s="1">
        <f ca="1">IFERROR(__xludf.DUMMYFUNCTION("""COMPUTED_VALUE"""),89.87)</f>
        <v>89.87</v>
      </c>
      <c r="E763" s="1">
        <f ca="1">IFERROR(__xludf.DUMMYFUNCTION("""COMPUTED_VALUE"""),15.91)</f>
        <v>15.91</v>
      </c>
      <c r="F763" s="1">
        <f ca="1">IFERROR(__xludf.DUMMYFUNCTION("""COMPUTED_VALUE"""),132.99)</f>
        <v>132.99</v>
      </c>
      <c r="G763" s="1">
        <f ca="1">IFERROR(__xludf.DUMMYFUNCTION("""COMPUTED_VALUE"""),89.24)</f>
        <v>89.24</v>
      </c>
      <c r="H763" s="1">
        <f ca="1">IFERROR(__xludf.DUMMYFUNCTION("""COMPUTED_VALUE"""),118.85)</f>
        <v>118.85</v>
      </c>
      <c r="I763" s="1">
        <f ca="1">IFERROR(__xludf.DUMMYFUNCTION("""COMPUTED_VALUE"""),177.85)</f>
        <v>177.85</v>
      </c>
      <c r="J763" s="1">
        <f ca="1">IFERROR(__xludf.DUMMYFUNCTION("""COMPUTED_VALUE"""),481.4)</f>
        <v>481.4</v>
      </c>
      <c r="K763" s="1">
        <f ca="1">IFERROR(__xludf.DUMMYFUNCTION("""COMPUTED_VALUE"""),57.49)</f>
        <v>57.49</v>
      </c>
      <c r="L763" s="1">
        <f ca="1">IFERROR(__xludf.DUMMYFUNCTION("""COMPUTED_VALUE"""),338.7)</f>
        <v>338.7</v>
      </c>
      <c r="M763" s="1">
        <f ca="1">IFERROR(__xludf.DUMMYFUNCTION("""COMPUTED_VALUE"""),327.54)</f>
        <v>327.54000000000002</v>
      </c>
      <c r="N763" s="1">
        <f ca="1">IFERROR(__xludf.DUMMYFUNCTION("""COMPUTED_VALUE"""),138.6)</f>
        <v>138.6</v>
      </c>
      <c r="O763" s="1">
        <f ca="1">IFERROR(__xludf.DUMMYFUNCTION("""COMPUTED_VALUE"""),221.09)</f>
        <v>221.09</v>
      </c>
      <c r="P763" s="1">
        <f ca="1">IFERROR(__xludf.DUMMYFUNCTION("""COMPUTED_VALUE"""),175.16)</f>
        <v>175.16</v>
      </c>
      <c r="Q763" s="1">
        <f ca="1">IFERROR(__xludf.DUMMYFUNCTION("""COMPUTED_VALUE"""),486)</f>
        <v>486</v>
      </c>
      <c r="R763" s="1">
        <f ca="1">IFERROR(__xludf.DUMMYFUNCTION("""COMPUTED_VALUE"""),110.09)</f>
        <v>110.09</v>
      </c>
      <c r="S763" s="1">
        <f ca="1">IFERROR(__xludf.DUMMYFUNCTION("""COMPUTED_VALUE"""),84.54)</f>
        <v>84.54</v>
      </c>
      <c r="T763" s="1">
        <f ca="1">IFERROR(__xludf.DUMMYFUNCTION("""COMPUTED_VALUE"""),48.29)</f>
        <v>48.29</v>
      </c>
      <c r="U763" s="1">
        <f ca="1">IFERROR(__xludf.DUMMYFUNCTION("""COMPUTED_VALUE"""),125.84)</f>
        <v>125.84</v>
      </c>
      <c r="V763" s="1">
        <f ca="1">IFERROR(__xludf.DUMMYFUNCTION("""COMPUTED_VALUE"""),250.51)</f>
        <v>250.51</v>
      </c>
      <c r="W763" s="1">
        <f ca="1">IFERROR(__xludf.DUMMYFUNCTION("""COMPUTED_VALUE"""),462.29)</f>
        <v>462.29</v>
      </c>
      <c r="X763" s="1">
        <f ca="1">IFERROR(__xludf.DUMMYFUNCTION("""COMPUTED_VALUE"""),633.39)</f>
        <v>633.39</v>
      </c>
      <c r="Y763" s="1">
        <f ca="1">IFERROR(__xludf.DUMMYFUNCTION("""COMPUTED_VALUE"""),81.27)</f>
        <v>81.27</v>
      </c>
      <c r="Z763" s="1">
        <f ca="1">IFERROR(__xludf.DUMMYFUNCTION("""COMPUTED_VALUE"""),357.36)</f>
        <v>357.36</v>
      </c>
      <c r="AA763" s="1">
        <f ca="1">IFERROR(__xludf.DUMMYFUNCTION("""COMPUTED_VALUE"""),47.62)</f>
        <v>47.62</v>
      </c>
      <c r="AB763" s="1">
        <f ca="1">IFERROR(__xludf.DUMMYFUNCTION("""COMPUTED_VALUE"""),106)</f>
        <v>106</v>
      </c>
      <c r="AC763" s="1">
        <f ca="1">IFERROR(__xludf.DUMMYFUNCTION("""COMPUTED_VALUE"""),68.05)</f>
        <v>68.05</v>
      </c>
    </row>
    <row r="764" spans="1:29" x14ac:dyDescent="0.25">
      <c r="A764" s="2">
        <f ca="1">IFERROR(__xludf.DUMMYFUNCTION("""COMPUTED_VALUE"""),44937.6666666666)</f>
        <v>44937.666666666599</v>
      </c>
      <c r="B764" s="1">
        <f ca="1">IFERROR(__xludf.DUMMYFUNCTION("""COMPUTED_VALUE"""),133.49)</f>
        <v>133.49</v>
      </c>
      <c r="C764" s="1">
        <f ca="1">IFERROR(__xludf.DUMMYFUNCTION("""COMPUTED_VALUE"""),235.77)</f>
        <v>235.77</v>
      </c>
      <c r="D764" s="1">
        <f ca="1">IFERROR(__xludf.DUMMYFUNCTION("""COMPUTED_VALUE"""),95.09)</f>
        <v>95.09</v>
      </c>
      <c r="E764" s="1">
        <f ca="1">IFERROR(__xludf.DUMMYFUNCTION("""COMPUTED_VALUE"""),16)</f>
        <v>16</v>
      </c>
      <c r="F764" s="1">
        <f ca="1">IFERROR(__xludf.DUMMYFUNCTION("""COMPUTED_VALUE"""),132.89)</f>
        <v>132.88999999999999</v>
      </c>
      <c r="G764" s="1">
        <f ca="1">IFERROR(__xludf.DUMMYFUNCTION("""COMPUTED_VALUE"""),92.26)</f>
        <v>92.26</v>
      </c>
      <c r="H764" s="1">
        <f ca="1">IFERROR(__xludf.DUMMYFUNCTION("""COMPUTED_VALUE"""),123.22)</f>
        <v>123.22</v>
      </c>
      <c r="I764" s="1">
        <f ca="1">IFERROR(__xludf.DUMMYFUNCTION("""COMPUTED_VALUE"""),178.05)</f>
        <v>178.05</v>
      </c>
      <c r="J764" s="1">
        <f ca="1">IFERROR(__xludf.DUMMYFUNCTION("""COMPUTED_VALUE"""),484.31)</f>
        <v>484.31</v>
      </c>
      <c r="K764" s="1">
        <f ca="1">IFERROR(__xludf.DUMMYFUNCTION("""COMPUTED_VALUE"""),57.81)</f>
        <v>57.81</v>
      </c>
      <c r="L764" s="1">
        <f ca="1">IFERROR(__xludf.DUMMYFUNCTION("""COMPUTED_VALUE"""),342.93)</f>
        <v>342.93</v>
      </c>
      <c r="M764" s="1">
        <f ca="1">IFERROR(__xludf.DUMMYFUNCTION("""COMPUTED_VALUE"""),327.26)</f>
        <v>327.26</v>
      </c>
      <c r="N764" s="1">
        <f ca="1">IFERROR(__xludf.DUMMYFUNCTION("""COMPUTED_VALUE"""),139.63)</f>
        <v>139.63</v>
      </c>
      <c r="O764" s="1">
        <f ca="1">IFERROR(__xludf.DUMMYFUNCTION("""COMPUTED_VALUE"""),222.1)</f>
        <v>222.1</v>
      </c>
      <c r="P764" s="1">
        <f ca="1">IFERROR(__xludf.DUMMYFUNCTION("""COMPUTED_VALUE"""),174.88)</f>
        <v>174.88</v>
      </c>
      <c r="Q764" s="1">
        <f ca="1">IFERROR(__xludf.DUMMYFUNCTION("""COMPUTED_VALUE"""),493.4)</f>
        <v>493.4</v>
      </c>
      <c r="R764" s="1">
        <f ca="1">IFERROR(__xludf.DUMMYFUNCTION("""COMPUTED_VALUE"""),111.37)</f>
        <v>111.37</v>
      </c>
      <c r="S764" s="1">
        <f ca="1">IFERROR(__xludf.DUMMYFUNCTION("""COMPUTED_VALUE"""),85)</f>
        <v>85</v>
      </c>
      <c r="T764" s="1">
        <f ca="1">IFERROR(__xludf.DUMMYFUNCTION("""COMPUTED_VALUE"""),48.71)</f>
        <v>48.71</v>
      </c>
      <c r="U764" s="1">
        <f ca="1">IFERROR(__xludf.DUMMYFUNCTION("""COMPUTED_VALUE"""),127.94)</f>
        <v>127.94</v>
      </c>
      <c r="V764" s="1">
        <f ca="1">IFERROR(__xludf.DUMMYFUNCTION("""COMPUTED_VALUE"""),250.73)</f>
        <v>250.73</v>
      </c>
      <c r="W764" s="1">
        <f ca="1">IFERROR(__xludf.DUMMYFUNCTION("""COMPUTED_VALUE"""),463)</f>
        <v>463</v>
      </c>
      <c r="X764" s="1">
        <f ca="1">IFERROR(__xludf.DUMMYFUNCTION("""COMPUTED_VALUE"""),644.68)</f>
        <v>644.67999999999995</v>
      </c>
      <c r="Y764" s="1">
        <f ca="1">IFERROR(__xludf.DUMMYFUNCTION("""COMPUTED_VALUE"""),81.78)</f>
        <v>81.78</v>
      </c>
      <c r="Z764" s="1">
        <f ca="1">IFERROR(__xludf.DUMMYFUNCTION("""COMPUTED_VALUE"""),364.48)</f>
        <v>364.48</v>
      </c>
      <c r="AA764" s="1">
        <f ca="1">IFERROR(__xludf.DUMMYFUNCTION("""COMPUTED_VALUE"""),47.45)</f>
        <v>47.45</v>
      </c>
      <c r="AB764" s="1">
        <f ca="1">IFERROR(__xludf.DUMMYFUNCTION("""COMPUTED_VALUE"""),106.3)</f>
        <v>106.3</v>
      </c>
      <c r="AC764" s="1">
        <f ca="1">IFERROR(__xludf.DUMMYFUNCTION("""COMPUTED_VALUE"""),69.06)</f>
        <v>69.06</v>
      </c>
    </row>
    <row r="765" spans="1:29" x14ac:dyDescent="0.25">
      <c r="A765" s="2">
        <f ca="1">IFERROR(__xludf.DUMMYFUNCTION("""COMPUTED_VALUE"""),44938.6666666666)</f>
        <v>44938.666666666599</v>
      </c>
      <c r="B765" s="1">
        <f ca="1">IFERROR(__xludf.DUMMYFUNCTION("""COMPUTED_VALUE"""),133.41)</f>
        <v>133.41</v>
      </c>
      <c r="C765" s="1">
        <f ca="1">IFERROR(__xludf.DUMMYFUNCTION("""COMPUTED_VALUE"""),238.51)</f>
        <v>238.51</v>
      </c>
      <c r="D765" s="1">
        <f ca="1">IFERROR(__xludf.DUMMYFUNCTION("""COMPUTED_VALUE"""),95.27)</f>
        <v>95.27</v>
      </c>
      <c r="E765" s="1">
        <f ca="1">IFERROR(__xludf.DUMMYFUNCTION("""COMPUTED_VALUE"""),16.51)</f>
        <v>16.510000000000002</v>
      </c>
      <c r="F765" s="1">
        <f ca="1">IFERROR(__xludf.DUMMYFUNCTION("""COMPUTED_VALUE"""),136.71)</f>
        <v>136.71</v>
      </c>
      <c r="G765" s="1">
        <f ca="1">IFERROR(__xludf.DUMMYFUNCTION("""COMPUTED_VALUE"""),91.91)</f>
        <v>91.91</v>
      </c>
      <c r="H765" s="1">
        <f ca="1">IFERROR(__xludf.DUMMYFUNCTION("""COMPUTED_VALUE"""),123.56)</f>
        <v>123.56</v>
      </c>
      <c r="I765" s="1">
        <f ca="1">IFERROR(__xludf.DUMMYFUNCTION("""COMPUTED_VALUE"""),175.78)</f>
        <v>175.78</v>
      </c>
      <c r="J765" s="1">
        <f ca="1">IFERROR(__xludf.DUMMYFUNCTION("""COMPUTED_VALUE"""),482.43)</f>
        <v>482.43</v>
      </c>
      <c r="K765" s="1">
        <f ca="1">IFERROR(__xludf.DUMMYFUNCTION("""COMPUTED_VALUE"""),58.19)</f>
        <v>58.19</v>
      </c>
      <c r="L765" s="1">
        <f ca="1">IFERROR(__xludf.DUMMYFUNCTION("""COMPUTED_VALUE"""),344.54)</f>
        <v>344.54</v>
      </c>
      <c r="M765" s="1">
        <f ca="1">IFERROR(__xludf.DUMMYFUNCTION("""COMPUTED_VALUE"""),330.13)</f>
        <v>330.13</v>
      </c>
      <c r="N765" s="1">
        <f ca="1">IFERROR(__xludf.DUMMYFUNCTION("""COMPUTED_VALUE"""),139.49)</f>
        <v>139.49</v>
      </c>
      <c r="O765" s="1">
        <f ca="1">IFERROR(__xludf.DUMMYFUNCTION("""COMPUTED_VALUE"""),223.62)</f>
        <v>223.62</v>
      </c>
      <c r="P765" s="1">
        <f ca="1">IFERROR(__xludf.DUMMYFUNCTION("""COMPUTED_VALUE"""),174)</f>
        <v>174</v>
      </c>
      <c r="Q765" s="1">
        <f ca="1">IFERROR(__xludf.DUMMYFUNCTION("""COMPUTED_VALUE"""),495.67)</f>
        <v>495.67</v>
      </c>
      <c r="R765" s="1">
        <f ca="1">IFERROR(__xludf.DUMMYFUNCTION("""COMPUTED_VALUE"""),113.22)</f>
        <v>113.22</v>
      </c>
      <c r="S765" s="1">
        <f ca="1">IFERROR(__xludf.DUMMYFUNCTION("""COMPUTED_VALUE"""),85.07)</f>
        <v>85.07</v>
      </c>
      <c r="T765" s="1">
        <f ca="1">IFERROR(__xludf.DUMMYFUNCTION("""COMPUTED_VALUE"""),48.27)</f>
        <v>48.27</v>
      </c>
      <c r="U765" s="1">
        <f ca="1">IFERROR(__xludf.DUMMYFUNCTION("""COMPUTED_VALUE"""),127.89)</f>
        <v>127.89</v>
      </c>
      <c r="V765" s="1">
        <f ca="1">IFERROR(__xludf.DUMMYFUNCTION("""COMPUTED_VALUE"""),255.07)</f>
        <v>255.07</v>
      </c>
      <c r="W765" s="1">
        <f ca="1">IFERROR(__xludf.DUMMYFUNCTION("""COMPUTED_VALUE"""),461.74)</f>
        <v>461.74</v>
      </c>
      <c r="X765" s="1">
        <f ca="1">IFERROR(__xludf.DUMMYFUNCTION("""COMPUTED_VALUE"""),652.56)</f>
        <v>652.55999999999995</v>
      </c>
      <c r="Y765" s="1">
        <f ca="1">IFERROR(__xludf.DUMMYFUNCTION("""COMPUTED_VALUE"""),87)</f>
        <v>87</v>
      </c>
      <c r="Z765" s="1">
        <f ca="1">IFERROR(__xludf.DUMMYFUNCTION("""COMPUTED_VALUE"""),369.94)</f>
        <v>369.94</v>
      </c>
      <c r="AA765" s="1">
        <f ca="1">IFERROR(__xludf.DUMMYFUNCTION("""COMPUTED_VALUE"""),47.71)</f>
        <v>47.71</v>
      </c>
      <c r="AB765" s="1">
        <f ca="1">IFERROR(__xludf.DUMMYFUNCTION("""COMPUTED_VALUE"""),105.85)</f>
        <v>105.85</v>
      </c>
      <c r="AC765" s="1">
        <f ca="1">IFERROR(__xludf.DUMMYFUNCTION("""COMPUTED_VALUE"""),70.8)</f>
        <v>70.8</v>
      </c>
    </row>
    <row r="766" spans="1:29" x14ac:dyDescent="0.25">
      <c r="A766" s="2">
        <f ca="1">IFERROR(__xludf.DUMMYFUNCTION("""COMPUTED_VALUE"""),44939.6666666666)</f>
        <v>44939.666666666599</v>
      </c>
      <c r="B766" s="1">
        <f ca="1">IFERROR(__xludf.DUMMYFUNCTION("""COMPUTED_VALUE"""),134.76)</f>
        <v>134.76</v>
      </c>
      <c r="C766" s="1">
        <f ca="1">IFERROR(__xludf.DUMMYFUNCTION("""COMPUTED_VALUE"""),239.23)</f>
        <v>239.23</v>
      </c>
      <c r="D766" s="1">
        <f ca="1">IFERROR(__xludf.DUMMYFUNCTION("""COMPUTED_VALUE"""),98.12)</f>
        <v>98.12</v>
      </c>
      <c r="E766" s="1">
        <f ca="1">IFERROR(__xludf.DUMMYFUNCTION("""COMPUTED_VALUE"""),16.9)</f>
        <v>16.899999999999999</v>
      </c>
      <c r="F766" s="1">
        <f ca="1">IFERROR(__xludf.DUMMYFUNCTION("""COMPUTED_VALUE"""),136.98)</f>
        <v>136.97999999999999</v>
      </c>
      <c r="G766" s="1">
        <f ca="1">IFERROR(__xludf.DUMMYFUNCTION("""COMPUTED_VALUE"""),92.8)</f>
        <v>92.8</v>
      </c>
      <c r="H766" s="1">
        <f ca="1">IFERROR(__xludf.DUMMYFUNCTION("""COMPUTED_VALUE"""),122.4)</f>
        <v>122.4</v>
      </c>
      <c r="I766" s="1">
        <f ca="1">IFERROR(__xludf.DUMMYFUNCTION("""COMPUTED_VALUE"""),175.24)</f>
        <v>175.24</v>
      </c>
      <c r="J766" s="1">
        <f ca="1">IFERROR(__xludf.DUMMYFUNCTION("""COMPUTED_VALUE"""),485.25)</f>
        <v>485.25</v>
      </c>
      <c r="K766" s="1">
        <f ca="1">IFERROR(__xludf.DUMMYFUNCTION("""COMPUTED_VALUE"""),57.9)</f>
        <v>57.9</v>
      </c>
      <c r="L766" s="1">
        <f ca="1">IFERROR(__xludf.DUMMYFUNCTION("""COMPUTED_VALUE"""),344.38)</f>
        <v>344.38</v>
      </c>
      <c r="M766" s="1">
        <f ca="1">IFERROR(__xludf.DUMMYFUNCTION("""COMPUTED_VALUE"""),332.82)</f>
        <v>332.82</v>
      </c>
      <c r="N766" s="1">
        <f ca="1">IFERROR(__xludf.DUMMYFUNCTION("""COMPUTED_VALUE"""),143.01)</f>
        <v>143.01</v>
      </c>
      <c r="O766" s="1">
        <f ca="1">IFERROR(__xludf.DUMMYFUNCTION("""COMPUTED_VALUE"""),223.06)</f>
        <v>223.06</v>
      </c>
      <c r="P766" s="1">
        <f ca="1">IFERROR(__xludf.DUMMYFUNCTION("""COMPUTED_VALUE"""),173.43)</f>
        <v>173.43</v>
      </c>
      <c r="Q766" s="1">
        <f ca="1">IFERROR(__xludf.DUMMYFUNCTION("""COMPUTED_VALUE"""),489.57)</f>
        <v>489.57</v>
      </c>
      <c r="R766" s="1">
        <f ca="1">IFERROR(__xludf.DUMMYFUNCTION("""COMPUTED_VALUE"""),113.15)</f>
        <v>113.15</v>
      </c>
      <c r="S766" s="1">
        <f ca="1">IFERROR(__xludf.DUMMYFUNCTION("""COMPUTED_VALUE"""),84.68)</f>
        <v>84.68</v>
      </c>
      <c r="T766" s="1">
        <f ca="1">IFERROR(__xludf.DUMMYFUNCTION("""COMPUTED_VALUE"""),48.43)</f>
        <v>48.43</v>
      </c>
      <c r="U766" s="1">
        <f ca="1">IFERROR(__xludf.DUMMYFUNCTION("""COMPUTED_VALUE"""),128.85)</f>
        <v>128.85</v>
      </c>
      <c r="V766" s="1">
        <f ca="1">IFERROR(__xludf.DUMMYFUNCTION("""COMPUTED_VALUE"""),258.46)</f>
        <v>258.45999999999998</v>
      </c>
      <c r="W766" s="1">
        <f ca="1">IFERROR(__xludf.DUMMYFUNCTION("""COMPUTED_VALUE"""),449.83)</f>
        <v>449.83</v>
      </c>
      <c r="X766" s="1">
        <f ca="1">IFERROR(__xludf.DUMMYFUNCTION("""COMPUTED_VALUE"""),659.69)</f>
        <v>659.69</v>
      </c>
      <c r="Y766" s="1">
        <f ca="1">IFERROR(__xludf.DUMMYFUNCTION("""COMPUTED_VALUE"""),86.8)</f>
        <v>86.8</v>
      </c>
      <c r="Z766" s="1">
        <f ca="1">IFERROR(__xludf.DUMMYFUNCTION("""COMPUTED_VALUE"""),374)</f>
        <v>374</v>
      </c>
      <c r="AA766" s="1">
        <f ca="1">IFERROR(__xludf.DUMMYFUNCTION("""COMPUTED_VALUE"""),47.85)</f>
        <v>47.85</v>
      </c>
      <c r="AB766" s="1">
        <f ca="1">IFERROR(__xludf.DUMMYFUNCTION("""COMPUTED_VALUE"""),107.23)</f>
        <v>107.23</v>
      </c>
      <c r="AC766" s="1">
        <f ca="1">IFERROR(__xludf.DUMMYFUNCTION("""COMPUTED_VALUE"""),71)</f>
        <v>71</v>
      </c>
    </row>
    <row r="767" spans="1:29" x14ac:dyDescent="0.25">
      <c r="A767" s="2">
        <f ca="1">IFERROR(__xludf.DUMMYFUNCTION("""COMPUTED_VALUE"""),44943.6666666666)</f>
        <v>44943.666666666599</v>
      </c>
      <c r="B767" s="1">
        <f ca="1">IFERROR(__xludf.DUMMYFUNCTION("""COMPUTED_VALUE"""),135.94)</f>
        <v>135.94</v>
      </c>
      <c r="C767" s="1">
        <f ca="1">IFERROR(__xludf.DUMMYFUNCTION("""COMPUTED_VALUE"""),240.35)</f>
        <v>240.35</v>
      </c>
      <c r="D767" s="1">
        <f ca="1">IFERROR(__xludf.DUMMYFUNCTION("""COMPUTED_VALUE"""),96.05)</f>
        <v>96.05</v>
      </c>
      <c r="E767" s="1">
        <f ca="1">IFERROR(__xludf.DUMMYFUNCTION("""COMPUTED_VALUE"""),17.7)</f>
        <v>17.7</v>
      </c>
      <c r="F767" s="1">
        <f ca="1">IFERROR(__xludf.DUMMYFUNCTION("""COMPUTED_VALUE"""),135.36)</f>
        <v>135.36000000000001</v>
      </c>
      <c r="G767" s="1">
        <f ca="1">IFERROR(__xludf.DUMMYFUNCTION("""COMPUTED_VALUE"""),92.16)</f>
        <v>92.16</v>
      </c>
      <c r="H767" s="1">
        <f ca="1">IFERROR(__xludf.DUMMYFUNCTION("""COMPUTED_VALUE"""),131.49)</f>
        <v>131.49</v>
      </c>
      <c r="I767" s="1">
        <f ca="1">IFERROR(__xludf.DUMMYFUNCTION("""COMPUTED_VALUE"""),176.06)</f>
        <v>176.06</v>
      </c>
      <c r="J767" s="1">
        <f ca="1">IFERROR(__xludf.DUMMYFUNCTION("""COMPUTED_VALUE"""),486.77)</f>
        <v>486.77</v>
      </c>
      <c r="K767" s="1">
        <f ca="1">IFERROR(__xludf.DUMMYFUNCTION("""COMPUTED_VALUE"""),57.92)</f>
        <v>57.92</v>
      </c>
      <c r="L767" s="1">
        <f ca="1">IFERROR(__xludf.DUMMYFUNCTION("""COMPUTED_VALUE"""),344.38)</f>
        <v>344.38</v>
      </c>
      <c r="M767" s="1">
        <f ca="1">IFERROR(__xludf.DUMMYFUNCTION("""COMPUTED_VALUE"""),326.22)</f>
        <v>326.22000000000003</v>
      </c>
      <c r="N767" s="1">
        <f ca="1">IFERROR(__xludf.DUMMYFUNCTION("""COMPUTED_VALUE"""),140.8)</f>
        <v>140.80000000000001</v>
      </c>
      <c r="O767" s="1">
        <f ca="1">IFERROR(__xludf.DUMMYFUNCTION("""COMPUTED_VALUE"""),223)</f>
        <v>223</v>
      </c>
      <c r="P767" s="1">
        <f ca="1">IFERROR(__xludf.DUMMYFUNCTION("""COMPUTED_VALUE"""),172.36)</f>
        <v>172.36</v>
      </c>
      <c r="Q767" s="1">
        <f ca="1">IFERROR(__xludf.DUMMYFUNCTION("""COMPUTED_VALUE"""),485.08)</f>
        <v>485.08</v>
      </c>
      <c r="R767" s="1">
        <f ca="1">IFERROR(__xludf.DUMMYFUNCTION("""COMPUTED_VALUE"""),112.93)</f>
        <v>112.93</v>
      </c>
      <c r="S767" s="1">
        <f ca="1">IFERROR(__xludf.DUMMYFUNCTION("""COMPUTED_VALUE"""),85.74)</f>
        <v>85.74</v>
      </c>
      <c r="T767" s="1">
        <f ca="1">IFERROR(__xludf.DUMMYFUNCTION("""COMPUTED_VALUE"""),48.14)</f>
        <v>48.14</v>
      </c>
      <c r="U767" s="1">
        <f ca="1">IFERROR(__xludf.DUMMYFUNCTION("""COMPUTED_VALUE"""),128.14)</f>
        <v>128.13999999999999</v>
      </c>
      <c r="V767" s="1">
        <f ca="1">IFERROR(__xludf.DUMMYFUNCTION("""COMPUTED_VALUE"""),256.26)</f>
        <v>256.26</v>
      </c>
      <c r="W767" s="1">
        <f ca="1">IFERROR(__xludf.DUMMYFUNCTION("""COMPUTED_VALUE"""),447.16)</f>
        <v>447.16</v>
      </c>
      <c r="X767" s="1">
        <f ca="1">IFERROR(__xludf.DUMMYFUNCTION("""COMPUTED_VALUE"""),658.19)</f>
        <v>658.19</v>
      </c>
      <c r="Y767" s="1">
        <f ca="1">IFERROR(__xludf.DUMMYFUNCTION("""COMPUTED_VALUE"""),88.99)</f>
        <v>88.99</v>
      </c>
      <c r="Z767" s="1">
        <f ca="1">IFERROR(__xludf.DUMMYFUNCTION("""COMPUTED_VALUE"""),349.92)</f>
        <v>349.92</v>
      </c>
      <c r="AA767" s="1">
        <f ca="1">IFERROR(__xludf.DUMMYFUNCTION("""COMPUTED_VALUE"""),46.08)</f>
        <v>46.08</v>
      </c>
      <c r="AB767" s="1">
        <f ca="1">IFERROR(__xludf.DUMMYFUNCTION("""COMPUTED_VALUE"""),106.75)</f>
        <v>106.75</v>
      </c>
      <c r="AC767" s="1">
        <f ca="1">IFERROR(__xludf.DUMMYFUNCTION("""COMPUTED_VALUE"""),71.59)</f>
        <v>71.59</v>
      </c>
    </row>
    <row r="768" spans="1:29" x14ac:dyDescent="0.25">
      <c r="A768" s="2">
        <f ca="1">IFERROR(__xludf.DUMMYFUNCTION("""COMPUTED_VALUE"""),44944.6666666666)</f>
        <v>44944.666666666599</v>
      </c>
      <c r="B768" s="1">
        <f ca="1">IFERROR(__xludf.DUMMYFUNCTION("""COMPUTED_VALUE"""),135.21)</f>
        <v>135.21</v>
      </c>
      <c r="C768" s="1">
        <f ca="1">IFERROR(__xludf.DUMMYFUNCTION("""COMPUTED_VALUE"""),235.81)</f>
        <v>235.81</v>
      </c>
      <c r="D768" s="1">
        <f ca="1">IFERROR(__xludf.DUMMYFUNCTION("""COMPUTED_VALUE"""),95.46)</f>
        <v>95.46</v>
      </c>
      <c r="E768" s="1">
        <f ca="1">IFERROR(__xludf.DUMMYFUNCTION("""COMPUTED_VALUE"""),17.38)</f>
        <v>17.38</v>
      </c>
      <c r="F768" s="1">
        <f ca="1">IFERROR(__xludf.DUMMYFUNCTION("""COMPUTED_VALUE"""),133.02)</f>
        <v>133.02000000000001</v>
      </c>
      <c r="G768" s="1">
        <f ca="1">IFERROR(__xludf.DUMMYFUNCTION("""COMPUTED_VALUE"""),91.78)</f>
        <v>91.78</v>
      </c>
      <c r="H768" s="1">
        <f ca="1">IFERROR(__xludf.DUMMYFUNCTION("""COMPUTED_VALUE"""),128.78)</f>
        <v>128.78</v>
      </c>
      <c r="I768" s="1">
        <f ca="1">IFERROR(__xludf.DUMMYFUNCTION("""COMPUTED_VALUE"""),171.62)</f>
        <v>171.62</v>
      </c>
      <c r="J768" s="1">
        <f ca="1">IFERROR(__xludf.DUMMYFUNCTION("""COMPUTED_VALUE"""),479.47)</f>
        <v>479.47</v>
      </c>
      <c r="K768" s="1">
        <f ca="1">IFERROR(__xludf.DUMMYFUNCTION("""COMPUTED_VALUE"""),57.43)</f>
        <v>57.43</v>
      </c>
      <c r="L768" s="1">
        <f ca="1">IFERROR(__xludf.DUMMYFUNCTION("""COMPUTED_VALUE"""),341.31)</f>
        <v>341.31</v>
      </c>
      <c r="M768" s="1">
        <f ca="1">IFERROR(__xludf.DUMMYFUNCTION("""COMPUTED_VALUE"""),326.33)</f>
        <v>326.33</v>
      </c>
      <c r="N768" s="1">
        <f ca="1">IFERROR(__xludf.DUMMYFUNCTION("""COMPUTED_VALUE"""),136.57)</f>
        <v>136.57</v>
      </c>
      <c r="O768" s="1">
        <f ca="1">IFERROR(__xludf.DUMMYFUNCTION("""COMPUTED_VALUE"""),219.46)</f>
        <v>219.46</v>
      </c>
      <c r="P768" s="1">
        <f ca="1">IFERROR(__xludf.DUMMYFUNCTION("""COMPUTED_VALUE"""),169.76)</f>
        <v>169.76</v>
      </c>
      <c r="Q768" s="1">
        <f ca="1">IFERROR(__xludf.DUMMYFUNCTION("""COMPUTED_VALUE"""),476.24)</f>
        <v>476.24</v>
      </c>
      <c r="R768" s="1">
        <f ca="1">IFERROR(__xludf.DUMMYFUNCTION("""COMPUTED_VALUE"""),110.61)</f>
        <v>110.61</v>
      </c>
      <c r="S768" s="1">
        <f ca="1">IFERROR(__xludf.DUMMYFUNCTION("""COMPUTED_VALUE"""),83.8)</f>
        <v>83.8</v>
      </c>
      <c r="T768" s="1">
        <f ca="1">IFERROR(__xludf.DUMMYFUNCTION("""COMPUTED_VALUE"""),46.95)</f>
        <v>46.95</v>
      </c>
      <c r="U768" s="1">
        <f ca="1">IFERROR(__xludf.DUMMYFUNCTION("""COMPUTED_VALUE"""),126.43)</f>
        <v>126.43</v>
      </c>
      <c r="V768" s="1">
        <f ca="1">IFERROR(__xludf.DUMMYFUNCTION("""COMPUTED_VALUE"""),252.82)</f>
        <v>252.82</v>
      </c>
      <c r="W768" s="1">
        <f ca="1">IFERROR(__xludf.DUMMYFUNCTION("""COMPUTED_VALUE"""),441.27)</f>
        <v>441.27</v>
      </c>
      <c r="X768" s="1">
        <f ca="1">IFERROR(__xludf.DUMMYFUNCTION("""COMPUTED_VALUE"""),652.29)</f>
        <v>652.29</v>
      </c>
      <c r="Y768" s="1">
        <f ca="1">IFERROR(__xludf.DUMMYFUNCTION("""COMPUTED_VALUE"""),89.47)</f>
        <v>89.47</v>
      </c>
      <c r="Z768" s="1">
        <f ca="1">IFERROR(__xludf.DUMMYFUNCTION("""COMPUTED_VALUE"""),349.09)</f>
        <v>349.09</v>
      </c>
      <c r="AA768" s="1">
        <f ca="1">IFERROR(__xludf.DUMMYFUNCTION("""COMPUTED_VALUE"""),45)</f>
        <v>45</v>
      </c>
      <c r="AB768" s="1">
        <f ca="1">IFERROR(__xludf.DUMMYFUNCTION("""COMPUTED_VALUE"""),105)</f>
        <v>105</v>
      </c>
      <c r="AC768" s="1">
        <f ca="1">IFERROR(__xludf.DUMMYFUNCTION("""COMPUTED_VALUE"""),70.53)</f>
        <v>70.53</v>
      </c>
    </row>
    <row r="769" spans="1:29" x14ac:dyDescent="0.25">
      <c r="A769" s="2">
        <f ca="1">IFERROR(__xludf.DUMMYFUNCTION("""COMPUTED_VALUE"""),44945.6666666666)</f>
        <v>44945.666666666599</v>
      </c>
      <c r="B769" s="1">
        <f ca="1">IFERROR(__xludf.DUMMYFUNCTION("""COMPUTED_VALUE"""),135.27)</f>
        <v>135.27000000000001</v>
      </c>
      <c r="C769" s="1">
        <f ca="1">IFERROR(__xludf.DUMMYFUNCTION("""COMPUTED_VALUE"""),231.93)</f>
        <v>231.93</v>
      </c>
      <c r="D769" s="1">
        <f ca="1">IFERROR(__xludf.DUMMYFUNCTION("""COMPUTED_VALUE"""),93.68)</f>
        <v>93.68</v>
      </c>
      <c r="E769" s="1">
        <f ca="1">IFERROR(__xludf.DUMMYFUNCTION("""COMPUTED_VALUE"""),16.77)</f>
        <v>16.77</v>
      </c>
      <c r="F769" s="1">
        <f ca="1">IFERROR(__xludf.DUMMYFUNCTION("""COMPUTED_VALUE"""),136.15)</f>
        <v>136.15</v>
      </c>
      <c r="G769" s="1">
        <f ca="1">IFERROR(__xludf.DUMMYFUNCTION("""COMPUTED_VALUE"""),93.91)</f>
        <v>93.91</v>
      </c>
      <c r="H769" s="1">
        <f ca="1">IFERROR(__xludf.DUMMYFUNCTION("""COMPUTED_VALUE"""),127.17)</f>
        <v>127.17</v>
      </c>
      <c r="I769" s="1">
        <f ca="1">IFERROR(__xludf.DUMMYFUNCTION("""COMPUTED_VALUE"""),169.63)</f>
        <v>169.63</v>
      </c>
      <c r="J769" s="1">
        <f ca="1">IFERROR(__xludf.DUMMYFUNCTION("""COMPUTED_VALUE"""),469.49)</f>
        <v>469.49</v>
      </c>
      <c r="K769" s="1">
        <f ca="1">IFERROR(__xludf.DUMMYFUNCTION("""COMPUTED_VALUE"""),56.32)</f>
        <v>56.32</v>
      </c>
      <c r="L769" s="1">
        <f ca="1">IFERROR(__xludf.DUMMYFUNCTION("""COMPUTED_VALUE"""),342.53)</f>
        <v>342.53</v>
      </c>
      <c r="M769" s="1">
        <f ca="1">IFERROR(__xludf.DUMMYFUNCTION("""COMPUTED_VALUE"""),315.78)</f>
        <v>315.77999999999997</v>
      </c>
      <c r="N769" s="1">
        <f ca="1">IFERROR(__xludf.DUMMYFUNCTION("""COMPUTED_VALUE"""),134.75)</f>
        <v>134.75</v>
      </c>
      <c r="O769" s="1">
        <f ca="1">IFERROR(__xludf.DUMMYFUNCTION("""COMPUTED_VALUE"""),220.41)</f>
        <v>220.41</v>
      </c>
      <c r="P769" s="1">
        <f ca="1">IFERROR(__xludf.DUMMYFUNCTION("""COMPUTED_VALUE"""),169.53)</f>
        <v>169.53</v>
      </c>
      <c r="Q769" s="1">
        <f ca="1">IFERROR(__xludf.DUMMYFUNCTION("""COMPUTED_VALUE"""),484.36)</f>
        <v>484.36</v>
      </c>
      <c r="R769" s="1">
        <f ca="1">IFERROR(__xludf.DUMMYFUNCTION("""COMPUTED_VALUE"""),111.32)</f>
        <v>111.32</v>
      </c>
      <c r="S769" s="1">
        <f ca="1">IFERROR(__xludf.DUMMYFUNCTION("""COMPUTED_VALUE"""),82.59)</f>
        <v>82.59</v>
      </c>
      <c r="T769" s="1">
        <f ca="1">IFERROR(__xludf.DUMMYFUNCTION("""COMPUTED_VALUE"""),46.28)</f>
        <v>46.28</v>
      </c>
      <c r="U769" s="1">
        <f ca="1">IFERROR(__xludf.DUMMYFUNCTION("""COMPUTED_VALUE"""),124.53)</f>
        <v>124.53</v>
      </c>
      <c r="V769" s="1">
        <f ca="1">IFERROR(__xludf.DUMMYFUNCTION("""COMPUTED_VALUE"""),245.75)</f>
        <v>245.75</v>
      </c>
      <c r="W769" s="1">
        <f ca="1">IFERROR(__xludf.DUMMYFUNCTION("""COMPUTED_VALUE"""),439.31)</f>
        <v>439.31</v>
      </c>
      <c r="X769" s="1">
        <f ca="1">IFERROR(__xludf.DUMMYFUNCTION("""COMPUTED_VALUE"""),630.25)</f>
        <v>630.25</v>
      </c>
      <c r="Y769" s="1">
        <f ca="1">IFERROR(__xludf.DUMMYFUNCTION("""COMPUTED_VALUE"""),88.4)</f>
        <v>88.4</v>
      </c>
      <c r="Z769" s="1">
        <f ca="1">IFERROR(__xludf.DUMMYFUNCTION("""COMPUTED_VALUE"""),350.75)</f>
        <v>350.75</v>
      </c>
      <c r="AA769" s="1">
        <f ca="1">IFERROR(__xludf.DUMMYFUNCTION("""COMPUTED_VALUE"""),44.96)</f>
        <v>44.96</v>
      </c>
      <c r="AB769" s="1">
        <f ca="1">IFERROR(__xludf.DUMMYFUNCTION("""COMPUTED_VALUE"""),104.26)</f>
        <v>104.26</v>
      </c>
      <c r="AC769" s="1">
        <f ca="1">IFERROR(__xludf.DUMMYFUNCTION("""COMPUTED_VALUE"""),67.71)</f>
        <v>67.709999999999994</v>
      </c>
    </row>
    <row r="770" spans="1:29" x14ac:dyDescent="0.25">
      <c r="A770" s="2">
        <f ca="1">IFERROR(__xludf.DUMMYFUNCTION("""COMPUTED_VALUE"""),44946.6666666666)</f>
        <v>44946.666666666599</v>
      </c>
      <c r="B770" s="1">
        <f ca="1">IFERROR(__xludf.DUMMYFUNCTION("""COMPUTED_VALUE"""),137.87)</f>
        <v>137.87</v>
      </c>
      <c r="C770" s="1">
        <f ca="1">IFERROR(__xludf.DUMMYFUNCTION("""COMPUTED_VALUE"""),240.22)</f>
        <v>240.22</v>
      </c>
      <c r="D770" s="1">
        <f ca="1">IFERROR(__xludf.DUMMYFUNCTION("""COMPUTED_VALUE"""),97.25)</f>
        <v>97.25</v>
      </c>
      <c r="E770" s="1">
        <f ca="1">IFERROR(__xludf.DUMMYFUNCTION("""COMPUTED_VALUE"""),17.84)</f>
        <v>17.84</v>
      </c>
      <c r="F770" s="1">
        <f ca="1">IFERROR(__xludf.DUMMYFUNCTION("""COMPUTED_VALUE"""),139.37)</f>
        <v>139.37</v>
      </c>
      <c r="G770" s="1">
        <f ca="1">IFERROR(__xludf.DUMMYFUNCTION("""COMPUTED_VALUE"""),99.28)</f>
        <v>99.28</v>
      </c>
      <c r="H770" s="1">
        <f ca="1">IFERROR(__xludf.DUMMYFUNCTION("""COMPUTED_VALUE"""),133.42)</f>
        <v>133.41999999999999</v>
      </c>
      <c r="I770" s="1">
        <f ca="1">IFERROR(__xludf.DUMMYFUNCTION("""COMPUTED_VALUE"""),169.88)</f>
        <v>169.88</v>
      </c>
      <c r="J770" s="1">
        <f ca="1">IFERROR(__xludf.DUMMYFUNCTION("""COMPUTED_VALUE"""),480.11)</f>
        <v>480.11</v>
      </c>
      <c r="K770" s="1">
        <f ca="1">IFERROR(__xludf.DUMMYFUNCTION("""COMPUTED_VALUE"""),57.08)</f>
        <v>57.08</v>
      </c>
      <c r="L770" s="1">
        <f ca="1">IFERROR(__xludf.DUMMYFUNCTION("""COMPUTED_VALUE"""),356.38)</f>
        <v>356.38</v>
      </c>
      <c r="M770" s="1">
        <f ca="1">IFERROR(__xludf.DUMMYFUNCTION("""COMPUTED_VALUE"""),342.5)</f>
        <v>342.5</v>
      </c>
      <c r="N770" s="1">
        <f ca="1">IFERROR(__xludf.DUMMYFUNCTION("""COMPUTED_VALUE"""),135.08)</f>
        <v>135.08000000000001</v>
      </c>
      <c r="O770" s="1">
        <f ca="1">IFERROR(__xludf.DUMMYFUNCTION("""COMPUTED_VALUE"""),224.31)</f>
        <v>224.31</v>
      </c>
      <c r="P770" s="1">
        <f ca="1">IFERROR(__xludf.DUMMYFUNCTION("""COMPUTED_VALUE"""),168.74)</f>
        <v>168.74</v>
      </c>
      <c r="Q770" s="1">
        <f ca="1">IFERROR(__xludf.DUMMYFUNCTION("""COMPUTED_VALUE"""),486.72)</f>
        <v>486.72</v>
      </c>
      <c r="R770" s="1">
        <f ca="1">IFERROR(__xludf.DUMMYFUNCTION("""COMPUTED_VALUE"""),113.35)</f>
        <v>113.35</v>
      </c>
      <c r="S770" s="1">
        <f ca="1">IFERROR(__xludf.DUMMYFUNCTION("""COMPUTED_VALUE"""),81.82)</f>
        <v>81.819999999999993</v>
      </c>
      <c r="T770" s="1">
        <f ca="1">IFERROR(__xludf.DUMMYFUNCTION("""COMPUTED_VALUE"""),46.85)</f>
        <v>46.85</v>
      </c>
      <c r="U770" s="1">
        <f ca="1">IFERROR(__xludf.DUMMYFUNCTION("""COMPUTED_VALUE"""),126.62)</f>
        <v>126.62</v>
      </c>
      <c r="V770" s="1">
        <f ca="1">IFERROR(__xludf.DUMMYFUNCTION("""COMPUTED_VALUE"""),249.71)</f>
        <v>249.71</v>
      </c>
      <c r="W770" s="1">
        <f ca="1">IFERROR(__xludf.DUMMYFUNCTION("""COMPUTED_VALUE"""),443.28)</f>
        <v>443.28</v>
      </c>
      <c r="X770" s="1">
        <f ca="1">IFERROR(__xludf.DUMMYFUNCTION("""COMPUTED_VALUE"""),648.85)</f>
        <v>648.85</v>
      </c>
      <c r="Y770" s="1">
        <f ca="1">IFERROR(__xludf.DUMMYFUNCTION("""COMPUTED_VALUE"""),91.03)</f>
        <v>91.03</v>
      </c>
      <c r="Z770" s="1">
        <f ca="1">IFERROR(__xludf.DUMMYFUNCTION("""COMPUTED_VALUE"""),341.84)</f>
        <v>341.84</v>
      </c>
      <c r="AA770" s="1">
        <f ca="1">IFERROR(__xludf.DUMMYFUNCTION("""COMPUTED_VALUE"""),45.11)</f>
        <v>45.11</v>
      </c>
      <c r="AB770" s="1">
        <f ca="1">IFERROR(__xludf.DUMMYFUNCTION("""COMPUTED_VALUE"""),105.04)</f>
        <v>105.04</v>
      </c>
      <c r="AC770" s="1">
        <f ca="1">IFERROR(__xludf.DUMMYFUNCTION("""COMPUTED_VALUE"""),70.07)</f>
        <v>70.069999999999993</v>
      </c>
    </row>
    <row r="771" spans="1:29" x14ac:dyDescent="0.25">
      <c r="A771" s="2">
        <f ca="1">IFERROR(__xludf.DUMMYFUNCTION("""COMPUTED_VALUE"""),44949.6666666666)</f>
        <v>44949.666666666599</v>
      </c>
      <c r="B771" s="1">
        <f ca="1">IFERROR(__xludf.DUMMYFUNCTION("""COMPUTED_VALUE"""),141.11)</f>
        <v>141.11000000000001</v>
      </c>
      <c r="C771" s="1">
        <f ca="1">IFERROR(__xludf.DUMMYFUNCTION("""COMPUTED_VALUE"""),242.58)</f>
        <v>242.58</v>
      </c>
      <c r="D771" s="1">
        <f ca="1">IFERROR(__xludf.DUMMYFUNCTION("""COMPUTED_VALUE"""),97.52)</f>
        <v>97.52</v>
      </c>
      <c r="E771" s="1">
        <f ca="1">IFERROR(__xludf.DUMMYFUNCTION("""COMPUTED_VALUE"""),19.19)</f>
        <v>19.190000000000001</v>
      </c>
      <c r="F771" s="1">
        <f ca="1">IFERROR(__xludf.DUMMYFUNCTION("""COMPUTED_VALUE"""),143.27)</f>
        <v>143.27000000000001</v>
      </c>
      <c r="G771" s="1">
        <f ca="1">IFERROR(__xludf.DUMMYFUNCTION("""COMPUTED_VALUE"""),101.21)</f>
        <v>101.21</v>
      </c>
      <c r="H771" s="1">
        <f ca="1">IFERROR(__xludf.DUMMYFUNCTION("""COMPUTED_VALUE"""),143.75)</f>
        <v>143.75</v>
      </c>
      <c r="I771" s="1">
        <f ca="1">IFERROR(__xludf.DUMMYFUNCTION("""COMPUTED_VALUE"""),169.12)</f>
        <v>169.12</v>
      </c>
      <c r="J771" s="1">
        <f ca="1">IFERROR(__xludf.DUMMYFUNCTION("""COMPUTED_VALUE"""),492.61)</f>
        <v>492.61</v>
      </c>
      <c r="K771" s="1">
        <f ca="1">IFERROR(__xludf.DUMMYFUNCTION("""COMPUTED_VALUE"""),58.16)</f>
        <v>58.16</v>
      </c>
      <c r="L771" s="1">
        <f ca="1">IFERROR(__xludf.DUMMYFUNCTION("""COMPUTED_VALUE"""),364.98)</f>
        <v>364.98</v>
      </c>
      <c r="M771" s="1">
        <f ca="1">IFERROR(__xludf.DUMMYFUNCTION("""COMPUTED_VALUE"""),357.42)</f>
        <v>357.42</v>
      </c>
      <c r="N771" s="1">
        <f ca="1">IFERROR(__xludf.DUMMYFUNCTION("""COMPUTED_VALUE"""),137.27)</f>
        <v>137.27000000000001</v>
      </c>
      <c r="O771" s="1">
        <f ca="1">IFERROR(__xludf.DUMMYFUNCTION("""COMPUTED_VALUE"""),224.18)</f>
        <v>224.18</v>
      </c>
      <c r="P771" s="1">
        <f ca="1">IFERROR(__xludf.DUMMYFUNCTION("""COMPUTED_VALUE"""),168.31)</f>
        <v>168.31</v>
      </c>
      <c r="Q771" s="1">
        <f ca="1">IFERROR(__xludf.DUMMYFUNCTION("""COMPUTED_VALUE"""),485.81)</f>
        <v>485.81</v>
      </c>
      <c r="R771" s="1">
        <f ca="1">IFERROR(__xludf.DUMMYFUNCTION("""COMPUTED_VALUE"""),112.76)</f>
        <v>112.76</v>
      </c>
      <c r="S771" s="1">
        <f ca="1">IFERROR(__xludf.DUMMYFUNCTION("""COMPUTED_VALUE"""),82.67)</f>
        <v>82.67</v>
      </c>
      <c r="T771" s="1">
        <f ca="1">IFERROR(__xludf.DUMMYFUNCTION("""COMPUTED_VALUE"""),47.55)</f>
        <v>47.55</v>
      </c>
      <c r="U771" s="1">
        <f ca="1">IFERROR(__xludf.DUMMYFUNCTION("""COMPUTED_VALUE"""),128.29)</f>
        <v>128.29</v>
      </c>
      <c r="V771" s="1">
        <f ca="1">IFERROR(__xludf.DUMMYFUNCTION("""COMPUTED_VALUE"""),252.7)</f>
        <v>252.7</v>
      </c>
      <c r="W771" s="1">
        <f ca="1">IFERROR(__xludf.DUMMYFUNCTION("""COMPUTED_VALUE"""),441.28)</f>
        <v>441.28</v>
      </c>
      <c r="X771" s="1">
        <f ca="1">IFERROR(__xludf.DUMMYFUNCTION("""COMPUTED_VALUE"""),676.03)</f>
        <v>676.03</v>
      </c>
      <c r="Y771" s="1">
        <f ca="1">IFERROR(__xludf.DUMMYFUNCTION("""COMPUTED_VALUE"""),95.66)</f>
        <v>95.66</v>
      </c>
      <c r="Z771" s="1">
        <f ca="1">IFERROR(__xludf.DUMMYFUNCTION("""COMPUTED_VALUE"""),349.14)</f>
        <v>349.14</v>
      </c>
      <c r="AA771" s="1">
        <f ca="1">IFERROR(__xludf.DUMMYFUNCTION("""COMPUTED_VALUE"""),44.98)</f>
        <v>44.98</v>
      </c>
      <c r="AB771" s="1">
        <f ca="1">IFERROR(__xludf.DUMMYFUNCTION("""COMPUTED_VALUE"""),106.21)</f>
        <v>106.21</v>
      </c>
      <c r="AC771" s="1">
        <f ca="1">IFERROR(__xludf.DUMMYFUNCTION("""COMPUTED_VALUE"""),76.53)</f>
        <v>76.53</v>
      </c>
    </row>
    <row r="772" spans="1:29" x14ac:dyDescent="0.25">
      <c r="A772" s="2">
        <f ca="1">IFERROR(__xludf.DUMMYFUNCTION("""COMPUTED_VALUE"""),44950.6666666666)</f>
        <v>44950.666666666599</v>
      </c>
      <c r="B772" s="1">
        <f ca="1">IFERROR(__xludf.DUMMYFUNCTION("""COMPUTED_VALUE"""),142.53)</f>
        <v>142.53</v>
      </c>
      <c r="C772" s="1">
        <f ca="1">IFERROR(__xludf.DUMMYFUNCTION("""COMPUTED_VALUE"""),242.04)</f>
        <v>242.04</v>
      </c>
      <c r="D772" s="1">
        <f ca="1">IFERROR(__xludf.DUMMYFUNCTION("""COMPUTED_VALUE"""),96.32)</f>
        <v>96.32</v>
      </c>
      <c r="E772" s="1">
        <f ca="1">IFERROR(__xludf.DUMMYFUNCTION("""COMPUTED_VALUE"""),19.27)</f>
        <v>19.27</v>
      </c>
      <c r="F772" s="1">
        <f ca="1">IFERROR(__xludf.DUMMYFUNCTION("""COMPUTED_VALUE"""),143.14)</f>
        <v>143.13999999999999</v>
      </c>
      <c r="G772" s="1">
        <f ca="1">IFERROR(__xludf.DUMMYFUNCTION("""COMPUTED_VALUE"""),99.21)</f>
        <v>99.21</v>
      </c>
      <c r="H772" s="1">
        <f ca="1">IFERROR(__xludf.DUMMYFUNCTION("""COMPUTED_VALUE"""),143.89)</f>
        <v>143.88999999999999</v>
      </c>
      <c r="I772" s="1">
        <f ca="1">IFERROR(__xludf.DUMMYFUNCTION("""COMPUTED_VALUE"""),170.69)</f>
        <v>170.69</v>
      </c>
      <c r="J772" s="1">
        <f ca="1">IFERROR(__xludf.DUMMYFUNCTION("""COMPUTED_VALUE"""),492.11)</f>
        <v>492.11</v>
      </c>
      <c r="K772" s="1">
        <f ca="1">IFERROR(__xludf.DUMMYFUNCTION("""COMPUTED_VALUE"""),58.5)</f>
        <v>58.5</v>
      </c>
      <c r="L772" s="1">
        <f ca="1">IFERROR(__xludf.DUMMYFUNCTION("""COMPUTED_VALUE"""),361.32)</f>
        <v>361.32</v>
      </c>
      <c r="M772" s="1">
        <f ca="1">IFERROR(__xludf.DUMMYFUNCTION("""COMPUTED_VALUE"""),363.83)</f>
        <v>363.83</v>
      </c>
      <c r="N772" s="1">
        <f ca="1">IFERROR(__xludf.DUMMYFUNCTION("""COMPUTED_VALUE"""),138.45)</f>
        <v>138.44999999999999</v>
      </c>
      <c r="O772" s="1">
        <f ca="1">IFERROR(__xludf.DUMMYFUNCTION("""COMPUTED_VALUE"""),223.89)</f>
        <v>223.89</v>
      </c>
      <c r="P772" s="1">
        <f ca="1">IFERROR(__xludf.DUMMYFUNCTION("""COMPUTED_VALUE"""),168.31)</f>
        <v>168.31</v>
      </c>
      <c r="Q772" s="1">
        <f ca="1">IFERROR(__xludf.DUMMYFUNCTION("""COMPUTED_VALUE"""),491.6)</f>
        <v>491.6</v>
      </c>
      <c r="R772" s="1">
        <f ca="1">IFERROR(__xludf.DUMMYFUNCTION("""COMPUTED_VALUE"""),113.81)</f>
        <v>113.81</v>
      </c>
      <c r="S772" s="1">
        <f ca="1">IFERROR(__xludf.DUMMYFUNCTION("""COMPUTED_VALUE"""),83.9)</f>
        <v>83.9</v>
      </c>
      <c r="T772" s="1">
        <f ca="1">IFERROR(__xludf.DUMMYFUNCTION("""COMPUTED_VALUE"""),47.67)</f>
        <v>47.67</v>
      </c>
      <c r="U772" s="1">
        <f ca="1">IFERROR(__xludf.DUMMYFUNCTION("""COMPUTED_VALUE"""),126.83)</f>
        <v>126.83</v>
      </c>
      <c r="V772" s="1">
        <f ca="1">IFERROR(__xludf.DUMMYFUNCTION("""COMPUTED_VALUE"""),257.61)</f>
        <v>257.61</v>
      </c>
      <c r="W772" s="1">
        <f ca="1">IFERROR(__xludf.DUMMYFUNCTION("""COMPUTED_VALUE"""),449.23)</f>
        <v>449.23</v>
      </c>
      <c r="X772" s="1">
        <f ca="1">IFERROR(__xludf.DUMMYFUNCTION("""COMPUTED_VALUE"""),670.01)</f>
        <v>670.01</v>
      </c>
      <c r="Y772" s="1">
        <f ca="1">IFERROR(__xludf.DUMMYFUNCTION("""COMPUTED_VALUE"""),94.56)</f>
        <v>94.56</v>
      </c>
      <c r="Z772" s="1">
        <f ca="1">IFERROR(__xludf.DUMMYFUNCTION("""COMPUTED_VALUE"""),348.33)</f>
        <v>348.33</v>
      </c>
      <c r="AA772" s="1">
        <f ca="1">IFERROR(__xludf.DUMMYFUNCTION("""COMPUTED_VALUE"""),44.71)</f>
        <v>44.71</v>
      </c>
      <c r="AB772" s="1">
        <f ca="1">IFERROR(__xludf.DUMMYFUNCTION("""COMPUTED_VALUE"""),106.64)</f>
        <v>106.64</v>
      </c>
      <c r="AC772" s="1">
        <f ca="1">IFERROR(__xludf.DUMMYFUNCTION("""COMPUTED_VALUE"""),74.7)</f>
        <v>74.7</v>
      </c>
    </row>
    <row r="773" spans="1:29" x14ac:dyDescent="0.25">
      <c r="A773" s="2">
        <f ca="1">IFERROR(__xludf.DUMMYFUNCTION("""COMPUTED_VALUE"""),44951.6666666666)</f>
        <v>44951.666666666599</v>
      </c>
      <c r="B773" s="1">
        <f ca="1">IFERROR(__xludf.DUMMYFUNCTION("""COMPUTED_VALUE"""),141.86)</f>
        <v>141.86000000000001</v>
      </c>
      <c r="C773" s="1">
        <f ca="1">IFERROR(__xludf.DUMMYFUNCTION("""COMPUTED_VALUE"""),240.61)</f>
        <v>240.61</v>
      </c>
      <c r="D773" s="1">
        <f ca="1">IFERROR(__xludf.DUMMYFUNCTION("""COMPUTED_VALUE"""),97.18)</f>
        <v>97.18</v>
      </c>
      <c r="E773" s="1">
        <f ca="1">IFERROR(__xludf.DUMMYFUNCTION("""COMPUTED_VALUE"""),19.32)</f>
        <v>19.32</v>
      </c>
      <c r="F773" s="1">
        <f ca="1">IFERROR(__xludf.DUMMYFUNCTION("""COMPUTED_VALUE"""),141.5)</f>
        <v>141.5</v>
      </c>
      <c r="G773" s="1">
        <f ca="1">IFERROR(__xludf.DUMMYFUNCTION("""COMPUTED_VALUE"""),96.73)</f>
        <v>96.73</v>
      </c>
      <c r="H773" s="1">
        <f ca="1">IFERROR(__xludf.DUMMYFUNCTION("""COMPUTED_VALUE"""),144.43)</f>
        <v>144.43</v>
      </c>
      <c r="I773" s="1">
        <f ca="1">IFERROR(__xludf.DUMMYFUNCTION("""COMPUTED_VALUE"""),171.93)</f>
        <v>171.93</v>
      </c>
      <c r="J773" s="1">
        <f ca="1">IFERROR(__xludf.DUMMYFUNCTION("""COMPUTED_VALUE"""),490.88)</f>
        <v>490.88</v>
      </c>
      <c r="K773" s="1">
        <f ca="1">IFERROR(__xludf.DUMMYFUNCTION("""COMPUTED_VALUE"""),58.57)</f>
        <v>58.57</v>
      </c>
      <c r="L773" s="1">
        <f ca="1">IFERROR(__xludf.DUMMYFUNCTION("""COMPUTED_VALUE"""),358.17)</f>
        <v>358.17</v>
      </c>
      <c r="M773" s="1">
        <f ca="1">IFERROR(__xludf.DUMMYFUNCTION("""COMPUTED_VALUE"""),367.96)</f>
        <v>367.96</v>
      </c>
      <c r="N773" s="1">
        <f ca="1">IFERROR(__xludf.DUMMYFUNCTION("""COMPUTED_VALUE"""),139.12)</f>
        <v>139.12</v>
      </c>
      <c r="O773" s="1">
        <f ca="1">IFERROR(__xludf.DUMMYFUNCTION("""COMPUTED_VALUE"""),224.9)</f>
        <v>224.9</v>
      </c>
      <c r="P773" s="1">
        <f ca="1">IFERROR(__xludf.DUMMYFUNCTION("""COMPUTED_VALUE"""),169.51)</f>
        <v>169.51</v>
      </c>
      <c r="Q773" s="1">
        <f ca="1">IFERROR(__xludf.DUMMYFUNCTION("""COMPUTED_VALUE"""),492.5)</f>
        <v>492.5</v>
      </c>
      <c r="R773" s="1">
        <f ca="1">IFERROR(__xludf.DUMMYFUNCTION("""COMPUTED_VALUE"""),113.21)</f>
        <v>113.21</v>
      </c>
      <c r="S773" s="1">
        <f ca="1">IFERROR(__xludf.DUMMYFUNCTION("""COMPUTED_VALUE"""),76.59)</f>
        <v>76.59</v>
      </c>
      <c r="T773" s="1">
        <f ca="1">IFERROR(__xludf.DUMMYFUNCTION("""COMPUTED_VALUE"""),47.45)</f>
        <v>47.45</v>
      </c>
      <c r="U773" s="1">
        <f ca="1">IFERROR(__xludf.DUMMYFUNCTION("""COMPUTED_VALUE"""),126.82)</f>
        <v>126.82</v>
      </c>
      <c r="V773" s="1">
        <f ca="1">IFERROR(__xludf.DUMMYFUNCTION("""COMPUTED_VALUE"""),258.44)</f>
        <v>258.44</v>
      </c>
      <c r="W773" s="1">
        <f ca="1">IFERROR(__xludf.DUMMYFUNCTION("""COMPUTED_VALUE"""),454.16)</f>
        <v>454.16</v>
      </c>
      <c r="X773" s="1">
        <f ca="1">IFERROR(__xludf.DUMMYFUNCTION("""COMPUTED_VALUE"""),681.53)</f>
        <v>681.53</v>
      </c>
      <c r="Y773" s="1">
        <f ca="1">IFERROR(__xludf.DUMMYFUNCTION("""COMPUTED_VALUE"""),92.41)</f>
        <v>92.41</v>
      </c>
      <c r="Z773" s="1">
        <f ca="1">IFERROR(__xludf.DUMMYFUNCTION("""COMPUTED_VALUE"""),349.63)</f>
        <v>349.63</v>
      </c>
      <c r="AA773" s="1">
        <f ca="1">IFERROR(__xludf.DUMMYFUNCTION("""COMPUTED_VALUE"""),45.07)</f>
        <v>45.07</v>
      </c>
      <c r="AB773" s="1">
        <f ca="1">IFERROR(__xludf.DUMMYFUNCTION("""COMPUTED_VALUE"""),106.98)</f>
        <v>106.98</v>
      </c>
      <c r="AC773" s="1">
        <f ca="1">IFERROR(__xludf.DUMMYFUNCTION("""COMPUTED_VALUE"""),74.91)</f>
        <v>74.91</v>
      </c>
    </row>
    <row r="774" spans="1:29" x14ac:dyDescent="0.25">
      <c r="A774" s="2">
        <f ca="1">IFERROR(__xludf.DUMMYFUNCTION("""COMPUTED_VALUE"""),44952.6666666666)</f>
        <v>44952.666666666599</v>
      </c>
      <c r="B774" s="1">
        <f ca="1">IFERROR(__xludf.DUMMYFUNCTION("""COMPUTED_VALUE"""),143.96)</f>
        <v>143.96</v>
      </c>
      <c r="C774" s="1">
        <f ca="1">IFERROR(__xludf.DUMMYFUNCTION("""COMPUTED_VALUE"""),248)</f>
        <v>248</v>
      </c>
      <c r="D774" s="1">
        <f ca="1">IFERROR(__xludf.DUMMYFUNCTION("""COMPUTED_VALUE"""),99.22)</f>
        <v>99.22</v>
      </c>
      <c r="E774" s="1">
        <f ca="1">IFERROR(__xludf.DUMMYFUNCTION("""COMPUTED_VALUE"""),19.8)</f>
        <v>19.8</v>
      </c>
      <c r="F774" s="1">
        <f ca="1">IFERROR(__xludf.DUMMYFUNCTION("""COMPUTED_VALUE"""),147.3)</f>
        <v>147.30000000000001</v>
      </c>
      <c r="G774" s="1">
        <f ca="1">IFERROR(__xludf.DUMMYFUNCTION("""COMPUTED_VALUE"""),99.16)</f>
        <v>99.16</v>
      </c>
      <c r="H774" s="1">
        <f ca="1">IFERROR(__xludf.DUMMYFUNCTION("""COMPUTED_VALUE"""),160.27)</f>
        <v>160.27000000000001</v>
      </c>
      <c r="I774" s="1">
        <f ca="1">IFERROR(__xludf.DUMMYFUNCTION("""COMPUTED_VALUE"""),170.22)</f>
        <v>170.22</v>
      </c>
      <c r="J774" s="1">
        <f ca="1">IFERROR(__xludf.DUMMYFUNCTION("""COMPUTED_VALUE"""),498.3)</f>
        <v>498.3</v>
      </c>
      <c r="K774" s="1">
        <f ca="1">IFERROR(__xludf.DUMMYFUNCTION("""COMPUTED_VALUE"""),59.86)</f>
        <v>59.86</v>
      </c>
      <c r="L774" s="1">
        <f ca="1">IFERROR(__xludf.DUMMYFUNCTION("""COMPUTED_VALUE"""),365.82)</f>
        <v>365.82</v>
      </c>
      <c r="M774" s="1">
        <f ca="1">IFERROR(__xludf.DUMMYFUNCTION("""COMPUTED_VALUE"""),364.87)</f>
        <v>364.87</v>
      </c>
      <c r="N774" s="1">
        <f ca="1">IFERROR(__xludf.DUMMYFUNCTION("""COMPUTED_VALUE"""),139.98)</f>
        <v>139.97999999999999</v>
      </c>
      <c r="O774" s="1">
        <f ca="1">IFERROR(__xludf.DUMMYFUNCTION("""COMPUTED_VALUE"""),224.71)</f>
        <v>224.71</v>
      </c>
      <c r="P774" s="1">
        <f ca="1">IFERROR(__xludf.DUMMYFUNCTION("""COMPUTED_VALUE"""),168.89)</f>
        <v>168.89</v>
      </c>
      <c r="Q774" s="1">
        <f ca="1">IFERROR(__xludf.DUMMYFUNCTION("""COMPUTED_VALUE"""),492.48)</f>
        <v>492.48</v>
      </c>
      <c r="R774" s="1">
        <f ca="1">IFERROR(__xludf.DUMMYFUNCTION("""COMPUTED_VALUE"""),117.76)</f>
        <v>117.76</v>
      </c>
      <c r="S774" s="1">
        <f ca="1">IFERROR(__xludf.DUMMYFUNCTION("""COMPUTED_VALUE"""),76.4)</f>
        <v>76.400000000000006</v>
      </c>
      <c r="T774" s="1">
        <f ca="1">IFERROR(__xludf.DUMMYFUNCTION("""COMPUTED_VALUE"""),47.4)</f>
        <v>47.4</v>
      </c>
      <c r="U774" s="1">
        <f ca="1">IFERROR(__xludf.DUMMYFUNCTION("""COMPUTED_VALUE"""),127.53)</f>
        <v>127.53</v>
      </c>
      <c r="V774" s="1">
        <f ca="1">IFERROR(__xludf.DUMMYFUNCTION("""COMPUTED_VALUE"""),262.12)</f>
        <v>262.12</v>
      </c>
      <c r="W774" s="1">
        <f ca="1">IFERROR(__xludf.DUMMYFUNCTION("""COMPUTED_VALUE"""),459.81)</f>
        <v>459.81</v>
      </c>
      <c r="X774" s="1">
        <f ca="1">IFERROR(__xludf.DUMMYFUNCTION("""COMPUTED_VALUE"""),683.9)</f>
        <v>683.9</v>
      </c>
      <c r="Y774" s="1">
        <f ca="1">IFERROR(__xludf.DUMMYFUNCTION("""COMPUTED_VALUE"""),93.45)</f>
        <v>93.45</v>
      </c>
      <c r="Z774" s="1">
        <f ca="1">IFERROR(__xludf.DUMMYFUNCTION("""COMPUTED_VALUE"""),354.97)</f>
        <v>354.97</v>
      </c>
      <c r="AA774" s="1">
        <f ca="1">IFERROR(__xludf.DUMMYFUNCTION("""COMPUTED_VALUE"""),44.25)</f>
        <v>44.25</v>
      </c>
      <c r="AB774" s="1">
        <f ca="1">IFERROR(__xludf.DUMMYFUNCTION("""COMPUTED_VALUE"""),108.76)</f>
        <v>108.76</v>
      </c>
      <c r="AC774" s="1">
        <f ca="1">IFERROR(__xludf.DUMMYFUNCTION("""COMPUTED_VALUE"""),75.16)</f>
        <v>75.16</v>
      </c>
    </row>
    <row r="775" spans="1:29" x14ac:dyDescent="0.25">
      <c r="A775" s="2">
        <f ca="1">IFERROR(__xludf.DUMMYFUNCTION("""COMPUTED_VALUE"""),44953.6666666666)</f>
        <v>44953.666666666599</v>
      </c>
      <c r="B775" s="1">
        <f ca="1">IFERROR(__xludf.DUMMYFUNCTION("""COMPUTED_VALUE"""),145.93)</f>
        <v>145.93</v>
      </c>
      <c r="C775" s="1">
        <f ca="1">IFERROR(__xludf.DUMMYFUNCTION("""COMPUTED_VALUE"""),248.16)</f>
        <v>248.16</v>
      </c>
      <c r="D775" s="1">
        <f ca="1">IFERROR(__xludf.DUMMYFUNCTION("""COMPUTED_VALUE"""),102.24)</f>
        <v>102.24</v>
      </c>
      <c r="E775" s="1">
        <f ca="1">IFERROR(__xludf.DUMMYFUNCTION("""COMPUTED_VALUE"""),20.36)</f>
        <v>20.36</v>
      </c>
      <c r="F775" s="1">
        <f ca="1">IFERROR(__xludf.DUMMYFUNCTION("""COMPUTED_VALUE"""),151.74)</f>
        <v>151.74</v>
      </c>
      <c r="G775" s="1">
        <f ca="1">IFERROR(__xludf.DUMMYFUNCTION("""COMPUTED_VALUE"""),100.71)</f>
        <v>100.71</v>
      </c>
      <c r="H775" s="1">
        <f ca="1">IFERROR(__xludf.DUMMYFUNCTION("""COMPUTED_VALUE"""),177.9)</f>
        <v>177.9</v>
      </c>
      <c r="I775" s="1">
        <f ca="1">IFERROR(__xludf.DUMMYFUNCTION("""COMPUTED_VALUE"""),169.62)</f>
        <v>169.62</v>
      </c>
      <c r="J775" s="1">
        <f ca="1">IFERROR(__xludf.DUMMYFUNCTION("""COMPUTED_VALUE"""),503.29)</f>
        <v>503.29</v>
      </c>
      <c r="K775" s="1">
        <f ca="1">IFERROR(__xludf.DUMMYFUNCTION("""COMPUTED_VALUE"""),59.1)</f>
        <v>59.1</v>
      </c>
      <c r="L775" s="1">
        <f ca="1">IFERROR(__xludf.DUMMYFUNCTION("""COMPUTED_VALUE"""),370.71)</f>
        <v>370.71</v>
      </c>
      <c r="M775" s="1">
        <f ca="1">IFERROR(__xludf.DUMMYFUNCTION("""COMPUTED_VALUE"""),360.77)</f>
        <v>360.77</v>
      </c>
      <c r="N775" s="1">
        <f ca="1">IFERROR(__xludf.DUMMYFUNCTION("""COMPUTED_VALUE"""),140.32)</f>
        <v>140.32</v>
      </c>
      <c r="O775" s="1">
        <f ca="1">IFERROR(__xludf.DUMMYFUNCTION("""COMPUTED_VALUE"""),231.44)</f>
        <v>231.44</v>
      </c>
      <c r="P775" s="1">
        <f ca="1">IFERROR(__xludf.DUMMYFUNCTION("""COMPUTED_VALUE"""),168.23)</f>
        <v>168.23</v>
      </c>
      <c r="Q775" s="1">
        <f ca="1">IFERROR(__xludf.DUMMYFUNCTION("""COMPUTED_VALUE"""),486.05)</f>
        <v>486.05</v>
      </c>
      <c r="R775" s="1">
        <f ca="1">IFERROR(__xludf.DUMMYFUNCTION("""COMPUTED_VALUE"""),115.61)</f>
        <v>115.61</v>
      </c>
      <c r="S775" s="1">
        <f ca="1">IFERROR(__xludf.DUMMYFUNCTION("""COMPUTED_VALUE"""),75.58)</f>
        <v>75.58</v>
      </c>
      <c r="T775" s="1">
        <f ca="1">IFERROR(__xludf.DUMMYFUNCTION("""COMPUTED_VALUE"""),47.77)</f>
        <v>47.77</v>
      </c>
      <c r="U775" s="1">
        <f ca="1">IFERROR(__xludf.DUMMYFUNCTION("""COMPUTED_VALUE"""),127.53)</f>
        <v>127.53</v>
      </c>
      <c r="V775" s="1">
        <f ca="1">IFERROR(__xludf.DUMMYFUNCTION("""COMPUTED_VALUE"""),264.54)</f>
        <v>264.54000000000002</v>
      </c>
      <c r="W775" s="1">
        <f ca="1">IFERROR(__xludf.DUMMYFUNCTION("""COMPUTED_VALUE"""),459.6)</f>
        <v>459.6</v>
      </c>
      <c r="X775" s="1">
        <f ca="1">IFERROR(__xludf.DUMMYFUNCTION("""COMPUTED_VALUE"""),667.39)</f>
        <v>667.39</v>
      </c>
      <c r="Y775" s="1">
        <f ca="1">IFERROR(__xludf.DUMMYFUNCTION("""COMPUTED_VALUE"""),93.3)</f>
        <v>93.3</v>
      </c>
      <c r="Z775" s="1">
        <f ca="1">IFERROR(__xludf.DUMMYFUNCTION("""COMPUTED_VALUE"""),353.7)</f>
        <v>353.7</v>
      </c>
      <c r="AA775" s="1">
        <f ca="1">IFERROR(__xludf.DUMMYFUNCTION("""COMPUTED_VALUE"""),43.79)</f>
        <v>43.79</v>
      </c>
      <c r="AB775" s="1">
        <f ca="1">IFERROR(__xludf.DUMMYFUNCTION("""COMPUTED_VALUE"""),109.02)</f>
        <v>109.02</v>
      </c>
      <c r="AC775" s="1">
        <f ca="1">IFERROR(__xludf.DUMMYFUNCTION("""COMPUTED_VALUE"""),75.4)</f>
        <v>75.400000000000006</v>
      </c>
    </row>
    <row r="776" spans="1:29" x14ac:dyDescent="0.25">
      <c r="A776" s="2">
        <f ca="1">IFERROR(__xludf.DUMMYFUNCTION("""COMPUTED_VALUE"""),44956.6666666666)</f>
        <v>44956.666666666599</v>
      </c>
      <c r="B776" s="1">
        <f ca="1">IFERROR(__xludf.DUMMYFUNCTION("""COMPUTED_VALUE"""),143)</f>
        <v>143</v>
      </c>
      <c r="C776" s="1">
        <f ca="1">IFERROR(__xludf.DUMMYFUNCTION("""COMPUTED_VALUE"""),242.71)</f>
        <v>242.71</v>
      </c>
      <c r="D776" s="1">
        <f ca="1">IFERROR(__xludf.DUMMYFUNCTION("""COMPUTED_VALUE"""),100.55)</f>
        <v>100.55</v>
      </c>
      <c r="E776" s="1">
        <f ca="1">IFERROR(__xludf.DUMMYFUNCTION("""COMPUTED_VALUE"""),19.16)</f>
        <v>19.16</v>
      </c>
      <c r="F776" s="1">
        <f ca="1">IFERROR(__xludf.DUMMYFUNCTION("""COMPUTED_VALUE"""),147.06)</f>
        <v>147.06</v>
      </c>
      <c r="G776" s="1">
        <f ca="1">IFERROR(__xludf.DUMMYFUNCTION("""COMPUTED_VALUE"""),97.95)</f>
        <v>97.95</v>
      </c>
      <c r="H776" s="1">
        <f ca="1">IFERROR(__xludf.DUMMYFUNCTION("""COMPUTED_VALUE"""),166.66)</f>
        <v>166.66</v>
      </c>
      <c r="I776" s="1">
        <f ca="1">IFERROR(__xludf.DUMMYFUNCTION("""COMPUTED_VALUE"""),169.48)</f>
        <v>169.48</v>
      </c>
      <c r="J776" s="1">
        <f ca="1">IFERROR(__xludf.DUMMYFUNCTION("""COMPUTED_VALUE"""),503.28)</f>
        <v>503.28</v>
      </c>
      <c r="K776" s="1">
        <f ca="1">IFERROR(__xludf.DUMMYFUNCTION("""COMPUTED_VALUE"""),58.15)</f>
        <v>58.15</v>
      </c>
      <c r="L776" s="1">
        <f ca="1">IFERROR(__xludf.DUMMYFUNCTION("""COMPUTED_VALUE"""),363.42)</f>
        <v>363.42</v>
      </c>
      <c r="M776" s="1">
        <f ca="1">IFERROR(__xludf.DUMMYFUNCTION("""COMPUTED_VALUE"""),353.11)</f>
        <v>353.11</v>
      </c>
      <c r="N776" s="1">
        <f ca="1">IFERROR(__xludf.DUMMYFUNCTION("""COMPUTED_VALUE"""),139.13)</f>
        <v>139.13</v>
      </c>
      <c r="O776" s="1">
        <f ca="1">IFERROR(__xludf.DUMMYFUNCTION("""COMPUTED_VALUE"""),229.1)</f>
        <v>229.1</v>
      </c>
      <c r="P776" s="1">
        <f ca="1">IFERROR(__xludf.DUMMYFUNCTION("""COMPUTED_VALUE"""),162)</f>
        <v>162</v>
      </c>
      <c r="Q776" s="1">
        <f ca="1">IFERROR(__xludf.DUMMYFUNCTION("""COMPUTED_VALUE"""),485.79)</f>
        <v>485.79</v>
      </c>
      <c r="R776" s="1">
        <f ca="1">IFERROR(__xludf.DUMMYFUNCTION("""COMPUTED_VALUE"""),113.56)</f>
        <v>113.56</v>
      </c>
      <c r="S776" s="1">
        <f ca="1">IFERROR(__xludf.DUMMYFUNCTION("""COMPUTED_VALUE"""),75.05)</f>
        <v>75.05</v>
      </c>
      <c r="T776" s="1">
        <f ca="1">IFERROR(__xludf.DUMMYFUNCTION("""COMPUTED_VALUE"""),47.38)</f>
        <v>47.38</v>
      </c>
      <c r="U776" s="1">
        <f ca="1">IFERROR(__xludf.DUMMYFUNCTION("""COMPUTED_VALUE"""),126.37)</f>
        <v>126.37</v>
      </c>
      <c r="V776" s="1">
        <f ca="1">IFERROR(__xludf.DUMMYFUNCTION("""COMPUTED_VALUE"""),261.5)</f>
        <v>261.5</v>
      </c>
      <c r="W776" s="1">
        <f ca="1">IFERROR(__xludf.DUMMYFUNCTION("""COMPUTED_VALUE"""),460.59)</f>
        <v>460.59</v>
      </c>
      <c r="X776" s="1">
        <f ca="1">IFERROR(__xludf.DUMMYFUNCTION("""COMPUTED_VALUE"""),650.31)</f>
        <v>650.30999999999995</v>
      </c>
      <c r="Y776" s="1">
        <f ca="1">IFERROR(__xludf.DUMMYFUNCTION("""COMPUTED_VALUE"""),93.13)</f>
        <v>93.13</v>
      </c>
      <c r="Z776" s="1">
        <f ca="1">IFERROR(__xludf.DUMMYFUNCTION("""COMPUTED_VALUE"""),357.46)</f>
        <v>357.46</v>
      </c>
      <c r="AA776" s="1">
        <f ca="1">IFERROR(__xludf.DUMMYFUNCTION("""COMPUTED_VALUE"""),43.55)</f>
        <v>43.55</v>
      </c>
      <c r="AB776" s="1">
        <f ca="1">IFERROR(__xludf.DUMMYFUNCTION("""COMPUTED_VALUE"""),108.4)</f>
        <v>108.4</v>
      </c>
      <c r="AC776" s="1">
        <f ca="1">IFERROR(__xludf.DUMMYFUNCTION("""COMPUTED_VALUE"""),72.45)</f>
        <v>72.45</v>
      </c>
    </row>
    <row r="777" spans="1:29" x14ac:dyDescent="0.25">
      <c r="A777" s="2">
        <f ca="1">IFERROR(__xludf.DUMMYFUNCTION("""COMPUTED_VALUE"""),44957.6666666666)</f>
        <v>44957.666666666599</v>
      </c>
      <c r="B777" s="1">
        <f ca="1">IFERROR(__xludf.DUMMYFUNCTION("""COMPUTED_VALUE"""),144.29)</f>
        <v>144.29</v>
      </c>
      <c r="C777" s="1">
        <f ca="1">IFERROR(__xludf.DUMMYFUNCTION("""COMPUTED_VALUE"""),247.81)</f>
        <v>247.81</v>
      </c>
      <c r="D777" s="1">
        <f ca="1">IFERROR(__xludf.DUMMYFUNCTION("""COMPUTED_VALUE"""),103.13)</f>
        <v>103.13</v>
      </c>
      <c r="E777" s="1">
        <f ca="1">IFERROR(__xludf.DUMMYFUNCTION("""COMPUTED_VALUE"""),19.54)</f>
        <v>19.54</v>
      </c>
      <c r="F777" s="1">
        <f ca="1">IFERROR(__xludf.DUMMYFUNCTION("""COMPUTED_VALUE"""),148.97)</f>
        <v>148.97</v>
      </c>
      <c r="G777" s="1">
        <f ca="1">IFERROR(__xludf.DUMMYFUNCTION("""COMPUTED_VALUE"""),99.87)</f>
        <v>99.87</v>
      </c>
      <c r="H777" s="1">
        <f ca="1">IFERROR(__xludf.DUMMYFUNCTION("""COMPUTED_VALUE"""),173.22)</f>
        <v>173.22</v>
      </c>
      <c r="I777" s="1">
        <f ca="1">IFERROR(__xludf.DUMMYFUNCTION("""COMPUTED_VALUE"""),171.02)</f>
        <v>171.02</v>
      </c>
      <c r="J777" s="1">
        <f ca="1">IFERROR(__xludf.DUMMYFUNCTION("""COMPUTED_VALUE"""),511.14)</f>
        <v>511.14</v>
      </c>
      <c r="K777" s="1">
        <f ca="1">IFERROR(__xludf.DUMMYFUNCTION("""COMPUTED_VALUE"""),58.5)</f>
        <v>58.5</v>
      </c>
      <c r="L777" s="1">
        <f ca="1">IFERROR(__xludf.DUMMYFUNCTION("""COMPUTED_VALUE"""),370.34)</f>
        <v>370.34</v>
      </c>
      <c r="M777" s="1">
        <f ca="1">IFERROR(__xludf.DUMMYFUNCTION("""COMPUTED_VALUE"""),353.86)</f>
        <v>353.86</v>
      </c>
      <c r="N777" s="1">
        <f ca="1">IFERROR(__xludf.DUMMYFUNCTION("""COMPUTED_VALUE"""),139.96)</f>
        <v>139.96</v>
      </c>
      <c r="O777" s="1">
        <f ca="1">IFERROR(__xludf.DUMMYFUNCTION("""COMPUTED_VALUE"""),230.21)</f>
        <v>230.21</v>
      </c>
      <c r="P777" s="1">
        <f ca="1">IFERROR(__xludf.DUMMYFUNCTION("""COMPUTED_VALUE"""),163.42)</f>
        <v>163.41999999999999</v>
      </c>
      <c r="Q777" s="1">
        <f ca="1">IFERROR(__xludf.DUMMYFUNCTION("""COMPUTED_VALUE"""),499.19)</f>
        <v>499.19</v>
      </c>
      <c r="R777" s="1">
        <f ca="1">IFERROR(__xludf.DUMMYFUNCTION("""COMPUTED_VALUE"""),116.01)</f>
        <v>116.01</v>
      </c>
      <c r="S777" s="1">
        <f ca="1">IFERROR(__xludf.DUMMYFUNCTION("""COMPUTED_VALUE"""),74.63)</f>
        <v>74.63</v>
      </c>
      <c r="T777" s="1">
        <f ca="1">IFERROR(__xludf.DUMMYFUNCTION("""COMPUTED_VALUE"""),47.96)</f>
        <v>47.96</v>
      </c>
      <c r="U777" s="1">
        <f ca="1">IFERROR(__xludf.DUMMYFUNCTION("""COMPUTED_VALUE"""),127.33)</f>
        <v>127.33</v>
      </c>
      <c r="V777" s="1">
        <f ca="1">IFERROR(__xludf.DUMMYFUNCTION("""COMPUTED_VALUE"""),252.29)</f>
        <v>252.29</v>
      </c>
      <c r="W777" s="1">
        <f ca="1">IFERROR(__xludf.DUMMYFUNCTION("""COMPUTED_VALUE"""),463.26)</f>
        <v>463.26</v>
      </c>
      <c r="X777" s="1">
        <f ca="1">IFERROR(__xludf.DUMMYFUNCTION("""COMPUTED_VALUE"""),660.84)</f>
        <v>660.84</v>
      </c>
      <c r="Y777" s="1">
        <f ca="1">IFERROR(__xludf.DUMMYFUNCTION("""COMPUTED_VALUE"""),92.73)</f>
        <v>92.73</v>
      </c>
      <c r="Z777" s="1">
        <f ca="1">IFERROR(__xludf.DUMMYFUNCTION("""COMPUTED_VALUE"""),365.81)</f>
        <v>365.81</v>
      </c>
      <c r="AA777" s="1">
        <f ca="1">IFERROR(__xludf.DUMMYFUNCTION("""COMPUTED_VALUE"""),44.16)</f>
        <v>44.16</v>
      </c>
      <c r="AB777" s="1">
        <f ca="1">IFERROR(__xludf.DUMMYFUNCTION("""COMPUTED_VALUE"""),109.14)</f>
        <v>109.14</v>
      </c>
      <c r="AC777" s="1">
        <f ca="1">IFERROR(__xludf.DUMMYFUNCTION("""COMPUTED_VALUE"""),75.15)</f>
        <v>75.150000000000006</v>
      </c>
    </row>
    <row r="778" spans="1:29" x14ac:dyDescent="0.25">
      <c r="A778" s="2">
        <f ca="1">IFERROR(__xludf.DUMMYFUNCTION("""COMPUTED_VALUE"""),44958.6666666666)</f>
        <v>44958.666666666599</v>
      </c>
      <c r="B778" s="1">
        <f ca="1">IFERROR(__xludf.DUMMYFUNCTION("""COMPUTED_VALUE"""),145.43)</f>
        <v>145.43</v>
      </c>
      <c r="C778" s="1">
        <f ca="1">IFERROR(__xludf.DUMMYFUNCTION("""COMPUTED_VALUE"""),252.75)</f>
        <v>252.75</v>
      </c>
      <c r="D778" s="1">
        <f ca="1">IFERROR(__xludf.DUMMYFUNCTION("""COMPUTED_VALUE"""),105.15)</f>
        <v>105.15</v>
      </c>
      <c r="E778" s="1">
        <f ca="1">IFERROR(__xludf.DUMMYFUNCTION("""COMPUTED_VALUE"""),20.94)</f>
        <v>20.94</v>
      </c>
      <c r="F778" s="1">
        <f ca="1">IFERROR(__xludf.DUMMYFUNCTION("""COMPUTED_VALUE"""),153.12)</f>
        <v>153.12</v>
      </c>
      <c r="G778" s="1">
        <f ca="1">IFERROR(__xludf.DUMMYFUNCTION("""COMPUTED_VALUE"""),101.43)</f>
        <v>101.43</v>
      </c>
      <c r="H778" s="1">
        <f ca="1">IFERROR(__xludf.DUMMYFUNCTION("""COMPUTED_VALUE"""),181.41)</f>
        <v>181.41</v>
      </c>
      <c r="I778" s="1">
        <f ca="1">IFERROR(__xludf.DUMMYFUNCTION("""COMPUTED_VALUE"""),171.56)</f>
        <v>171.56</v>
      </c>
      <c r="J778" s="1">
        <f ca="1">IFERROR(__xludf.DUMMYFUNCTION("""COMPUTED_VALUE"""),517.91)</f>
        <v>517.91</v>
      </c>
      <c r="K778" s="1">
        <f ca="1">IFERROR(__xludf.DUMMYFUNCTION("""COMPUTED_VALUE"""),60.28)</f>
        <v>60.28</v>
      </c>
      <c r="L778" s="1">
        <f ca="1">IFERROR(__xludf.DUMMYFUNCTION("""COMPUTED_VALUE"""),383.92)</f>
        <v>383.92</v>
      </c>
      <c r="M778" s="1">
        <f ca="1">IFERROR(__xludf.DUMMYFUNCTION("""COMPUTED_VALUE"""),361.99)</f>
        <v>361.99</v>
      </c>
      <c r="N778" s="1">
        <f ca="1">IFERROR(__xludf.DUMMYFUNCTION("""COMPUTED_VALUE"""),139.59)</f>
        <v>139.59</v>
      </c>
      <c r="O778" s="1">
        <f ca="1">IFERROR(__xludf.DUMMYFUNCTION("""COMPUTED_VALUE"""),230.9)</f>
        <v>230.9</v>
      </c>
      <c r="P778" s="1">
        <f ca="1">IFERROR(__xludf.DUMMYFUNCTION("""COMPUTED_VALUE"""),164.92)</f>
        <v>164.92</v>
      </c>
      <c r="Q778" s="1">
        <f ca="1">IFERROR(__xludf.DUMMYFUNCTION("""COMPUTED_VALUE"""),497)</f>
        <v>497</v>
      </c>
      <c r="R778" s="1">
        <f ca="1">IFERROR(__xludf.DUMMYFUNCTION("""COMPUTED_VALUE"""),114.74)</f>
        <v>114.74</v>
      </c>
      <c r="S778" s="1">
        <f ca="1">IFERROR(__xludf.DUMMYFUNCTION("""COMPUTED_VALUE"""),74.24)</f>
        <v>74.239999999999995</v>
      </c>
      <c r="T778" s="1">
        <f ca="1">IFERROR(__xludf.DUMMYFUNCTION("""COMPUTED_VALUE"""),48.22)</f>
        <v>48.22</v>
      </c>
      <c r="U778" s="1">
        <f ca="1">IFERROR(__xludf.DUMMYFUNCTION("""COMPUTED_VALUE"""),129.5)</f>
        <v>129.5</v>
      </c>
      <c r="V778" s="1">
        <f ca="1">IFERROR(__xludf.DUMMYFUNCTION("""COMPUTED_VALUE"""),249.54)</f>
        <v>249.54</v>
      </c>
      <c r="W778" s="1">
        <f ca="1">IFERROR(__xludf.DUMMYFUNCTION("""COMPUTED_VALUE"""),462.25)</f>
        <v>462.25</v>
      </c>
      <c r="X778" s="1">
        <f ca="1">IFERROR(__xludf.DUMMYFUNCTION("""COMPUTED_VALUE"""),678.53)</f>
        <v>678.53</v>
      </c>
      <c r="Y778" s="1">
        <f ca="1">IFERROR(__xludf.DUMMYFUNCTION("""COMPUTED_VALUE"""),94.74)</f>
        <v>94.74</v>
      </c>
      <c r="Z778" s="1">
        <f ca="1">IFERROR(__xludf.DUMMYFUNCTION("""COMPUTED_VALUE"""),365.71)</f>
        <v>365.71</v>
      </c>
      <c r="AA778" s="1">
        <f ca="1">IFERROR(__xludf.DUMMYFUNCTION("""COMPUTED_VALUE"""),43.97)</f>
        <v>43.97</v>
      </c>
      <c r="AB778" s="1">
        <f ca="1">IFERROR(__xludf.DUMMYFUNCTION("""COMPUTED_VALUE"""),109.99)</f>
        <v>109.99</v>
      </c>
      <c r="AC778" s="1">
        <f ca="1">IFERROR(__xludf.DUMMYFUNCTION("""COMPUTED_VALUE"""),84.64)</f>
        <v>84.64</v>
      </c>
    </row>
    <row r="779" spans="1:29" x14ac:dyDescent="0.25">
      <c r="A779" s="2">
        <f ca="1">IFERROR(__xludf.DUMMYFUNCTION("""COMPUTED_VALUE"""),44959.6666666666)</f>
        <v>44959.666666666599</v>
      </c>
      <c r="B779" s="1">
        <f ca="1">IFERROR(__xludf.DUMMYFUNCTION("""COMPUTED_VALUE"""),150.82)</f>
        <v>150.82</v>
      </c>
      <c r="C779" s="1">
        <f ca="1">IFERROR(__xludf.DUMMYFUNCTION("""COMPUTED_VALUE"""),264.6)</f>
        <v>264.60000000000002</v>
      </c>
      <c r="D779" s="1">
        <f ca="1">IFERROR(__xludf.DUMMYFUNCTION("""COMPUTED_VALUE"""),112.91)</f>
        <v>112.91</v>
      </c>
      <c r="E779" s="1">
        <f ca="1">IFERROR(__xludf.DUMMYFUNCTION("""COMPUTED_VALUE"""),21.71)</f>
        <v>21.71</v>
      </c>
      <c r="F779" s="1">
        <f ca="1">IFERROR(__xludf.DUMMYFUNCTION("""COMPUTED_VALUE"""),188.77)</f>
        <v>188.77</v>
      </c>
      <c r="G779" s="1">
        <f ca="1">IFERROR(__xludf.DUMMYFUNCTION("""COMPUTED_VALUE"""),108.8)</f>
        <v>108.8</v>
      </c>
      <c r="H779" s="1">
        <f ca="1">IFERROR(__xludf.DUMMYFUNCTION("""COMPUTED_VALUE"""),188.27)</f>
        <v>188.27</v>
      </c>
      <c r="I779" s="1">
        <f ca="1">IFERROR(__xludf.DUMMYFUNCTION("""COMPUTED_VALUE"""),169.97)</f>
        <v>169.97</v>
      </c>
      <c r="J779" s="1">
        <f ca="1">IFERROR(__xludf.DUMMYFUNCTION("""COMPUTED_VALUE"""),523.43)</f>
        <v>523.42999999999995</v>
      </c>
      <c r="K779" s="1">
        <f ca="1">IFERROR(__xludf.DUMMYFUNCTION("""COMPUTED_VALUE"""),60.58)</f>
        <v>60.58</v>
      </c>
      <c r="L779" s="1">
        <f ca="1">IFERROR(__xludf.DUMMYFUNCTION("""COMPUTED_VALUE"""),392.23)</f>
        <v>392.23</v>
      </c>
      <c r="M779" s="1">
        <f ca="1">IFERROR(__xludf.DUMMYFUNCTION("""COMPUTED_VALUE"""),366.89)</f>
        <v>366.89</v>
      </c>
      <c r="N779" s="1">
        <f ca="1">IFERROR(__xludf.DUMMYFUNCTION("""COMPUTED_VALUE"""),138.94)</f>
        <v>138.94</v>
      </c>
      <c r="O779" s="1">
        <f ca="1">IFERROR(__xludf.DUMMYFUNCTION("""COMPUTED_VALUE"""),229.56)</f>
        <v>229.56</v>
      </c>
      <c r="P779" s="1">
        <f ca="1">IFERROR(__xludf.DUMMYFUNCTION("""COMPUTED_VALUE"""),165.54)</f>
        <v>165.54</v>
      </c>
      <c r="Q779" s="1">
        <f ca="1">IFERROR(__xludf.DUMMYFUNCTION("""COMPUTED_VALUE"""),470.83)</f>
        <v>470.83</v>
      </c>
      <c r="R779" s="1">
        <f ca="1">IFERROR(__xludf.DUMMYFUNCTION("""COMPUTED_VALUE"""),111.15)</f>
        <v>111.15</v>
      </c>
      <c r="S779" s="1">
        <f ca="1">IFERROR(__xludf.DUMMYFUNCTION("""COMPUTED_VALUE"""),75.6)</f>
        <v>75.599999999999994</v>
      </c>
      <c r="T779" s="1">
        <f ca="1">IFERROR(__xludf.DUMMYFUNCTION("""COMPUTED_VALUE"""),47.87)</f>
        <v>47.87</v>
      </c>
      <c r="U779" s="1">
        <f ca="1">IFERROR(__xludf.DUMMYFUNCTION("""COMPUTED_VALUE"""),129.06)</f>
        <v>129.06</v>
      </c>
      <c r="V779" s="1">
        <f ca="1">IFERROR(__xludf.DUMMYFUNCTION("""COMPUTED_VALUE"""),244.9)</f>
        <v>244.9</v>
      </c>
      <c r="W779" s="1">
        <f ca="1">IFERROR(__xludf.DUMMYFUNCTION("""COMPUTED_VALUE"""),457.19)</f>
        <v>457.19</v>
      </c>
      <c r="X779" s="1">
        <f ca="1">IFERROR(__xludf.DUMMYFUNCTION("""COMPUTED_VALUE"""),696.55)</f>
        <v>696.55</v>
      </c>
      <c r="Y779" s="1">
        <f ca="1">IFERROR(__xludf.DUMMYFUNCTION("""COMPUTED_VALUE"""),96.65)</f>
        <v>96.65</v>
      </c>
      <c r="Z779" s="1">
        <f ca="1">IFERROR(__xludf.DUMMYFUNCTION("""COMPUTED_VALUE"""),369.47)</f>
        <v>369.47</v>
      </c>
      <c r="AA779" s="1">
        <f ca="1">IFERROR(__xludf.DUMMYFUNCTION("""COMPUTED_VALUE"""),44.34)</f>
        <v>44.34</v>
      </c>
      <c r="AB779" s="1">
        <f ca="1">IFERROR(__xludf.DUMMYFUNCTION("""COMPUTED_VALUE"""),109.15)</f>
        <v>109.15</v>
      </c>
      <c r="AC779" s="1">
        <f ca="1">IFERROR(__xludf.DUMMYFUNCTION("""COMPUTED_VALUE"""),88.31)</f>
        <v>88.31</v>
      </c>
    </row>
    <row r="780" spans="1:29" x14ac:dyDescent="0.25">
      <c r="A780" s="2">
        <f ca="1">IFERROR(__xludf.DUMMYFUNCTION("""COMPUTED_VALUE"""),44960.6666666666)</f>
        <v>44960.666666666599</v>
      </c>
      <c r="B780" s="1">
        <f ca="1">IFERROR(__xludf.DUMMYFUNCTION("""COMPUTED_VALUE"""),154.5)</f>
        <v>154.5</v>
      </c>
      <c r="C780" s="1">
        <f ca="1">IFERROR(__xludf.DUMMYFUNCTION("""COMPUTED_VALUE"""),258.35)</f>
        <v>258.35000000000002</v>
      </c>
      <c r="D780" s="1">
        <f ca="1">IFERROR(__xludf.DUMMYFUNCTION("""COMPUTED_VALUE"""),103.39)</f>
        <v>103.39</v>
      </c>
      <c r="E780" s="1">
        <f ca="1">IFERROR(__xludf.DUMMYFUNCTION("""COMPUTED_VALUE"""),21.1)</f>
        <v>21.1</v>
      </c>
      <c r="F780" s="1">
        <f ca="1">IFERROR(__xludf.DUMMYFUNCTION("""COMPUTED_VALUE"""),186.53)</f>
        <v>186.53</v>
      </c>
      <c r="G780" s="1">
        <f ca="1">IFERROR(__xludf.DUMMYFUNCTION("""COMPUTED_VALUE"""),105.22)</f>
        <v>105.22</v>
      </c>
      <c r="H780" s="1">
        <f ca="1">IFERROR(__xludf.DUMMYFUNCTION("""COMPUTED_VALUE"""),189.98)</f>
        <v>189.98</v>
      </c>
      <c r="I780" s="1">
        <f ca="1">IFERROR(__xludf.DUMMYFUNCTION("""COMPUTED_VALUE"""),169.12)</f>
        <v>169.12</v>
      </c>
      <c r="J780" s="1">
        <f ca="1">IFERROR(__xludf.DUMMYFUNCTION("""COMPUTED_VALUE"""),514.8)</f>
        <v>514.79999999999995</v>
      </c>
      <c r="K780" s="1">
        <f ca="1">IFERROR(__xludf.DUMMYFUNCTION("""COMPUTED_VALUE"""),59.76)</f>
        <v>59.76</v>
      </c>
      <c r="L780" s="1">
        <f ca="1">IFERROR(__xludf.DUMMYFUNCTION("""COMPUTED_VALUE"""),379.33)</f>
        <v>379.33</v>
      </c>
      <c r="M780" s="1">
        <f ca="1">IFERROR(__xludf.DUMMYFUNCTION("""COMPUTED_VALUE"""),365.9)</f>
        <v>365.9</v>
      </c>
      <c r="N780" s="1">
        <f ca="1">IFERROR(__xludf.DUMMYFUNCTION("""COMPUTED_VALUE"""),141.09)</f>
        <v>141.09</v>
      </c>
      <c r="O780" s="1">
        <f ca="1">IFERROR(__xludf.DUMMYFUNCTION("""COMPUTED_VALUE"""),230.13)</f>
        <v>230.13</v>
      </c>
      <c r="P780" s="1">
        <f ca="1">IFERROR(__xludf.DUMMYFUNCTION("""COMPUTED_VALUE"""),164.61)</f>
        <v>164.61</v>
      </c>
      <c r="Q780" s="1">
        <f ca="1">IFERROR(__xludf.DUMMYFUNCTION("""COMPUTED_VALUE"""),472.02)</f>
        <v>472.02</v>
      </c>
      <c r="R780" s="1">
        <f ca="1">IFERROR(__xludf.DUMMYFUNCTION("""COMPUTED_VALUE"""),111.92)</f>
        <v>111.92</v>
      </c>
      <c r="S780" s="1">
        <f ca="1">IFERROR(__xludf.DUMMYFUNCTION("""COMPUTED_VALUE"""),74.67)</f>
        <v>74.67</v>
      </c>
      <c r="T780" s="1">
        <f ca="1">IFERROR(__xludf.DUMMYFUNCTION("""COMPUTED_VALUE"""),47.24)</f>
        <v>47.24</v>
      </c>
      <c r="U780" s="1">
        <f ca="1">IFERROR(__xludf.DUMMYFUNCTION("""COMPUTED_VALUE"""),127.61)</f>
        <v>127.61</v>
      </c>
      <c r="V780" s="1">
        <f ca="1">IFERROR(__xludf.DUMMYFUNCTION("""COMPUTED_VALUE"""),247.76)</f>
        <v>247.76</v>
      </c>
      <c r="W780" s="1">
        <f ca="1">IFERROR(__xludf.DUMMYFUNCTION("""COMPUTED_VALUE"""),459.08)</f>
        <v>459.08</v>
      </c>
      <c r="X780" s="1">
        <f ca="1">IFERROR(__xludf.DUMMYFUNCTION("""COMPUTED_VALUE"""),679.62)</f>
        <v>679.62</v>
      </c>
      <c r="Y780" s="1">
        <f ca="1">IFERROR(__xludf.DUMMYFUNCTION("""COMPUTED_VALUE"""),94.66)</f>
        <v>94.66</v>
      </c>
      <c r="Z780" s="1">
        <f ca="1">IFERROR(__xludf.DUMMYFUNCTION("""COMPUTED_VALUE"""),369.95)</f>
        <v>369.95</v>
      </c>
      <c r="AA780" s="1">
        <f ca="1">IFERROR(__xludf.DUMMYFUNCTION("""COMPUTED_VALUE"""),44.06)</f>
        <v>44.06</v>
      </c>
      <c r="AB780" s="1">
        <f ca="1">IFERROR(__xludf.DUMMYFUNCTION("""COMPUTED_VALUE"""),104.3)</f>
        <v>104.3</v>
      </c>
      <c r="AC780" s="1">
        <f ca="1">IFERROR(__xludf.DUMMYFUNCTION("""COMPUTED_VALUE"""),86.09)</f>
        <v>86.09</v>
      </c>
    </row>
    <row r="781" spans="1:29" x14ac:dyDescent="0.25">
      <c r="A781" s="2">
        <f ca="1">IFERROR(__xludf.DUMMYFUNCTION("""COMPUTED_VALUE"""),44963.6666666666)</f>
        <v>44963.666666666599</v>
      </c>
      <c r="B781" s="1">
        <f ca="1">IFERROR(__xludf.DUMMYFUNCTION("""COMPUTED_VALUE"""),151.73)</f>
        <v>151.72999999999999</v>
      </c>
      <c r="C781" s="1">
        <f ca="1">IFERROR(__xludf.DUMMYFUNCTION("""COMPUTED_VALUE"""),256.77)</f>
        <v>256.77</v>
      </c>
      <c r="D781" s="1">
        <f ca="1">IFERROR(__xludf.DUMMYFUNCTION("""COMPUTED_VALUE"""),102.18)</f>
        <v>102.18</v>
      </c>
      <c r="E781" s="1">
        <f ca="1">IFERROR(__xludf.DUMMYFUNCTION("""COMPUTED_VALUE"""),21.09)</f>
        <v>21.09</v>
      </c>
      <c r="F781" s="1">
        <f ca="1">IFERROR(__xludf.DUMMYFUNCTION("""COMPUTED_VALUE"""),186.06)</f>
        <v>186.06</v>
      </c>
      <c r="G781" s="1">
        <f ca="1">IFERROR(__xludf.DUMMYFUNCTION("""COMPUTED_VALUE"""),103.47)</f>
        <v>103.47</v>
      </c>
      <c r="H781" s="1">
        <f ca="1">IFERROR(__xludf.DUMMYFUNCTION("""COMPUTED_VALUE"""),194.76)</f>
        <v>194.76</v>
      </c>
      <c r="I781" s="1">
        <f ca="1">IFERROR(__xludf.DUMMYFUNCTION("""COMPUTED_VALUE"""),171.82)</f>
        <v>171.82</v>
      </c>
      <c r="J781" s="1">
        <f ca="1">IFERROR(__xludf.DUMMYFUNCTION("""COMPUTED_VALUE"""),515.59)</f>
        <v>515.59</v>
      </c>
      <c r="K781" s="1">
        <f ca="1">IFERROR(__xludf.DUMMYFUNCTION("""COMPUTED_VALUE"""),60.13)</f>
        <v>60.13</v>
      </c>
      <c r="L781" s="1">
        <f ca="1">IFERROR(__xludf.DUMMYFUNCTION("""COMPUTED_VALUE"""),375.23)</f>
        <v>375.23</v>
      </c>
      <c r="M781" s="1">
        <f ca="1">IFERROR(__xludf.DUMMYFUNCTION("""COMPUTED_VALUE"""),361.48)</f>
        <v>361.48</v>
      </c>
      <c r="N781" s="1">
        <f ca="1">IFERROR(__xludf.DUMMYFUNCTION("""COMPUTED_VALUE"""),141.92)</f>
        <v>141.91999999999999</v>
      </c>
      <c r="O781" s="1">
        <f ca="1">IFERROR(__xludf.DUMMYFUNCTION("""COMPUTED_VALUE"""),229.44)</f>
        <v>229.44</v>
      </c>
      <c r="P781" s="1">
        <f ca="1">IFERROR(__xludf.DUMMYFUNCTION("""COMPUTED_VALUE"""),163.36)</f>
        <v>163.36000000000001</v>
      </c>
      <c r="Q781" s="1">
        <f ca="1">IFERROR(__xludf.DUMMYFUNCTION("""COMPUTED_VALUE"""),475.24)</f>
        <v>475.24</v>
      </c>
      <c r="R781" s="1">
        <f ca="1">IFERROR(__xludf.DUMMYFUNCTION("""COMPUTED_VALUE"""),111.73)</f>
        <v>111.73</v>
      </c>
      <c r="S781" s="1">
        <f ca="1">IFERROR(__xludf.DUMMYFUNCTION("""COMPUTED_VALUE"""),75.51)</f>
        <v>75.510000000000005</v>
      </c>
      <c r="T781" s="1">
        <f ca="1">IFERROR(__xludf.DUMMYFUNCTION("""COMPUTED_VALUE"""),46.89)</f>
        <v>46.89</v>
      </c>
      <c r="U781" s="1">
        <f ca="1">IFERROR(__xludf.DUMMYFUNCTION("""COMPUTED_VALUE"""),125.73)</f>
        <v>125.73</v>
      </c>
      <c r="V781" s="1">
        <f ca="1">IFERROR(__xludf.DUMMYFUNCTION("""COMPUTED_VALUE"""),251.42)</f>
        <v>251.42</v>
      </c>
      <c r="W781" s="1">
        <f ca="1">IFERROR(__xludf.DUMMYFUNCTION("""COMPUTED_VALUE"""),469.1)</f>
        <v>469.1</v>
      </c>
      <c r="X781" s="1">
        <f ca="1">IFERROR(__xludf.DUMMYFUNCTION("""COMPUTED_VALUE"""),661.97)</f>
        <v>661.97</v>
      </c>
      <c r="Y781" s="1">
        <f ca="1">IFERROR(__xludf.DUMMYFUNCTION("""COMPUTED_VALUE"""),91.83)</f>
        <v>91.83</v>
      </c>
      <c r="Z781" s="1">
        <f ca="1">IFERROR(__xludf.DUMMYFUNCTION("""COMPUTED_VALUE"""),370.8)</f>
        <v>370.8</v>
      </c>
      <c r="AA781" s="1">
        <f ca="1">IFERROR(__xludf.DUMMYFUNCTION("""COMPUTED_VALUE"""),43.76)</f>
        <v>43.76</v>
      </c>
      <c r="AB781" s="1">
        <f ca="1">IFERROR(__xludf.DUMMYFUNCTION("""COMPUTED_VALUE"""),105.02)</f>
        <v>105.02</v>
      </c>
      <c r="AC781" s="1">
        <f ca="1">IFERROR(__xludf.DUMMYFUNCTION("""COMPUTED_VALUE"""),83.68)</f>
        <v>83.68</v>
      </c>
    </row>
    <row r="782" spans="1:29" x14ac:dyDescent="0.25">
      <c r="A782" s="2">
        <f ca="1">IFERROR(__xludf.DUMMYFUNCTION("""COMPUTED_VALUE"""),44964.6666666666)</f>
        <v>44964.666666666599</v>
      </c>
      <c r="B782" s="1">
        <f ca="1">IFERROR(__xludf.DUMMYFUNCTION("""COMPUTED_VALUE"""),154.65)</f>
        <v>154.65</v>
      </c>
      <c r="C782" s="1">
        <f ca="1">IFERROR(__xludf.DUMMYFUNCTION("""COMPUTED_VALUE"""),267.56)</f>
        <v>267.56</v>
      </c>
      <c r="D782" s="1">
        <f ca="1">IFERROR(__xludf.DUMMYFUNCTION("""COMPUTED_VALUE"""),102.11)</f>
        <v>102.11</v>
      </c>
      <c r="E782" s="1">
        <f ca="1">IFERROR(__xludf.DUMMYFUNCTION("""COMPUTED_VALUE"""),22.17)</f>
        <v>22.17</v>
      </c>
      <c r="F782" s="1">
        <f ca="1">IFERROR(__xludf.DUMMYFUNCTION("""COMPUTED_VALUE"""),191.62)</f>
        <v>191.62</v>
      </c>
      <c r="G782" s="1">
        <f ca="1">IFERROR(__xludf.DUMMYFUNCTION("""COMPUTED_VALUE"""),108.04)</f>
        <v>108.04</v>
      </c>
      <c r="H782" s="1">
        <f ca="1">IFERROR(__xludf.DUMMYFUNCTION("""COMPUTED_VALUE"""),196.81)</f>
        <v>196.81</v>
      </c>
      <c r="I782" s="1">
        <f ca="1">IFERROR(__xludf.DUMMYFUNCTION("""COMPUTED_VALUE"""),171.56)</f>
        <v>171.56</v>
      </c>
      <c r="J782" s="1">
        <f ca="1">IFERROR(__xludf.DUMMYFUNCTION("""COMPUTED_VALUE"""),516.53)</f>
        <v>516.53</v>
      </c>
      <c r="K782" s="1">
        <f ca="1">IFERROR(__xludf.DUMMYFUNCTION("""COMPUTED_VALUE"""),61.45)</f>
        <v>61.45</v>
      </c>
      <c r="L782" s="1">
        <f ca="1">IFERROR(__xludf.DUMMYFUNCTION("""COMPUTED_VALUE"""),383.82)</f>
        <v>383.82</v>
      </c>
      <c r="M782" s="1">
        <f ca="1">IFERROR(__xludf.DUMMYFUNCTION("""COMPUTED_VALUE"""),362.95)</f>
        <v>362.95</v>
      </c>
      <c r="N782" s="1">
        <f ca="1">IFERROR(__xludf.DUMMYFUNCTION("""COMPUTED_VALUE"""),143.65)</f>
        <v>143.65</v>
      </c>
      <c r="O782" s="1">
        <f ca="1">IFERROR(__xludf.DUMMYFUNCTION("""COMPUTED_VALUE"""),231.32)</f>
        <v>231.32</v>
      </c>
      <c r="P782" s="1">
        <f ca="1">IFERROR(__xludf.DUMMYFUNCTION("""COMPUTED_VALUE"""),163.4)</f>
        <v>163.4</v>
      </c>
      <c r="Q782" s="1">
        <f ca="1">IFERROR(__xludf.DUMMYFUNCTION("""COMPUTED_VALUE"""),476.88)</f>
        <v>476.88</v>
      </c>
      <c r="R782" s="1">
        <f ca="1">IFERROR(__xludf.DUMMYFUNCTION("""COMPUTED_VALUE"""),114.92)</f>
        <v>114.92</v>
      </c>
      <c r="S782" s="1">
        <f ca="1">IFERROR(__xludf.DUMMYFUNCTION("""COMPUTED_VALUE"""),76.08)</f>
        <v>76.08</v>
      </c>
      <c r="T782" s="1">
        <f ca="1">IFERROR(__xludf.DUMMYFUNCTION("""COMPUTED_VALUE"""),46.99)</f>
        <v>46.99</v>
      </c>
      <c r="U782" s="1">
        <f ca="1">IFERROR(__xludf.DUMMYFUNCTION("""COMPUTED_VALUE"""),125.33)</f>
        <v>125.33</v>
      </c>
      <c r="V782" s="1">
        <f ca="1">IFERROR(__xludf.DUMMYFUNCTION("""COMPUTED_VALUE"""),249.66)</f>
        <v>249.66</v>
      </c>
      <c r="W782" s="1">
        <f ca="1">IFERROR(__xludf.DUMMYFUNCTION("""COMPUTED_VALUE"""),468.33)</f>
        <v>468.33</v>
      </c>
      <c r="X782" s="1">
        <f ca="1">IFERROR(__xludf.DUMMYFUNCTION("""COMPUTED_VALUE"""),678.72)</f>
        <v>678.72</v>
      </c>
      <c r="Y782" s="1">
        <f ca="1">IFERROR(__xludf.DUMMYFUNCTION("""COMPUTED_VALUE"""),94.55)</f>
        <v>94.55</v>
      </c>
      <c r="Z782" s="1">
        <f ca="1">IFERROR(__xludf.DUMMYFUNCTION("""COMPUTED_VALUE"""),374.4)</f>
        <v>374.4</v>
      </c>
      <c r="AA782" s="1">
        <f ca="1">IFERROR(__xludf.DUMMYFUNCTION("""COMPUTED_VALUE"""),43.59)</f>
        <v>43.59</v>
      </c>
      <c r="AB782" s="1">
        <f ca="1">IFERROR(__xludf.DUMMYFUNCTION("""COMPUTED_VALUE"""),106.83)</f>
        <v>106.83</v>
      </c>
      <c r="AC782" s="1">
        <f ca="1">IFERROR(__xludf.DUMMYFUNCTION("""COMPUTED_VALUE"""),85.91)</f>
        <v>85.91</v>
      </c>
    </row>
    <row r="783" spans="1:29" x14ac:dyDescent="0.25">
      <c r="A783" s="2">
        <f ca="1">IFERROR(__xludf.DUMMYFUNCTION("""COMPUTED_VALUE"""),44965.6666666666)</f>
        <v>44965.666666666599</v>
      </c>
      <c r="B783" s="1">
        <f ca="1">IFERROR(__xludf.DUMMYFUNCTION("""COMPUTED_VALUE"""),151.92)</f>
        <v>151.91999999999999</v>
      </c>
      <c r="C783" s="1">
        <f ca="1">IFERROR(__xludf.DUMMYFUNCTION("""COMPUTED_VALUE"""),266.73)</f>
        <v>266.73</v>
      </c>
      <c r="D783" s="1">
        <f ca="1">IFERROR(__xludf.DUMMYFUNCTION("""COMPUTED_VALUE"""),100.05)</f>
        <v>100.05</v>
      </c>
      <c r="E783" s="1">
        <f ca="1">IFERROR(__xludf.DUMMYFUNCTION("""COMPUTED_VALUE"""),22.21)</f>
        <v>22.21</v>
      </c>
      <c r="F783" s="1">
        <f ca="1">IFERROR(__xludf.DUMMYFUNCTION("""COMPUTED_VALUE"""),183.43)</f>
        <v>183.43</v>
      </c>
      <c r="G783" s="1">
        <f ca="1">IFERROR(__xludf.DUMMYFUNCTION("""COMPUTED_VALUE"""),100)</f>
        <v>100</v>
      </c>
      <c r="H783" s="1">
        <f ca="1">IFERROR(__xludf.DUMMYFUNCTION("""COMPUTED_VALUE"""),201.29)</f>
        <v>201.29</v>
      </c>
      <c r="I783" s="1">
        <f ca="1">IFERROR(__xludf.DUMMYFUNCTION("""COMPUTED_VALUE"""),171.16)</f>
        <v>171.16</v>
      </c>
      <c r="J783" s="1">
        <f ca="1">IFERROR(__xludf.DUMMYFUNCTION("""COMPUTED_VALUE"""),503.81)</f>
        <v>503.81</v>
      </c>
      <c r="K783" s="1">
        <f ca="1">IFERROR(__xludf.DUMMYFUNCTION("""COMPUTED_VALUE"""),60.17)</f>
        <v>60.17</v>
      </c>
      <c r="L783" s="1">
        <f ca="1">IFERROR(__xludf.DUMMYFUNCTION("""COMPUTED_VALUE"""),378.36)</f>
        <v>378.36</v>
      </c>
      <c r="M783" s="1">
        <f ca="1">IFERROR(__xludf.DUMMYFUNCTION("""COMPUTED_VALUE"""),366.83)</f>
        <v>366.83</v>
      </c>
      <c r="N783" s="1">
        <f ca="1">IFERROR(__xludf.DUMMYFUNCTION("""COMPUTED_VALUE"""),142.64)</f>
        <v>142.63999999999999</v>
      </c>
      <c r="O783" s="1">
        <f ca="1">IFERROR(__xludf.DUMMYFUNCTION("""COMPUTED_VALUE"""),230.2)</f>
        <v>230.2</v>
      </c>
      <c r="P783" s="1">
        <f ca="1">IFERROR(__xludf.DUMMYFUNCTION("""COMPUTED_VALUE"""),163.61)</f>
        <v>163.61000000000001</v>
      </c>
      <c r="Q783" s="1">
        <f ca="1">IFERROR(__xludf.DUMMYFUNCTION("""COMPUTED_VALUE"""),483.22)</f>
        <v>483.22</v>
      </c>
      <c r="R783" s="1">
        <f ca="1">IFERROR(__xludf.DUMMYFUNCTION("""COMPUTED_VALUE"""),113.92)</f>
        <v>113.92</v>
      </c>
      <c r="S783" s="1">
        <f ca="1">IFERROR(__xludf.DUMMYFUNCTION("""COMPUTED_VALUE"""),75.03)</f>
        <v>75.03</v>
      </c>
      <c r="T783" s="1">
        <f ca="1">IFERROR(__xludf.DUMMYFUNCTION("""COMPUTED_VALUE"""),46.74)</f>
        <v>46.74</v>
      </c>
      <c r="U783" s="1">
        <f ca="1">IFERROR(__xludf.DUMMYFUNCTION("""COMPUTED_VALUE"""),122.91)</f>
        <v>122.91</v>
      </c>
      <c r="V783" s="1">
        <f ca="1">IFERROR(__xludf.DUMMYFUNCTION("""COMPUTED_VALUE"""),248.87)</f>
        <v>248.87</v>
      </c>
      <c r="W783" s="1">
        <f ca="1">IFERROR(__xludf.DUMMYFUNCTION("""COMPUTED_VALUE"""),469.65)</f>
        <v>469.65</v>
      </c>
      <c r="X783" s="1">
        <f ca="1">IFERROR(__xludf.DUMMYFUNCTION("""COMPUTED_VALUE"""),662.79)</f>
        <v>662.79</v>
      </c>
      <c r="Y783" s="1">
        <f ca="1">IFERROR(__xludf.DUMMYFUNCTION("""COMPUTED_VALUE"""),94.28)</f>
        <v>94.28</v>
      </c>
      <c r="Z783" s="1">
        <f ca="1">IFERROR(__xludf.DUMMYFUNCTION("""COMPUTED_VALUE"""),375.1)</f>
        <v>375.1</v>
      </c>
      <c r="AA783" s="1">
        <f ca="1">IFERROR(__xludf.DUMMYFUNCTION("""COMPUTED_VALUE"""),43.98)</f>
        <v>43.98</v>
      </c>
      <c r="AB783" s="1">
        <f ca="1">IFERROR(__xludf.DUMMYFUNCTION("""COMPUTED_VALUE"""),106.3)</f>
        <v>106.3</v>
      </c>
      <c r="AC783" s="1">
        <f ca="1">IFERROR(__xludf.DUMMYFUNCTION("""COMPUTED_VALUE"""),84.69)</f>
        <v>84.69</v>
      </c>
    </row>
    <row r="784" spans="1:29" x14ac:dyDescent="0.25">
      <c r="A784" s="2">
        <f ca="1">IFERROR(__xludf.DUMMYFUNCTION("""COMPUTED_VALUE"""),44966.6666666666)</f>
        <v>44966.666666666599</v>
      </c>
      <c r="B784" s="1">
        <f ca="1">IFERROR(__xludf.DUMMYFUNCTION("""COMPUTED_VALUE"""),150.87)</f>
        <v>150.87</v>
      </c>
      <c r="C784" s="1">
        <f ca="1">IFERROR(__xludf.DUMMYFUNCTION("""COMPUTED_VALUE"""),263.62)</f>
        <v>263.62</v>
      </c>
      <c r="D784" s="1">
        <f ca="1">IFERROR(__xludf.DUMMYFUNCTION("""COMPUTED_VALUE"""),98.24)</f>
        <v>98.24</v>
      </c>
      <c r="E784" s="1">
        <f ca="1">IFERROR(__xludf.DUMMYFUNCTION("""COMPUTED_VALUE"""),22.34)</f>
        <v>22.34</v>
      </c>
      <c r="F784" s="1">
        <f ca="1">IFERROR(__xludf.DUMMYFUNCTION("""COMPUTED_VALUE"""),177.92)</f>
        <v>177.92</v>
      </c>
      <c r="G784" s="1">
        <f ca="1">IFERROR(__xludf.DUMMYFUNCTION("""COMPUTED_VALUE"""),95.46)</f>
        <v>95.46</v>
      </c>
      <c r="H784" s="1">
        <f ca="1">IFERROR(__xludf.DUMMYFUNCTION("""COMPUTED_VALUE"""),207.32)</f>
        <v>207.32</v>
      </c>
      <c r="I784" s="1">
        <f ca="1">IFERROR(__xludf.DUMMYFUNCTION("""COMPUTED_VALUE"""),172.78)</f>
        <v>172.78</v>
      </c>
      <c r="J784" s="1">
        <f ca="1">IFERROR(__xludf.DUMMYFUNCTION("""COMPUTED_VALUE"""),500.63)</f>
        <v>500.63</v>
      </c>
      <c r="K784" s="1">
        <f ca="1">IFERROR(__xludf.DUMMYFUNCTION("""COMPUTED_VALUE"""),59.94)</f>
        <v>59.94</v>
      </c>
      <c r="L784" s="1">
        <f ca="1">IFERROR(__xludf.DUMMYFUNCTION("""COMPUTED_VALUE"""),375.81)</f>
        <v>375.81</v>
      </c>
      <c r="M784" s="1">
        <f ca="1">IFERROR(__xludf.DUMMYFUNCTION("""COMPUTED_VALUE"""),362.5)</f>
        <v>362.5</v>
      </c>
      <c r="N784" s="1">
        <f ca="1">IFERROR(__xludf.DUMMYFUNCTION("""COMPUTED_VALUE"""),140.42)</f>
        <v>140.41999999999999</v>
      </c>
      <c r="O784" s="1">
        <f ca="1">IFERROR(__xludf.DUMMYFUNCTION("""COMPUTED_VALUE"""),229.35)</f>
        <v>229.35</v>
      </c>
      <c r="P784" s="1">
        <f ca="1">IFERROR(__xludf.DUMMYFUNCTION("""COMPUTED_VALUE"""),161.4)</f>
        <v>161.4</v>
      </c>
      <c r="Q784" s="1">
        <f ca="1">IFERROR(__xludf.DUMMYFUNCTION("""COMPUTED_VALUE"""),485.73)</f>
        <v>485.73</v>
      </c>
      <c r="R784" s="1">
        <f ca="1">IFERROR(__xludf.DUMMYFUNCTION("""COMPUTED_VALUE"""),114.35)</f>
        <v>114.35</v>
      </c>
      <c r="S784" s="1">
        <f ca="1">IFERROR(__xludf.DUMMYFUNCTION("""COMPUTED_VALUE"""),73.27)</f>
        <v>73.27</v>
      </c>
      <c r="T784" s="1">
        <f ca="1">IFERROR(__xludf.DUMMYFUNCTION("""COMPUTED_VALUE"""),47.17)</f>
        <v>47.17</v>
      </c>
      <c r="U784" s="1">
        <f ca="1">IFERROR(__xludf.DUMMYFUNCTION("""COMPUTED_VALUE"""),122.18)</f>
        <v>122.18</v>
      </c>
      <c r="V784" s="1">
        <f ca="1">IFERROR(__xludf.DUMMYFUNCTION("""COMPUTED_VALUE"""),246.28)</f>
        <v>246.28</v>
      </c>
      <c r="W784" s="1">
        <f ca="1">IFERROR(__xludf.DUMMYFUNCTION("""COMPUTED_VALUE"""),470.09)</f>
        <v>470.09</v>
      </c>
      <c r="X784" s="1">
        <f ca="1">IFERROR(__xludf.DUMMYFUNCTION("""COMPUTED_VALUE"""),664.13)</f>
        <v>664.13</v>
      </c>
      <c r="Y784" s="1">
        <f ca="1">IFERROR(__xludf.DUMMYFUNCTION("""COMPUTED_VALUE"""),96.69)</f>
        <v>96.69</v>
      </c>
      <c r="Z784" s="1">
        <f ca="1">IFERROR(__xludf.DUMMYFUNCTION("""COMPUTED_VALUE"""),367.99)</f>
        <v>367.99</v>
      </c>
      <c r="AA784" s="1">
        <f ca="1">IFERROR(__xludf.DUMMYFUNCTION("""COMPUTED_VALUE"""),43.34)</f>
        <v>43.34</v>
      </c>
      <c r="AB784" s="1">
        <f ca="1">IFERROR(__xludf.DUMMYFUNCTION("""COMPUTED_VALUE"""),106.05)</f>
        <v>106.05</v>
      </c>
      <c r="AC784" s="1">
        <f ca="1">IFERROR(__xludf.DUMMYFUNCTION("""COMPUTED_VALUE"""),83.21)</f>
        <v>83.21</v>
      </c>
    </row>
    <row r="785" spans="1:29" x14ac:dyDescent="0.25">
      <c r="A785" s="2">
        <f ca="1">IFERROR(__xludf.DUMMYFUNCTION("""COMPUTED_VALUE"""),44967.6666666666)</f>
        <v>44967.666666666599</v>
      </c>
      <c r="B785" s="1">
        <f ca="1">IFERROR(__xludf.DUMMYFUNCTION("""COMPUTED_VALUE"""),151.01)</f>
        <v>151.01</v>
      </c>
      <c r="C785" s="1">
        <f ca="1">IFERROR(__xludf.DUMMYFUNCTION("""COMPUTED_VALUE"""),263.1)</f>
        <v>263.10000000000002</v>
      </c>
      <c r="D785" s="1">
        <f ca="1">IFERROR(__xludf.DUMMYFUNCTION("""COMPUTED_VALUE"""),97.61)</f>
        <v>97.61</v>
      </c>
      <c r="E785" s="1">
        <f ca="1">IFERROR(__xludf.DUMMYFUNCTION("""COMPUTED_VALUE"""),21.27)</f>
        <v>21.27</v>
      </c>
      <c r="F785" s="1">
        <f ca="1">IFERROR(__xludf.DUMMYFUNCTION("""COMPUTED_VALUE"""),174.15)</f>
        <v>174.15</v>
      </c>
      <c r="G785" s="1">
        <f ca="1">IFERROR(__xludf.DUMMYFUNCTION("""COMPUTED_VALUE"""),94.86)</f>
        <v>94.86</v>
      </c>
      <c r="H785" s="1">
        <f ca="1">IFERROR(__xludf.DUMMYFUNCTION("""COMPUTED_VALUE"""),196.89)</f>
        <v>196.89</v>
      </c>
      <c r="I785" s="1">
        <f ca="1">IFERROR(__xludf.DUMMYFUNCTION("""COMPUTED_VALUE"""),176.2)</f>
        <v>176.2</v>
      </c>
      <c r="J785" s="1">
        <f ca="1">IFERROR(__xludf.DUMMYFUNCTION("""COMPUTED_VALUE"""),499.99)</f>
        <v>499.99</v>
      </c>
      <c r="K785" s="1">
        <f ca="1">IFERROR(__xludf.DUMMYFUNCTION("""COMPUTED_VALUE"""),59.33)</f>
        <v>59.33</v>
      </c>
      <c r="L785" s="1">
        <f ca="1">IFERROR(__xludf.DUMMYFUNCTION("""COMPUTED_VALUE"""),370.99)</f>
        <v>370.99</v>
      </c>
      <c r="M785" s="1">
        <f ca="1">IFERROR(__xludf.DUMMYFUNCTION("""COMPUTED_VALUE"""),347.36)</f>
        <v>347.36</v>
      </c>
      <c r="N785" s="1">
        <f ca="1">IFERROR(__xludf.DUMMYFUNCTION("""COMPUTED_VALUE"""),141.04)</f>
        <v>141.04</v>
      </c>
      <c r="O785" s="1">
        <f ca="1">IFERROR(__xludf.DUMMYFUNCTION("""COMPUTED_VALUE"""),227.2)</f>
        <v>227.2</v>
      </c>
      <c r="P785" s="1">
        <f ca="1">IFERROR(__xludf.DUMMYFUNCTION("""COMPUTED_VALUE"""),162.15)</f>
        <v>162.15</v>
      </c>
      <c r="Q785" s="1">
        <f ca="1">IFERROR(__xludf.DUMMYFUNCTION("""COMPUTED_VALUE"""),494.25)</f>
        <v>494.25</v>
      </c>
      <c r="R785" s="1">
        <f ca="1">IFERROR(__xludf.DUMMYFUNCTION("""COMPUTED_VALUE"""),119.17)</f>
        <v>119.17</v>
      </c>
      <c r="S785" s="1">
        <f ca="1">IFERROR(__xludf.DUMMYFUNCTION("""COMPUTED_VALUE"""),74.74)</f>
        <v>74.739999999999995</v>
      </c>
      <c r="T785" s="1">
        <f ca="1">IFERROR(__xludf.DUMMYFUNCTION("""COMPUTED_VALUE"""),47.91)</f>
        <v>47.91</v>
      </c>
      <c r="U785" s="1">
        <f ca="1">IFERROR(__xludf.DUMMYFUNCTION("""COMPUTED_VALUE"""),122.23)</f>
        <v>122.23</v>
      </c>
      <c r="V785" s="1">
        <f ca="1">IFERROR(__xludf.DUMMYFUNCTION("""COMPUTED_VALUE"""),247.67)</f>
        <v>247.67</v>
      </c>
      <c r="W785" s="1">
        <f ca="1">IFERROR(__xludf.DUMMYFUNCTION("""COMPUTED_VALUE"""),480.83)</f>
        <v>480.83</v>
      </c>
      <c r="X785" s="1">
        <f ca="1">IFERROR(__xludf.DUMMYFUNCTION("""COMPUTED_VALUE"""),656.35)</f>
        <v>656.35</v>
      </c>
      <c r="Y785" s="1">
        <f ca="1">IFERROR(__xludf.DUMMYFUNCTION("""COMPUTED_VALUE"""),95.37)</f>
        <v>95.37</v>
      </c>
      <c r="Z785" s="1">
        <f ca="1">IFERROR(__xludf.DUMMYFUNCTION("""COMPUTED_VALUE"""),371.28)</f>
        <v>371.28</v>
      </c>
      <c r="AA785" s="1">
        <f ca="1">IFERROR(__xludf.DUMMYFUNCTION("""COMPUTED_VALUE"""),43.88)</f>
        <v>43.88</v>
      </c>
      <c r="AB785" s="1">
        <f ca="1">IFERROR(__xludf.DUMMYFUNCTION("""COMPUTED_VALUE"""),107.09)</f>
        <v>107.09</v>
      </c>
      <c r="AC785" s="1">
        <f ca="1">IFERROR(__xludf.DUMMYFUNCTION("""COMPUTED_VALUE"""),81.48)</f>
        <v>81.48</v>
      </c>
    </row>
    <row r="786" spans="1:29" x14ac:dyDescent="0.25">
      <c r="A786" s="2">
        <f ca="1">IFERROR(__xludf.DUMMYFUNCTION("""COMPUTED_VALUE"""),44970.6666666666)</f>
        <v>44970.666666666599</v>
      </c>
      <c r="B786" s="1">
        <f ca="1">IFERROR(__xludf.DUMMYFUNCTION("""COMPUTED_VALUE"""),153.85)</f>
        <v>153.85</v>
      </c>
      <c r="C786" s="1">
        <f ca="1">IFERROR(__xludf.DUMMYFUNCTION("""COMPUTED_VALUE"""),271.32)</f>
        <v>271.32</v>
      </c>
      <c r="D786" s="1">
        <f ca="1">IFERROR(__xludf.DUMMYFUNCTION("""COMPUTED_VALUE"""),99.54)</f>
        <v>99.54</v>
      </c>
      <c r="E786" s="1">
        <f ca="1">IFERROR(__xludf.DUMMYFUNCTION("""COMPUTED_VALUE"""),21.79)</f>
        <v>21.79</v>
      </c>
      <c r="F786" s="1">
        <f ca="1">IFERROR(__xludf.DUMMYFUNCTION("""COMPUTED_VALUE"""),179.43)</f>
        <v>179.43</v>
      </c>
      <c r="G786" s="1">
        <f ca="1">IFERROR(__xludf.DUMMYFUNCTION("""COMPUTED_VALUE"""),95)</f>
        <v>95</v>
      </c>
      <c r="H786" s="1">
        <f ca="1">IFERROR(__xludf.DUMMYFUNCTION("""COMPUTED_VALUE"""),194.64)</f>
        <v>194.64</v>
      </c>
      <c r="I786" s="1">
        <f ca="1">IFERROR(__xludf.DUMMYFUNCTION("""COMPUTED_VALUE"""),177.77)</f>
        <v>177.77</v>
      </c>
      <c r="J786" s="1">
        <f ca="1">IFERROR(__xludf.DUMMYFUNCTION("""COMPUTED_VALUE"""),506.45)</f>
        <v>506.45</v>
      </c>
      <c r="K786" s="1">
        <f ca="1">IFERROR(__xludf.DUMMYFUNCTION("""COMPUTED_VALUE"""),60.11)</f>
        <v>60.11</v>
      </c>
      <c r="L786" s="1">
        <f ca="1">IFERROR(__xludf.DUMMYFUNCTION("""COMPUTED_VALUE"""),375)</f>
        <v>375</v>
      </c>
      <c r="M786" s="1">
        <f ca="1">IFERROR(__xludf.DUMMYFUNCTION("""COMPUTED_VALUE"""),358.57)</f>
        <v>358.57</v>
      </c>
      <c r="N786" s="1">
        <f ca="1">IFERROR(__xludf.DUMMYFUNCTION("""COMPUTED_VALUE"""),142.57)</f>
        <v>142.57</v>
      </c>
      <c r="O786" s="1">
        <f ca="1">IFERROR(__xludf.DUMMYFUNCTION("""COMPUTED_VALUE"""),228.88)</f>
        <v>228.88</v>
      </c>
      <c r="P786" s="1">
        <f ca="1">IFERROR(__xludf.DUMMYFUNCTION("""COMPUTED_VALUE"""),162.75)</f>
        <v>162.75</v>
      </c>
      <c r="Q786" s="1">
        <f ca="1">IFERROR(__xludf.DUMMYFUNCTION("""COMPUTED_VALUE"""),495.35)</f>
        <v>495.35</v>
      </c>
      <c r="R786" s="1">
        <f ca="1">IFERROR(__xludf.DUMMYFUNCTION("""COMPUTED_VALUE"""),117.8)</f>
        <v>117.8</v>
      </c>
      <c r="S786" s="1">
        <f ca="1">IFERROR(__xludf.DUMMYFUNCTION("""COMPUTED_VALUE"""),75.62)</f>
        <v>75.62</v>
      </c>
      <c r="T786" s="1">
        <f ca="1">IFERROR(__xludf.DUMMYFUNCTION("""COMPUTED_VALUE"""),48.64)</f>
        <v>48.64</v>
      </c>
      <c r="U786" s="1">
        <f ca="1">IFERROR(__xludf.DUMMYFUNCTION("""COMPUTED_VALUE"""),125.15)</f>
        <v>125.15</v>
      </c>
      <c r="V786" s="1">
        <f ca="1">IFERROR(__xludf.DUMMYFUNCTION("""COMPUTED_VALUE"""),248.15)</f>
        <v>248.15</v>
      </c>
      <c r="W786" s="1">
        <f ca="1">IFERROR(__xludf.DUMMYFUNCTION("""COMPUTED_VALUE"""),481.97)</f>
        <v>481.97</v>
      </c>
      <c r="X786" s="1">
        <f ca="1">IFERROR(__xludf.DUMMYFUNCTION("""COMPUTED_VALUE"""),668.74)</f>
        <v>668.74</v>
      </c>
      <c r="Y786" s="1">
        <f ca="1">IFERROR(__xludf.DUMMYFUNCTION("""COMPUTED_VALUE"""),96.11)</f>
        <v>96.11</v>
      </c>
      <c r="Z786" s="1">
        <f ca="1">IFERROR(__xludf.DUMMYFUNCTION("""COMPUTED_VALUE"""),374.02)</f>
        <v>374.02</v>
      </c>
      <c r="AA786" s="1">
        <f ca="1">IFERROR(__xludf.DUMMYFUNCTION("""COMPUTED_VALUE"""),43.99)</f>
        <v>43.99</v>
      </c>
      <c r="AB786" s="1">
        <f ca="1">IFERROR(__xludf.DUMMYFUNCTION("""COMPUTED_VALUE"""),108.52)</f>
        <v>108.52</v>
      </c>
      <c r="AC786" s="1">
        <f ca="1">IFERROR(__xludf.DUMMYFUNCTION("""COMPUTED_VALUE"""),83.13)</f>
        <v>83.13</v>
      </c>
    </row>
    <row r="787" spans="1:29" x14ac:dyDescent="0.25">
      <c r="A787" s="2">
        <f ca="1">IFERROR(__xludf.DUMMYFUNCTION("""COMPUTED_VALUE"""),44971.6666666666)</f>
        <v>44971.666666666599</v>
      </c>
      <c r="B787" s="1">
        <f ca="1">IFERROR(__xludf.DUMMYFUNCTION("""COMPUTED_VALUE"""),153.2)</f>
        <v>153.19999999999999</v>
      </c>
      <c r="C787" s="1">
        <f ca="1">IFERROR(__xludf.DUMMYFUNCTION("""COMPUTED_VALUE"""),272.17)</f>
        <v>272.17</v>
      </c>
      <c r="D787" s="1">
        <f ca="1">IFERROR(__xludf.DUMMYFUNCTION("""COMPUTED_VALUE"""),99.7)</f>
        <v>99.7</v>
      </c>
      <c r="E787" s="1">
        <f ca="1">IFERROR(__xludf.DUMMYFUNCTION("""COMPUTED_VALUE"""),22.97)</f>
        <v>22.97</v>
      </c>
      <c r="F787" s="1">
        <f ca="1">IFERROR(__xludf.DUMMYFUNCTION("""COMPUTED_VALUE"""),179.48)</f>
        <v>179.48</v>
      </c>
      <c r="G787" s="1">
        <f ca="1">IFERROR(__xludf.DUMMYFUNCTION("""COMPUTED_VALUE"""),94.95)</f>
        <v>94.95</v>
      </c>
      <c r="H787" s="1">
        <f ca="1">IFERROR(__xludf.DUMMYFUNCTION("""COMPUTED_VALUE"""),209.25)</f>
        <v>209.25</v>
      </c>
      <c r="I787" s="1">
        <f ca="1">IFERROR(__xludf.DUMMYFUNCTION("""COMPUTED_VALUE"""),175.77)</f>
        <v>175.77</v>
      </c>
      <c r="J787" s="1">
        <f ca="1">IFERROR(__xludf.DUMMYFUNCTION("""COMPUTED_VALUE"""),503.22)</f>
        <v>503.22</v>
      </c>
      <c r="K787" s="1">
        <f ca="1">IFERROR(__xludf.DUMMYFUNCTION("""COMPUTED_VALUE"""),60.23)</f>
        <v>60.23</v>
      </c>
      <c r="L787" s="1">
        <f ca="1">IFERROR(__xludf.DUMMYFUNCTION("""COMPUTED_VALUE"""),377.9)</f>
        <v>377.9</v>
      </c>
      <c r="M787" s="1">
        <f ca="1">IFERROR(__xludf.DUMMYFUNCTION("""COMPUTED_VALUE"""),359.96)</f>
        <v>359.96</v>
      </c>
      <c r="N787" s="1">
        <f ca="1">IFERROR(__xludf.DUMMYFUNCTION("""COMPUTED_VALUE"""),143.2)</f>
        <v>143.19999999999999</v>
      </c>
      <c r="O787" s="1">
        <f ca="1">IFERROR(__xludf.DUMMYFUNCTION("""COMPUTED_VALUE"""),229.39)</f>
        <v>229.39</v>
      </c>
      <c r="P787" s="1">
        <f ca="1">IFERROR(__xludf.DUMMYFUNCTION("""COMPUTED_VALUE"""),162.04)</f>
        <v>162.04</v>
      </c>
      <c r="Q787" s="1">
        <f ca="1">IFERROR(__xludf.DUMMYFUNCTION("""COMPUTED_VALUE"""),492.83)</f>
        <v>492.83</v>
      </c>
      <c r="R787" s="1">
        <f ca="1">IFERROR(__xludf.DUMMYFUNCTION("""COMPUTED_VALUE"""),116.42)</f>
        <v>116.42</v>
      </c>
      <c r="S787" s="1">
        <f ca="1">IFERROR(__xludf.DUMMYFUNCTION("""COMPUTED_VALUE"""),76.03)</f>
        <v>76.03</v>
      </c>
      <c r="T787" s="1">
        <f ca="1">IFERROR(__xludf.DUMMYFUNCTION("""COMPUTED_VALUE"""),48.5)</f>
        <v>48.5</v>
      </c>
      <c r="U787" s="1">
        <f ca="1">IFERROR(__xludf.DUMMYFUNCTION("""COMPUTED_VALUE"""),126.2)</f>
        <v>126.2</v>
      </c>
      <c r="V787" s="1">
        <f ca="1">IFERROR(__xludf.DUMMYFUNCTION("""COMPUTED_VALUE"""),244.36)</f>
        <v>244.36</v>
      </c>
      <c r="W787" s="1">
        <f ca="1">IFERROR(__xludf.DUMMYFUNCTION("""COMPUTED_VALUE"""),481.58)</f>
        <v>481.58</v>
      </c>
      <c r="X787" s="1">
        <f ca="1">IFERROR(__xludf.DUMMYFUNCTION("""COMPUTED_VALUE"""),677.48)</f>
        <v>677.48</v>
      </c>
      <c r="Y787" s="1">
        <f ca="1">IFERROR(__xludf.DUMMYFUNCTION("""COMPUTED_VALUE"""),97.96)</f>
        <v>97.96</v>
      </c>
      <c r="Z787" s="1">
        <f ca="1">IFERROR(__xludf.DUMMYFUNCTION("""COMPUTED_VALUE"""),371.78)</f>
        <v>371.78</v>
      </c>
      <c r="AA787" s="1">
        <f ca="1">IFERROR(__xludf.DUMMYFUNCTION("""COMPUTED_VALUE"""),43.72)</f>
        <v>43.72</v>
      </c>
      <c r="AB787" s="1">
        <f ca="1">IFERROR(__xludf.DUMMYFUNCTION("""COMPUTED_VALUE"""),107.98)</f>
        <v>107.98</v>
      </c>
      <c r="AC787" s="1">
        <f ca="1">IFERROR(__xludf.DUMMYFUNCTION("""COMPUTED_VALUE"""),85.95)</f>
        <v>85.95</v>
      </c>
    </row>
    <row r="788" spans="1:29" x14ac:dyDescent="0.25">
      <c r="A788" s="2">
        <f ca="1">IFERROR(__xludf.DUMMYFUNCTION("""COMPUTED_VALUE"""),44972.6666666666)</f>
        <v>44972.666666666599</v>
      </c>
      <c r="B788" s="1">
        <f ca="1">IFERROR(__xludf.DUMMYFUNCTION("""COMPUTED_VALUE"""),155.33)</f>
        <v>155.33000000000001</v>
      </c>
      <c r="C788" s="1">
        <f ca="1">IFERROR(__xludf.DUMMYFUNCTION("""COMPUTED_VALUE"""),269.32)</f>
        <v>269.32</v>
      </c>
      <c r="D788" s="1">
        <f ca="1">IFERROR(__xludf.DUMMYFUNCTION("""COMPUTED_VALUE"""),101.16)</f>
        <v>101.16</v>
      </c>
      <c r="E788" s="1">
        <f ca="1">IFERROR(__xludf.DUMMYFUNCTION("""COMPUTED_VALUE"""),22.76)</f>
        <v>22.76</v>
      </c>
      <c r="F788" s="1">
        <f ca="1">IFERROR(__xludf.DUMMYFUNCTION("""COMPUTED_VALUE"""),177.16)</f>
        <v>177.16</v>
      </c>
      <c r="G788" s="1">
        <f ca="1">IFERROR(__xludf.DUMMYFUNCTION("""COMPUTED_VALUE"""),97.1)</f>
        <v>97.1</v>
      </c>
      <c r="H788" s="1">
        <f ca="1">IFERROR(__xludf.DUMMYFUNCTION("""COMPUTED_VALUE"""),214.24)</f>
        <v>214.24</v>
      </c>
      <c r="I788" s="1">
        <f ca="1">IFERROR(__xludf.DUMMYFUNCTION("""COMPUTED_VALUE"""),176.01)</f>
        <v>176.01</v>
      </c>
      <c r="J788" s="1">
        <f ca="1">IFERROR(__xludf.DUMMYFUNCTION("""COMPUTED_VALUE"""),511.28)</f>
        <v>511.28</v>
      </c>
      <c r="K788" s="1">
        <f ca="1">IFERROR(__xludf.DUMMYFUNCTION("""COMPUTED_VALUE"""),60.77)</f>
        <v>60.77</v>
      </c>
      <c r="L788" s="1">
        <f ca="1">IFERROR(__xludf.DUMMYFUNCTION("""COMPUTED_VALUE"""),375.94)</f>
        <v>375.94</v>
      </c>
      <c r="M788" s="1">
        <f ca="1">IFERROR(__xludf.DUMMYFUNCTION("""COMPUTED_VALUE"""),361.42)</f>
        <v>361.42</v>
      </c>
      <c r="N788" s="1">
        <f ca="1">IFERROR(__xludf.DUMMYFUNCTION("""COMPUTED_VALUE"""),143.8)</f>
        <v>143.80000000000001</v>
      </c>
      <c r="O788" s="1">
        <f ca="1">IFERROR(__xludf.DUMMYFUNCTION("""COMPUTED_VALUE"""),228.92)</f>
        <v>228.92</v>
      </c>
      <c r="P788" s="1">
        <f ca="1">IFERROR(__xludf.DUMMYFUNCTION("""COMPUTED_VALUE"""),159.37)</f>
        <v>159.37</v>
      </c>
      <c r="Q788" s="1">
        <f ca="1">IFERROR(__xludf.DUMMYFUNCTION("""COMPUTED_VALUE"""),491.25)</f>
        <v>491.25</v>
      </c>
      <c r="R788" s="1">
        <f ca="1">IFERROR(__xludf.DUMMYFUNCTION("""COMPUTED_VALUE"""),116.07)</f>
        <v>116.07</v>
      </c>
      <c r="S788" s="1">
        <f ca="1">IFERROR(__xludf.DUMMYFUNCTION("""COMPUTED_VALUE"""),76.94)</f>
        <v>76.94</v>
      </c>
      <c r="T788" s="1">
        <f ca="1">IFERROR(__xludf.DUMMYFUNCTION("""COMPUTED_VALUE"""),48.86)</f>
        <v>48.86</v>
      </c>
      <c r="U788" s="1">
        <f ca="1">IFERROR(__xludf.DUMMYFUNCTION("""COMPUTED_VALUE"""),127.48)</f>
        <v>127.48</v>
      </c>
      <c r="V788" s="1">
        <f ca="1">IFERROR(__xludf.DUMMYFUNCTION("""COMPUTED_VALUE"""),248.7)</f>
        <v>248.7</v>
      </c>
      <c r="W788" s="1">
        <f ca="1">IFERROR(__xludf.DUMMYFUNCTION("""COMPUTED_VALUE"""),480.51)</f>
        <v>480.51</v>
      </c>
      <c r="X788" s="1">
        <f ca="1">IFERROR(__xludf.DUMMYFUNCTION("""COMPUTED_VALUE"""),676.81)</f>
        <v>676.81</v>
      </c>
      <c r="Y788" s="1">
        <f ca="1">IFERROR(__xludf.DUMMYFUNCTION("""COMPUTED_VALUE"""),92.76)</f>
        <v>92.76</v>
      </c>
      <c r="Z788" s="1">
        <f ca="1">IFERROR(__xludf.DUMMYFUNCTION("""COMPUTED_VALUE"""),374.34)</f>
        <v>374.34</v>
      </c>
      <c r="AA788" s="1">
        <f ca="1">IFERROR(__xludf.DUMMYFUNCTION("""COMPUTED_VALUE"""),43.32)</f>
        <v>43.32</v>
      </c>
      <c r="AB788" s="1">
        <f ca="1">IFERROR(__xludf.DUMMYFUNCTION("""COMPUTED_VALUE"""),109)</f>
        <v>109</v>
      </c>
      <c r="AC788" s="1">
        <f ca="1">IFERROR(__xludf.DUMMYFUNCTION("""COMPUTED_VALUE"""),85.18)</f>
        <v>85.18</v>
      </c>
    </row>
    <row r="789" spans="1:29" x14ac:dyDescent="0.25">
      <c r="A789" s="2">
        <f ca="1">IFERROR(__xludf.DUMMYFUNCTION("""COMPUTED_VALUE"""),44973.6666666666)</f>
        <v>44973.666666666599</v>
      </c>
      <c r="B789" s="1">
        <f ca="1">IFERROR(__xludf.DUMMYFUNCTION("""COMPUTED_VALUE"""),153.71)</f>
        <v>153.71</v>
      </c>
      <c r="C789" s="1">
        <f ca="1">IFERROR(__xludf.DUMMYFUNCTION("""COMPUTED_VALUE"""),262.15)</f>
        <v>262.14999999999998</v>
      </c>
      <c r="D789" s="1">
        <f ca="1">IFERROR(__xludf.DUMMYFUNCTION("""COMPUTED_VALUE"""),98.15)</f>
        <v>98.15</v>
      </c>
      <c r="E789" s="1">
        <f ca="1">IFERROR(__xludf.DUMMYFUNCTION("""COMPUTED_VALUE"""),22)</f>
        <v>22</v>
      </c>
      <c r="F789" s="1">
        <f ca="1">IFERROR(__xludf.DUMMYFUNCTION("""COMPUTED_VALUE"""),172.44)</f>
        <v>172.44</v>
      </c>
      <c r="G789" s="1">
        <f ca="1">IFERROR(__xludf.DUMMYFUNCTION("""COMPUTED_VALUE"""),95.78)</f>
        <v>95.78</v>
      </c>
      <c r="H789" s="1">
        <f ca="1">IFERROR(__xludf.DUMMYFUNCTION("""COMPUTED_VALUE"""),202.04)</f>
        <v>202.04</v>
      </c>
      <c r="I789" s="1">
        <f ca="1">IFERROR(__xludf.DUMMYFUNCTION("""COMPUTED_VALUE"""),175.51)</f>
        <v>175.51</v>
      </c>
      <c r="J789" s="1">
        <f ca="1">IFERROR(__xludf.DUMMYFUNCTION("""COMPUTED_VALUE"""),504.1)</f>
        <v>504.1</v>
      </c>
      <c r="K789" s="1">
        <f ca="1">IFERROR(__xludf.DUMMYFUNCTION("""COMPUTED_VALUE"""),60.05)</f>
        <v>60.05</v>
      </c>
      <c r="L789" s="1">
        <f ca="1">IFERROR(__xludf.DUMMYFUNCTION("""COMPUTED_VALUE"""),365.16)</f>
        <v>365.16</v>
      </c>
      <c r="M789" s="1">
        <f ca="1">IFERROR(__xludf.DUMMYFUNCTION("""COMPUTED_VALUE"""),350.71)</f>
        <v>350.71</v>
      </c>
      <c r="N789" s="1">
        <f ca="1">IFERROR(__xludf.DUMMYFUNCTION("""COMPUTED_VALUE"""),141.82)</f>
        <v>141.82</v>
      </c>
      <c r="O789" s="1">
        <f ca="1">IFERROR(__xludf.DUMMYFUNCTION("""COMPUTED_VALUE"""),225.83)</f>
        <v>225.83</v>
      </c>
      <c r="P789" s="1">
        <f ca="1">IFERROR(__xludf.DUMMYFUNCTION("""COMPUTED_VALUE"""),158.24)</f>
        <v>158.24</v>
      </c>
      <c r="Q789" s="1">
        <f ca="1">IFERROR(__xludf.DUMMYFUNCTION("""COMPUTED_VALUE"""),487.35)</f>
        <v>487.35</v>
      </c>
      <c r="R789" s="1">
        <f ca="1">IFERROR(__xludf.DUMMYFUNCTION("""COMPUTED_VALUE"""),115.73)</f>
        <v>115.73</v>
      </c>
      <c r="S789" s="1">
        <f ca="1">IFERROR(__xludf.DUMMYFUNCTION("""COMPUTED_VALUE"""),75.69)</f>
        <v>75.69</v>
      </c>
      <c r="T789" s="1">
        <f ca="1">IFERROR(__xludf.DUMMYFUNCTION("""COMPUTED_VALUE"""),48.09)</f>
        <v>48.09</v>
      </c>
      <c r="U789" s="1">
        <f ca="1">IFERROR(__xludf.DUMMYFUNCTION("""COMPUTED_VALUE"""),124.38)</f>
        <v>124.38</v>
      </c>
      <c r="V789" s="1">
        <f ca="1">IFERROR(__xludf.DUMMYFUNCTION("""COMPUTED_VALUE"""),246.52)</f>
        <v>246.52</v>
      </c>
      <c r="W789" s="1">
        <f ca="1">IFERROR(__xludf.DUMMYFUNCTION("""COMPUTED_VALUE"""),471.25)</f>
        <v>471.25</v>
      </c>
      <c r="X789" s="1">
        <f ca="1">IFERROR(__xludf.DUMMYFUNCTION("""COMPUTED_VALUE"""),656.28)</f>
        <v>656.28</v>
      </c>
      <c r="Y789" s="1">
        <f ca="1">IFERROR(__xludf.DUMMYFUNCTION("""COMPUTED_VALUE"""),90.82)</f>
        <v>90.82</v>
      </c>
      <c r="Z789" s="1">
        <f ca="1">IFERROR(__xludf.DUMMYFUNCTION("""COMPUTED_VALUE"""),370.2)</f>
        <v>370.2</v>
      </c>
      <c r="AA789" s="1">
        <f ca="1">IFERROR(__xludf.DUMMYFUNCTION("""COMPUTED_VALUE"""),42.95)</f>
        <v>42.95</v>
      </c>
      <c r="AB789" s="1">
        <f ca="1">IFERROR(__xludf.DUMMYFUNCTION("""COMPUTED_VALUE"""),107.54)</f>
        <v>107.54</v>
      </c>
      <c r="AC789" s="1">
        <f ca="1">IFERROR(__xludf.DUMMYFUNCTION("""COMPUTED_VALUE"""),80.08)</f>
        <v>80.08</v>
      </c>
    </row>
    <row r="790" spans="1:29" x14ac:dyDescent="0.25">
      <c r="A790" s="2">
        <f ca="1">IFERROR(__xludf.DUMMYFUNCTION("""COMPUTED_VALUE"""),44974.6666666666)</f>
        <v>44974.666666666599</v>
      </c>
      <c r="B790" s="1">
        <f ca="1">IFERROR(__xludf.DUMMYFUNCTION("""COMPUTED_VALUE"""),152.55)</f>
        <v>152.55000000000001</v>
      </c>
      <c r="C790" s="1">
        <f ca="1">IFERROR(__xludf.DUMMYFUNCTION("""COMPUTED_VALUE"""),258.06)</f>
        <v>258.06</v>
      </c>
      <c r="D790" s="1">
        <f ca="1">IFERROR(__xludf.DUMMYFUNCTION("""COMPUTED_VALUE"""),97.2)</f>
        <v>97.2</v>
      </c>
      <c r="E790" s="1">
        <f ca="1">IFERROR(__xludf.DUMMYFUNCTION("""COMPUTED_VALUE"""),21.39)</f>
        <v>21.39</v>
      </c>
      <c r="F790" s="1">
        <f ca="1">IFERROR(__xludf.DUMMYFUNCTION("""COMPUTED_VALUE"""),172.88)</f>
        <v>172.88</v>
      </c>
      <c r="G790" s="1">
        <f ca="1">IFERROR(__xludf.DUMMYFUNCTION("""COMPUTED_VALUE"""),94.59)</f>
        <v>94.59</v>
      </c>
      <c r="H790" s="1">
        <f ca="1">IFERROR(__xludf.DUMMYFUNCTION("""COMPUTED_VALUE"""),208.31)</f>
        <v>208.31</v>
      </c>
      <c r="I790" s="1">
        <f ca="1">IFERROR(__xludf.DUMMYFUNCTION("""COMPUTED_VALUE"""),176.28)</f>
        <v>176.28</v>
      </c>
      <c r="J790" s="1">
        <f ca="1">IFERROR(__xludf.DUMMYFUNCTION("""COMPUTED_VALUE"""),507.48)</f>
        <v>507.48</v>
      </c>
      <c r="K790" s="1">
        <f ca="1">IFERROR(__xludf.DUMMYFUNCTION("""COMPUTED_VALUE"""),59.56)</f>
        <v>59.56</v>
      </c>
      <c r="L790" s="1">
        <f ca="1">IFERROR(__xludf.DUMMYFUNCTION("""COMPUTED_VALUE"""),356.85)</f>
        <v>356.85</v>
      </c>
      <c r="M790" s="1">
        <f ca="1">IFERROR(__xludf.DUMMYFUNCTION("""COMPUTED_VALUE"""),347.96)</f>
        <v>347.96</v>
      </c>
      <c r="N790" s="1">
        <f ca="1">IFERROR(__xludf.DUMMYFUNCTION("""COMPUTED_VALUE"""),142.24)</f>
        <v>142.24</v>
      </c>
      <c r="O790" s="1">
        <f ca="1">IFERROR(__xludf.DUMMYFUNCTION("""COMPUTED_VALUE"""),223.56)</f>
        <v>223.56</v>
      </c>
      <c r="P790" s="1">
        <f ca="1">IFERROR(__xludf.DUMMYFUNCTION("""COMPUTED_VALUE"""),160.39)</f>
        <v>160.38999999999999</v>
      </c>
      <c r="Q790" s="1">
        <f ca="1">IFERROR(__xludf.DUMMYFUNCTION("""COMPUTED_VALUE"""),499.08)</f>
        <v>499.08</v>
      </c>
      <c r="R790" s="1">
        <f ca="1">IFERROR(__xludf.DUMMYFUNCTION("""COMPUTED_VALUE"""),111.28)</f>
        <v>111.28</v>
      </c>
      <c r="S790" s="1">
        <f ca="1">IFERROR(__xludf.DUMMYFUNCTION("""COMPUTED_VALUE"""),76.07)</f>
        <v>76.069999999999993</v>
      </c>
      <c r="T790" s="1">
        <f ca="1">IFERROR(__xludf.DUMMYFUNCTION("""COMPUTED_VALUE"""),48.81)</f>
        <v>48.81</v>
      </c>
      <c r="U790" s="1">
        <f ca="1">IFERROR(__xludf.DUMMYFUNCTION("""COMPUTED_VALUE"""),124.84)</f>
        <v>124.84</v>
      </c>
      <c r="V790" s="1">
        <f ca="1">IFERROR(__xludf.DUMMYFUNCTION("""COMPUTED_VALUE"""),247.79)</f>
        <v>247.79</v>
      </c>
      <c r="W790" s="1">
        <f ca="1">IFERROR(__xludf.DUMMYFUNCTION("""COMPUTED_VALUE"""),475.63)</f>
        <v>475.63</v>
      </c>
      <c r="X790" s="1">
        <f ca="1">IFERROR(__xludf.DUMMYFUNCTION("""COMPUTED_VALUE"""),651.93)</f>
        <v>651.92999999999995</v>
      </c>
      <c r="Y790" s="1">
        <f ca="1">IFERROR(__xludf.DUMMYFUNCTION("""COMPUTED_VALUE"""),90.1)</f>
        <v>90.1</v>
      </c>
      <c r="Z790" s="1">
        <f ca="1">IFERROR(__xludf.DUMMYFUNCTION("""COMPUTED_VALUE"""),368.5)</f>
        <v>368.5</v>
      </c>
      <c r="AA790" s="1">
        <f ca="1">IFERROR(__xludf.DUMMYFUNCTION("""COMPUTED_VALUE"""),43.21)</f>
        <v>43.21</v>
      </c>
      <c r="AB790" s="1">
        <f ca="1">IFERROR(__xludf.DUMMYFUNCTION("""COMPUTED_VALUE"""),107.1)</f>
        <v>107.1</v>
      </c>
      <c r="AC790" s="1">
        <f ca="1">IFERROR(__xludf.DUMMYFUNCTION("""COMPUTED_VALUE"""),78.5)</f>
        <v>78.5</v>
      </c>
    </row>
    <row r="791" spans="1:29" x14ac:dyDescent="0.25">
      <c r="A791" s="2">
        <f ca="1">IFERROR(__xludf.DUMMYFUNCTION("""COMPUTED_VALUE"""),44978.6666666666)</f>
        <v>44978.666666666599</v>
      </c>
      <c r="B791" s="1">
        <f ca="1">IFERROR(__xludf.DUMMYFUNCTION("""COMPUTED_VALUE"""),148.48)</f>
        <v>148.47999999999999</v>
      </c>
      <c r="C791" s="1">
        <f ca="1">IFERROR(__xludf.DUMMYFUNCTION("""COMPUTED_VALUE"""),252.67)</f>
        <v>252.67</v>
      </c>
      <c r="D791" s="1">
        <f ca="1">IFERROR(__xludf.DUMMYFUNCTION("""COMPUTED_VALUE"""),94.58)</f>
        <v>94.58</v>
      </c>
      <c r="E791" s="1">
        <f ca="1">IFERROR(__xludf.DUMMYFUNCTION("""COMPUTED_VALUE"""),20.66)</f>
        <v>20.66</v>
      </c>
      <c r="F791" s="1">
        <f ca="1">IFERROR(__xludf.DUMMYFUNCTION("""COMPUTED_VALUE"""),172.08)</f>
        <v>172.08</v>
      </c>
      <c r="G791" s="1">
        <f ca="1">IFERROR(__xludf.DUMMYFUNCTION("""COMPUTED_VALUE"""),92.05)</f>
        <v>92.05</v>
      </c>
      <c r="H791" s="1">
        <f ca="1">IFERROR(__xludf.DUMMYFUNCTION("""COMPUTED_VALUE"""),197.37)</f>
        <v>197.37</v>
      </c>
      <c r="I791" s="1">
        <f ca="1">IFERROR(__xludf.DUMMYFUNCTION("""COMPUTED_VALUE"""),176.18)</f>
        <v>176.18</v>
      </c>
      <c r="J791" s="1">
        <f ca="1">IFERROR(__xludf.DUMMYFUNCTION("""COMPUTED_VALUE"""),501.74)</f>
        <v>501.74</v>
      </c>
      <c r="K791" s="1">
        <f ca="1">IFERROR(__xludf.DUMMYFUNCTION("""COMPUTED_VALUE"""),58.15)</f>
        <v>58.15</v>
      </c>
      <c r="L791" s="1">
        <f ca="1">IFERROR(__xludf.DUMMYFUNCTION("""COMPUTED_VALUE"""),346.7)</f>
        <v>346.7</v>
      </c>
      <c r="M791" s="1">
        <f ca="1">IFERROR(__xludf.DUMMYFUNCTION("""COMPUTED_VALUE"""),337.5)</f>
        <v>337.5</v>
      </c>
      <c r="N791" s="1">
        <f ca="1">IFERROR(__xludf.DUMMYFUNCTION("""COMPUTED_VALUE"""),139.63)</f>
        <v>139.63</v>
      </c>
      <c r="O791" s="1">
        <f ca="1">IFERROR(__xludf.DUMMYFUNCTION("""COMPUTED_VALUE"""),220.62)</f>
        <v>220.62</v>
      </c>
      <c r="P791" s="1">
        <f ca="1">IFERROR(__xludf.DUMMYFUNCTION("""COMPUTED_VALUE"""),158)</f>
        <v>158</v>
      </c>
      <c r="Q791" s="1">
        <f ca="1">IFERROR(__xludf.DUMMYFUNCTION("""COMPUTED_VALUE"""),491.31)</f>
        <v>491.31</v>
      </c>
      <c r="R791" s="1">
        <f ca="1">IFERROR(__xludf.DUMMYFUNCTION("""COMPUTED_VALUE"""),111.17)</f>
        <v>111.17</v>
      </c>
      <c r="S791" s="1">
        <f ca="1">IFERROR(__xludf.DUMMYFUNCTION("""COMPUTED_VALUE"""),73.66)</f>
        <v>73.66</v>
      </c>
      <c r="T791" s="1">
        <f ca="1">IFERROR(__xludf.DUMMYFUNCTION("""COMPUTED_VALUE"""),49.11)</f>
        <v>49.11</v>
      </c>
      <c r="U791" s="1">
        <f ca="1">IFERROR(__xludf.DUMMYFUNCTION("""COMPUTED_VALUE"""),121.1)</f>
        <v>121.1</v>
      </c>
      <c r="V791" s="1">
        <f ca="1">IFERROR(__xludf.DUMMYFUNCTION("""COMPUTED_VALUE"""),240.71)</f>
        <v>240.71</v>
      </c>
      <c r="W791" s="1">
        <f ca="1">IFERROR(__xludf.DUMMYFUNCTION("""COMPUTED_VALUE"""),479.19)</f>
        <v>479.19</v>
      </c>
      <c r="X791" s="1">
        <f ca="1">IFERROR(__xludf.DUMMYFUNCTION("""COMPUTED_VALUE"""),629.78)</f>
        <v>629.78</v>
      </c>
      <c r="Y791" s="1">
        <f ca="1">IFERROR(__xludf.DUMMYFUNCTION("""COMPUTED_VALUE"""),87.64)</f>
        <v>87.64</v>
      </c>
      <c r="Z791" s="1">
        <f ca="1">IFERROR(__xludf.DUMMYFUNCTION("""COMPUTED_VALUE"""),361.12)</f>
        <v>361.12</v>
      </c>
      <c r="AA791" s="1">
        <f ca="1">IFERROR(__xludf.DUMMYFUNCTION("""COMPUTED_VALUE"""),42.7)</f>
        <v>42.7</v>
      </c>
      <c r="AB791" s="1">
        <f ca="1">IFERROR(__xludf.DUMMYFUNCTION("""COMPUTED_VALUE"""),104.78)</f>
        <v>104.78</v>
      </c>
      <c r="AC791" s="1">
        <f ca="1">IFERROR(__xludf.DUMMYFUNCTION("""COMPUTED_VALUE"""),76.77)</f>
        <v>76.77</v>
      </c>
    </row>
    <row r="792" spans="1:29" x14ac:dyDescent="0.25">
      <c r="A792" s="2">
        <f ca="1">IFERROR(__xludf.DUMMYFUNCTION("""COMPUTED_VALUE"""),44979.6666666666)</f>
        <v>44979.666666666599</v>
      </c>
      <c r="B792" s="1">
        <f ca="1">IFERROR(__xludf.DUMMYFUNCTION("""COMPUTED_VALUE"""),148.91)</f>
        <v>148.91</v>
      </c>
      <c r="C792" s="1">
        <f ca="1">IFERROR(__xludf.DUMMYFUNCTION("""COMPUTED_VALUE"""),251.51)</f>
        <v>251.51</v>
      </c>
      <c r="D792" s="1">
        <f ca="1">IFERROR(__xludf.DUMMYFUNCTION("""COMPUTED_VALUE"""),95.79)</f>
        <v>95.79</v>
      </c>
      <c r="E792" s="1">
        <f ca="1">IFERROR(__xludf.DUMMYFUNCTION("""COMPUTED_VALUE"""),20.75)</f>
        <v>20.75</v>
      </c>
      <c r="F792" s="1">
        <f ca="1">IFERROR(__xludf.DUMMYFUNCTION("""COMPUTED_VALUE"""),171.12)</f>
        <v>171.12</v>
      </c>
      <c r="G792" s="1">
        <f ca="1">IFERROR(__xludf.DUMMYFUNCTION("""COMPUTED_VALUE"""),91.8)</f>
        <v>91.8</v>
      </c>
      <c r="H792" s="1">
        <f ca="1">IFERROR(__xludf.DUMMYFUNCTION("""COMPUTED_VALUE"""),200.86)</f>
        <v>200.86</v>
      </c>
      <c r="I792" s="1">
        <f ca="1">IFERROR(__xludf.DUMMYFUNCTION("""COMPUTED_VALUE"""),176.12)</f>
        <v>176.12</v>
      </c>
      <c r="J792" s="1">
        <f ca="1">IFERROR(__xludf.DUMMYFUNCTION("""COMPUTED_VALUE"""),497.39)</f>
        <v>497.39</v>
      </c>
      <c r="K792" s="1">
        <f ca="1">IFERROR(__xludf.DUMMYFUNCTION("""COMPUTED_VALUE"""),57.62)</f>
        <v>57.62</v>
      </c>
      <c r="L792" s="1">
        <f ca="1">IFERROR(__xludf.DUMMYFUNCTION("""COMPUTED_VALUE"""),348.72)</f>
        <v>348.72</v>
      </c>
      <c r="M792" s="1">
        <f ca="1">IFERROR(__xludf.DUMMYFUNCTION("""COMPUTED_VALUE"""),334.88)</f>
        <v>334.88</v>
      </c>
      <c r="N792" s="1">
        <f ca="1">IFERROR(__xludf.DUMMYFUNCTION("""COMPUTED_VALUE"""),138.56)</f>
        <v>138.56</v>
      </c>
      <c r="O792" s="1">
        <f ca="1">IFERROR(__xludf.DUMMYFUNCTION("""COMPUTED_VALUE"""),220.02)</f>
        <v>220.02</v>
      </c>
      <c r="P792" s="1">
        <f ca="1">IFERROR(__xludf.DUMMYFUNCTION("""COMPUTED_VALUE"""),157.78)</f>
        <v>157.78</v>
      </c>
      <c r="Q792" s="1">
        <f ca="1">IFERROR(__xludf.DUMMYFUNCTION("""COMPUTED_VALUE"""),488.89)</f>
        <v>488.89</v>
      </c>
      <c r="R792" s="1">
        <f ca="1">IFERROR(__xludf.DUMMYFUNCTION("""COMPUTED_VALUE"""),109.73)</f>
        <v>109.73</v>
      </c>
      <c r="S792" s="1">
        <f ca="1">IFERROR(__xludf.DUMMYFUNCTION("""COMPUTED_VALUE"""),73.68)</f>
        <v>73.680000000000007</v>
      </c>
      <c r="T792" s="1">
        <f ca="1">IFERROR(__xludf.DUMMYFUNCTION("""COMPUTED_VALUE"""),48.08)</f>
        <v>48.08</v>
      </c>
      <c r="U792" s="1">
        <f ca="1">IFERROR(__xludf.DUMMYFUNCTION("""COMPUTED_VALUE"""),119.9)</f>
        <v>119.9</v>
      </c>
      <c r="V792" s="1">
        <f ca="1">IFERROR(__xludf.DUMMYFUNCTION("""COMPUTED_VALUE"""),237.89)</f>
        <v>237.89</v>
      </c>
      <c r="W792" s="1">
        <f ca="1">IFERROR(__xludf.DUMMYFUNCTION("""COMPUTED_VALUE"""),479.53)</f>
        <v>479.53</v>
      </c>
      <c r="X792" s="1">
        <f ca="1">IFERROR(__xludf.DUMMYFUNCTION("""COMPUTED_VALUE"""),624.21)</f>
        <v>624.21</v>
      </c>
      <c r="Y792" s="1">
        <f ca="1">IFERROR(__xludf.DUMMYFUNCTION("""COMPUTED_VALUE"""),86.83)</f>
        <v>86.83</v>
      </c>
      <c r="Z792" s="1">
        <f ca="1">IFERROR(__xludf.DUMMYFUNCTION("""COMPUTED_VALUE"""),360.89)</f>
        <v>360.89</v>
      </c>
      <c r="AA792" s="1">
        <f ca="1">IFERROR(__xludf.DUMMYFUNCTION("""COMPUTED_VALUE"""),42.38)</f>
        <v>42.38</v>
      </c>
      <c r="AB792" s="1">
        <f ca="1">IFERROR(__xludf.DUMMYFUNCTION("""COMPUTED_VALUE"""),104.77)</f>
        <v>104.77</v>
      </c>
      <c r="AC792" s="1">
        <f ca="1">IFERROR(__xludf.DUMMYFUNCTION("""COMPUTED_VALUE"""),76.61)</f>
        <v>76.61</v>
      </c>
    </row>
    <row r="793" spans="1:29" x14ac:dyDescent="0.25">
      <c r="A793" s="2">
        <f ca="1">IFERROR(__xludf.DUMMYFUNCTION("""COMPUTED_VALUE"""),44980.6666666666)</f>
        <v>44980.666666666599</v>
      </c>
      <c r="B793" s="1">
        <f ca="1">IFERROR(__xludf.DUMMYFUNCTION("""COMPUTED_VALUE"""),149.4)</f>
        <v>149.4</v>
      </c>
      <c r="C793" s="1">
        <f ca="1">IFERROR(__xludf.DUMMYFUNCTION("""COMPUTED_VALUE"""),254.77)</f>
        <v>254.77</v>
      </c>
      <c r="D793" s="1">
        <f ca="1">IFERROR(__xludf.DUMMYFUNCTION("""COMPUTED_VALUE"""),95.82)</f>
        <v>95.82</v>
      </c>
      <c r="E793" s="1">
        <f ca="1">IFERROR(__xludf.DUMMYFUNCTION("""COMPUTED_VALUE"""),23.66)</f>
        <v>23.66</v>
      </c>
      <c r="F793" s="1">
        <f ca="1">IFERROR(__xludf.DUMMYFUNCTION("""COMPUTED_VALUE"""),172.04)</f>
        <v>172.04</v>
      </c>
      <c r="G793" s="1">
        <f ca="1">IFERROR(__xludf.DUMMYFUNCTION("""COMPUTED_VALUE"""),91.07)</f>
        <v>91.07</v>
      </c>
      <c r="H793" s="1">
        <f ca="1">IFERROR(__xludf.DUMMYFUNCTION("""COMPUTED_VALUE"""),202.07)</f>
        <v>202.07</v>
      </c>
      <c r="I793" s="1">
        <f ca="1">IFERROR(__xludf.DUMMYFUNCTION("""COMPUTED_VALUE"""),176.31)</f>
        <v>176.31</v>
      </c>
      <c r="J793" s="1">
        <f ca="1">IFERROR(__xludf.DUMMYFUNCTION("""COMPUTED_VALUE"""),493.14)</f>
        <v>493.14</v>
      </c>
      <c r="K793" s="1">
        <f ca="1">IFERROR(__xludf.DUMMYFUNCTION("""COMPUTED_VALUE"""),58.38)</f>
        <v>58.38</v>
      </c>
      <c r="L793" s="1">
        <f ca="1">IFERROR(__xludf.DUMMYFUNCTION("""COMPUTED_VALUE"""),347.02)</f>
        <v>347.02</v>
      </c>
      <c r="M793" s="1">
        <f ca="1">IFERROR(__xludf.DUMMYFUNCTION("""COMPUTED_VALUE"""),323.65)</f>
        <v>323.64999999999998</v>
      </c>
      <c r="N793" s="1">
        <f ca="1">IFERROR(__xludf.DUMMYFUNCTION("""COMPUTED_VALUE"""),139.67)</f>
        <v>139.66999999999999</v>
      </c>
      <c r="O793" s="1">
        <f ca="1">IFERROR(__xludf.DUMMYFUNCTION("""COMPUTED_VALUE"""),221.13)</f>
        <v>221.13</v>
      </c>
      <c r="P793" s="1">
        <f ca="1">IFERROR(__xludf.DUMMYFUNCTION("""COMPUTED_VALUE"""),157.73)</f>
        <v>157.72999999999999</v>
      </c>
      <c r="Q793" s="1">
        <f ca="1">IFERROR(__xludf.DUMMYFUNCTION("""COMPUTED_VALUE"""),491.69)</f>
        <v>491.69</v>
      </c>
      <c r="R793" s="1">
        <f ca="1">IFERROR(__xludf.DUMMYFUNCTION("""COMPUTED_VALUE"""),110.74)</f>
        <v>110.74</v>
      </c>
      <c r="S793" s="1">
        <f ca="1">IFERROR(__xludf.DUMMYFUNCTION("""COMPUTED_VALUE"""),72.87)</f>
        <v>72.87</v>
      </c>
      <c r="T793" s="1">
        <f ca="1">IFERROR(__xludf.DUMMYFUNCTION("""COMPUTED_VALUE"""),47.36)</f>
        <v>47.36</v>
      </c>
      <c r="U793" s="1">
        <f ca="1">IFERROR(__xludf.DUMMYFUNCTION("""COMPUTED_VALUE"""),119.96)</f>
        <v>119.96</v>
      </c>
      <c r="V793" s="1">
        <f ca="1">IFERROR(__xludf.DUMMYFUNCTION("""COMPUTED_VALUE"""),237.95)</f>
        <v>237.95</v>
      </c>
      <c r="W793" s="1">
        <f ca="1">IFERROR(__xludf.DUMMYFUNCTION("""COMPUTED_VALUE"""),479.08)</f>
        <v>479.08</v>
      </c>
      <c r="X793" s="1">
        <f ca="1">IFERROR(__xludf.DUMMYFUNCTION("""COMPUTED_VALUE"""),638.09)</f>
        <v>638.09</v>
      </c>
      <c r="Y793" s="1">
        <f ca="1">IFERROR(__xludf.DUMMYFUNCTION("""COMPUTED_VALUE"""),90.08)</f>
        <v>90.08</v>
      </c>
      <c r="Z793" s="1">
        <f ca="1">IFERROR(__xludf.DUMMYFUNCTION("""COMPUTED_VALUE"""),363.54)</f>
        <v>363.54</v>
      </c>
      <c r="AA793" s="1">
        <f ca="1">IFERROR(__xludf.DUMMYFUNCTION("""COMPUTED_VALUE"""),42.3)</f>
        <v>42.3</v>
      </c>
      <c r="AB793" s="1">
        <f ca="1">IFERROR(__xludf.DUMMYFUNCTION("""COMPUTED_VALUE"""),103.51)</f>
        <v>103.51</v>
      </c>
      <c r="AC793" s="1">
        <f ca="1">IFERROR(__xludf.DUMMYFUNCTION("""COMPUTED_VALUE"""),79.75)</f>
        <v>79.75</v>
      </c>
    </row>
    <row r="794" spans="1:29" x14ac:dyDescent="0.25">
      <c r="A794" s="2">
        <f ca="1">IFERROR(__xludf.DUMMYFUNCTION("""COMPUTED_VALUE"""),44981.6666666666)</f>
        <v>44981.666666666599</v>
      </c>
      <c r="B794" s="1">
        <f ca="1">IFERROR(__xludf.DUMMYFUNCTION("""COMPUTED_VALUE"""),146.71)</f>
        <v>146.71</v>
      </c>
      <c r="C794" s="1">
        <f ca="1">IFERROR(__xludf.DUMMYFUNCTION("""COMPUTED_VALUE"""),249.22)</f>
        <v>249.22</v>
      </c>
      <c r="D794" s="1">
        <f ca="1">IFERROR(__xludf.DUMMYFUNCTION("""COMPUTED_VALUE"""),93.5)</f>
        <v>93.5</v>
      </c>
      <c r="E794" s="1">
        <f ca="1">IFERROR(__xludf.DUMMYFUNCTION("""COMPUTED_VALUE"""),23.29)</f>
        <v>23.29</v>
      </c>
      <c r="F794" s="1">
        <f ca="1">IFERROR(__xludf.DUMMYFUNCTION("""COMPUTED_VALUE"""),170.39)</f>
        <v>170.39</v>
      </c>
      <c r="G794" s="1">
        <f ca="1">IFERROR(__xludf.DUMMYFUNCTION("""COMPUTED_VALUE"""),89.35)</f>
        <v>89.35</v>
      </c>
      <c r="H794" s="1">
        <f ca="1">IFERROR(__xludf.DUMMYFUNCTION("""COMPUTED_VALUE"""),196.88)</f>
        <v>196.88</v>
      </c>
      <c r="I794" s="1">
        <f ca="1">IFERROR(__xludf.DUMMYFUNCTION("""COMPUTED_VALUE"""),175.96)</f>
        <v>175.96</v>
      </c>
      <c r="J794" s="1">
        <f ca="1">IFERROR(__xludf.DUMMYFUNCTION("""COMPUTED_VALUE"""),488.61)</f>
        <v>488.61</v>
      </c>
      <c r="K794" s="1">
        <f ca="1">IFERROR(__xludf.DUMMYFUNCTION("""COMPUTED_VALUE"""),57.78)</f>
        <v>57.78</v>
      </c>
      <c r="L794" s="1">
        <f ca="1">IFERROR(__xludf.DUMMYFUNCTION("""COMPUTED_VALUE"""),320.54)</f>
        <v>320.54000000000002</v>
      </c>
      <c r="M794" s="1">
        <f ca="1">IFERROR(__xludf.DUMMYFUNCTION("""COMPUTED_VALUE"""),317.15)</f>
        <v>317.14999999999998</v>
      </c>
      <c r="N794" s="1">
        <f ca="1">IFERROR(__xludf.DUMMYFUNCTION("""COMPUTED_VALUE"""),140.93)</f>
        <v>140.93</v>
      </c>
      <c r="O794" s="1">
        <f ca="1">IFERROR(__xludf.DUMMYFUNCTION("""COMPUTED_VALUE"""),219.55)</f>
        <v>219.55</v>
      </c>
      <c r="P794" s="1">
        <f ca="1">IFERROR(__xludf.DUMMYFUNCTION("""COMPUTED_VALUE"""),155.97)</f>
        <v>155.97</v>
      </c>
      <c r="Q794" s="1">
        <f ca="1">IFERROR(__xludf.DUMMYFUNCTION("""COMPUTED_VALUE"""),484.33)</f>
        <v>484.33</v>
      </c>
      <c r="R794" s="1">
        <f ca="1">IFERROR(__xludf.DUMMYFUNCTION("""COMPUTED_VALUE"""),110.75)</f>
        <v>110.75</v>
      </c>
      <c r="S794" s="1">
        <f ca="1">IFERROR(__xludf.DUMMYFUNCTION("""COMPUTED_VALUE"""),72.92)</f>
        <v>72.92</v>
      </c>
      <c r="T794" s="1">
        <f ca="1">IFERROR(__xludf.DUMMYFUNCTION("""COMPUTED_VALUE"""),47.49)</f>
        <v>47.49</v>
      </c>
      <c r="U794" s="1">
        <f ca="1">IFERROR(__xludf.DUMMYFUNCTION("""COMPUTED_VALUE"""),118.04)</f>
        <v>118.04</v>
      </c>
      <c r="V794" s="1">
        <f ca="1">IFERROR(__xludf.DUMMYFUNCTION("""COMPUTED_VALUE"""),236.17)</f>
        <v>236.17</v>
      </c>
      <c r="W794" s="1">
        <f ca="1">IFERROR(__xludf.DUMMYFUNCTION("""COMPUTED_VALUE"""),480.4)</f>
        <v>480.4</v>
      </c>
      <c r="X794" s="1">
        <f ca="1">IFERROR(__xludf.DUMMYFUNCTION("""COMPUTED_VALUE"""),618.38)</f>
        <v>618.38</v>
      </c>
      <c r="Y794" s="1">
        <f ca="1">IFERROR(__xludf.DUMMYFUNCTION("""COMPUTED_VALUE"""),88.11)</f>
        <v>88.11</v>
      </c>
      <c r="Z794" s="1">
        <f ca="1">IFERROR(__xludf.DUMMYFUNCTION("""COMPUTED_VALUE"""),363.85)</f>
        <v>363.85</v>
      </c>
      <c r="AA794" s="1">
        <f ca="1">IFERROR(__xludf.DUMMYFUNCTION("""COMPUTED_VALUE"""),41.75)</f>
        <v>41.75</v>
      </c>
      <c r="AB794" s="1">
        <f ca="1">IFERROR(__xludf.DUMMYFUNCTION("""COMPUTED_VALUE"""),101.6)</f>
        <v>101.6</v>
      </c>
      <c r="AC794" s="1">
        <f ca="1">IFERROR(__xludf.DUMMYFUNCTION("""COMPUTED_VALUE"""),78.09)</f>
        <v>78.09</v>
      </c>
    </row>
    <row r="795" spans="1:29" x14ac:dyDescent="0.25">
      <c r="A795" s="2">
        <f ca="1">IFERROR(__xludf.DUMMYFUNCTION("""COMPUTED_VALUE"""),44984.6666666666)</f>
        <v>44984.666666666599</v>
      </c>
      <c r="B795" s="1">
        <f ca="1">IFERROR(__xludf.DUMMYFUNCTION("""COMPUTED_VALUE"""),147.92)</f>
        <v>147.91999999999999</v>
      </c>
      <c r="C795" s="1">
        <f ca="1">IFERROR(__xludf.DUMMYFUNCTION("""COMPUTED_VALUE"""),250.16)</f>
        <v>250.16</v>
      </c>
      <c r="D795" s="1">
        <f ca="1">IFERROR(__xludf.DUMMYFUNCTION("""COMPUTED_VALUE"""),93.76)</f>
        <v>93.76</v>
      </c>
      <c r="E795" s="1">
        <f ca="1">IFERROR(__xludf.DUMMYFUNCTION("""COMPUTED_VALUE"""),23.5)</f>
        <v>23.5</v>
      </c>
      <c r="F795" s="1">
        <f ca="1">IFERROR(__xludf.DUMMYFUNCTION("""COMPUTED_VALUE"""),169.54)</f>
        <v>169.54</v>
      </c>
      <c r="G795" s="1">
        <f ca="1">IFERROR(__xludf.DUMMYFUNCTION("""COMPUTED_VALUE"""),90.1)</f>
        <v>90.1</v>
      </c>
      <c r="H795" s="1">
        <f ca="1">IFERROR(__xludf.DUMMYFUNCTION("""COMPUTED_VALUE"""),207.63)</f>
        <v>207.63</v>
      </c>
      <c r="I795" s="1">
        <f ca="1">IFERROR(__xludf.DUMMYFUNCTION("""COMPUTED_VALUE"""),175.91)</f>
        <v>175.91</v>
      </c>
      <c r="J795" s="1">
        <f ca="1">IFERROR(__xludf.DUMMYFUNCTION("""COMPUTED_VALUE"""),487.03)</f>
        <v>487.03</v>
      </c>
      <c r="K795" s="1">
        <f ca="1">IFERROR(__xludf.DUMMYFUNCTION("""COMPUTED_VALUE"""),58.55)</f>
        <v>58.55</v>
      </c>
      <c r="L795" s="1">
        <f ca="1">IFERROR(__xludf.DUMMYFUNCTION("""COMPUTED_VALUE"""),322.32)</f>
        <v>322.32</v>
      </c>
      <c r="M795" s="1">
        <f ca="1">IFERROR(__xludf.DUMMYFUNCTION("""COMPUTED_VALUE"""),323.03)</f>
        <v>323.02999999999997</v>
      </c>
      <c r="N795" s="1">
        <f ca="1">IFERROR(__xludf.DUMMYFUNCTION("""COMPUTED_VALUE"""),142.16)</f>
        <v>142.16</v>
      </c>
      <c r="O795" s="1">
        <f ca="1">IFERROR(__xludf.DUMMYFUNCTION("""COMPUTED_VALUE"""),220.35)</f>
        <v>220.35</v>
      </c>
      <c r="P795" s="1">
        <f ca="1">IFERROR(__xludf.DUMMYFUNCTION("""COMPUTED_VALUE"""),155.63)</f>
        <v>155.63</v>
      </c>
      <c r="Q795" s="1">
        <f ca="1">IFERROR(__xludf.DUMMYFUNCTION("""COMPUTED_VALUE"""),483.32)</f>
        <v>483.32</v>
      </c>
      <c r="R795" s="1">
        <f ca="1">IFERROR(__xludf.DUMMYFUNCTION("""COMPUTED_VALUE"""),110.55)</f>
        <v>110.55</v>
      </c>
      <c r="S795" s="1">
        <f ca="1">IFERROR(__xludf.DUMMYFUNCTION("""COMPUTED_VALUE"""),71.86)</f>
        <v>71.86</v>
      </c>
      <c r="T795" s="1">
        <f ca="1">IFERROR(__xludf.DUMMYFUNCTION("""COMPUTED_VALUE"""),47.15)</f>
        <v>47.15</v>
      </c>
      <c r="U795" s="1">
        <f ca="1">IFERROR(__xludf.DUMMYFUNCTION("""COMPUTED_VALUE"""),118.53)</f>
        <v>118.53</v>
      </c>
      <c r="V795" s="1">
        <f ca="1">IFERROR(__xludf.DUMMYFUNCTION("""COMPUTED_VALUE"""),239.98)</f>
        <v>239.98</v>
      </c>
      <c r="W795" s="1">
        <f ca="1">IFERROR(__xludf.DUMMYFUNCTION("""COMPUTED_VALUE"""),479.49)</f>
        <v>479.49</v>
      </c>
      <c r="X795" s="1">
        <f ca="1">IFERROR(__xludf.DUMMYFUNCTION("""COMPUTED_VALUE"""),632.08)</f>
        <v>632.08000000000004</v>
      </c>
      <c r="Y795" s="1">
        <f ca="1">IFERROR(__xludf.DUMMYFUNCTION("""COMPUTED_VALUE"""),87.3)</f>
        <v>87.3</v>
      </c>
      <c r="Z795" s="1">
        <f ca="1">IFERROR(__xludf.DUMMYFUNCTION("""COMPUTED_VALUE"""),365.53)</f>
        <v>365.53</v>
      </c>
      <c r="AA795" s="1">
        <f ca="1">IFERROR(__xludf.DUMMYFUNCTION("""COMPUTED_VALUE"""),40.78)</f>
        <v>40.78</v>
      </c>
      <c r="AB795" s="1">
        <f ca="1">IFERROR(__xludf.DUMMYFUNCTION("""COMPUTED_VALUE"""),102.44)</f>
        <v>102.44</v>
      </c>
      <c r="AC795" s="1">
        <f ca="1">IFERROR(__xludf.DUMMYFUNCTION("""COMPUTED_VALUE"""),78.77)</f>
        <v>78.77</v>
      </c>
    </row>
    <row r="796" spans="1:29" x14ac:dyDescent="0.25">
      <c r="A796" s="2">
        <f ca="1">IFERROR(__xludf.DUMMYFUNCTION("""COMPUTED_VALUE"""),44985.6666666666)</f>
        <v>44985.666666666599</v>
      </c>
      <c r="B796" s="1">
        <f ca="1">IFERROR(__xludf.DUMMYFUNCTION("""COMPUTED_VALUE"""),147.41)</f>
        <v>147.41</v>
      </c>
      <c r="C796" s="1">
        <f ca="1">IFERROR(__xludf.DUMMYFUNCTION("""COMPUTED_VALUE"""),249.42)</f>
        <v>249.42</v>
      </c>
      <c r="D796" s="1">
        <f ca="1">IFERROR(__xludf.DUMMYFUNCTION("""COMPUTED_VALUE"""),94.23)</f>
        <v>94.23</v>
      </c>
      <c r="E796" s="1">
        <f ca="1">IFERROR(__xludf.DUMMYFUNCTION("""COMPUTED_VALUE"""),23.22)</f>
        <v>23.22</v>
      </c>
      <c r="F796" s="1">
        <f ca="1">IFERROR(__xludf.DUMMYFUNCTION("""COMPUTED_VALUE"""),174.94)</f>
        <v>174.94</v>
      </c>
      <c r="G796" s="1">
        <f ca="1">IFERROR(__xludf.DUMMYFUNCTION("""COMPUTED_VALUE"""),90.3)</f>
        <v>90.3</v>
      </c>
      <c r="H796" s="1">
        <f ca="1">IFERROR(__xludf.DUMMYFUNCTION("""COMPUTED_VALUE"""),205.71)</f>
        <v>205.71</v>
      </c>
      <c r="I796" s="1">
        <f ca="1">IFERROR(__xludf.DUMMYFUNCTION("""COMPUTED_VALUE"""),173.53)</f>
        <v>173.53</v>
      </c>
      <c r="J796" s="1">
        <f ca="1">IFERROR(__xludf.DUMMYFUNCTION("""COMPUTED_VALUE"""),484.18)</f>
        <v>484.18</v>
      </c>
      <c r="K796" s="1">
        <f ca="1">IFERROR(__xludf.DUMMYFUNCTION("""COMPUTED_VALUE"""),59.43)</f>
        <v>59.43</v>
      </c>
      <c r="L796" s="1">
        <f ca="1">IFERROR(__xludf.DUMMYFUNCTION("""COMPUTED_VALUE"""),323.95)</f>
        <v>323.95</v>
      </c>
      <c r="M796" s="1">
        <f ca="1">IFERROR(__xludf.DUMMYFUNCTION("""COMPUTED_VALUE"""),322.13)</f>
        <v>322.13</v>
      </c>
      <c r="N796" s="1">
        <f ca="1">IFERROR(__xludf.DUMMYFUNCTION("""COMPUTED_VALUE"""),143.35)</f>
        <v>143.35</v>
      </c>
      <c r="O796" s="1">
        <f ca="1">IFERROR(__xludf.DUMMYFUNCTION("""COMPUTED_VALUE"""),219.94)</f>
        <v>219.94</v>
      </c>
      <c r="P796" s="1">
        <f ca="1">IFERROR(__xludf.DUMMYFUNCTION("""COMPUTED_VALUE"""),153.26)</f>
        <v>153.26</v>
      </c>
      <c r="Q796" s="1">
        <f ca="1">IFERROR(__xludf.DUMMYFUNCTION("""COMPUTED_VALUE"""),475.94)</f>
        <v>475.94</v>
      </c>
      <c r="R796" s="1">
        <f ca="1">IFERROR(__xludf.DUMMYFUNCTION("""COMPUTED_VALUE"""),109.91)</f>
        <v>109.91</v>
      </c>
      <c r="S796" s="1">
        <f ca="1">IFERROR(__xludf.DUMMYFUNCTION("""COMPUTED_VALUE"""),71.03)</f>
        <v>71.03</v>
      </c>
      <c r="T796" s="1">
        <f ca="1">IFERROR(__xludf.DUMMYFUNCTION("""COMPUTED_VALUE"""),47.38)</f>
        <v>47.38</v>
      </c>
      <c r="U796" s="1">
        <f ca="1">IFERROR(__xludf.DUMMYFUNCTION("""COMPUTED_VALUE"""),118.79)</f>
        <v>118.79</v>
      </c>
      <c r="V796" s="1">
        <f ca="1">IFERROR(__xludf.DUMMYFUNCTION("""COMPUTED_VALUE"""),239.55)</f>
        <v>239.55</v>
      </c>
      <c r="W796" s="1">
        <f ca="1">IFERROR(__xludf.DUMMYFUNCTION("""COMPUTED_VALUE"""),474.26)</f>
        <v>474.26</v>
      </c>
      <c r="X796" s="1">
        <f ca="1">IFERROR(__xludf.DUMMYFUNCTION("""COMPUTED_VALUE"""),617.73)</f>
        <v>617.73</v>
      </c>
      <c r="Y796" s="1">
        <f ca="1">IFERROR(__xludf.DUMMYFUNCTION("""COMPUTED_VALUE"""),87.07)</f>
        <v>87.07</v>
      </c>
      <c r="Z796" s="1">
        <f ca="1">IFERROR(__xludf.DUMMYFUNCTION("""COMPUTED_VALUE"""),351.65)</f>
        <v>351.65</v>
      </c>
      <c r="AA796" s="1">
        <f ca="1">IFERROR(__xludf.DUMMYFUNCTION("""COMPUTED_VALUE"""),40.57)</f>
        <v>40.57</v>
      </c>
      <c r="AB796" s="1">
        <f ca="1">IFERROR(__xludf.DUMMYFUNCTION("""COMPUTED_VALUE"""),102.09)</f>
        <v>102.09</v>
      </c>
      <c r="AC796" s="1">
        <f ca="1">IFERROR(__xludf.DUMMYFUNCTION("""COMPUTED_VALUE"""),78.58)</f>
        <v>78.58</v>
      </c>
    </row>
    <row r="797" spans="1:29" x14ac:dyDescent="0.25">
      <c r="A797" s="2">
        <f ca="1">IFERROR(__xludf.DUMMYFUNCTION("""COMPUTED_VALUE"""),44986.6666666666)</f>
        <v>44986.666666666599</v>
      </c>
      <c r="B797" s="1">
        <f ca="1">IFERROR(__xludf.DUMMYFUNCTION("""COMPUTED_VALUE"""),145.31)</f>
        <v>145.31</v>
      </c>
      <c r="C797" s="1">
        <f ca="1">IFERROR(__xludf.DUMMYFUNCTION("""COMPUTED_VALUE"""),246.27)</f>
        <v>246.27</v>
      </c>
      <c r="D797" s="1">
        <f ca="1">IFERROR(__xludf.DUMMYFUNCTION("""COMPUTED_VALUE"""),92.17)</f>
        <v>92.17</v>
      </c>
      <c r="E797" s="1">
        <f ca="1">IFERROR(__xludf.DUMMYFUNCTION("""COMPUTED_VALUE"""),22.7)</f>
        <v>22.7</v>
      </c>
      <c r="F797" s="1">
        <f ca="1">IFERROR(__xludf.DUMMYFUNCTION("""COMPUTED_VALUE"""),173.42)</f>
        <v>173.42</v>
      </c>
      <c r="G797" s="1">
        <f ca="1">IFERROR(__xludf.DUMMYFUNCTION("""COMPUTED_VALUE"""),90.51)</f>
        <v>90.51</v>
      </c>
      <c r="H797" s="1">
        <f ca="1">IFERROR(__xludf.DUMMYFUNCTION("""COMPUTED_VALUE"""),202.77)</f>
        <v>202.77</v>
      </c>
      <c r="I797" s="1">
        <f ca="1">IFERROR(__xludf.DUMMYFUNCTION("""COMPUTED_VALUE"""),171.33)</f>
        <v>171.33</v>
      </c>
      <c r="J797" s="1">
        <f ca="1">IFERROR(__xludf.DUMMYFUNCTION("""COMPUTED_VALUE"""),478.67)</f>
        <v>478.67</v>
      </c>
      <c r="K797" s="1">
        <f ca="1">IFERROR(__xludf.DUMMYFUNCTION("""COMPUTED_VALUE"""),59.36)</f>
        <v>59.36</v>
      </c>
      <c r="L797" s="1">
        <f ca="1">IFERROR(__xludf.DUMMYFUNCTION("""COMPUTED_VALUE"""),323.38)</f>
        <v>323.38</v>
      </c>
      <c r="M797" s="1">
        <f ca="1">IFERROR(__xludf.DUMMYFUNCTION("""COMPUTED_VALUE"""),313.48)</f>
        <v>313.48</v>
      </c>
      <c r="N797" s="1">
        <f ca="1">IFERROR(__xludf.DUMMYFUNCTION("""COMPUTED_VALUE"""),142.55)</f>
        <v>142.55000000000001</v>
      </c>
      <c r="O797" s="1">
        <f ca="1">IFERROR(__xludf.DUMMYFUNCTION("""COMPUTED_VALUE"""),218.36)</f>
        <v>218.36</v>
      </c>
      <c r="P797" s="1">
        <f ca="1">IFERROR(__xludf.DUMMYFUNCTION("""COMPUTED_VALUE"""),152.57)</f>
        <v>152.57</v>
      </c>
      <c r="Q797" s="1">
        <f ca="1">IFERROR(__xludf.DUMMYFUNCTION("""COMPUTED_VALUE"""),475.22)</f>
        <v>475.22</v>
      </c>
      <c r="R797" s="1">
        <f ca="1">IFERROR(__xludf.DUMMYFUNCTION("""COMPUTED_VALUE"""),110.89)</f>
        <v>110.89</v>
      </c>
      <c r="S797" s="1">
        <f ca="1">IFERROR(__xludf.DUMMYFUNCTION("""COMPUTED_VALUE"""),69.87)</f>
        <v>69.87</v>
      </c>
      <c r="T797" s="1">
        <f ca="1">IFERROR(__xludf.DUMMYFUNCTION("""COMPUTED_VALUE"""),46.72)</f>
        <v>46.72</v>
      </c>
      <c r="U797" s="1">
        <f ca="1">IFERROR(__xludf.DUMMYFUNCTION("""COMPUTED_VALUE"""),118.58)</f>
        <v>118.58</v>
      </c>
      <c r="V797" s="1">
        <f ca="1">IFERROR(__xludf.DUMMYFUNCTION("""COMPUTED_VALUE"""),248.67)</f>
        <v>248.67</v>
      </c>
      <c r="W797" s="1">
        <f ca="1">IFERROR(__xludf.DUMMYFUNCTION("""COMPUTED_VALUE"""),474.33)</f>
        <v>474.33</v>
      </c>
      <c r="X797" s="1">
        <f ca="1">IFERROR(__xludf.DUMMYFUNCTION("""COMPUTED_VALUE"""),614.95)</f>
        <v>614.95000000000005</v>
      </c>
      <c r="Y797" s="1">
        <f ca="1">IFERROR(__xludf.DUMMYFUNCTION("""COMPUTED_VALUE"""),88.42)</f>
        <v>88.42</v>
      </c>
      <c r="Z797" s="1">
        <f ca="1">IFERROR(__xludf.DUMMYFUNCTION("""COMPUTED_VALUE"""),346.23)</f>
        <v>346.23</v>
      </c>
      <c r="AA797" s="1">
        <f ca="1">IFERROR(__xludf.DUMMYFUNCTION("""COMPUTED_VALUE"""),40.18)</f>
        <v>40.18</v>
      </c>
      <c r="AB797" s="1">
        <f ca="1">IFERROR(__xludf.DUMMYFUNCTION("""COMPUTED_VALUE"""),101.43)</f>
        <v>101.43</v>
      </c>
      <c r="AC797" s="1">
        <f ca="1">IFERROR(__xludf.DUMMYFUNCTION("""COMPUTED_VALUE"""),78.29)</f>
        <v>78.290000000000006</v>
      </c>
    </row>
    <row r="798" spans="1:29" x14ac:dyDescent="0.25">
      <c r="A798" s="2">
        <f ca="1">IFERROR(__xludf.DUMMYFUNCTION("""COMPUTED_VALUE"""),44987.6666666666)</f>
        <v>44987.666666666599</v>
      </c>
      <c r="B798" s="1">
        <f ca="1">IFERROR(__xludf.DUMMYFUNCTION("""COMPUTED_VALUE"""),145.91)</f>
        <v>145.91</v>
      </c>
      <c r="C798" s="1">
        <f ca="1">IFERROR(__xludf.DUMMYFUNCTION("""COMPUTED_VALUE"""),251.11)</f>
        <v>251.11</v>
      </c>
      <c r="D798" s="1">
        <f ca="1">IFERROR(__xludf.DUMMYFUNCTION("""COMPUTED_VALUE"""),92.13)</f>
        <v>92.13</v>
      </c>
      <c r="E798" s="1">
        <f ca="1">IFERROR(__xludf.DUMMYFUNCTION("""COMPUTED_VALUE"""),23.31)</f>
        <v>23.31</v>
      </c>
      <c r="F798" s="1">
        <f ca="1">IFERROR(__xludf.DUMMYFUNCTION("""COMPUTED_VALUE"""),174.53)</f>
        <v>174.53</v>
      </c>
      <c r="G798" s="1">
        <f ca="1">IFERROR(__xludf.DUMMYFUNCTION("""COMPUTED_VALUE"""),92.31)</f>
        <v>92.31</v>
      </c>
      <c r="H798" s="1">
        <f ca="1">IFERROR(__xludf.DUMMYFUNCTION("""COMPUTED_VALUE"""),190.9)</f>
        <v>190.9</v>
      </c>
      <c r="I798" s="1">
        <f ca="1">IFERROR(__xludf.DUMMYFUNCTION("""COMPUTED_VALUE"""),173.32)</f>
        <v>173.32</v>
      </c>
      <c r="J798" s="1">
        <f ca="1">IFERROR(__xludf.DUMMYFUNCTION("""COMPUTED_VALUE"""),485.69)</f>
        <v>485.69</v>
      </c>
      <c r="K798" s="1">
        <f ca="1">IFERROR(__xludf.DUMMYFUNCTION("""COMPUTED_VALUE"""),59.87)</f>
        <v>59.87</v>
      </c>
      <c r="L798" s="1">
        <f ca="1">IFERROR(__xludf.DUMMYFUNCTION("""COMPUTED_VALUE"""),333.5)</f>
        <v>333.5</v>
      </c>
      <c r="M798" s="1">
        <f ca="1">IFERROR(__xludf.DUMMYFUNCTION("""COMPUTED_VALUE"""),311.88)</f>
        <v>311.88</v>
      </c>
      <c r="N798" s="1">
        <f ca="1">IFERROR(__xludf.DUMMYFUNCTION("""COMPUTED_VALUE"""),141.07)</f>
        <v>141.07</v>
      </c>
      <c r="O798" s="1">
        <f ca="1">IFERROR(__xludf.DUMMYFUNCTION("""COMPUTED_VALUE"""),219.06)</f>
        <v>219.06</v>
      </c>
      <c r="P798" s="1">
        <f ca="1">IFERROR(__xludf.DUMMYFUNCTION("""COMPUTED_VALUE"""),152.45)</f>
        <v>152.44999999999999</v>
      </c>
      <c r="Q798" s="1">
        <f ca="1">IFERROR(__xludf.DUMMYFUNCTION("""COMPUTED_VALUE"""),477.7)</f>
        <v>477.7</v>
      </c>
      <c r="R798" s="1">
        <f ca="1">IFERROR(__xludf.DUMMYFUNCTION("""COMPUTED_VALUE"""),111.4)</f>
        <v>111.4</v>
      </c>
      <c r="S798" s="1">
        <f ca="1">IFERROR(__xludf.DUMMYFUNCTION("""COMPUTED_VALUE"""),72.21)</f>
        <v>72.209999999999994</v>
      </c>
      <c r="T798" s="1">
        <f ca="1">IFERROR(__xludf.DUMMYFUNCTION("""COMPUTED_VALUE"""),46.83)</f>
        <v>46.83</v>
      </c>
      <c r="U798" s="1">
        <f ca="1">IFERROR(__xludf.DUMMYFUNCTION("""COMPUTED_VALUE"""),119.58)</f>
        <v>119.58</v>
      </c>
      <c r="V798" s="1">
        <f ca="1">IFERROR(__xludf.DUMMYFUNCTION("""COMPUTED_VALUE"""),252.18)</f>
        <v>252.18</v>
      </c>
      <c r="W798" s="1">
        <f ca="1">IFERROR(__xludf.DUMMYFUNCTION("""COMPUTED_VALUE"""),478.31)</f>
        <v>478.31</v>
      </c>
      <c r="X798" s="1">
        <f ca="1">IFERROR(__xludf.DUMMYFUNCTION("""COMPUTED_VALUE"""),624.17)</f>
        <v>624.16999999999996</v>
      </c>
      <c r="Y798" s="1">
        <f ca="1">IFERROR(__xludf.DUMMYFUNCTION("""COMPUTED_VALUE"""),89.03)</f>
        <v>89.03</v>
      </c>
      <c r="Z798" s="1">
        <f ca="1">IFERROR(__xludf.DUMMYFUNCTION("""COMPUTED_VALUE"""),349.1)</f>
        <v>349.1</v>
      </c>
      <c r="AA798" s="1">
        <f ca="1">IFERROR(__xludf.DUMMYFUNCTION("""COMPUTED_VALUE"""),40.62)</f>
        <v>40.619999999999997</v>
      </c>
      <c r="AB798" s="1">
        <f ca="1">IFERROR(__xludf.DUMMYFUNCTION("""COMPUTED_VALUE"""),103.01)</f>
        <v>103.01</v>
      </c>
      <c r="AC798" s="1">
        <f ca="1">IFERROR(__xludf.DUMMYFUNCTION("""COMPUTED_VALUE"""),80.44)</f>
        <v>80.44</v>
      </c>
    </row>
    <row r="799" spans="1:29" x14ac:dyDescent="0.25">
      <c r="A799" s="2">
        <f ca="1">IFERROR(__xludf.DUMMYFUNCTION("""COMPUTED_VALUE"""),44988.6666666666)</f>
        <v>44988.666666666599</v>
      </c>
      <c r="B799" s="1">
        <f ca="1">IFERROR(__xludf.DUMMYFUNCTION("""COMPUTED_VALUE"""),151.03)</f>
        <v>151.03</v>
      </c>
      <c r="C799" s="1">
        <f ca="1">IFERROR(__xludf.DUMMYFUNCTION("""COMPUTED_VALUE"""),255.29)</f>
        <v>255.29</v>
      </c>
      <c r="D799" s="1">
        <f ca="1">IFERROR(__xludf.DUMMYFUNCTION("""COMPUTED_VALUE"""),94.9)</f>
        <v>94.9</v>
      </c>
      <c r="E799" s="1">
        <f ca="1">IFERROR(__xludf.DUMMYFUNCTION("""COMPUTED_VALUE"""),23.89)</f>
        <v>23.89</v>
      </c>
      <c r="F799" s="1">
        <f ca="1">IFERROR(__xludf.DUMMYFUNCTION("""COMPUTED_VALUE"""),185.25)</f>
        <v>185.25</v>
      </c>
      <c r="G799" s="1">
        <f ca="1">IFERROR(__xludf.DUMMYFUNCTION("""COMPUTED_VALUE"""),94.02)</f>
        <v>94.02</v>
      </c>
      <c r="H799" s="1">
        <f ca="1">IFERROR(__xludf.DUMMYFUNCTION("""COMPUTED_VALUE"""),197.79)</f>
        <v>197.79</v>
      </c>
      <c r="I799" s="1">
        <f ca="1">IFERROR(__xludf.DUMMYFUNCTION("""COMPUTED_VALUE"""),173.15)</f>
        <v>173.15</v>
      </c>
      <c r="J799" s="1">
        <f ca="1">IFERROR(__xludf.DUMMYFUNCTION("""COMPUTED_VALUE"""),475.26)</f>
        <v>475.26</v>
      </c>
      <c r="K799" s="1">
        <f ca="1">IFERROR(__xludf.DUMMYFUNCTION("""COMPUTED_VALUE"""),63.28)</f>
        <v>63.28</v>
      </c>
      <c r="L799" s="1">
        <f ca="1">IFERROR(__xludf.DUMMYFUNCTION("""COMPUTED_VALUE"""),344.04)</f>
        <v>344.04</v>
      </c>
      <c r="M799" s="1">
        <f ca="1">IFERROR(__xludf.DUMMYFUNCTION("""COMPUTED_VALUE"""),315.18)</f>
        <v>315.18</v>
      </c>
      <c r="N799" s="1">
        <f ca="1">IFERROR(__xludf.DUMMYFUNCTION("""COMPUTED_VALUE"""),143.66)</f>
        <v>143.66</v>
      </c>
      <c r="O799" s="1">
        <f ca="1">IFERROR(__xludf.DUMMYFUNCTION("""COMPUTED_VALUE"""),223.77)</f>
        <v>223.77</v>
      </c>
      <c r="P799" s="1">
        <f ca="1">IFERROR(__xludf.DUMMYFUNCTION("""COMPUTED_VALUE"""),154.02)</f>
        <v>154.02000000000001</v>
      </c>
      <c r="Q799" s="1">
        <f ca="1">IFERROR(__xludf.DUMMYFUNCTION("""COMPUTED_VALUE"""),478.56)</f>
        <v>478.56</v>
      </c>
      <c r="R799" s="1">
        <f ca="1">IFERROR(__xludf.DUMMYFUNCTION("""COMPUTED_VALUE"""),112.81)</f>
        <v>112.81</v>
      </c>
      <c r="S799" s="1">
        <f ca="1">IFERROR(__xludf.DUMMYFUNCTION("""COMPUTED_VALUE"""),73.83)</f>
        <v>73.83</v>
      </c>
      <c r="T799" s="1">
        <f ca="1">IFERROR(__xludf.DUMMYFUNCTION("""COMPUTED_VALUE"""),46.89)</f>
        <v>46.89</v>
      </c>
      <c r="U799" s="1">
        <f ca="1">IFERROR(__xludf.DUMMYFUNCTION("""COMPUTED_VALUE"""),120.94)</f>
        <v>120.94</v>
      </c>
      <c r="V799" s="1">
        <f ca="1">IFERROR(__xludf.DUMMYFUNCTION("""COMPUTED_VALUE"""),255.31)</f>
        <v>255.31</v>
      </c>
      <c r="W799" s="1">
        <f ca="1">IFERROR(__xludf.DUMMYFUNCTION("""COMPUTED_VALUE"""),477.89)</f>
        <v>477.89</v>
      </c>
      <c r="X799" s="1">
        <f ca="1">IFERROR(__xludf.DUMMYFUNCTION("""COMPUTED_VALUE"""),637.38)</f>
        <v>637.38</v>
      </c>
      <c r="Y799" s="1">
        <f ca="1">IFERROR(__xludf.DUMMYFUNCTION("""COMPUTED_VALUE"""),89.79)</f>
        <v>89.79</v>
      </c>
      <c r="Z799" s="1">
        <f ca="1">IFERROR(__xludf.DUMMYFUNCTION("""COMPUTED_VALUE"""),357.09)</f>
        <v>357.09</v>
      </c>
      <c r="AA799" s="1">
        <f ca="1">IFERROR(__xludf.DUMMYFUNCTION("""COMPUTED_VALUE"""),41.15)</f>
        <v>41.15</v>
      </c>
      <c r="AB799" s="1">
        <f ca="1">IFERROR(__xludf.DUMMYFUNCTION("""COMPUTED_VALUE"""),104.55)</f>
        <v>104.55</v>
      </c>
      <c r="AC799" s="1">
        <f ca="1">IFERROR(__xludf.DUMMYFUNCTION("""COMPUTED_VALUE"""),81.52)</f>
        <v>81.52</v>
      </c>
    </row>
    <row r="800" spans="1:29" x14ac:dyDescent="0.25">
      <c r="A800" s="2">
        <f ca="1">IFERROR(__xludf.DUMMYFUNCTION("""COMPUTED_VALUE"""),44991.6666666666)</f>
        <v>44991.666666666599</v>
      </c>
      <c r="B800" s="1">
        <f ca="1">IFERROR(__xludf.DUMMYFUNCTION("""COMPUTED_VALUE"""),153.83)</f>
        <v>153.83000000000001</v>
      </c>
      <c r="C800" s="1">
        <f ca="1">IFERROR(__xludf.DUMMYFUNCTION("""COMPUTED_VALUE"""),256.87)</f>
        <v>256.87</v>
      </c>
      <c r="D800" s="1">
        <f ca="1">IFERROR(__xludf.DUMMYFUNCTION("""COMPUTED_VALUE"""),93.75)</f>
        <v>93.75</v>
      </c>
      <c r="E800" s="1">
        <f ca="1">IFERROR(__xludf.DUMMYFUNCTION("""COMPUTED_VALUE"""),23.55)</f>
        <v>23.55</v>
      </c>
      <c r="F800" s="1">
        <f ca="1">IFERROR(__xludf.DUMMYFUNCTION("""COMPUTED_VALUE"""),184.9)</f>
        <v>184.9</v>
      </c>
      <c r="G800" s="1">
        <f ca="1">IFERROR(__xludf.DUMMYFUNCTION("""COMPUTED_VALUE"""),95.58)</f>
        <v>95.58</v>
      </c>
      <c r="H800" s="1">
        <f ca="1">IFERROR(__xludf.DUMMYFUNCTION("""COMPUTED_VALUE"""),193.81)</f>
        <v>193.81</v>
      </c>
      <c r="I800" s="1">
        <f ca="1">IFERROR(__xludf.DUMMYFUNCTION("""COMPUTED_VALUE"""),173.5)</f>
        <v>173.5</v>
      </c>
      <c r="J800" s="1">
        <f ca="1">IFERROR(__xludf.DUMMYFUNCTION("""COMPUTED_VALUE"""),483.08)</f>
        <v>483.08</v>
      </c>
      <c r="K800" s="1">
        <f ca="1">IFERROR(__xludf.DUMMYFUNCTION("""COMPUTED_VALUE"""),63.29)</f>
        <v>63.29</v>
      </c>
      <c r="L800" s="1">
        <f ca="1">IFERROR(__xludf.DUMMYFUNCTION("""COMPUTED_VALUE"""),347.02)</f>
        <v>347.02</v>
      </c>
      <c r="M800" s="1">
        <f ca="1">IFERROR(__xludf.DUMMYFUNCTION("""COMPUTED_VALUE"""),312.03)</f>
        <v>312.02999999999997</v>
      </c>
      <c r="N800" s="1">
        <f ca="1">IFERROR(__xludf.DUMMYFUNCTION("""COMPUTED_VALUE"""),142.82)</f>
        <v>142.82</v>
      </c>
      <c r="O800" s="1">
        <f ca="1">IFERROR(__xludf.DUMMYFUNCTION("""COMPUTED_VALUE"""),226.75)</f>
        <v>226.75</v>
      </c>
      <c r="P800" s="1">
        <f ca="1">IFERROR(__xludf.DUMMYFUNCTION("""COMPUTED_VALUE"""),155.56)</f>
        <v>155.56</v>
      </c>
      <c r="Q800" s="1">
        <f ca="1">IFERROR(__xludf.DUMMYFUNCTION("""COMPUTED_VALUE"""),480.78)</f>
        <v>480.78</v>
      </c>
      <c r="R800" s="1">
        <f ca="1">IFERROR(__xludf.DUMMYFUNCTION("""COMPUTED_VALUE"""),113.81)</f>
        <v>113.81</v>
      </c>
      <c r="S800" s="1">
        <f ca="1">IFERROR(__xludf.DUMMYFUNCTION("""COMPUTED_VALUE"""),74.4)</f>
        <v>74.400000000000006</v>
      </c>
      <c r="T800" s="1">
        <f ca="1">IFERROR(__xludf.DUMMYFUNCTION("""COMPUTED_VALUE"""),46.88)</f>
        <v>46.88</v>
      </c>
      <c r="U800" s="1">
        <f ca="1">IFERROR(__xludf.DUMMYFUNCTION("""COMPUTED_VALUE"""),120.17)</f>
        <v>120.17</v>
      </c>
      <c r="V800" s="1">
        <f ca="1">IFERROR(__xludf.DUMMYFUNCTION("""COMPUTED_VALUE"""),253.98)</f>
        <v>253.98</v>
      </c>
      <c r="W800" s="1">
        <f ca="1">IFERROR(__xludf.DUMMYFUNCTION("""COMPUTED_VALUE"""),480.17)</f>
        <v>480.17</v>
      </c>
      <c r="X800" s="1">
        <f ca="1">IFERROR(__xludf.DUMMYFUNCTION("""COMPUTED_VALUE"""),620.97)</f>
        <v>620.97</v>
      </c>
      <c r="Y800" s="1">
        <f ca="1">IFERROR(__xludf.DUMMYFUNCTION("""COMPUTED_VALUE"""),89.58)</f>
        <v>89.58</v>
      </c>
      <c r="Z800" s="1">
        <f ca="1">IFERROR(__xludf.DUMMYFUNCTION("""COMPUTED_VALUE"""),357.05)</f>
        <v>357.05</v>
      </c>
      <c r="AA800" s="1">
        <f ca="1">IFERROR(__xludf.DUMMYFUNCTION("""COMPUTED_VALUE"""),41.11)</f>
        <v>41.11</v>
      </c>
      <c r="AB800" s="1">
        <f ca="1">IFERROR(__xludf.DUMMYFUNCTION("""COMPUTED_VALUE"""),104.99)</f>
        <v>104.99</v>
      </c>
      <c r="AC800" s="1">
        <f ca="1">IFERROR(__xludf.DUMMYFUNCTION("""COMPUTED_VALUE"""),81.16)</f>
        <v>81.16</v>
      </c>
    </row>
    <row r="801" spans="1:29" x14ac:dyDescent="0.25">
      <c r="A801" s="2">
        <f ca="1">IFERROR(__xludf.DUMMYFUNCTION("""COMPUTED_VALUE"""),44992.6666666666)</f>
        <v>44992.666666666599</v>
      </c>
      <c r="B801" s="1">
        <f ca="1">IFERROR(__xludf.DUMMYFUNCTION("""COMPUTED_VALUE"""),151.6)</f>
        <v>151.6</v>
      </c>
      <c r="C801" s="1">
        <f ca="1">IFERROR(__xludf.DUMMYFUNCTION("""COMPUTED_VALUE"""),254.15)</f>
        <v>254.15</v>
      </c>
      <c r="D801" s="1">
        <f ca="1">IFERROR(__xludf.DUMMYFUNCTION("""COMPUTED_VALUE"""),93.55)</f>
        <v>93.55</v>
      </c>
      <c r="E801" s="1">
        <f ca="1">IFERROR(__xludf.DUMMYFUNCTION("""COMPUTED_VALUE"""),23.29)</f>
        <v>23.29</v>
      </c>
      <c r="F801" s="1">
        <f ca="1">IFERROR(__xludf.DUMMYFUNCTION("""COMPUTED_VALUE"""),184.51)</f>
        <v>184.51</v>
      </c>
      <c r="G801" s="1">
        <f ca="1">IFERROR(__xludf.DUMMYFUNCTION("""COMPUTED_VALUE"""),94.17)</f>
        <v>94.17</v>
      </c>
      <c r="H801" s="1">
        <f ca="1">IFERROR(__xludf.DUMMYFUNCTION("""COMPUTED_VALUE"""),187.71)</f>
        <v>187.71</v>
      </c>
      <c r="I801" s="1">
        <f ca="1">IFERROR(__xludf.DUMMYFUNCTION("""COMPUTED_VALUE"""),172.64)</f>
        <v>172.64</v>
      </c>
      <c r="J801" s="1">
        <f ca="1">IFERROR(__xludf.DUMMYFUNCTION("""COMPUTED_VALUE"""),485.15)</f>
        <v>485.15</v>
      </c>
      <c r="K801" s="1">
        <f ca="1">IFERROR(__xludf.DUMMYFUNCTION("""COMPUTED_VALUE"""),62.52)</f>
        <v>62.52</v>
      </c>
      <c r="L801" s="1">
        <f ca="1">IFERROR(__xludf.DUMMYFUNCTION("""COMPUTED_VALUE"""),344.8)</f>
        <v>344.8</v>
      </c>
      <c r="M801" s="1">
        <f ca="1">IFERROR(__xludf.DUMMYFUNCTION("""COMPUTED_VALUE"""),308.47)</f>
        <v>308.47000000000003</v>
      </c>
      <c r="N801" s="1">
        <f ca="1">IFERROR(__xludf.DUMMYFUNCTION("""COMPUTED_VALUE"""),138.62)</f>
        <v>138.62</v>
      </c>
      <c r="O801" s="1">
        <f ca="1">IFERROR(__xludf.DUMMYFUNCTION("""COMPUTED_VALUE"""),223.17)</f>
        <v>223.17</v>
      </c>
      <c r="P801" s="1">
        <f ca="1">IFERROR(__xludf.DUMMYFUNCTION("""COMPUTED_VALUE"""),154.09)</f>
        <v>154.09</v>
      </c>
      <c r="Q801" s="1">
        <f ca="1">IFERROR(__xludf.DUMMYFUNCTION("""COMPUTED_VALUE"""),473.88)</f>
        <v>473.88</v>
      </c>
      <c r="R801" s="1">
        <f ca="1">IFERROR(__xludf.DUMMYFUNCTION("""COMPUTED_VALUE"""),111.61)</f>
        <v>111.61</v>
      </c>
      <c r="S801" s="1">
        <f ca="1">IFERROR(__xludf.DUMMYFUNCTION("""COMPUTED_VALUE"""),73.75)</f>
        <v>73.75</v>
      </c>
      <c r="T801" s="1">
        <f ca="1">IFERROR(__xludf.DUMMYFUNCTION("""COMPUTED_VALUE"""),46.42)</f>
        <v>46.42</v>
      </c>
      <c r="U801" s="1">
        <f ca="1">IFERROR(__xludf.DUMMYFUNCTION("""COMPUTED_VALUE"""),119.59)</f>
        <v>119.59</v>
      </c>
      <c r="V801" s="1">
        <f ca="1">IFERROR(__xludf.DUMMYFUNCTION("""COMPUTED_VALUE"""),246.14)</f>
        <v>246.14</v>
      </c>
      <c r="W801" s="1">
        <f ca="1">IFERROR(__xludf.DUMMYFUNCTION("""COMPUTED_VALUE"""),478.66)</f>
        <v>478.66</v>
      </c>
      <c r="X801" s="1">
        <f ca="1">IFERROR(__xludf.DUMMYFUNCTION("""COMPUTED_VALUE"""),609.11)</f>
        <v>609.11</v>
      </c>
      <c r="Y801" s="1">
        <f ca="1">IFERROR(__xludf.DUMMYFUNCTION("""COMPUTED_VALUE"""),88.85)</f>
        <v>88.85</v>
      </c>
      <c r="Z801" s="1">
        <f ca="1">IFERROR(__xludf.DUMMYFUNCTION("""COMPUTED_VALUE"""),346.08)</f>
        <v>346.08</v>
      </c>
      <c r="AA801" s="1">
        <f ca="1">IFERROR(__xludf.DUMMYFUNCTION("""COMPUTED_VALUE"""),40.34)</f>
        <v>40.340000000000003</v>
      </c>
      <c r="AB801" s="1">
        <f ca="1">IFERROR(__xludf.DUMMYFUNCTION("""COMPUTED_VALUE"""),103.34)</f>
        <v>103.34</v>
      </c>
      <c r="AC801" s="1">
        <f ca="1">IFERROR(__xludf.DUMMYFUNCTION("""COMPUTED_VALUE"""),82.11)</f>
        <v>82.11</v>
      </c>
    </row>
    <row r="802" spans="1:29" x14ac:dyDescent="0.25">
      <c r="A802" s="2">
        <f ca="1">IFERROR(__xludf.DUMMYFUNCTION("""COMPUTED_VALUE"""),44993.6666666666)</f>
        <v>44993.666666666599</v>
      </c>
      <c r="B802" s="1">
        <f ca="1">IFERROR(__xludf.DUMMYFUNCTION("""COMPUTED_VALUE"""),152.87)</f>
        <v>152.87</v>
      </c>
      <c r="C802" s="1">
        <f ca="1">IFERROR(__xludf.DUMMYFUNCTION("""COMPUTED_VALUE"""),253.7)</f>
        <v>253.7</v>
      </c>
      <c r="D802" s="1">
        <f ca="1">IFERROR(__xludf.DUMMYFUNCTION("""COMPUTED_VALUE"""),93.92)</f>
        <v>93.92</v>
      </c>
      <c r="E802" s="1">
        <f ca="1">IFERROR(__xludf.DUMMYFUNCTION("""COMPUTED_VALUE"""),24.18)</f>
        <v>24.18</v>
      </c>
      <c r="F802" s="1">
        <f ca="1">IFERROR(__xludf.DUMMYFUNCTION("""COMPUTED_VALUE"""),184.97)</f>
        <v>184.97</v>
      </c>
      <c r="G802" s="1">
        <f ca="1">IFERROR(__xludf.DUMMYFUNCTION("""COMPUTED_VALUE"""),94.65)</f>
        <v>94.65</v>
      </c>
      <c r="H802" s="1">
        <f ca="1">IFERROR(__xludf.DUMMYFUNCTION("""COMPUTED_VALUE"""),182)</f>
        <v>182</v>
      </c>
      <c r="I802" s="1">
        <f ca="1">IFERROR(__xludf.DUMMYFUNCTION("""COMPUTED_VALUE"""),173.11)</f>
        <v>173.11</v>
      </c>
      <c r="J802" s="1">
        <f ca="1">IFERROR(__xludf.DUMMYFUNCTION("""COMPUTED_VALUE"""),486.04)</f>
        <v>486.04</v>
      </c>
      <c r="K802" s="1">
        <f ca="1">IFERROR(__xludf.DUMMYFUNCTION("""COMPUTED_VALUE"""),63.23)</f>
        <v>63.23</v>
      </c>
      <c r="L802" s="1">
        <f ca="1">IFERROR(__xludf.DUMMYFUNCTION("""COMPUTED_VALUE"""),345.84)</f>
        <v>345.84</v>
      </c>
      <c r="M802" s="1">
        <f ca="1">IFERROR(__xludf.DUMMYFUNCTION("""COMPUTED_VALUE"""),311.79)</f>
        <v>311.79000000000002</v>
      </c>
      <c r="N802" s="1">
        <f ca="1">IFERROR(__xludf.DUMMYFUNCTION("""COMPUTED_VALUE"""),137.8)</f>
        <v>137.80000000000001</v>
      </c>
      <c r="O802" s="1">
        <f ca="1">IFERROR(__xludf.DUMMYFUNCTION("""COMPUTED_VALUE"""),222.19)</f>
        <v>222.19</v>
      </c>
      <c r="P802" s="1">
        <f ca="1">IFERROR(__xludf.DUMMYFUNCTION("""COMPUTED_VALUE"""),152.96)</f>
        <v>152.96</v>
      </c>
      <c r="Q802" s="1">
        <f ca="1">IFERROR(__xludf.DUMMYFUNCTION("""COMPUTED_VALUE"""),470.6)</f>
        <v>470.6</v>
      </c>
      <c r="R802" s="1">
        <f ca="1">IFERROR(__xludf.DUMMYFUNCTION("""COMPUTED_VALUE"""),109.98)</f>
        <v>109.98</v>
      </c>
      <c r="S802" s="1">
        <f ca="1">IFERROR(__xludf.DUMMYFUNCTION("""COMPUTED_VALUE"""),74.25)</f>
        <v>74.25</v>
      </c>
      <c r="T802" s="1">
        <f ca="1">IFERROR(__xludf.DUMMYFUNCTION("""COMPUTED_VALUE"""),46.03)</f>
        <v>46.03</v>
      </c>
      <c r="U802" s="1">
        <f ca="1">IFERROR(__xludf.DUMMYFUNCTION("""COMPUTED_VALUE"""),119.86)</f>
        <v>119.86</v>
      </c>
      <c r="V802" s="1">
        <f ca="1">IFERROR(__xludf.DUMMYFUNCTION("""COMPUTED_VALUE"""),248.72)</f>
        <v>248.72</v>
      </c>
      <c r="W802" s="1">
        <f ca="1">IFERROR(__xludf.DUMMYFUNCTION("""COMPUTED_VALUE"""),479.5)</f>
        <v>479.5</v>
      </c>
      <c r="X802" s="1">
        <f ca="1">IFERROR(__xludf.DUMMYFUNCTION("""COMPUTED_VALUE"""),619.4)</f>
        <v>619.4</v>
      </c>
      <c r="Y802" s="1">
        <f ca="1">IFERROR(__xludf.DUMMYFUNCTION("""COMPUTED_VALUE"""),90.83)</f>
        <v>90.83</v>
      </c>
      <c r="Z802" s="1">
        <f ca="1">IFERROR(__xludf.DUMMYFUNCTION("""COMPUTED_VALUE"""),349.29)</f>
        <v>349.29</v>
      </c>
      <c r="AA802" s="1">
        <f ca="1">IFERROR(__xludf.DUMMYFUNCTION("""COMPUTED_VALUE"""),40.12)</f>
        <v>40.119999999999997</v>
      </c>
      <c r="AB802" s="1">
        <f ca="1">IFERROR(__xludf.DUMMYFUNCTION("""COMPUTED_VALUE"""),102.5)</f>
        <v>102.5</v>
      </c>
      <c r="AC802" s="1">
        <f ca="1">IFERROR(__xludf.DUMMYFUNCTION("""COMPUTED_VALUE"""),85.37)</f>
        <v>85.37</v>
      </c>
    </row>
    <row r="803" spans="1:29" x14ac:dyDescent="0.25">
      <c r="A803" s="2">
        <f ca="1">IFERROR(__xludf.DUMMYFUNCTION("""COMPUTED_VALUE"""),44994.6666666666)</f>
        <v>44994.666666666599</v>
      </c>
      <c r="B803" s="1">
        <f ca="1">IFERROR(__xludf.DUMMYFUNCTION("""COMPUTED_VALUE"""),150.59)</f>
        <v>150.59</v>
      </c>
      <c r="C803" s="1">
        <f ca="1">IFERROR(__xludf.DUMMYFUNCTION("""COMPUTED_VALUE"""),252.32)</f>
        <v>252.32</v>
      </c>
      <c r="D803" s="1">
        <f ca="1">IFERROR(__xludf.DUMMYFUNCTION("""COMPUTED_VALUE"""),92.25)</f>
        <v>92.25</v>
      </c>
      <c r="E803" s="1">
        <f ca="1">IFERROR(__xludf.DUMMYFUNCTION("""COMPUTED_VALUE"""),23.44)</f>
        <v>23.44</v>
      </c>
      <c r="F803" s="1">
        <f ca="1">IFERROR(__xludf.DUMMYFUNCTION("""COMPUTED_VALUE"""),181.69)</f>
        <v>181.69</v>
      </c>
      <c r="G803" s="1">
        <f ca="1">IFERROR(__xludf.DUMMYFUNCTION("""COMPUTED_VALUE"""),92.66)</f>
        <v>92.66</v>
      </c>
      <c r="H803" s="1">
        <f ca="1">IFERROR(__xludf.DUMMYFUNCTION("""COMPUTED_VALUE"""),172.92)</f>
        <v>172.92</v>
      </c>
      <c r="I803" s="1">
        <f ca="1">IFERROR(__xludf.DUMMYFUNCTION("""COMPUTED_VALUE"""),171.8)</f>
        <v>171.8</v>
      </c>
      <c r="J803" s="1">
        <f ca="1">IFERROR(__xludf.DUMMYFUNCTION("""COMPUTED_VALUE"""),479.52)</f>
        <v>479.52</v>
      </c>
      <c r="K803" s="1">
        <f ca="1">IFERROR(__xludf.DUMMYFUNCTION("""COMPUTED_VALUE"""),62.25)</f>
        <v>62.25</v>
      </c>
      <c r="L803" s="1">
        <f ca="1">IFERROR(__xludf.DUMMYFUNCTION("""COMPUTED_VALUE"""),338.37)</f>
        <v>338.37</v>
      </c>
      <c r="M803" s="1">
        <f ca="1">IFERROR(__xludf.DUMMYFUNCTION("""COMPUTED_VALUE"""),297.78)</f>
        <v>297.77999999999997</v>
      </c>
      <c r="N803" s="1">
        <f ca="1">IFERROR(__xludf.DUMMYFUNCTION("""COMPUTED_VALUE"""),130.34)</f>
        <v>130.34</v>
      </c>
      <c r="O803" s="1">
        <f ca="1">IFERROR(__xludf.DUMMYFUNCTION("""COMPUTED_VALUE"""),220.01)</f>
        <v>220.01</v>
      </c>
      <c r="P803" s="1">
        <f ca="1">IFERROR(__xludf.DUMMYFUNCTION("""COMPUTED_VALUE"""),151.24)</f>
        <v>151.24</v>
      </c>
      <c r="Q803" s="1">
        <f ca="1">IFERROR(__xludf.DUMMYFUNCTION("""COMPUTED_VALUE"""),464.91)</f>
        <v>464.91</v>
      </c>
      <c r="R803" s="1">
        <f ca="1">IFERROR(__xludf.DUMMYFUNCTION("""COMPUTED_VALUE"""),109.13)</f>
        <v>109.13</v>
      </c>
      <c r="S803" s="1">
        <f ca="1">IFERROR(__xludf.DUMMYFUNCTION("""COMPUTED_VALUE"""),73.76)</f>
        <v>73.760000000000005</v>
      </c>
      <c r="T803" s="1">
        <f ca="1">IFERROR(__xludf.DUMMYFUNCTION("""COMPUTED_VALUE"""),45.72)</f>
        <v>45.72</v>
      </c>
      <c r="U803" s="1">
        <f ca="1">IFERROR(__xludf.DUMMYFUNCTION("""COMPUTED_VALUE"""),117.87)</f>
        <v>117.87</v>
      </c>
      <c r="V803" s="1">
        <f ca="1">IFERROR(__xludf.DUMMYFUNCTION("""COMPUTED_VALUE"""),240.96)</f>
        <v>240.96</v>
      </c>
      <c r="W803" s="1">
        <f ca="1">IFERROR(__xludf.DUMMYFUNCTION("""COMPUTED_VALUE"""),475.85)</f>
        <v>475.85</v>
      </c>
      <c r="X803" s="1">
        <f ca="1">IFERROR(__xludf.DUMMYFUNCTION("""COMPUTED_VALUE"""),604.74)</f>
        <v>604.74</v>
      </c>
      <c r="Y803" s="1">
        <f ca="1">IFERROR(__xludf.DUMMYFUNCTION("""COMPUTED_VALUE"""),88.88)</f>
        <v>88.88</v>
      </c>
      <c r="Z803" s="1">
        <f ca="1">IFERROR(__xludf.DUMMYFUNCTION("""COMPUTED_VALUE"""),342.09)</f>
        <v>342.09</v>
      </c>
      <c r="AA803" s="1">
        <f ca="1">IFERROR(__xludf.DUMMYFUNCTION("""COMPUTED_VALUE"""),39.46)</f>
        <v>39.46</v>
      </c>
      <c r="AB803" s="1">
        <f ca="1">IFERROR(__xludf.DUMMYFUNCTION("""COMPUTED_VALUE"""),100.3)</f>
        <v>100.3</v>
      </c>
      <c r="AC803" s="1">
        <f ca="1">IFERROR(__xludf.DUMMYFUNCTION("""COMPUTED_VALUE"""),84.03)</f>
        <v>84.03</v>
      </c>
    </row>
    <row r="804" spans="1:29" x14ac:dyDescent="0.25">
      <c r="A804" s="2">
        <f ca="1">IFERROR(__xludf.DUMMYFUNCTION("""COMPUTED_VALUE"""),44995.6666666666)</f>
        <v>44995.666666666599</v>
      </c>
      <c r="B804" s="1">
        <f ca="1">IFERROR(__xludf.DUMMYFUNCTION("""COMPUTED_VALUE"""),148.5)</f>
        <v>148.5</v>
      </c>
      <c r="C804" s="1">
        <f ca="1">IFERROR(__xludf.DUMMYFUNCTION("""COMPUTED_VALUE"""),248.59)</f>
        <v>248.59</v>
      </c>
      <c r="D804" s="1">
        <f ca="1">IFERROR(__xludf.DUMMYFUNCTION("""COMPUTED_VALUE"""),90.73)</f>
        <v>90.73</v>
      </c>
      <c r="E804" s="1">
        <f ca="1">IFERROR(__xludf.DUMMYFUNCTION("""COMPUTED_VALUE"""),22.97)</f>
        <v>22.97</v>
      </c>
      <c r="F804" s="1">
        <f ca="1">IFERROR(__xludf.DUMMYFUNCTION("""COMPUTED_VALUE"""),179.51)</f>
        <v>179.51</v>
      </c>
      <c r="G804" s="1">
        <f ca="1">IFERROR(__xludf.DUMMYFUNCTION("""COMPUTED_VALUE"""),91.01)</f>
        <v>91.01</v>
      </c>
      <c r="H804" s="1">
        <f ca="1">IFERROR(__xludf.DUMMYFUNCTION("""COMPUTED_VALUE"""),173.44)</f>
        <v>173.44</v>
      </c>
      <c r="I804" s="1">
        <f ca="1">IFERROR(__xludf.DUMMYFUNCTION("""COMPUTED_VALUE"""),172.03)</f>
        <v>172.03</v>
      </c>
      <c r="J804" s="1">
        <f ca="1">IFERROR(__xludf.DUMMYFUNCTION("""COMPUTED_VALUE"""),471.14)</f>
        <v>471.14</v>
      </c>
      <c r="K804" s="1">
        <f ca="1">IFERROR(__xludf.DUMMYFUNCTION("""COMPUTED_VALUE"""),61.48)</f>
        <v>61.48</v>
      </c>
      <c r="L804" s="1">
        <f ca="1">IFERROR(__xludf.DUMMYFUNCTION("""COMPUTED_VALUE"""),329.3)</f>
        <v>329.3</v>
      </c>
      <c r="M804" s="1">
        <f ca="1">IFERROR(__xludf.DUMMYFUNCTION("""COMPUTED_VALUE"""),292.76)</f>
        <v>292.76</v>
      </c>
      <c r="N804" s="1">
        <f ca="1">IFERROR(__xludf.DUMMYFUNCTION("""COMPUTED_VALUE"""),133.65)</f>
        <v>133.65</v>
      </c>
      <c r="O804" s="1">
        <f ca="1">IFERROR(__xludf.DUMMYFUNCTION("""COMPUTED_VALUE"""),216.14)</f>
        <v>216.14</v>
      </c>
      <c r="P804" s="1">
        <f ca="1">IFERROR(__xludf.DUMMYFUNCTION("""COMPUTED_VALUE"""),151.61)</f>
        <v>151.61000000000001</v>
      </c>
      <c r="Q804" s="1">
        <f ca="1">IFERROR(__xludf.DUMMYFUNCTION("""COMPUTED_VALUE"""),460.33)</f>
        <v>460.33</v>
      </c>
      <c r="R804" s="1">
        <f ca="1">IFERROR(__xludf.DUMMYFUNCTION("""COMPUTED_VALUE"""),107.78)</f>
        <v>107.78</v>
      </c>
      <c r="S804" s="1">
        <f ca="1">IFERROR(__xludf.DUMMYFUNCTION("""COMPUTED_VALUE"""),73.01)</f>
        <v>73.010000000000005</v>
      </c>
      <c r="T804" s="1">
        <f ca="1">IFERROR(__xludf.DUMMYFUNCTION("""COMPUTED_VALUE"""),45.66)</f>
        <v>45.66</v>
      </c>
      <c r="U804" s="1">
        <f ca="1">IFERROR(__xludf.DUMMYFUNCTION("""COMPUTED_VALUE"""),117.49)</f>
        <v>117.49</v>
      </c>
      <c r="V804" s="1">
        <f ca="1">IFERROR(__xludf.DUMMYFUNCTION("""COMPUTED_VALUE"""),227.01)</f>
        <v>227.01</v>
      </c>
      <c r="W804" s="1">
        <f ca="1">IFERROR(__xludf.DUMMYFUNCTION("""COMPUTED_VALUE"""),475.5)</f>
        <v>475.5</v>
      </c>
      <c r="X804" s="1">
        <f ca="1">IFERROR(__xludf.DUMMYFUNCTION("""COMPUTED_VALUE"""),601.21)</f>
        <v>601.21</v>
      </c>
      <c r="Y804" s="1">
        <f ca="1">IFERROR(__xludf.DUMMYFUNCTION("""COMPUTED_VALUE"""),87.25)</f>
        <v>87.25</v>
      </c>
      <c r="Z804" s="1">
        <f ca="1">IFERROR(__xludf.DUMMYFUNCTION("""COMPUTED_VALUE"""),327.67)</f>
        <v>327.67</v>
      </c>
      <c r="AA804" s="1">
        <f ca="1">IFERROR(__xludf.DUMMYFUNCTION("""COMPUTED_VALUE"""),39.39)</f>
        <v>39.39</v>
      </c>
      <c r="AB804" s="1">
        <f ca="1">IFERROR(__xludf.DUMMYFUNCTION("""COMPUTED_VALUE"""),99.38)</f>
        <v>99.38</v>
      </c>
      <c r="AC804" s="1">
        <f ca="1">IFERROR(__xludf.DUMMYFUNCTION("""COMPUTED_VALUE"""),82.67)</f>
        <v>82.67</v>
      </c>
    </row>
    <row r="805" spans="1:29" x14ac:dyDescent="0.25">
      <c r="A805" s="2">
        <f ca="1">IFERROR(__xludf.DUMMYFUNCTION("""COMPUTED_VALUE"""),44998.6666666666)</f>
        <v>44998.666666666599</v>
      </c>
      <c r="B805" s="1">
        <f ca="1">IFERROR(__xludf.DUMMYFUNCTION("""COMPUTED_VALUE"""),150.47)</f>
        <v>150.47</v>
      </c>
      <c r="C805" s="1">
        <f ca="1">IFERROR(__xludf.DUMMYFUNCTION("""COMPUTED_VALUE"""),253.92)</f>
        <v>253.92</v>
      </c>
      <c r="D805" s="1">
        <f ca="1">IFERROR(__xludf.DUMMYFUNCTION("""COMPUTED_VALUE"""),92.43)</f>
        <v>92.43</v>
      </c>
      <c r="E805" s="1">
        <f ca="1">IFERROR(__xludf.DUMMYFUNCTION("""COMPUTED_VALUE"""),22.97)</f>
        <v>22.97</v>
      </c>
      <c r="F805" s="1">
        <f ca="1">IFERROR(__xludf.DUMMYFUNCTION("""COMPUTED_VALUE"""),180.9)</f>
        <v>180.9</v>
      </c>
      <c r="G805" s="1">
        <f ca="1">IFERROR(__xludf.DUMMYFUNCTION("""COMPUTED_VALUE"""),91.66)</f>
        <v>91.66</v>
      </c>
      <c r="H805" s="1">
        <f ca="1">IFERROR(__xludf.DUMMYFUNCTION("""COMPUTED_VALUE"""),174.48)</f>
        <v>174.48</v>
      </c>
      <c r="I805" s="1">
        <f ca="1">IFERROR(__xludf.DUMMYFUNCTION("""COMPUTED_VALUE"""),173.71)</f>
        <v>173.71</v>
      </c>
      <c r="J805" s="1">
        <f ca="1">IFERROR(__xludf.DUMMYFUNCTION("""COMPUTED_VALUE"""),472)</f>
        <v>472</v>
      </c>
      <c r="K805" s="1">
        <f ca="1">IFERROR(__xludf.DUMMYFUNCTION("""COMPUTED_VALUE"""),61.65)</f>
        <v>61.65</v>
      </c>
      <c r="L805" s="1">
        <f ca="1">IFERROR(__xludf.DUMMYFUNCTION("""COMPUTED_VALUE"""),324.27)</f>
        <v>324.27</v>
      </c>
      <c r="M805" s="1">
        <f ca="1">IFERROR(__xludf.DUMMYFUNCTION("""COMPUTED_VALUE"""),293.51)</f>
        <v>293.51</v>
      </c>
      <c r="N805" s="1">
        <f ca="1">IFERROR(__xludf.DUMMYFUNCTION("""COMPUTED_VALUE"""),131.25)</f>
        <v>131.25</v>
      </c>
      <c r="O805" s="1">
        <f ca="1">IFERROR(__xludf.DUMMYFUNCTION("""COMPUTED_VALUE"""),214.47)</f>
        <v>214.47</v>
      </c>
      <c r="P805" s="1">
        <f ca="1">IFERROR(__xludf.DUMMYFUNCTION("""COMPUTED_VALUE"""),153.06)</f>
        <v>153.06</v>
      </c>
      <c r="Q805" s="1">
        <f ca="1">IFERROR(__xludf.DUMMYFUNCTION("""COMPUTED_VALUE"""),463.68)</f>
        <v>463.68</v>
      </c>
      <c r="R805" s="1">
        <f ca="1">IFERROR(__xludf.DUMMYFUNCTION("""COMPUTED_VALUE"""),106.54)</f>
        <v>106.54</v>
      </c>
      <c r="S805" s="1">
        <f ca="1">IFERROR(__xludf.DUMMYFUNCTION("""COMPUTED_VALUE"""),73.29)</f>
        <v>73.290000000000006</v>
      </c>
      <c r="T805" s="1">
        <f ca="1">IFERROR(__xludf.DUMMYFUNCTION("""COMPUTED_VALUE"""),45.79)</f>
        <v>45.79</v>
      </c>
      <c r="U805" s="1">
        <f ca="1">IFERROR(__xludf.DUMMYFUNCTION("""COMPUTED_VALUE"""),116.86)</f>
        <v>116.86</v>
      </c>
      <c r="V805" s="1">
        <f ca="1">IFERROR(__xludf.DUMMYFUNCTION("""COMPUTED_VALUE"""),224.7)</f>
        <v>224.7</v>
      </c>
      <c r="W805" s="1">
        <f ca="1">IFERROR(__xludf.DUMMYFUNCTION("""COMPUTED_VALUE"""),477.33)</f>
        <v>477.33</v>
      </c>
      <c r="X805" s="1">
        <f ca="1">IFERROR(__xludf.DUMMYFUNCTION("""COMPUTED_VALUE"""),604.78)</f>
        <v>604.78</v>
      </c>
      <c r="Y805" s="1">
        <f ca="1">IFERROR(__xludf.DUMMYFUNCTION("""COMPUTED_VALUE"""),87.74)</f>
        <v>87.74</v>
      </c>
      <c r="Z805" s="1">
        <f ca="1">IFERROR(__xludf.DUMMYFUNCTION("""COMPUTED_VALUE"""),315.51)</f>
        <v>315.51</v>
      </c>
      <c r="AA805" s="1">
        <f ca="1">IFERROR(__xludf.DUMMYFUNCTION("""COMPUTED_VALUE"""),39.86)</f>
        <v>39.86</v>
      </c>
      <c r="AB805" s="1">
        <f ca="1">IFERROR(__xludf.DUMMYFUNCTION("""COMPUTED_VALUE"""),99.08)</f>
        <v>99.08</v>
      </c>
      <c r="AC805" s="1">
        <f ca="1">IFERROR(__xludf.DUMMYFUNCTION("""COMPUTED_VALUE"""),82.01)</f>
        <v>82.01</v>
      </c>
    </row>
    <row r="806" spans="1:29" x14ac:dyDescent="0.25">
      <c r="A806" s="2">
        <f ca="1">IFERROR(__xludf.DUMMYFUNCTION("""COMPUTED_VALUE"""),44999.6666666666)</f>
        <v>44999.666666666599</v>
      </c>
      <c r="B806" s="1">
        <f ca="1">IFERROR(__xludf.DUMMYFUNCTION("""COMPUTED_VALUE"""),152.59)</f>
        <v>152.59</v>
      </c>
      <c r="C806" s="1">
        <f ca="1">IFERROR(__xludf.DUMMYFUNCTION("""COMPUTED_VALUE"""),260.79)</f>
        <v>260.79000000000002</v>
      </c>
      <c r="D806" s="1">
        <f ca="1">IFERROR(__xludf.DUMMYFUNCTION("""COMPUTED_VALUE"""),94.88)</f>
        <v>94.88</v>
      </c>
      <c r="E806" s="1">
        <f ca="1">IFERROR(__xludf.DUMMYFUNCTION("""COMPUTED_VALUE"""),24.06)</f>
        <v>24.06</v>
      </c>
      <c r="F806" s="1">
        <f ca="1">IFERROR(__xludf.DUMMYFUNCTION("""COMPUTED_VALUE"""),194.02)</f>
        <v>194.02</v>
      </c>
      <c r="G806" s="1">
        <f ca="1">IFERROR(__xludf.DUMMYFUNCTION("""COMPUTED_VALUE"""),94.25)</f>
        <v>94.25</v>
      </c>
      <c r="H806" s="1">
        <f ca="1">IFERROR(__xludf.DUMMYFUNCTION("""COMPUTED_VALUE"""),183.26)</f>
        <v>183.26</v>
      </c>
      <c r="I806" s="1">
        <f ca="1">IFERROR(__xludf.DUMMYFUNCTION("""COMPUTED_VALUE"""),173.53)</f>
        <v>173.53</v>
      </c>
      <c r="J806" s="1">
        <f ca="1">IFERROR(__xludf.DUMMYFUNCTION("""COMPUTED_VALUE"""),481.92)</f>
        <v>481.92</v>
      </c>
      <c r="K806" s="1">
        <f ca="1">IFERROR(__xludf.DUMMYFUNCTION("""COMPUTED_VALUE"""),63.25)</f>
        <v>63.25</v>
      </c>
      <c r="L806" s="1">
        <f ca="1">IFERROR(__xludf.DUMMYFUNCTION("""COMPUTED_VALUE"""),333.33)</f>
        <v>333.33</v>
      </c>
      <c r="M806" s="1">
        <f ca="1">IFERROR(__xludf.DUMMYFUNCTION("""COMPUTED_VALUE"""),294.94)</f>
        <v>294.94</v>
      </c>
      <c r="N806" s="1">
        <f ca="1">IFERROR(__xludf.DUMMYFUNCTION("""COMPUTED_VALUE"""),134.62)</f>
        <v>134.62</v>
      </c>
      <c r="O806" s="1">
        <f ca="1">IFERROR(__xludf.DUMMYFUNCTION("""COMPUTED_VALUE"""),218.66)</f>
        <v>218.66</v>
      </c>
      <c r="P806" s="1">
        <f ca="1">IFERROR(__xludf.DUMMYFUNCTION("""COMPUTED_VALUE"""),153.92)</f>
        <v>153.91999999999999</v>
      </c>
      <c r="Q806" s="1">
        <f ca="1">IFERROR(__xludf.DUMMYFUNCTION("""COMPUTED_VALUE"""),464.58)</f>
        <v>464.58</v>
      </c>
      <c r="R806" s="1">
        <f ca="1">IFERROR(__xludf.DUMMYFUNCTION("""COMPUTED_VALUE"""),106.94)</f>
        <v>106.94</v>
      </c>
      <c r="S806" s="1">
        <f ca="1">IFERROR(__xludf.DUMMYFUNCTION("""COMPUTED_VALUE"""),74.55)</f>
        <v>74.55</v>
      </c>
      <c r="T806" s="1">
        <f ca="1">IFERROR(__xludf.DUMMYFUNCTION("""COMPUTED_VALUE"""),46.03)</f>
        <v>46.03</v>
      </c>
      <c r="U806" s="1">
        <f ca="1">IFERROR(__xludf.DUMMYFUNCTION("""COMPUTED_VALUE"""),119)</f>
        <v>119</v>
      </c>
      <c r="V806" s="1">
        <f ca="1">IFERROR(__xludf.DUMMYFUNCTION("""COMPUTED_VALUE"""),225.67)</f>
        <v>225.67</v>
      </c>
      <c r="W806" s="1">
        <f ca="1">IFERROR(__xludf.DUMMYFUNCTION("""COMPUTED_VALUE"""),478.87)</f>
        <v>478.87</v>
      </c>
      <c r="X806" s="1">
        <f ca="1">IFERROR(__xludf.DUMMYFUNCTION("""COMPUTED_VALUE"""),620.3)</f>
        <v>620.29999999999995</v>
      </c>
      <c r="Y806" s="1">
        <f ca="1">IFERROR(__xludf.DUMMYFUNCTION("""COMPUTED_VALUE"""),89.29)</f>
        <v>89.29</v>
      </c>
      <c r="Z806" s="1">
        <f ca="1">IFERROR(__xludf.DUMMYFUNCTION("""COMPUTED_VALUE"""),322.15)</f>
        <v>322.14999999999998</v>
      </c>
      <c r="AA806" s="1">
        <f ca="1">IFERROR(__xludf.DUMMYFUNCTION("""COMPUTED_VALUE"""),39.9)</f>
        <v>39.9</v>
      </c>
      <c r="AB806" s="1">
        <f ca="1">IFERROR(__xludf.DUMMYFUNCTION("""COMPUTED_VALUE"""),99.46)</f>
        <v>99.46</v>
      </c>
      <c r="AC806" s="1">
        <f ca="1">IFERROR(__xludf.DUMMYFUNCTION("""COMPUTED_VALUE"""),87.45)</f>
        <v>87.45</v>
      </c>
    </row>
    <row r="807" spans="1:29" x14ac:dyDescent="0.25">
      <c r="A807" s="2">
        <f ca="1">IFERROR(__xludf.DUMMYFUNCTION("""COMPUTED_VALUE"""),45000.6666666666)</f>
        <v>45000.666666666599</v>
      </c>
      <c r="B807" s="1">
        <f ca="1">IFERROR(__xludf.DUMMYFUNCTION("""COMPUTED_VALUE"""),152.99)</f>
        <v>152.99</v>
      </c>
      <c r="C807" s="1">
        <f ca="1">IFERROR(__xludf.DUMMYFUNCTION("""COMPUTED_VALUE"""),265.44)</f>
        <v>265.44</v>
      </c>
      <c r="D807" s="1">
        <f ca="1">IFERROR(__xludf.DUMMYFUNCTION("""COMPUTED_VALUE"""),96.2)</f>
        <v>96.2</v>
      </c>
      <c r="E807" s="1">
        <f ca="1">IFERROR(__xludf.DUMMYFUNCTION("""COMPUTED_VALUE"""),24.23)</f>
        <v>24.23</v>
      </c>
      <c r="F807" s="1">
        <f ca="1">IFERROR(__xludf.DUMMYFUNCTION("""COMPUTED_VALUE"""),197.75)</f>
        <v>197.75</v>
      </c>
      <c r="G807" s="1">
        <f ca="1">IFERROR(__xludf.DUMMYFUNCTION("""COMPUTED_VALUE"""),96.55)</f>
        <v>96.55</v>
      </c>
      <c r="H807" s="1">
        <f ca="1">IFERROR(__xludf.DUMMYFUNCTION("""COMPUTED_VALUE"""),180.45)</f>
        <v>180.45</v>
      </c>
      <c r="I807" s="1">
        <f ca="1">IFERROR(__xludf.DUMMYFUNCTION("""COMPUTED_VALUE"""),176.63)</f>
        <v>176.63</v>
      </c>
      <c r="J807" s="1">
        <f ca="1">IFERROR(__xludf.DUMMYFUNCTION("""COMPUTED_VALUE"""),485.66)</f>
        <v>485.66</v>
      </c>
      <c r="K807" s="1">
        <f ca="1">IFERROR(__xludf.DUMMYFUNCTION("""COMPUTED_VALUE"""),62.6)</f>
        <v>62.6</v>
      </c>
      <c r="L807" s="1">
        <f ca="1">IFERROR(__xludf.DUMMYFUNCTION("""COMPUTED_VALUE"""),333.61)</f>
        <v>333.61</v>
      </c>
      <c r="M807" s="1">
        <f ca="1">IFERROR(__xludf.DUMMYFUNCTION("""COMPUTED_VALUE"""),303.79)</f>
        <v>303.79000000000002</v>
      </c>
      <c r="N807" s="1">
        <f ca="1">IFERROR(__xludf.DUMMYFUNCTION("""COMPUTED_VALUE"""),128.26)</f>
        <v>128.26</v>
      </c>
      <c r="O807" s="1">
        <f ca="1">IFERROR(__xludf.DUMMYFUNCTION("""COMPUTED_VALUE"""),216.37)</f>
        <v>216.37</v>
      </c>
      <c r="P807" s="1">
        <f ca="1">IFERROR(__xludf.DUMMYFUNCTION("""COMPUTED_VALUE"""),154.35)</f>
        <v>154.35</v>
      </c>
      <c r="Q807" s="1">
        <f ca="1">IFERROR(__xludf.DUMMYFUNCTION("""COMPUTED_VALUE"""),465.43)</f>
        <v>465.43</v>
      </c>
      <c r="R807" s="1">
        <f ca="1">IFERROR(__xludf.DUMMYFUNCTION("""COMPUTED_VALUE"""),101.62)</f>
        <v>101.62</v>
      </c>
      <c r="S807" s="1">
        <f ca="1">IFERROR(__xludf.DUMMYFUNCTION("""COMPUTED_VALUE"""),75.52)</f>
        <v>75.52</v>
      </c>
      <c r="T807" s="1">
        <f ca="1">IFERROR(__xludf.DUMMYFUNCTION("""COMPUTED_VALUE"""),46.55)</f>
        <v>46.55</v>
      </c>
      <c r="U807" s="1">
        <f ca="1">IFERROR(__xludf.DUMMYFUNCTION("""COMPUTED_VALUE"""),118.17)</f>
        <v>118.17</v>
      </c>
      <c r="V807" s="1">
        <f ca="1">IFERROR(__xludf.DUMMYFUNCTION("""COMPUTED_VALUE"""),217.26)</f>
        <v>217.26</v>
      </c>
      <c r="W807" s="1">
        <f ca="1">IFERROR(__xludf.DUMMYFUNCTION("""COMPUTED_VALUE"""),473.31)</f>
        <v>473.31</v>
      </c>
      <c r="X807" s="1">
        <f ca="1">IFERROR(__xludf.DUMMYFUNCTION("""COMPUTED_VALUE"""),606.69)</f>
        <v>606.69000000000005</v>
      </c>
      <c r="Y807" s="1">
        <f ca="1">IFERROR(__xludf.DUMMYFUNCTION("""COMPUTED_VALUE"""),86.7)</f>
        <v>86.7</v>
      </c>
      <c r="Z807" s="1">
        <f ca="1">IFERROR(__xludf.DUMMYFUNCTION("""COMPUTED_VALUE"""),312.19)</f>
        <v>312.19</v>
      </c>
      <c r="AA807" s="1">
        <f ca="1">IFERROR(__xludf.DUMMYFUNCTION("""COMPUTED_VALUE"""),40.28)</f>
        <v>40.28</v>
      </c>
      <c r="AB807" s="1">
        <f ca="1">IFERROR(__xludf.DUMMYFUNCTION("""COMPUTED_VALUE"""),99.34)</f>
        <v>99.34</v>
      </c>
      <c r="AC807" s="1">
        <f ca="1">IFERROR(__xludf.DUMMYFUNCTION("""COMPUTED_VALUE"""),89.68)</f>
        <v>89.68</v>
      </c>
    </row>
    <row r="808" spans="1:29" x14ac:dyDescent="0.25">
      <c r="A808" s="2">
        <f ca="1">IFERROR(__xludf.DUMMYFUNCTION("""COMPUTED_VALUE"""),45001.6666666666)</f>
        <v>45001.666666666599</v>
      </c>
      <c r="B808" s="1">
        <f ca="1">IFERROR(__xludf.DUMMYFUNCTION("""COMPUTED_VALUE"""),155.85)</f>
        <v>155.85</v>
      </c>
      <c r="C808" s="1">
        <f ca="1">IFERROR(__xludf.DUMMYFUNCTION("""COMPUTED_VALUE"""),276.2)</f>
        <v>276.2</v>
      </c>
      <c r="D808" s="1">
        <f ca="1">IFERROR(__xludf.DUMMYFUNCTION("""COMPUTED_VALUE"""),100.04)</f>
        <v>100.04</v>
      </c>
      <c r="E808" s="1">
        <f ca="1">IFERROR(__xludf.DUMMYFUNCTION("""COMPUTED_VALUE"""),25.54)</f>
        <v>25.54</v>
      </c>
      <c r="F808" s="1">
        <f ca="1">IFERROR(__xludf.DUMMYFUNCTION("""COMPUTED_VALUE"""),204.93)</f>
        <v>204.93</v>
      </c>
      <c r="G808" s="1">
        <f ca="1">IFERROR(__xludf.DUMMYFUNCTION("""COMPUTED_VALUE"""),101.07)</f>
        <v>101.07</v>
      </c>
      <c r="H808" s="1">
        <f ca="1">IFERROR(__xludf.DUMMYFUNCTION("""COMPUTED_VALUE"""),184.13)</f>
        <v>184.13</v>
      </c>
      <c r="I808" s="1">
        <f ca="1">IFERROR(__xludf.DUMMYFUNCTION("""COMPUTED_VALUE"""),176.51)</f>
        <v>176.51</v>
      </c>
      <c r="J808" s="1">
        <f ca="1">IFERROR(__xludf.DUMMYFUNCTION("""COMPUTED_VALUE"""),487.26)</f>
        <v>487.26</v>
      </c>
      <c r="K808" s="1">
        <f ca="1">IFERROR(__xludf.DUMMYFUNCTION("""COMPUTED_VALUE"""),63.65)</f>
        <v>63.65</v>
      </c>
      <c r="L808" s="1">
        <f ca="1">IFERROR(__xludf.DUMMYFUNCTION("""COMPUTED_VALUE"""),353.29)</f>
        <v>353.29</v>
      </c>
      <c r="M808" s="1">
        <f ca="1">IFERROR(__xludf.DUMMYFUNCTION("""COMPUTED_VALUE"""),310.06)</f>
        <v>310.06</v>
      </c>
      <c r="N808" s="1">
        <f ca="1">IFERROR(__xludf.DUMMYFUNCTION("""COMPUTED_VALUE"""),130.75)</f>
        <v>130.75</v>
      </c>
      <c r="O808" s="1">
        <f ca="1">IFERROR(__xludf.DUMMYFUNCTION("""COMPUTED_VALUE"""),217.45)</f>
        <v>217.45</v>
      </c>
      <c r="P808" s="1">
        <f ca="1">IFERROR(__xludf.DUMMYFUNCTION("""COMPUTED_VALUE"""),154.03)</f>
        <v>154.03</v>
      </c>
      <c r="Q808" s="1">
        <f ca="1">IFERROR(__xludf.DUMMYFUNCTION("""COMPUTED_VALUE"""),472.02)</f>
        <v>472.02</v>
      </c>
      <c r="R808" s="1">
        <f ca="1">IFERROR(__xludf.DUMMYFUNCTION("""COMPUTED_VALUE"""),101.03)</f>
        <v>101.03</v>
      </c>
      <c r="S808" s="1">
        <f ca="1">IFERROR(__xludf.DUMMYFUNCTION("""COMPUTED_VALUE"""),76.23)</f>
        <v>76.23</v>
      </c>
      <c r="T808" s="1">
        <f ca="1">IFERROR(__xludf.DUMMYFUNCTION("""COMPUTED_VALUE"""),46.09)</f>
        <v>46.09</v>
      </c>
      <c r="U808" s="1">
        <f ca="1">IFERROR(__xludf.DUMMYFUNCTION("""COMPUTED_VALUE"""),120.65)</f>
        <v>120.65</v>
      </c>
      <c r="V808" s="1">
        <f ca="1">IFERROR(__xludf.DUMMYFUNCTION("""COMPUTED_VALUE"""),218.71)</f>
        <v>218.71</v>
      </c>
      <c r="W808" s="1">
        <f ca="1">IFERROR(__xludf.DUMMYFUNCTION("""COMPUTED_VALUE"""),473.24)</f>
        <v>473.24</v>
      </c>
      <c r="X808" s="1">
        <f ca="1">IFERROR(__xludf.DUMMYFUNCTION("""COMPUTED_VALUE"""),630.56)</f>
        <v>630.55999999999995</v>
      </c>
      <c r="Y808" s="1">
        <f ca="1">IFERROR(__xludf.DUMMYFUNCTION("""COMPUTED_VALUE"""),89.3)</f>
        <v>89.3</v>
      </c>
      <c r="Z808" s="1">
        <f ca="1">IFERROR(__xludf.DUMMYFUNCTION("""COMPUTED_VALUE"""),315.09)</f>
        <v>315.08999999999997</v>
      </c>
      <c r="AA808" s="1">
        <f ca="1">IFERROR(__xludf.DUMMYFUNCTION("""COMPUTED_VALUE"""),40.37)</f>
        <v>40.369999999999997</v>
      </c>
      <c r="AB808" s="1">
        <f ca="1">IFERROR(__xludf.DUMMYFUNCTION("""COMPUTED_VALUE"""),100.43)</f>
        <v>100.43</v>
      </c>
      <c r="AC808" s="1">
        <f ca="1">IFERROR(__xludf.DUMMYFUNCTION("""COMPUTED_VALUE"""),96.6)</f>
        <v>96.6</v>
      </c>
    </row>
    <row r="809" spans="1:29" x14ac:dyDescent="0.25">
      <c r="A809" s="2">
        <f ca="1">IFERROR(__xludf.DUMMYFUNCTION("""COMPUTED_VALUE"""),45002.6666666666)</f>
        <v>45002.666666666599</v>
      </c>
      <c r="B809" s="1">
        <f ca="1">IFERROR(__xludf.DUMMYFUNCTION("""COMPUTED_VALUE"""),155)</f>
        <v>155</v>
      </c>
      <c r="C809" s="1">
        <f ca="1">IFERROR(__xludf.DUMMYFUNCTION("""COMPUTED_VALUE"""),279.43)</f>
        <v>279.43</v>
      </c>
      <c r="D809" s="1">
        <f ca="1">IFERROR(__xludf.DUMMYFUNCTION("""COMPUTED_VALUE"""),98.95)</f>
        <v>98.95</v>
      </c>
      <c r="E809" s="1">
        <f ca="1">IFERROR(__xludf.DUMMYFUNCTION("""COMPUTED_VALUE"""),25.73)</f>
        <v>25.73</v>
      </c>
      <c r="F809" s="1">
        <f ca="1">IFERROR(__xludf.DUMMYFUNCTION("""COMPUTED_VALUE"""),195.61)</f>
        <v>195.61</v>
      </c>
      <c r="G809" s="1">
        <f ca="1">IFERROR(__xludf.DUMMYFUNCTION("""COMPUTED_VALUE"""),102.46)</f>
        <v>102.46</v>
      </c>
      <c r="H809" s="1">
        <f ca="1">IFERROR(__xludf.DUMMYFUNCTION("""COMPUTED_VALUE"""),180.13)</f>
        <v>180.13</v>
      </c>
      <c r="I809" s="1">
        <f ca="1">IFERROR(__xludf.DUMMYFUNCTION("""COMPUTED_VALUE"""),175.13)</f>
        <v>175.13</v>
      </c>
      <c r="J809" s="1">
        <f ca="1">IFERROR(__xludf.DUMMYFUNCTION("""COMPUTED_VALUE"""),487.05)</f>
        <v>487.05</v>
      </c>
      <c r="K809" s="1">
        <f ca="1">IFERROR(__xludf.DUMMYFUNCTION("""COMPUTED_VALUE"""),63.1)</f>
        <v>63.1</v>
      </c>
      <c r="L809" s="1">
        <f ca="1">IFERROR(__xludf.DUMMYFUNCTION("""COMPUTED_VALUE"""),358.14)</f>
        <v>358.14</v>
      </c>
      <c r="M809" s="1">
        <f ca="1">IFERROR(__xludf.DUMMYFUNCTION("""COMPUTED_VALUE"""),303.5)</f>
        <v>303.5</v>
      </c>
      <c r="N809" s="1">
        <f ca="1">IFERROR(__xludf.DUMMYFUNCTION("""COMPUTED_VALUE"""),125.81)</f>
        <v>125.81</v>
      </c>
      <c r="O809" s="1">
        <f ca="1">IFERROR(__xludf.DUMMYFUNCTION("""COMPUTED_VALUE"""),217.39)</f>
        <v>217.39</v>
      </c>
      <c r="P809" s="1">
        <f ca="1">IFERROR(__xludf.DUMMYFUNCTION("""COMPUTED_VALUE"""),152.38)</f>
        <v>152.38</v>
      </c>
      <c r="Q809" s="1">
        <f ca="1">IFERROR(__xludf.DUMMYFUNCTION("""COMPUTED_VALUE"""),469.5)</f>
        <v>469.5</v>
      </c>
      <c r="R809" s="1">
        <f ca="1">IFERROR(__xludf.DUMMYFUNCTION("""COMPUTED_VALUE"""),99.84)</f>
        <v>99.84</v>
      </c>
      <c r="S809" s="1">
        <f ca="1">IFERROR(__xludf.DUMMYFUNCTION("""COMPUTED_VALUE"""),75.67)</f>
        <v>75.67</v>
      </c>
      <c r="T809" s="1">
        <f ca="1">IFERROR(__xludf.DUMMYFUNCTION("""COMPUTED_VALUE"""),46.47)</f>
        <v>46.47</v>
      </c>
      <c r="U809" s="1">
        <f ca="1">IFERROR(__xludf.DUMMYFUNCTION("""COMPUTED_VALUE"""),120.39)</f>
        <v>120.39</v>
      </c>
      <c r="V809" s="1">
        <f ca="1">IFERROR(__xludf.DUMMYFUNCTION("""COMPUTED_VALUE"""),215.01)</f>
        <v>215.01</v>
      </c>
      <c r="W809" s="1">
        <f ca="1">IFERROR(__xludf.DUMMYFUNCTION("""COMPUTED_VALUE"""),465.87)</f>
        <v>465.87</v>
      </c>
      <c r="X809" s="1">
        <f ca="1">IFERROR(__xludf.DUMMYFUNCTION("""COMPUTED_VALUE"""),633.69)</f>
        <v>633.69000000000005</v>
      </c>
      <c r="Y809" s="1">
        <f ca="1">IFERROR(__xludf.DUMMYFUNCTION("""COMPUTED_VALUE"""),89.47)</f>
        <v>89.47</v>
      </c>
      <c r="Z809" s="1">
        <f ca="1">IFERROR(__xludf.DUMMYFUNCTION("""COMPUTED_VALUE"""),303.54)</f>
        <v>303.54000000000002</v>
      </c>
      <c r="AA809" s="1">
        <f ca="1">IFERROR(__xludf.DUMMYFUNCTION("""COMPUTED_VALUE"""),40.1)</f>
        <v>40.1</v>
      </c>
      <c r="AB809" s="1">
        <f ca="1">IFERROR(__xludf.DUMMYFUNCTION("""COMPUTED_VALUE"""),98.7)</f>
        <v>98.7</v>
      </c>
      <c r="AC809" s="1">
        <f ca="1">IFERROR(__xludf.DUMMYFUNCTION("""COMPUTED_VALUE"""),97.84)</f>
        <v>97.84</v>
      </c>
    </row>
    <row r="810" spans="1:29" x14ac:dyDescent="0.25">
      <c r="A810" s="2">
        <f ca="1">IFERROR(__xludf.DUMMYFUNCTION("""COMPUTED_VALUE"""),45005.6666666666)</f>
        <v>45005.666666666599</v>
      </c>
      <c r="B810" s="1">
        <f ca="1">IFERROR(__xludf.DUMMYFUNCTION("""COMPUTED_VALUE"""),157.4)</f>
        <v>157.4</v>
      </c>
      <c r="C810" s="1">
        <f ca="1">IFERROR(__xludf.DUMMYFUNCTION("""COMPUTED_VALUE"""),272.23)</f>
        <v>272.23</v>
      </c>
      <c r="D810" s="1">
        <f ca="1">IFERROR(__xludf.DUMMYFUNCTION("""COMPUTED_VALUE"""),97.71)</f>
        <v>97.71</v>
      </c>
      <c r="E810" s="1">
        <f ca="1">IFERROR(__xludf.DUMMYFUNCTION("""COMPUTED_VALUE"""),25.9)</f>
        <v>25.9</v>
      </c>
      <c r="F810" s="1">
        <f ca="1">IFERROR(__xludf.DUMMYFUNCTION("""COMPUTED_VALUE"""),197.81)</f>
        <v>197.81</v>
      </c>
      <c r="G810" s="1">
        <f ca="1">IFERROR(__xludf.DUMMYFUNCTION("""COMPUTED_VALUE"""),101.93)</f>
        <v>101.93</v>
      </c>
      <c r="H810" s="1">
        <f ca="1">IFERROR(__xludf.DUMMYFUNCTION("""COMPUTED_VALUE"""),183.25)</f>
        <v>183.25</v>
      </c>
      <c r="I810" s="1">
        <f ca="1">IFERROR(__xludf.DUMMYFUNCTION("""COMPUTED_VALUE"""),177.59)</f>
        <v>177.59</v>
      </c>
      <c r="J810" s="1">
        <f ca="1">IFERROR(__xludf.DUMMYFUNCTION("""COMPUTED_VALUE"""),489.29)</f>
        <v>489.29</v>
      </c>
      <c r="K810" s="1">
        <f ca="1">IFERROR(__xludf.DUMMYFUNCTION("""COMPUTED_VALUE"""),64.37)</f>
        <v>64.37</v>
      </c>
      <c r="L810" s="1">
        <f ca="1">IFERROR(__xludf.DUMMYFUNCTION("""COMPUTED_VALUE"""),362.88)</f>
        <v>362.88</v>
      </c>
      <c r="M810" s="1">
        <f ca="1">IFERROR(__xludf.DUMMYFUNCTION("""COMPUTED_VALUE"""),305.13)</f>
        <v>305.13</v>
      </c>
      <c r="N810" s="1">
        <f ca="1">IFERROR(__xludf.DUMMYFUNCTION("""COMPUTED_VALUE"""),127.14)</f>
        <v>127.14</v>
      </c>
      <c r="O810" s="1">
        <f ca="1">IFERROR(__xludf.DUMMYFUNCTION("""COMPUTED_VALUE"""),218.15)</f>
        <v>218.15</v>
      </c>
      <c r="P810" s="1">
        <f ca="1">IFERROR(__xludf.DUMMYFUNCTION("""COMPUTED_VALUE"""),153.89)</f>
        <v>153.88999999999999</v>
      </c>
      <c r="Q810" s="1">
        <f ca="1">IFERROR(__xludf.DUMMYFUNCTION("""COMPUTED_VALUE"""),476.96)</f>
        <v>476.96</v>
      </c>
      <c r="R810" s="1">
        <f ca="1">IFERROR(__xludf.DUMMYFUNCTION("""COMPUTED_VALUE"""),102.45)</f>
        <v>102.45</v>
      </c>
      <c r="S810" s="1">
        <f ca="1">IFERROR(__xludf.DUMMYFUNCTION("""COMPUTED_VALUE"""),75.97)</f>
        <v>75.97</v>
      </c>
      <c r="T810" s="1">
        <f ca="1">IFERROR(__xludf.DUMMYFUNCTION("""COMPUTED_VALUE"""),46.97)</f>
        <v>46.97</v>
      </c>
      <c r="U810" s="1">
        <f ca="1">IFERROR(__xludf.DUMMYFUNCTION("""COMPUTED_VALUE"""),121.2)</f>
        <v>121.2</v>
      </c>
      <c r="V810" s="1">
        <f ca="1">IFERROR(__xludf.DUMMYFUNCTION("""COMPUTED_VALUE"""),220.31)</f>
        <v>220.31</v>
      </c>
      <c r="W810" s="1">
        <f ca="1">IFERROR(__xludf.DUMMYFUNCTION("""COMPUTED_VALUE"""),475.7)</f>
        <v>475.7</v>
      </c>
      <c r="X810" s="1">
        <f ca="1">IFERROR(__xludf.DUMMYFUNCTION("""COMPUTED_VALUE"""),646.33)</f>
        <v>646.33000000000004</v>
      </c>
      <c r="Y810" s="1">
        <f ca="1">IFERROR(__xludf.DUMMYFUNCTION("""COMPUTED_VALUE"""),90.04)</f>
        <v>90.04</v>
      </c>
      <c r="Z810" s="1">
        <f ca="1">IFERROR(__xludf.DUMMYFUNCTION("""COMPUTED_VALUE"""),309.53)</f>
        <v>309.52999999999997</v>
      </c>
      <c r="AA810" s="1">
        <f ca="1">IFERROR(__xludf.DUMMYFUNCTION("""COMPUTED_VALUE"""),40.81)</f>
        <v>40.81</v>
      </c>
      <c r="AB810" s="1">
        <f ca="1">IFERROR(__xludf.DUMMYFUNCTION("""COMPUTED_VALUE"""),99.85)</f>
        <v>99.85</v>
      </c>
      <c r="AC810" s="1">
        <f ca="1">IFERROR(__xludf.DUMMYFUNCTION("""COMPUTED_VALUE"""),96.81)</f>
        <v>96.81</v>
      </c>
    </row>
    <row r="811" spans="1:29" x14ac:dyDescent="0.25">
      <c r="A811" s="2">
        <f ca="1">IFERROR(__xludf.DUMMYFUNCTION("""COMPUTED_VALUE"""),45006.6666666666)</f>
        <v>45006.666666666599</v>
      </c>
      <c r="B811" s="1">
        <f ca="1">IFERROR(__xludf.DUMMYFUNCTION("""COMPUTED_VALUE"""),159.28)</f>
        <v>159.28</v>
      </c>
      <c r="C811" s="1">
        <f ca="1">IFERROR(__xludf.DUMMYFUNCTION("""COMPUTED_VALUE"""),273.78)</f>
        <v>273.77999999999997</v>
      </c>
      <c r="D811" s="1">
        <f ca="1">IFERROR(__xludf.DUMMYFUNCTION("""COMPUTED_VALUE"""),100.61)</f>
        <v>100.61</v>
      </c>
      <c r="E811" s="1">
        <f ca="1">IFERROR(__xludf.DUMMYFUNCTION("""COMPUTED_VALUE"""),26.2)</f>
        <v>26.2</v>
      </c>
      <c r="F811" s="1">
        <f ca="1">IFERROR(__xludf.DUMMYFUNCTION("""COMPUTED_VALUE"""),202.16)</f>
        <v>202.16</v>
      </c>
      <c r="G811" s="1">
        <f ca="1">IFERROR(__xludf.DUMMYFUNCTION("""COMPUTED_VALUE"""),105.84)</f>
        <v>105.84</v>
      </c>
      <c r="H811" s="1">
        <f ca="1">IFERROR(__xludf.DUMMYFUNCTION("""COMPUTED_VALUE"""),197.58)</f>
        <v>197.58</v>
      </c>
      <c r="I811" s="1">
        <f ca="1">IFERROR(__xludf.DUMMYFUNCTION("""COMPUTED_VALUE"""),178.01)</f>
        <v>178.01</v>
      </c>
      <c r="J811" s="1">
        <f ca="1">IFERROR(__xludf.DUMMYFUNCTION("""COMPUTED_VALUE"""),490.85)</f>
        <v>490.85</v>
      </c>
      <c r="K811" s="1">
        <f ca="1">IFERROR(__xludf.DUMMYFUNCTION("""COMPUTED_VALUE"""),63.68)</f>
        <v>63.68</v>
      </c>
      <c r="L811" s="1">
        <f ca="1">IFERROR(__xludf.DUMMYFUNCTION("""COMPUTED_VALUE"""),374.22)</f>
        <v>374.22</v>
      </c>
      <c r="M811" s="1">
        <f ca="1">IFERROR(__xludf.DUMMYFUNCTION("""COMPUTED_VALUE"""),305.79)</f>
        <v>305.79000000000002</v>
      </c>
      <c r="N811" s="1">
        <f ca="1">IFERROR(__xludf.DUMMYFUNCTION("""COMPUTED_VALUE"""),130.55)</f>
        <v>130.55000000000001</v>
      </c>
      <c r="O811" s="1">
        <f ca="1">IFERROR(__xludf.DUMMYFUNCTION("""COMPUTED_VALUE"""),221.95)</f>
        <v>221.95</v>
      </c>
      <c r="P811" s="1">
        <f ca="1">IFERROR(__xludf.DUMMYFUNCTION("""COMPUTED_VALUE"""),153.89)</f>
        <v>153.88999999999999</v>
      </c>
      <c r="Q811" s="1">
        <f ca="1">IFERROR(__xludf.DUMMYFUNCTION("""COMPUTED_VALUE"""),480.1)</f>
        <v>480.1</v>
      </c>
      <c r="R811" s="1">
        <f ca="1">IFERROR(__xludf.DUMMYFUNCTION("""COMPUTED_VALUE"""),107.04)</f>
        <v>107.04</v>
      </c>
      <c r="S811" s="1">
        <f ca="1">IFERROR(__xludf.DUMMYFUNCTION("""COMPUTED_VALUE"""),75.36)</f>
        <v>75.36</v>
      </c>
      <c r="T811" s="1">
        <f ca="1">IFERROR(__xludf.DUMMYFUNCTION("""COMPUTED_VALUE"""),46.81)</f>
        <v>46.81</v>
      </c>
      <c r="U811" s="1">
        <f ca="1">IFERROR(__xludf.DUMMYFUNCTION("""COMPUTED_VALUE"""),125.61)</f>
        <v>125.61</v>
      </c>
      <c r="V811" s="1">
        <f ca="1">IFERROR(__xludf.DUMMYFUNCTION("""COMPUTED_VALUE"""),224.92)</f>
        <v>224.92</v>
      </c>
      <c r="W811" s="1">
        <f ca="1">IFERROR(__xludf.DUMMYFUNCTION("""COMPUTED_VALUE"""),474.76)</f>
        <v>474.76</v>
      </c>
      <c r="X811" s="1">
        <f ca="1">IFERROR(__xludf.DUMMYFUNCTION("""COMPUTED_VALUE"""),642.13)</f>
        <v>642.13</v>
      </c>
      <c r="Y811" s="1">
        <f ca="1">IFERROR(__xludf.DUMMYFUNCTION("""COMPUTED_VALUE"""),92.5)</f>
        <v>92.5</v>
      </c>
      <c r="Z811" s="1">
        <f ca="1">IFERROR(__xludf.DUMMYFUNCTION("""COMPUTED_VALUE"""),317.28)</f>
        <v>317.27999999999997</v>
      </c>
      <c r="AA811" s="1">
        <f ca="1">IFERROR(__xludf.DUMMYFUNCTION("""COMPUTED_VALUE"""),40.66)</f>
        <v>40.659999999999997</v>
      </c>
      <c r="AB811" s="1">
        <f ca="1">IFERROR(__xludf.DUMMYFUNCTION("""COMPUTED_VALUE"""),100.54)</f>
        <v>100.54</v>
      </c>
      <c r="AC811" s="1">
        <f ca="1">IFERROR(__xludf.DUMMYFUNCTION("""COMPUTED_VALUE"""),95.93)</f>
        <v>95.93</v>
      </c>
    </row>
    <row r="812" spans="1:29" x14ac:dyDescent="0.25">
      <c r="A812" s="2">
        <f ca="1">IFERROR(__xludf.DUMMYFUNCTION("""COMPUTED_VALUE"""),45007.6666666666)</f>
        <v>45007.666666666599</v>
      </c>
      <c r="B812" s="1">
        <f ca="1">IFERROR(__xludf.DUMMYFUNCTION("""COMPUTED_VALUE"""),157.83)</f>
        <v>157.83000000000001</v>
      </c>
      <c r="C812" s="1">
        <f ca="1">IFERROR(__xludf.DUMMYFUNCTION("""COMPUTED_VALUE"""),272.29)</f>
        <v>272.29000000000002</v>
      </c>
      <c r="D812" s="1">
        <f ca="1">IFERROR(__xludf.DUMMYFUNCTION("""COMPUTED_VALUE"""),98.7)</f>
        <v>98.7</v>
      </c>
      <c r="E812" s="1">
        <f ca="1">IFERROR(__xludf.DUMMYFUNCTION("""COMPUTED_VALUE"""),26.47)</f>
        <v>26.47</v>
      </c>
      <c r="F812" s="1">
        <f ca="1">IFERROR(__xludf.DUMMYFUNCTION("""COMPUTED_VALUE"""),199.81)</f>
        <v>199.81</v>
      </c>
      <c r="G812" s="1">
        <f ca="1">IFERROR(__xludf.DUMMYFUNCTION("""COMPUTED_VALUE"""),104.22)</f>
        <v>104.22</v>
      </c>
      <c r="H812" s="1">
        <f ca="1">IFERROR(__xludf.DUMMYFUNCTION("""COMPUTED_VALUE"""),191.15)</f>
        <v>191.15</v>
      </c>
      <c r="I812" s="1">
        <f ca="1">IFERROR(__xludf.DUMMYFUNCTION("""COMPUTED_VALUE"""),176.51)</f>
        <v>176.51</v>
      </c>
      <c r="J812" s="1">
        <f ca="1">IFERROR(__xludf.DUMMYFUNCTION("""COMPUTED_VALUE"""),487.52)</f>
        <v>487.52</v>
      </c>
      <c r="K812" s="1">
        <f ca="1">IFERROR(__xludf.DUMMYFUNCTION("""COMPUTED_VALUE"""),63.09)</f>
        <v>63.09</v>
      </c>
      <c r="L812" s="1">
        <f ca="1">IFERROR(__xludf.DUMMYFUNCTION("""COMPUTED_VALUE"""),361.71)</f>
        <v>361.71</v>
      </c>
      <c r="M812" s="1">
        <f ca="1">IFERROR(__xludf.DUMMYFUNCTION("""COMPUTED_VALUE"""),293.9)</f>
        <v>293.89999999999998</v>
      </c>
      <c r="N812" s="1">
        <f ca="1">IFERROR(__xludf.DUMMYFUNCTION("""COMPUTED_VALUE"""),127.18)</f>
        <v>127.18</v>
      </c>
      <c r="O812" s="1">
        <f ca="1">IFERROR(__xludf.DUMMYFUNCTION("""COMPUTED_VALUE"""),220.04)</f>
        <v>220.04</v>
      </c>
      <c r="P812" s="1">
        <f ca="1">IFERROR(__xludf.DUMMYFUNCTION("""COMPUTED_VALUE"""),151.05)</f>
        <v>151.05000000000001</v>
      </c>
      <c r="Q812" s="1">
        <f ca="1">IFERROR(__xludf.DUMMYFUNCTION("""COMPUTED_VALUE"""),475.52)</f>
        <v>475.52</v>
      </c>
      <c r="R812" s="1">
        <f ca="1">IFERROR(__xludf.DUMMYFUNCTION("""COMPUTED_VALUE"""),104.59)</f>
        <v>104.59</v>
      </c>
      <c r="S812" s="1">
        <f ca="1">IFERROR(__xludf.DUMMYFUNCTION("""COMPUTED_VALUE"""),74.13)</f>
        <v>74.13</v>
      </c>
      <c r="T812" s="1">
        <f ca="1">IFERROR(__xludf.DUMMYFUNCTION("""COMPUTED_VALUE"""),46.51)</f>
        <v>46.51</v>
      </c>
      <c r="U812" s="1">
        <f ca="1">IFERROR(__xludf.DUMMYFUNCTION("""COMPUTED_VALUE"""),119.5)</f>
        <v>119.5</v>
      </c>
      <c r="V812" s="1">
        <f ca="1">IFERROR(__xludf.DUMMYFUNCTION("""COMPUTED_VALUE"""),219.95)</f>
        <v>219.95</v>
      </c>
      <c r="W812" s="1">
        <f ca="1">IFERROR(__xludf.DUMMYFUNCTION("""COMPUTED_VALUE"""),468.9)</f>
        <v>468.9</v>
      </c>
      <c r="X812" s="1">
        <f ca="1">IFERROR(__xludf.DUMMYFUNCTION("""COMPUTED_VALUE"""),640.37)</f>
        <v>640.37</v>
      </c>
      <c r="Y812" s="1">
        <f ca="1">IFERROR(__xludf.DUMMYFUNCTION("""COMPUTED_VALUE"""),92.62)</f>
        <v>92.62</v>
      </c>
      <c r="Z812" s="1">
        <f ca="1">IFERROR(__xludf.DUMMYFUNCTION("""COMPUTED_VALUE"""),313.67)</f>
        <v>313.67</v>
      </c>
      <c r="AA812" s="1">
        <f ca="1">IFERROR(__xludf.DUMMYFUNCTION("""COMPUTED_VALUE"""),40.01)</f>
        <v>40.01</v>
      </c>
      <c r="AB812" s="1">
        <f ca="1">IFERROR(__xludf.DUMMYFUNCTION("""COMPUTED_VALUE"""),99.12)</f>
        <v>99.12</v>
      </c>
      <c r="AC812" s="1">
        <f ca="1">IFERROR(__xludf.DUMMYFUNCTION("""COMPUTED_VALUE"""),97.58)</f>
        <v>97.58</v>
      </c>
    </row>
    <row r="813" spans="1:29" x14ac:dyDescent="0.25">
      <c r="A813" s="2">
        <f ca="1">IFERROR(__xludf.DUMMYFUNCTION("""COMPUTED_VALUE"""),45008.6666666666)</f>
        <v>45008.666666666599</v>
      </c>
      <c r="B813" s="1">
        <f ca="1">IFERROR(__xludf.DUMMYFUNCTION("""COMPUTED_VALUE"""),158.93)</f>
        <v>158.93</v>
      </c>
      <c r="C813" s="1">
        <f ca="1">IFERROR(__xludf.DUMMYFUNCTION("""COMPUTED_VALUE"""),277.66)</f>
        <v>277.66000000000003</v>
      </c>
      <c r="D813" s="1">
        <f ca="1">IFERROR(__xludf.DUMMYFUNCTION("""COMPUTED_VALUE"""),98.71)</f>
        <v>98.71</v>
      </c>
      <c r="E813" s="1">
        <f ca="1">IFERROR(__xludf.DUMMYFUNCTION("""COMPUTED_VALUE"""),27.19)</f>
        <v>27.19</v>
      </c>
      <c r="F813" s="1">
        <f ca="1">IFERROR(__xludf.DUMMYFUNCTION("""COMPUTED_VALUE"""),204.28)</f>
        <v>204.28</v>
      </c>
      <c r="G813" s="1">
        <f ca="1">IFERROR(__xludf.DUMMYFUNCTION("""COMPUTED_VALUE"""),106.26)</f>
        <v>106.26</v>
      </c>
      <c r="H813" s="1">
        <f ca="1">IFERROR(__xludf.DUMMYFUNCTION("""COMPUTED_VALUE"""),192.22)</f>
        <v>192.22</v>
      </c>
      <c r="I813" s="1">
        <f ca="1">IFERROR(__xludf.DUMMYFUNCTION("""COMPUTED_VALUE"""),175.65)</f>
        <v>175.65</v>
      </c>
      <c r="J813" s="1">
        <f ca="1">IFERROR(__xludf.DUMMYFUNCTION("""COMPUTED_VALUE"""),487.76)</f>
        <v>487.76</v>
      </c>
      <c r="K813" s="1">
        <f ca="1">IFERROR(__xludf.DUMMYFUNCTION("""COMPUTED_VALUE"""),63.92)</f>
        <v>63.92</v>
      </c>
      <c r="L813" s="1">
        <f ca="1">IFERROR(__xludf.DUMMYFUNCTION("""COMPUTED_VALUE"""),369)</f>
        <v>369</v>
      </c>
      <c r="M813" s="1">
        <f ca="1">IFERROR(__xludf.DUMMYFUNCTION("""COMPUTED_VALUE"""),320.37)</f>
        <v>320.37</v>
      </c>
      <c r="N813" s="1">
        <f ca="1">IFERROR(__xludf.DUMMYFUNCTION("""COMPUTED_VALUE"""),126.84)</f>
        <v>126.84</v>
      </c>
      <c r="O813" s="1">
        <f ca="1">IFERROR(__xludf.DUMMYFUNCTION("""COMPUTED_VALUE"""),222.59)</f>
        <v>222.59</v>
      </c>
      <c r="P813" s="1">
        <f ca="1">IFERROR(__xludf.DUMMYFUNCTION("""COMPUTED_VALUE"""),151.13)</f>
        <v>151.13</v>
      </c>
      <c r="Q813" s="1">
        <f ca="1">IFERROR(__xludf.DUMMYFUNCTION("""COMPUTED_VALUE"""),469.91)</f>
        <v>469.91</v>
      </c>
      <c r="R813" s="1">
        <f ca="1">IFERROR(__xludf.DUMMYFUNCTION("""COMPUTED_VALUE"""),103.41)</f>
        <v>103.41</v>
      </c>
      <c r="S813" s="1">
        <f ca="1">IFERROR(__xludf.DUMMYFUNCTION("""COMPUTED_VALUE"""),73.81)</f>
        <v>73.81</v>
      </c>
      <c r="T813" s="1">
        <f ca="1">IFERROR(__xludf.DUMMYFUNCTION("""COMPUTED_VALUE"""),46.88)</f>
        <v>46.88</v>
      </c>
      <c r="U813" s="1">
        <f ca="1">IFERROR(__xludf.DUMMYFUNCTION("""COMPUTED_VALUE"""),120.97)</f>
        <v>120.97</v>
      </c>
      <c r="V813" s="1">
        <f ca="1">IFERROR(__xludf.DUMMYFUNCTION("""COMPUTED_VALUE"""),219.44)</f>
        <v>219.44</v>
      </c>
      <c r="W813" s="1">
        <f ca="1">IFERROR(__xludf.DUMMYFUNCTION("""COMPUTED_VALUE"""),467.9)</f>
        <v>467.9</v>
      </c>
      <c r="X813" s="1">
        <f ca="1">IFERROR(__xludf.DUMMYFUNCTION("""COMPUTED_VALUE"""),664.16)</f>
        <v>664.16</v>
      </c>
      <c r="Y813" s="1">
        <f ca="1">IFERROR(__xludf.DUMMYFUNCTION("""COMPUTED_VALUE"""),94.59)</f>
        <v>94.59</v>
      </c>
      <c r="Z813" s="1">
        <f ca="1">IFERROR(__xludf.DUMMYFUNCTION("""COMPUTED_VALUE"""),314.85)</f>
        <v>314.85000000000002</v>
      </c>
      <c r="AA813" s="1">
        <f ca="1">IFERROR(__xludf.DUMMYFUNCTION("""COMPUTED_VALUE"""),40.18)</f>
        <v>40.18</v>
      </c>
      <c r="AB813" s="1">
        <f ca="1">IFERROR(__xludf.DUMMYFUNCTION("""COMPUTED_VALUE"""),98.42)</f>
        <v>98.42</v>
      </c>
      <c r="AC813" s="1">
        <f ca="1">IFERROR(__xludf.DUMMYFUNCTION("""COMPUTED_VALUE"""),100.28)</f>
        <v>100.28</v>
      </c>
    </row>
    <row r="814" spans="1:29" x14ac:dyDescent="0.25">
      <c r="A814" s="2">
        <f ca="1">IFERROR(__xludf.DUMMYFUNCTION("""COMPUTED_VALUE"""),45009.6666666666)</f>
        <v>45009.666666666599</v>
      </c>
      <c r="B814" s="1">
        <f ca="1">IFERROR(__xludf.DUMMYFUNCTION("""COMPUTED_VALUE"""),160.25)</f>
        <v>160.25</v>
      </c>
      <c r="C814" s="1">
        <f ca="1">IFERROR(__xludf.DUMMYFUNCTION("""COMPUTED_VALUE"""),280.57)</f>
        <v>280.57</v>
      </c>
      <c r="D814" s="1">
        <f ca="1">IFERROR(__xludf.DUMMYFUNCTION("""COMPUTED_VALUE"""),98.13)</f>
        <v>98.13</v>
      </c>
      <c r="E814" s="1">
        <f ca="1">IFERROR(__xludf.DUMMYFUNCTION("""COMPUTED_VALUE"""),26.78)</f>
        <v>26.78</v>
      </c>
      <c r="F814" s="1">
        <f ca="1">IFERROR(__xludf.DUMMYFUNCTION("""COMPUTED_VALUE"""),206.01)</f>
        <v>206.01</v>
      </c>
      <c r="G814" s="1">
        <f ca="1">IFERROR(__xludf.DUMMYFUNCTION("""COMPUTED_VALUE"""),106.06)</f>
        <v>106.06</v>
      </c>
      <c r="H814" s="1">
        <f ca="1">IFERROR(__xludf.DUMMYFUNCTION("""COMPUTED_VALUE"""),190.41)</f>
        <v>190.41</v>
      </c>
      <c r="I814" s="1">
        <f ca="1">IFERROR(__xludf.DUMMYFUNCTION("""COMPUTED_VALUE"""),179.09)</f>
        <v>179.09</v>
      </c>
      <c r="J814" s="1">
        <f ca="1">IFERROR(__xludf.DUMMYFUNCTION("""COMPUTED_VALUE"""),495.27)</f>
        <v>495.27</v>
      </c>
      <c r="K814" s="1">
        <f ca="1">IFERROR(__xludf.DUMMYFUNCTION("""COMPUTED_VALUE"""),63.62)</f>
        <v>63.62</v>
      </c>
      <c r="L814" s="1">
        <f ca="1">IFERROR(__xludf.DUMMYFUNCTION("""COMPUTED_VALUE"""),374.96)</f>
        <v>374.96</v>
      </c>
      <c r="M814" s="1">
        <f ca="1">IFERROR(__xludf.DUMMYFUNCTION("""COMPUTED_VALUE"""),328.39)</f>
        <v>328.39</v>
      </c>
      <c r="N814" s="1">
        <f ca="1">IFERROR(__xludf.DUMMYFUNCTION("""COMPUTED_VALUE"""),124.91)</f>
        <v>124.91</v>
      </c>
      <c r="O814" s="1">
        <f ca="1">IFERROR(__xludf.DUMMYFUNCTION("""COMPUTED_VALUE"""),221.04)</f>
        <v>221.04</v>
      </c>
      <c r="P814" s="1">
        <f ca="1">IFERROR(__xludf.DUMMYFUNCTION("""COMPUTED_VALUE"""),152.65)</f>
        <v>152.65</v>
      </c>
      <c r="Q814" s="1">
        <f ca="1">IFERROR(__xludf.DUMMYFUNCTION("""COMPUTED_VALUE"""),475.99)</f>
        <v>475.99</v>
      </c>
      <c r="R814" s="1">
        <f ca="1">IFERROR(__xludf.DUMMYFUNCTION("""COMPUTED_VALUE"""),103.53)</f>
        <v>103.53</v>
      </c>
      <c r="S814" s="1">
        <f ca="1">IFERROR(__xludf.DUMMYFUNCTION("""COMPUTED_VALUE"""),75.69)</f>
        <v>75.69</v>
      </c>
      <c r="T814" s="1">
        <f ca="1">IFERROR(__xludf.DUMMYFUNCTION("""COMPUTED_VALUE"""),47.27)</f>
        <v>47.27</v>
      </c>
      <c r="U814" s="1">
        <f ca="1">IFERROR(__xludf.DUMMYFUNCTION("""COMPUTED_VALUE"""),120.71)</f>
        <v>120.71</v>
      </c>
      <c r="V814" s="1">
        <f ca="1">IFERROR(__xludf.DUMMYFUNCTION("""COMPUTED_VALUE"""),217.01)</f>
        <v>217.01</v>
      </c>
      <c r="W814" s="1">
        <f ca="1">IFERROR(__xludf.DUMMYFUNCTION("""COMPUTED_VALUE"""),474.54)</f>
        <v>474.54</v>
      </c>
      <c r="X814" s="1">
        <f ca="1">IFERROR(__xludf.DUMMYFUNCTION("""COMPUTED_VALUE"""),647.53)</f>
        <v>647.53</v>
      </c>
      <c r="Y814" s="1">
        <f ca="1">IFERROR(__xludf.DUMMYFUNCTION("""COMPUTED_VALUE"""),92.79)</f>
        <v>92.79</v>
      </c>
      <c r="Z814" s="1">
        <f ca="1">IFERROR(__xludf.DUMMYFUNCTION("""COMPUTED_VALUE"""),312.57)</f>
        <v>312.57</v>
      </c>
      <c r="AA814" s="1">
        <f ca="1">IFERROR(__xludf.DUMMYFUNCTION("""COMPUTED_VALUE"""),40.39)</f>
        <v>40.39</v>
      </c>
      <c r="AB814" s="1">
        <f ca="1">IFERROR(__xludf.DUMMYFUNCTION("""COMPUTED_VALUE"""),98.34)</f>
        <v>98.34</v>
      </c>
      <c r="AC814" s="1">
        <f ca="1">IFERROR(__xludf.DUMMYFUNCTION("""COMPUTED_VALUE"""),97.95)</f>
        <v>97.95</v>
      </c>
    </row>
    <row r="815" spans="1:29" x14ac:dyDescent="0.25">
      <c r="A815" s="2">
        <f ca="1">IFERROR(__xludf.DUMMYFUNCTION("""COMPUTED_VALUE"""),45012.6666666666)</f>
        <v>45012.666666666599</v>
      </c>
      <c r="B815" s="1">
        <f ca="1">IFERROR(__xludf.DUMMYFUNCTION("""COMPUTED_VALUE"""),158.28)</f>
        <v>158.28</v>
      </c>
      <c r="C815" s="1">
        <f ca="1">IFERROR(__xludf.DUMMYFUNCTION("""COMPUTED_VALUE"""),276.38)</f>
        <v>276.38</v>
      </c>
      <c r="D815" s="1">
        <f ca="1">IFERROR(__xludf.DUMMYFUNCTION("""COMPUTED_VALUE"""),98.04)</f>
        <v>98.04</v>
      </c>
      <c r="E815" s="1">
        <f ca="1">IFERROR(__xludf.DUMMYFUNCTION("""COMPUTED_VALUE"""),26.53)</f>
        <v>26.53</v>
      </c>
      <c r="F815" s="1">
        <f ca="1">IFERROR(__xludf.DUMMYFUNCTION("""COMPUTED_VALUE"""),202.84)</f>
        <v>202.84</v>
      </c>
      <c r="G815" s="1">
        <f ca="1">IFERROR(__xludf.DUMMYFUNCTION("""COMPUTED_VALUE"""),103.06)</f>
        <v>103.06</v>
      </c>
      <c r="H815" s="1">
        <f ca="1">IFERROR(__xludf.DUMMYFUNCTION("""COMPUTED_VALUE"""),191.81)</f>
        <v>191.81</v>
      </c>
      <c r="I815" s="1">
        <f ca="1">IFERROR(__xludf.DUMMYFUNCTION("""COMPUTED_VALUE"""),179.49)</f>
        <v>179.49</v>
      </c>
      <c r="J815" s="1">
        <f ca="1">IFERROR(__xludf.DUMMYFUNCTION("""COMPUTED_VALUE"""),493.22)</f>
        <v>493.22</v>
      </c>
      <c r="K815" s="1">
        <f ca="1">IFERROR(__xludf.DUMMYFUNCTION("""COMPUTED_VALUE"""),62.68)</f>
        <v>62.68</v>
      </c>
      <c r="L815" s="1">
        <f ca="1">IFERROR(__xludf.DUMMYFUNCTION("""COMPUTED_VALUE"""),373.15)</f>
        <v>373.15</v>
      </c>
      <c r="M815" s="1">
        <f ca="1">IFERROR(__xludf.DUMMYFUNCTION("""COMPUTED_VALUE"""),327.66)</f>
        <v>327.66000000000003</v>
      </c>
      <c r="N815" s="1">
        <f ca="1">IFERROR(__xludf.DUMMYFUNCTION("""COMPUTED_VALUE"""),128.49)</f>
        <v>128.49</v>
      </c>
      <c r="O815" s="1">
        <f ca="1">IFERROR(__xludf.DUMMYFUNCTION("""COMPUTED_VALUE"""),221.81)</f>
        <v>221.81</v>
      </c>
      <c r="P815" s="1">
        <f ca="1">IFERROR(__xludf.DUMMYFUNCTION("""COMPUTED_VALUE"""),153.3)</f>
        <v>153.30000000000001</v>
      </c>
      <c r="Q815" s="1">
        <f ca="1">IFERROR(__xludf.DUMMYFUNCTION("""COMPUTED_VALUE"""),481.9)</f>
        <v>481.9</v>
      </c>
      <c r="R815" s="1">
        <f ca="1">IFERROR(__xludf.DUMMYFUNCTION("""COMPUTED_VALUE"""),105.8)</f>
        <v>105.8</v>
      </c>
      <c r="S815" s="1">
        <f ca="1">IFERROR(__xludf.DUMMYFUNCTION("""COMPUTED_VALUE"""),75.44)</f>
        <v>75.44</v>
      </c>
      <c r="T815" s="1">
        <f ca="1">IFERROR(__xludf.DUMMYFUNCTION("""COMPUTED_VALUE"""),48.06)</f>
        <v>48.06</v>
      </c>
      <c r="U815" s="1">
        <f ca="1">IFERROR(__xludf.DUMMYFUNCTION("""COMPUTED_VALUE"""),117.81)</f>
        <v>117.81</v>
      </c>
      <c r="V815" s="1">
        <f ca="1">IFERROR(__xludf.DUMMYFUNCTION("""COMPUTED_VALUE"""),218)</f>
        <v>218</v>
      </c>
      <c r="W815" s="1">
        <f ca="1">IFERROR(__xludf.DUMMYFUNCTION("""COMPUTED_VALUE"""),473.39)</f>
        <v>473.39</v>
      </c>
      <c r="X815" s="1">
        <f ca="1">IFERROR(__xludf.DUMMYFUNCTION("""COMPUTED_VALUE"""),644.05)</f>
        <v>644.04999999999995</v>
      </c>
      <c r="Y815" s="1">
        <f ca="1">IFERROR(__xludf.DUMMYFUNCTION("""COMPUTED_VALUE"""),90.66)</f>
        <v>90.66</v>
      </c>
      <c r="Z815" s="1">
        <f ca="1">IFERROR(__xludf.DUMMYFUNCTION("""COMPUTED_VALUE"""),318.53)</f>
        <v>318.52999999999997</v>
      </c>
      <c r="AA815" s="1">
        <f ca="1">IFERROR(__xludf.DUMMYFUNCTION("""COMPUTED_VALUE"""),40.22)</f>
        <v>40.22</v>
      </c>
      <c r="AB815" s="1">
        <f ca="1">IFERROR(__xludf.DUMMYFUNCTION("""COMPUTED_VALUE"""),98.66)</f>
        <v>98.66</v>
      </c>
      <c r="AC815" s="1">
        <f ca="1">IFERROR(__xludf.DUMMYFUNCTION("""COMPUTED_VALUE"""),96.61)</f>
        <v>96.61</v>
      </c>
    </row>
    <row r="816" spans="1:29" x14ac:dyDescent="0.25">
      <c r="A816" s="2">
        <f ca="1">IFERROR(__xludf.DUMMYFUNCTION("""COMPUTED_VALUE"""),45013.6666666666)</f>
        <v>45013.666666666599</v>
      </c>
      <c r="B816" s="1">
        <f ca="1">IFERROR(__xludf.DUMMYFUNCTION("""COMPUTED_VALUE"""),157.65)</f>
        <v>157.65</v>
      </c>
      <c r="C816" s="1">
        <f ca="1">IFERROR(__xludf.DUMMYFUNCTION("""COMPUTED_VALUE"""),275.23)</f>
        <v>275.23</v>
      </c>
      <c r="D816" s="1">
        <f ca="1">IFERROR(__xludf.DUMMYFUNCTION("""COMPUTED_VALUE"""),97.24)</f>
        <v>97.24</v>
      </c>
      <c r="E816" s="1">
        <f ca="1">IFERROR(__xludf.DUMMYFUNCTION("""COMPUTED_VALUE"""),26.41)</f>
        <v>26.41</v>
      </c>
      <c r="F816" s="1">
        <f ca="1">IFERROR(__xludf.DUMMYFUNCTION("""COMPUTED_VALUE"""),200.68)</f>
        <v>200.68</v>
      </c>
      <c r="G816" s="1">
        <f ca="1">IFERROR(__xludf.DUMMYFUNCTION("""COMPUTED_VALUE"""),101.36)</f>
        <v>101.36</v>
      </c>
      <c r="H816" s="1">
        <f ca="1">IFERROR(__xludf.DUMMYFUNCTION("""COMPUTED_VALUE"""),189.19)</f>
        <v>189.19</v>
      </c>
      <c r="I816" s="1">
        <f ca="1">IFERROR(__xludf.DUMMYFUNCTION("""COMPUTED_VALUE"""),179.43)</f>
        <v>179.43</v>
      </c>
      <c r="J816" s="1">
        <f ca="1">IFERROR(__xludf.DUMMYFUNCTION("""COMPUTED_VALUE"""),486.77)</f>
        <v>486.77</v>
      </c>
      <c r="K816" s="1">
        <f ca="1">IFERROR(__xludf.DUMMYFUNCTION("""COMPUTED_VALUE"""),62.47)</f>
        <v>62.47</v>
      </c>
      <c r="L816" s="1">
        <f ca="1">IFERROR(__xludf.DUMMYFUNCTION("""COMPUTED_VALUE"""),373.4)</f>
        <v>373.4</v>
      </c>
      <c r="M816" s="1">
        <f ca="1">IFERROR(__xludf.DUMMYFUNCTION("""COMPUTED_VALUE"""),323.52)</f>
        <v>323.52</v>
      </c>
      <c r="N816" s="1">
        <f ca="1">IFERROR(__xludf.DUMMYFUNCTION("""COMPUTED_VALUE"""),128.88)</f>
        <v>128.88</v>
      </c>
      <c r="O816" s="1">
        <f ca="1">IFERROR(__xludf.DUMMYFUNCTION("""COMPUTED_VALUE"""),220.33)</f>
        <v>220.33</v>
      </c>
      <c r="P816" s="1">
        <f ca="1">IFERROR(__xludf.DUMMYFUNCTION("""COMPUTED_VALUE"""),151.82)</f>
        <v>151.82</v>
      </c>
      <c r="Q816" s="1">
        <f ca="1">IFERROR(__xludf.DUMMYFUNCTION("""COMPUTED_VALUE"""),472.58)</f>
        <v>472.58</v>
      </c>
      <c r="R816" s="1">
        <f ca="1">IFERROR(__xludf.DUMMYFUNCTION("""COMPUTED_VALUE"""),107.12)</f>
        <v>107.12</v>
      </c>
      <c r="S816" s="1">
        <f ca="1">IFERROR(__xludf.DUMMYFUNCTION("""COMPUTED_VALUE"""),75.24)</f>
        <v>75.239999999999995</v>
      </c>
      <c r="T816" s="1">
        <f ca="1">IFERROR(__xludf.DUMMYFUNCTION("""COMPUTED_VALUE"""),47.87)</f>
        <v>47.87</v>
      </c>
      <c r="U816" s="1">
        <f ca="1">IFERROR(__xludf.DUMMYFUNCTION("""COMPUTED_VALUE"""),117.87)</f>
        <v>117.87</v>
      </c>
      <c r="V816" s="1">
        <f ca="1">IFERROR(__xludf.DUMMYFUNCTION("""COMPUTED_VALUE"""),220.16)</f>
        <v>220.16</v>
      </c>
      <c r="W816" s="1">
        <f ca="1">IFERROR(__xludf.DUMMYFUNCTION("""COMPUTED_VALUE"""),471.44)</f>
        <v>471.44</v>
      </c>
      <c r="X816" s="1">
        <f ca="1">IFERROR(__xludf.DUMMYFUNCTION("""COMPUTED_VALUE"""),639.71)</f>
        <v>639.71</v>
      </c>
      <c r="Y816" s="1">
        <f ca="1">IFERROR(__xludf.DUMMYFUNCTION("""COMPUTED_VALUE"""),90.81)</f>
        <v>90.81</v>
      </c>
      <c r="Z816" s="1">
        <f ca="1">IFERROR(__xludf.DUMMYFUNCTION("""COMPUTED_VALUE"""),318.44)</f>
        <v>318.44</v>
      </c>
      <c r="AA816" s="1">
        <f ca="1">IFERROR(__xludf.DUMMYFUNCTION("""COMPUTED_VALUE"""),39.99)</f>
        <v>39.99</v>
      </c>
      <c r="AB816" s="1">
        <f ca="1">IFERROR(__xludf.DUMMYFUNCTION("""COMPUTED_VALUE"""),98.72)</f>
        <v>98.72</v>
      </c>
      <c r="AC816" s="1">
        <f ca="1">IFERROR(__xludf.DUMMYFUNCTION("""COMPUTED_VALUE"""),94.56)</f>
        <v>94.56</v>
      </c>
    </row>
    <row r="817" spans="1:29" x14ac:dyDescent="0.25">
      <c r="A817" s="2">
        <f ca="1">IFERROR(__xludf.DUMMYFUNCTION("""COMPUTED_VALUE"""),45014.6666666666)</f>
        <v>45014.666666666599</v>
      </c>
      <c r="B817" s="1">
        <f ca="1">IFERROR(__xludf.DUMMYFUNCTION("""COMPUTED_VALUE"""),160.77)</f>
        <v>160.77000000000001</v>
      </c>
      <c r="C817" s="1">
        <f ca="1">IFERROR(__xludf.DUMMYFUNCTION("""COMPUTED_VALUE"""),280.51)</f>
        <v>280.51</v>
      </c>
      <c r="D817" s="1">
        <f ca="1">IFERROR(__xludf.DUMMYFUNCTION("""COMPUTED_VALUE"""),100.25)</f>
        <v>100.25</v>
      </c>
      <c r="E817" s="1">
        <f ca="1">IFERROR(__xludf.DUMMYFUNCTION("""COMPUTED_VALUE"""),26.98)</f>
        <v>26.98</v>
      </c>
      <c r="F817" s="1">
        <f ca="1">IFERROR(__xludf.DUMMYFUNCTION("""COMPUTED_VALUE"""),205.35)</f>
        <v>205.35</v>
      </c>
      <c r="G817" s="1">
        <f ca="1">IFERROR(__xludf.DUMMYFUNCTION("""COMPUTED_VALUE"""),101.9)</f>
        <v>101.9</v>
      </c>
      <c r="H817" s="1">
        <f ca="1">IFERROR(__xludf.DUMMYFUNCTION("""COMPUTED_VALUE"""),193.88)</f>
        <v>193.88</v>
      </c>
      <c r="I817" s="1">
        <f ca="1">IFERROR(__xludf.DUMMYFUNCTION("""COMPUTED_VALUE"""),180.67)</f>
        <v>180.67</v>
      </c>
      <c r="J817" s="1">
        <f ca="1">IFERROR(__xludf.DUMMYFUNCTION("""COMPUTED_VALUE"""),490.87)</f>
        <v>490.87</v>
      </c>
      <c r="K817" s="1">
        <f ca="1">IFERROR(__xludf.DUMMYFUNCTION("""COMPUTED_VALUE"""),62.55)</f>
        <v>62.55</v>
      </c>
      <c r="L817" s="1">
        <f ca="1">IFERROR(__xludf.DUMMYFUNCTION("""COMPUTED_VALUE"""),379.16)</f>
        <v>379.16</v>
      </c>
      <c r="M817" s="1">
        <f ca="1">IFERROR(__xludf.DUMMYFUNCTION("""COMPUTED_VALUE"""),332.03)</f>
        <v>332.03</v>
      </c>
      <c r="N817" s="1">
        <f ca="1">IFERROR(__xludf.DUMMYFUNCTION("""COMPUTED_VALUE"""),129.14)</f>
        <v>129.13999999999999</v>
      </c>
      <c r="O817" s="1">
        <f ca="1">IFERROR(__xludf.DUMMYFUNCTION("""COMPUTED_VALUE"""),223.3)</f>
        <v>223.3</v>
      </c>
      <c r="P817" s="1">
        <f ca="1">IFERROR(__xludf.DUMMYFUNCTION("""COMPUTED_VALUE"""),153.31)</f>
        <v>153.31</v>
      </c>
      <c r="Q817" s="1">
        <f ca="1">IFERROR(__xludf.DUMMYFUNCTION("""COMPUTED_VALUE"""),466.59)</f>
        <v>466.59</v>
      </c>
      <c r="R817" s="1">
        <f ca="1">IFERROR(__xludf.DUMMYFUNCTION("""COMPUTED_VALUE"""),108.96)</f>
        <v>108.96</v>
      </c>
      <c r="S817" s="1">
        <f ca="1">IFERROR(__xludf.DUMMYFUNCTION("""COMPUTED_VALUE"""),76.11)</f>
        <v>76.11</v>
      </c>
      <c r="T817" s="1">
        <f ca="1">IFERROR(__xludf.DUMMYFUNCTION("""COMPUTED_VALUE"""),48.08)</f>
        <v>48.08</v>
      </c>
      <c r="U817" s="1">
        <f ca="1">IFERROR(__xludf.DUMMYFUNCTION("""COMPUTED_VALUE"""),120.49)</f>
        <v>120.49</v>
      </c>
      <c r="V817" s="1">
        <f ca="1">IFERROR(__xludf.DUMMYFUNCTION("""COMPUTED_VALUE"""),223)</f>
        <v>223</v>
      </c>
      <c r="W817" s="1">
        <f ca="1">IFERROR(__xludf.DUMMYFUNCTION("""COMPUTED_VALUE"""),474.19)</f>
        <v>474.19</v>
      </c>
      <c r="X817" s="1">
        <f ca="1">IFERROR(__xludf.DUMMYFUNCTION("""COMPUTED_VALUE"""),659.12)</f>
        <v>659.12</v>
      </c>
      <c r="Y817" s="1">
        <f ca="1">IFERROR(__xludf.DUMMYFUNCTION("""COMPUTED_VALUE"""),92.76)</f>
        <v>92.76</v>
      </c>
      <c r="Z817" s="1">
        <f ca="1">IFERROR(__xludf.DUMMYFUNCTION("""COMPUTED_VALUE"""),320.72)</f>
        <v>320.72000000000003</v>
      </c>
      <c r="AA817" s="1">
        <f ca="1">IFERROR(__xludf.DUMMYFUNCTION("""COMPUTED_VALUE"""),40.25)</f>
        <v>40.25</v>
      </c>
      <c r="AB817" s="1">
        <f ca="1">IFERROR(__xludf.DUMMYFUNCTION("""COMPUTED_VALUE"""),100.62)</f>
        <v>100.62</v>
      </c>
      <c r="AC817" s="1">
        <f ca="1">IFERROR(__xludf.DUMMYFUNCTION("""COMPUTED_VALUE"""),96.09)</f>
        <v>96.09</v>
      </c>
    </row>
    <row r="818" spans="1:29" x14ac:dyDescent="0.25">
      <c r="A818" s="2">
        <f ca="1">IFERROR(__xludf.DUMMYFUNCTION("""COMPUTED_VALUE"""),45015.6666666666)</f>
        <v>45015.666666666599</v>
      </c>
      <c r="B818" s="1">
        <f ca="1">IFERROR(__xludf.DUMMYFUNCTION("""COMPUTED_VALUE"""),162.36)</f>
        <v>162.36000000000001</v>
      </c>
      <c r="C818" s="1">
        <f ca="1">IFERROR(__xludf.DUMMYFUNCTION("""COMPUTED_VALUE"""),284.05)</f>
        <v>284.05</v>
      </c>
      <c r="D818" s="1">
        <f ca="1">IFERROR(__xludf.DUMMYFUNCTION("""COMPUTED_VALUE"""),102)</f>
        <v>102</v>
      </c>
      <c r="E818" s="1">
        <f ca="1">IFERROR(__xludf.DUMMYFUNCTION("""COMPUTED_VALUE"""),27.38)</f>
        <v>27.38</v>
      </c>
      <c r="F818" s="1">
        <f ca="1">IFERROR(__xludf.DUMMYFUNCTION("""COMPUTED_VALUE"""),207.84)</f>
        <v>207.84</v>
      </c>
      <c r="G818" s="1">
        <f ca="1">IFERROR(__xludf.DUMMYFUNCTION("""COMPUTED_VALUE"""),101.32)</f>
        <v>101.32</v>
      </c>
      <c r="H818" s="1">
        <f ca="1">IFERROR(__xludf.DUMMYFUNCTION("""COMPUTED_VALUE"""),195.28)</f>
        <v>195.28</v>
      </c>
      <c r="I818" s="1">
        <f ca="1">IFERROR(__xludf.DUMMYFUNCTION("""COMPUTED_VALUE"""),180.83)</f>
        <v>180.83</v>
      </c>
      <c r="J818" s="1">
        <f ca="1">IFERROR(__xludf.DUMMYFUNCTION("""COMPUTED_VALUE"""),491.48)</f>
        <v>491.48</v>
      </c>
      <c r="K818" s="1">
        <f ca="1">IFERROR(__xludf.DUMMYFUNCTION("""COMPUTED_VALUE"""),63.38)</f>
        <v>63.38</v>
      </c>
      <c r="L818" s="1">
        <f ca="1">IFERROR(__xludf.DUMMYFUNCTION("""COMPUTED_VALUE"""),381.9)</f>
        <v>381.9</v>
      </c>
      <c r="M818" s="1">
        <f ca="1">IFERROR(__xludf.DUMMYFUNCTION("""COMPUTED_VALUE"""),338.43)</f>
        <v>338.43</v>
      </c>
      <c r="N818" s="1">
        <f ca="1">IFERROR(__xludf.DUMMYFUNCTION("""COMPUTED_VALUE"""),128.75)</f>
        <v>128.75</v>
      </c>
      <c r="O818" s="1">
        <f ca="1">IFERROR(__xludf.DUMMYFUNCTION("""COMPUTED_VALUE"""),222.36)</f>
        <v>222.36</v>
      </c>
      <c r="P818" s="1">
        <f ca="1">IFERROR(__xludf.DUMMYFUNCTION("""COMPUTED_VALUE"""),153.43)</f>
        <v>153.43</v>
      </c>
      <c r="Q818" s="1">
        <f ca="1">IFERROR(__xludf.DUMMYFUNCTION("""COMPUTED_VALUE"""),470.06)</f>
        <v>470.06</v>
      </c>
      <c r="R818" s="1">
        <f ca="1">IFERROR(__xludf.DUMMYFUNCTION("""COMPUTED_VALUE"""),109.49)</f>
        <v>109.49</v>
      </c>
      <c r="S818" s="1">
        <f ca="1">IFERROR(__xludf.DUMMYFUNCTION("""COMPUTED_VALUE"""),76.59)</f>
        <v>76.59</v>
      </c>
      <c r="T818" s="1">
        <f ca="1">IFERROR(__xludf.DUMMYFUNCTION("""COMPUTED_VALUE"""),48.56)</f>
        <v>48.56</v>
      </c>
      <c r="U818" s="1">
        <f ca="1">IFERROR(__xludf.DUMMYFUNCTION("""COMPUTED_VALUE"""),120.1)</f>
        <v>120.1</v>
      </c>
      <c r="V818" s="1">
        <f ca="1">IFERROR(__xludf.DUMMYFUNCTION("""COMPUTED_VALUE"""),224.54)</f>
        <v>224.54</v>
      </c>
      <c r="W818" s="1">
        <f ca="1">IFERROR(__xludf.DUMMYFUNCTION("""COMPUTED_VALUE"""),473.18)</f>
        <v>473.18</v>
      </c>
      <c r="X818" s="1">
        <f ca="1">IFERROR(__xludf.DUMMYFUNCTION("""COMPUTED_VALUE"""),676.68)</f>
        <v>676.68</v>
      </c>
      <c r="Y818" s="1">
        <f ca="1">IFERROR(__xludf.DUMMYFUNCTION("""COMPUTED_VALUE"""),92.47)</f>
        <v>92.47</v>
      </c>
      <c r="Z818" s="1">
        <f ca="1">IFERROR(__xludf.DUMMYFUNCTION("""COMPUTED_VALUE"""),321.14)</f>
        <v>321.14</v>
      </c>
      <c r="AA818" s="1">
        <f ca="1">IFERROR(__xludf.DUMMYFUNCTION("""COMPUTED_VALUE"""),40.38)</f>
        <v>40.380000000000003</v>
      </c>
      <c r="AB818" s="1">
        <f ca="1">IFERROR(__xludf.DUMMYFUNCTION("""COMPUTED_VALUE"""),101.32)</f>
        <v>101.32</v>
      </c>
      <c r="AC818" s="1">
        <f ca="1">IFERROR(__xludf.DUMMYFUNCTION("""COMPUTED_VALUE"""),97.88)</f>
        <v>97.88</v>
      </c>
    </row>
    <row r="819" spans="1:29" x14ac:dyDescent="0.25">
      <c r="A819" s="2">
        <f ca="1">IFERROR(__xludf.DUMMYFUNCTION("""COMPUTED_VALUE"""),45016.6666666666)</f>
        <v>45016.666666666599</v>
      </c>
      <c r="B819" s="1">
        <f ca="1">IFERROR(__xludf.DUMMYFUNCTION("""COMPUTED_VALUE"""),164.9)</f>
        <v>164.9</v>
      </c>
      <c r="C819" s="1">
        <f ca="1">IFERROR(__xludf.DUMMYFUNCTION("""COMPUTED_VALUE"""),288.3)</f>
        <v>288.3</v>
      </c>
      <c r="D819" s="1">
        <f ca="1">IFERROR(__xludf.DUMMYFUNCTION("""COMPUTED_VALUE"""),103.29)</f>
        <v>103.29</v>
      </c>
      <c r="E819" s="1">
        <f ca="1">IFERROR(__xludf.DUMMYFUNCTION("""COMPUTED_VALUE"""),27.78)</f>
        <v>27.78</v>
      </c>
      <c r="F819" s="1">
        <f ca="1">IFERROR(__xludf.DUMMYFUNCTION("""COMPUTED_VALUE"""),211.94)</f>
        <v>211.94</v>
      </c>
      <c r="G819" s="1">
        <f ca="1">IFERROR(__xludf.DUMMYFUNCTION("""COMPUTED_VALUE"""),104)</f>
        <v>104</v>
      </c>
      <c r="H819" s="1">
        <f ca="1">IFERROR(__xludf.DUMMYFUNCTION("""COMPUTED_VALUE"""),207.46)</f>
        <v>207.46</v>
      </c>
      <c r="I819" s="1">
        <f ca="1">IFERROR(__xludf.DUMMYFUNCTION("""COMPUTED_VALUE"""),182.3)</f>
        <v>182.3</v>
      </c>
      <c r="J819" s="1">
        <f ca="1">IFERROR(__xludf.DUMMYFUNCTION("""COMPUTED_VALUE"""),496.87)</f>
        <v>496.87</v>
      </c>
      <c r="K819" s="1">
        <f ca="1">IFERROR(__xludf.DUMMYFUNCTION("""COMPUTED_VALUE"""),64.15)</f>
        <v>64.150000000000006</v>
      </c>
      <c r="L819" s="1">
        <f ca="1">IFERROR(__xludf.DUMMYFUNCTION("""COMPUTED_VALUE"""),385.37)</f>
        <v>385.37</v>
      </c>
      <c r="M819" s="1">
        <f ca="1">IFERROR(__xludf.DUMMYFUNCTION("""COMPUTED_VALUE"""),345.48)</f>
        <v>345.48</v>
      </c>
      <c r="N819" s="1">
        <f ca="1">IFERROR(__xludf.DUMMYFUNCTION("""COMPUTED_VALUE"""),130.31)</f>
        <v>130.31</v>
      </c>
      <c r="O819" s="1">
        <f ca="1">IFERROR(__xludf.DUMMYFUNCTION("""COMPUTED_VALUE"""),225.46)</f>
        <v>225.46</v>
      </c>
      <c r="P819" s="1">
        <f ca="1">IFERROR(__xludf.DUMMYFUNCTION("""COMPUTED_VALUE"""),155)</f>
        <v>155</v>
      </c>
      <c r="Q819" s="1">
        <f ca="1">IFERROR(__xludf.DUMMYFUNCTION("""COMPUTED_VALUE"""),472.59)</f>
        <v>472.59</v>
      </c>
      <c r="R819" s="1">
        <f ca="1">IFERROR(__xludf.DUMMYFUNCTION("""COMPUTED_VALUE"""),109.66)</f>
        <v>109.66</v>
      </c>
      <c r="S819" s="1">
        <f ca="1">IFERROR(__xludf.DUMMYFUNCTION("""COMPUTED_VALUE"""),77.08)</f>
        <v>77.08</v>
      </c>
      <c r="T819" s="1">
        <f ca="1">IFERROR(__xludf.DUMMYFUNCTION("""COMPUTED_VALUE"""),49.15)</f>
        <v>49.15</v>
      </c>
      <c r="U819" s="1">
        <f ca="1">IFERROR(__xludf.DUMMYFUNCTION("""COMPUTED_VALUE"""),122.64)</f>
        <v>122.64</v>
      </c>
      <c r="V819" s="1">
        <f ca="1">IFERROR(__xludf.DUMMYFUNCTION("""COMPUTED_VALUE"""),228.84)</f>
        <v>228.84</v>
      </c>
      <c r="W819" s="1">
        <f ca="1">IFERROR(__xludf.DUMMYFUNCTION("""COMPUTED_VALUE"""),472.73)</f>
        <v>472.73</v>
      </c>
      <c r="X819" s="1">
        <f ca="1">IFERROR(__xludf.DUMMYFUNCTION("""COMPUTED_VALUE"""),680.71)</f>
        <v>680.71</v>
      </c>
      <c r="Y819" s="1">
        <f ca="1">IFERROR(__xludf.DUMMYFUNCTION("""COMPUTED_VALUE"""),93.02)</f>
        <v>93.02</v>
      </c>
      <c r="Z819" s="1">
        <f ca="1">IFERROR(__xludf.DUMMYFUNCTION("""COMPUTED_VALUE"""),327.11)</f>
        <v>327.11</v>
      </c>
      <c r="AA819" s="1">
        <f ca="1">IFERROR(__xludf.DUMMYFUNCTION("""COMPUTED_VALUE"""),40.8)</f>
        <v>40.799999999999997</v>
      </c>
      <c r="AB819" s="1">
        <f ca="1">IFERROR(__xludf.DUMMYFUNCTION("""COMPUTED_VALUE"""),104.13)</f>
        <v>104.13</v>
      </c>
      <c r="AC819" s="1">
        <f ca="1">IFERROR(__xludf.DUMMYFUNCTION("""COMPUTED_VALUE"""),98.01)</f>
        <v>98.01</v>
      </c>
    </row>
    <row r="820" spans="1:29" x14ac:dyDescent="0.25">
      <c r="A820" s="2">
        <f ca="1">IFERROR(__xludf.DUMMYFUNCTION("""COMPUTED_VALUE"""),45019.6666666666)</f>
        <v>45019.666666666599</v>
      </c>
      <c r="B820" s="1">
        <f ca="1">IFERROR(__xludf.DUMMYFUNCTION("""COMPUTED_VALUE"""),166.17)</f>
        <v>166.17</v>
      </c>
      <c r="C820" s="1">
        <f ca="1">IFERROR(__xludf.DUMMYFUNCTION("""COMPUTED_VALUE"""),287.23)</f>
        <v>287.23</v>
      </c>
      <c r="D820" s="1">
        <f ca="1">IFERROR(__xludf.DUMMYFUNCTION("""COMPUTED_VALUE"""),102.41)</f>
        <v>102.41</v>
      </c>
      <c r="E820" s="1">
        <f ca="1">IFERROR(__xludf.DUMMYFUNCTION("""COMPUTED_VALUE"""),27.97)</f>
        <v>27.97</v>
      </c>
      <c r="F820" s="1">
        <f ca="1">IFERROR(__xludf.DUMMYFUNCTION("""COMPUTED_VALUE"""),213.07)</f>
        <v>213.07</v>
      </c>
      <c r="G820" s="1">
        <f ca="1">IFERROR(__xludf.DUMMYFUNCTION("""COMPUTED_VALUE"""),104.91)</f>
        <v>104.91</v>
      </c>
      <c r="H820" s="1">
        <f ca="1">IFERROR(__xludf.DUMMYFUNCTION("""COMPUTED_VALUE"""),194.77)</f>
        <v>194.77</v>
      </c>
      <c r="I820" s="1">
        <f ca="1">IFERROR(__xludf.DUMMYFUNCTION("""COMPUTED_VALUE"""),182.5)</f>
        <v>182.5</v>
      </c>
      <c r="J820" s="1">
        <f ca="1">IFERROR(__xludf.DUMMYFUNCTION("""COMPUTED_VALUE"""),497.03)</f>
        <v>497.03</v>
      </c>
      <c r="K820" s="1">
        <f ca="1">IFERROR(__xludf.DUMMYFUNCTION("""COMPUTED_VALUE"""),64.25)</f>
        <v>64.25</v>
      </c>
      <c r="L820" s="1">
        <f ca="1">IFERROR(__xludf.DUMMYFUNCTION("""COMPUTED_VALUE"""),380.08)</f>
        <v>380.08</v>
      </c>
      <c r="M820" s="1">
        <f ca="1">IFERROR(__xludf.DUMMYFUNCTION("""COMPUTED_VALUE"""),348.28)</f>
        <v>348.28</v>
      </c>
      <c r="N820" s="1">
        <f ca="1">IFERROR(__xludf.DUMMYFUNCTION("""COMPUTED_VALUE"""),130.16)</f>
        <v>130.16</v>
      </c>
      <c r="O820" s="1">
        <f ca="1">IFERROR(__xludf.DUMMYFUNCTION("""COMPUTED_VALUE"""),229)</f>
        <v>229</v>
      </c>
      <c r="P820" s="1">
        <f ca="1">IFERROR(__xludf.DUMMYFUNCTION("""COMPUTED_VALUE"""),156.85)</f>
        <v>156.85</v>
      </c>
      <c r="Q820" s="1">
        <f ca="1">IFERROR(__xludf.DUMMYFUNCTION("""COMPUTED_VALUE"""),494.19)</f>
        <v>494.19</v>
      </c>
      <c r="R820" s="1">
        <f ca="1">IFERROR(__xludf.DUMMYFUNCTION("""COMPUTED_VALUE"""),116.13)</f>
        <v>116.13</v>
      </c>
      <c r="S820" s="1">
        <f ca="1">IFERROR(__xludf.DUMMYFUNCTION("""COMPUTED_VALUE"""),76.67)</f>
        <v>76.67</v>
      </c>
      <c r="T820" s="1">
        <f ca="1">IFERROR(__xludf.DUMMYFUNCTION("""COMPUTED_VALUE"""),49.56)</f>
        <v>49.56</v>
      </c>
      <c r="U820" s="1">
        <f ca="1">IFERROR(__xludf.DUMMYFUNCTION("""COMPUTED_VALUE"""),121.67)</f>
        <v>121.67</v>
      </c>
      <c r="V820" s="1">
        <f ca="1">IFERROR(__xludf.DUMMYFUNCTION("""COMPUTED_VALUE"""),229.87)</f>
        <v>229.87</v>
      </c>
      <c r="W820" s="1">
        <f ca="1">IFERROR(__xludf.DUMMYFUNCTION("""COMPUTED_VALUE"""),486.62)</f>
        <v>486.62</v>
      </c>
      <c r="X820" s="1">
        <f ca="1">IFERROR(__xludf.DUMMYFUNCTION("""COMPUTED_VALUE"""),673.99)</f>
        <v>673.99</v>
      </c>
      <c r="Y820" s="1">
        <f ca="1">IFERROR(__xludf.DUMMYFUNCTION("""COMPUTED_VALUE"""),92.84)</f>
        <v>92.84</v>
      </c>
      <c r="Z820" s="1">
        <f ca="1">IFERROR(__xludf.DUMMYFUNCTION("""COMPUTED_VALUE"""),326.52)</f>
        <v>326.52</v>
      </c>
      <c r="AA820" s="1">
        <f ca="1">IFERROR(__xludf.DUMMYFUNCTION("""COMPUTED_VALUE"""),41.35)</f>
        <v>41.35</v>
      </c>
      <c r="AB820" s="1">
        <f ca="1">IFERROR(__xludf.DUMMYFUNCTION("""COMPUTED_VALUE"""),104.85)</f>
        <v>104.85</v>
      </c>
      <c r="AC820" s="1">
        <f ca="1">IFERROR(__xludf.DUMMYFUNCTION("""COMPUTED_VALUE"""),96.56)</f>
        <v>96.56</v>
      </c>
    </row>
    <row r="821" spans="1:29" x14ac:dyDescent="0.25">
      <c r="A821" s="2">
        <f ca="1">IFERROR(__xludf.DUMMYFUNCTION("""COMPUTED_VALUE"""),45020.6666666666)</f>
        <v>45020.666666666599</v>
      </c>
      <c r="B821" s="1">
        <f ca="1">IFERROR(__xludf.DUMMYFUNCTION("""COMPUTED_VALUE"""),165.63)</f>
        <v>165.63</v>
      </c>
      <c r="C821" s="1">
        <f ca="1">IFERROR(__xludf.DUMMYFUNCTION("""COMPUTED_VALUE"""),287.18)</f>
        <v>287.18</v>
      </c>
      <c r="D821" s="1">
        <f ca="1">IFERROR(__xludf.DUMMYFUNCTION("""COMPUTED_VALUE"""),103.95)</f>
        <v>103.95</v>
      </c>
      <c r="E821" s="1">
        <f ca="1">IFERROR(__xludf.DUMMYFUNCTION("""COMPUTED_VALUE"""),27.45)</f>
        <v>27.45</v>
      </c>
      <c r="F821" s="1">
        <f ca="1">IFERROR(__xludf.DUMMYFUNCTION("""COMPUTED_VALUE"""),214.72)</f>
        <v>214.72</v>
      </c>
      <c r="G821" s="1">
        <f ca="1">IFERROR(__xludf.DUMMYFUNCTION("""COMPUTED_VALUE"""),105.12)</f>
        <v>105.12</v>
      </c>
      <c r="H821" s="1">
        <f ca="1">IFERROR(__xludf.DUMMYFUNCTION("""COMPUTED_VALUE"""),192.58)</f>
        <v>192.58</v>
      </c>
      <c r="I821" s="1">
        <f ca="1">IFERROR(__xludf.DUMMYFUNCTION("""COMPUTED_VALUE"""),181.85)</f>
        <v>181.85</v>
      </c>
      <c r="J821" s="1">
        <f ca="1">IFERROR(__xludf.DUMMYFUNCTION("""COMPUTED_VALUE"""),497.73)</f>
        <v>497.73</v>
      </c>
      <c r="K821" s="1">
        <f ca="1">IFERROR(__xludf.DUMMYFUNCTION("""COMPUTED_VALUE"""),63.44)</f>
        <v>63.44</v>
      </c>
      <c r="L821" s="1">
        <f ca="1">IFERROR(__xludf.DUMMYFUNCTION("""COMPUTED_VALUE"""),385.15)</f>
        <v>385.15</v>
      </c>
      <c r="M821" s="1">
        <f ca="1">IFERROR(__xludf.DUMMYFUNCTION("""COMPUTED_VALUE"""),346.75)</f>
        <v>346.75</v>
      </c>
      <c r="N821" s="1">
        <f ca="1">IFERROR(__xludf.DUMMYFUNCTION("""COMPUTED_VALUE"""),128.42)</f>
        <v>128.41999999999999</v>
      </c>
      <c r="O821" s="1">
        <f ca="1">IFERROR(__xludf.DUMMYFUNCTION("""COMPUTED_VALUE"""),227.66)</f>
        <v>227.66</v>
      </c>
      <c r="P821" s="1">
        <f ca="1">IFERROR(__xludf.DUMMYFUNCTION("""COMPUTED_VALUE"""),158.49)</f>
        <v>158.49</v>
      </c>
      <c r="Q821" s="1">
        <f ca="1">IFERROR(__xludf.DUMMYFUNCTION("""COMPUTED_VALUE"""),493.25)</f>
        <v>493.25</v>
      </c>
      <c r="R821" s="1">
        <f ca="1">IFERROR(__xludf.DUMMYFUNCTION("""COMPUTED_VALUE"""),115.02)</f>
        <v>115.02</v>
      </c>
      <c r="S821" s="1">
        <f ca="1">IFERROR(__xludf.DUMMYFUNCTION("""COMPUTED_VALUE"""),77.16)</f>
        <v>77.16</v>
      </c>
      <c r="T821" s="1">
        <f ca="1">IFERROR(__xludf.DUMMYFUNCTION("""COMPUTED_VALUE"""),49.08)</f>
        <v>49.08</v>
      </c>
      <c r="U821" s="1">
        <f ca="1">IFERROR(__xludf.DUMMYFUNCTION("""COMPUTED_VALUE"""),123.69)</f>
        <v>123.69</v>
      </c>
      <c r="V821" s="1">
        <f ca="1">IFERROR(__xludf.DUMMYFUNCTION("""COMPUTED_VALUE"""),217.45)</f>
        <v>217.45</v>
      </c>
      <c r="W821" s="1">
        <f ca="1">IFERROR(__xludf.DUMMYFUNCTION("""COMPUTED_VALUE"""),488.54)</f>
        <v>488.54</v>
      </c>
      <c r="X821" s="1">
        <f ca="1">IFERROR(__xludf.DUMMYFUNCTION("""COMPUTED_VALUE"""),668.68)</f>
        <v>668.68</v>
      </c>
      <c r="Y821" s="1">
        <f ca="1">IFERROR(__xludf.DUMMYFUNCTION("""COMPUTED_VALUE"""),92.17)</f>
        <v>92.17</v>
      </c>
      <c r="Z821" s="1">
        <f ca="1">IFERROR(__xludf.DUMMYFUNCTION("""COMPUTED_VALUE"""),322.65)</f>
        <v>322.64999999999998</v>
      </c>
      <c r="AA821" s="1">
        <f ca="1">IFERROR(__xludf.DUMMYFUNCTION("""COMPUTED_VALUE"""),40.9)</f>
        <v>40.9</v>
      </c>
      <c r="AB821" s="1">
        <f ca="1">IFERROR(__xludf.DUMMYFUNCTION("""COMPUTED_VALUE"""),104)</f>
        <v>104</v>
      </c>
      <c r="AC821" s="1">
        <f ca="1">IFERROR(__xludf.DUMMYFUNCTION("""COMPUTED_VALUE"""),95.87)</f>
        <v>95.87</v>
      </c>
    </row>
    <row r="822" spans="1:29" x14ac:dyDescent="0.25">
      <c r="A822" s="2">
        <f ca="1">IFERROR(__xludf.DUMMYFUNCTION("""COMPUTED_VALUE"""),45021.6666666666)</f>
        <v>45021.666666666599</v>
      </c>
      <c r="B822" s="1">
        <f ca="1">IFERROR(__xludf.DUMMYFUNCTION("""COMPUTED_VALUE"""),163.76)</f>
        <v>163.76</v>
      </c>
      <c r="C822" s="1">
        <f ca="1">IFERROR(__xludf.DUMMYFUNCTION("""COMPUTED_VALUE"""),284.34)</f>
        <v>284.33999999999997</v>
      </c>
      <c r="D822" s="1">
        <f ca="1">IFERROR(__xludf.DUMMYFUNCTION("""COMPUTED_VALUE"""),101.1)</f>
        <v>101.1</v>
      </c>
      <c r="E822" s="1">
        <f ca="1">IFERROR(__xludf.DUMMYFUNCTION("""COMPUTED_VALUE"""),26.88)</f>
        <v>26.88</v>
      </c>
      <c r="F822" s="1">
        <f ca="1">IFERROR(__xludf.DUMMYFUNCTION("""COMPUTED_VALUE"""),211.48)</f>
        <v>211.48</v>
      </c>
      <c r="G822" s="1">
        <f ca="1">IFERROR(__xludf.DUMMYFUNCTION("""COMPUTED_VALUE"""),104.95)</f>
        <v>104.95</v>
      </c>
      <c r="H822" s="1">
        <f ca="1">IFERROR(__xludf.DUMMYFUNCTION("""COMPUTED_VALUE"""),185.52)</f>
        <v>185.52</v>
      </c>
      <c r="I822" s="1">
        <f ca="1">IFERROR(__xludf.DUMMYFUNCTION("""COMPUTED_VALUE"""),183.64)</f>
        <v>183.64</v>
      </c>
      <c r="J822" s="1">
        <f ca="1">IFERROR(__xludf.DUMMYFUNCTION("""COMPUTED_VALUE"""),497.13)</f>
        <v>497.13</v>
      </c>
      <c r="K822" s="1">
        <f ca="1">IFERROR(__xludf.DUMMYFUNCTION("""COMPUTED_VALUE"""),62.9)</f>
        <v>62.9</v>
      </c>
      <c r="L822" s="1">
        <f ca="1">IFERROR(__xludf.DUMMYFUNCTION("""COMPUTED_VALUE"""),382.02)</f>
        <v>382.02</v>
      </c>
      <c r="M822" s="1">
        <f ca="1">IFERROR(__xludf.DUMMYFUNCTION("""COMPUTED_VALUE"""),342.35)</f>
        <v>342.35</v>
      </c>
      <c r="N822" s="1">
        <f ca="1">IFERROR(__xludf.DUMMYFUNCTION("""COMPUTED_VALUE"""),127.61)</f>
        <v>127.61</v>
      </c>
      <c r="O822" s="1">
        <f ca="1">IFERROR(__xludf.DUMMYFUNCTION("""COMPUTED_VALUE"""),228.17)</f>
        <v>228.17</v>
      </c>
      <c r="P822" s="1">
        <f ca="1">IFERROR(__xludf.DUMMYFUNCTION("""COMPUTED_VALUE"""),165.61)</f>
        <v>165.61</v>
      </c>
      <c r="Q822" s="1">
        <f ca="1">IFERROR(__xludf.DUMMYFUNCTION("""COMPUTED_VALUE"""),509.23)</f>
        <v>509.23</v>
      </c>
      <c r="R822" s="1">
        <f ca="1">IFERROR(__xludf.DUMMYFUNCTION("""COMPUTED_VALUE"""),116.99)</f>
        <v>116.99</v>
      </c>
      <c r="S822" s="1">
        <f ca="1">IFERROR(__xludf.DUMMYFUNCTION("""COMPUTED_VALUE"""),78.33)</f>
        <v>78.33</v>
      </c>
      <c r="T822" s="1">
        <f ca="1">IFERROR(__xludf.DUMMYFUNCTION("""COMPUTED_VALUE"""),49.89)</f>
        <v>49.89</v>
      </c>
      <c r="U822" s="1">
        <f ca="1">IFERROR(__xludf.DUMMYFUNCTION("""COMPUTED_VALUE"""),120.9)</f>
        <v>120.9</v>
      </c>
      <c r="V822" s="1">
        <f ca="1">IFERROR(__xludf.DUMMYFUNCTION("""COMPUTED_VALUE"""),213.53)</f>
        <v>213.53</v>
      </c>
      <c r="W822" s="1">
        <f ca="1">IFERROR(__xludf.DUMMYFUNCTION("""COMPUTED_VALUE"""),489.99)</f>
        <v>489.99</v>
      </c>
      <c r="X822" s="1">
        <f ca="1">IFERROR(__xludf.DUMMYFUNCTION("""COMPUTED_VALUE"""),663.9)</f>
        <v>663.9</v>
      </c>
      <c r="Y822" s="1">
        <f ca="1">IFERROR(__xludf.DUMMYFUNCTION("""COMPUTED_VALUE"""),90.2)</f>
        <v>90.2</v>
      </c>
      <c r="Z822" s="1">
        <f ca="1">IFERROR(__xludf.DUMMYFUNCTION("""COMPUTED_VALUE"""),321.53)</f>
        <v>321.52999999999997</v>
      </c>
      <c r="AA822" s="1">
        <f ca="1">IFERROR(__xludf.DUMMYFUNCTION("""COMPUTED_VALUE"""),41.55)</f>
        <v>41.55</v>
      </c>
      <c r="AB822" s="1">
        <f ca="1">IFERROR(__xludf.DUMMYFUNCTION("""COMPUTED_VALUE"""),104.9)</f>
        <v>104.9</v>
      </c>
      <c r="AC822" s="1">
        <f ca="1">IFERROR(__xludf.DUMMYFUNCTION("""COMPUTED_VALUE"""),92.56)</f>
        <v>92.56</v>
      </c>
    </row>
    <row r="823" spans="1:29" x14ac:dyDescent="0.25">
      <c r="A823" s="2">
        <f ca="1">IFERROR(__xludf.DUMMYFUNCTION("""COMPUTED_VALUE"""),45022.6666666666)</f>
        <v>45022.666666666599</v>
      </c>
      <c r="B823" s="1">
        <f ca="1">IFERROR(__xludf.DUMMYFUNCTION("""COMPUTED_VALUE"""),164.66)</f>
        <v>164.66</v>
      </c>
      <c r="C823" s="1">
        <f ca="1">IFERROR(__xludf.DUMMYFUNCTION("""COMPUTED_VALUE"""),291.6)</f>
        <v>291.60000000000002</v>
      </c>
      <c r="D823" s="1">
        <f ca="1">IFERROR(__xludf.DUMMYFUNCTION("""COMPUTED_VALUE"""),102.06)</f>
        <v>102.06</v>
      </c>
      <c r="E823" s="1">
        <f ca="1">IFERROR(__xludf.DUMMYFUNCTION("""COMPUTED_VALUE"""),27.04)</f>
        <v>27.04</v>
      </c>
      <c r="F823" s="1">
        <f ca="1">IFERROR(__xludf.DUMMYFUNCTION("""COMPUTED_VALUE"""),216.1)</f>
        <v>216.1</v>
      </c>
      <c r="G823" s="1">
        <f ca="1">IFERROR(__xludf.DUMMYFUNCTION("""COMPUTED_VALUE"""),108.9)</f>
        <v>108.9</v>
      </c>
      <c r="H823" s="1">
        <f ca="1">IFERROR(__xludf.DUMMYFUNCTION("""COMPUTED_VALUE"""),185.06)</f>
        <v>185.06</v>
      </c>
      <c r="I823" s="1">
        <f ca="1">IFERROR(__xludf.DUMMYFUNCTION("""COMPUTED_VALUE"""),184.36)</f>
        <v>184.36</v>
      </c>
      <c r="J823" s="1">
        <f ca="1">IFERROR(__xludf.DUMMYFUNCTION("""COMPUTED_VALUE"""),485.98)</f>
        <v>485.98</v>
      </c>
      <c r="K823" s="1">
        <f ca="1">IFERROR(__xludf.DUMMYFUNCTION("""COMPUTED_VALUE"""),62.26)</f>
        <v>62.26</v>
      </c>
      <c r="L823" s="1">
        <f ca="1">IFERROR(__xludf.DUMMYFUNCTION("""COMPUTED_VALUE"""),380.6)</f>
        <v>380.6</v>
      </c>
      <c r="M823" s="1">
        <f ca="1">IFERROR(__xludf.DUMMYFUNCTION("""COMPUTED_VALUE"""),339.33)</f>
        <v>339.33</v>
      </c>
      <c r="N823" s="1">
        <f ca="1">IFERROR(__xludf.DUMMYFUNCTION("""COMPUTED_VALUE"""),127.47)</f>
        <v>127.47</v>
      </c>
      <c r="O823" s="1">
        <f ca="1">IFERROR(__xludf.DUMMYFUNCTION("""COMPUTED_VALUE"""),225.99)</f>
        <v>225.99</v>
      </c>
      <c r="P823" s="1">
        <f ca="1">IFERROR(__xludf.DUMMYFUNCTION("""COMPUTED_VALUE"""),165.15)</f>
        <v>165.15</v>
      </c>
      <c r="Q823" s="1">
        <f ca="1">IFERROR(__xludf.DUMMYFUNCTION("""COMPUTED_VALUE"""),512.81)</f>
        <v>512.80999999999995</v>
      </c>
      <c r="R823" s="1">
        <f ca="1">IFERROR(__xludf.DUMMYFUNCTION("""COMPUTED_VALUE"""),115.05)</f>
        <v>115.05</v>
      </c>
      <c r="S823" s="1">
        <f ca="1">IFERROR(__xludf.DUMMYFUNCTION("""COMPUTED_VALUE"""),78.97)</f>
        <v>78.97</v>
      </c>
      <c r="T823" s="1">
        <f ca="1">IFERROR(__xludf.DUMMYFUNCTION("""COMPUTED_VALUE"""),50.27)</f>
        <v>50.27</v>
      </c>
      <c r="U823" s="1">
        <f ca="1">IFERROR(__xludf.DUMMYFUNCTION("""COMPUTED_VALUE"""),120.22)</f>
        <v>120.22</v>
      </c>
      <c r="V823" s="1">
        <f ca="1">IFERROR(__xludf.DUMMYFUNCTION("""COMPUTED_VALUE"""),209.17)</f>
        <v>209.17</v>
      </c>
      <c r="W823" s="1">
        <f ca="1">IFERROR(__xludf.DUMMYFUNCTION("""COMPUTED_VALUE"""),490.17)</f>
        <v>490.17</v>
      </c>
      <c r="X823" s="1">
        <f ca="1">IFERROR(__xludf.DUMMYFUNCTION("""COMPUTED_VALUE"""),657.12)</f>
        <v>657.12</v>
      </c>
      <c r="Y823" s="1">
        <f ca="1">IFERROR(__xludf.DUMMYFUNCTION("""COMPUTED_VALUE"""),90.24)</f>
        <v>90.24</v>
      </c>
      <c r="Z823" s="1">
        <f ca="1">IFERROR(__xludf.DUMMYFUNCTION("""COMPUTED_VALUE"""),322.4)</f>
        <v>322.39999999999998</v>
      </c>
      <c r="AA823" s="1">
        <f ca="1">IFERROR(__xludf.DUMMYFUNCTION("""COMPUTED_VALUE"""),41.5)</f>
        <v>41.5</v>
      </c>
      <c r="AB823" s="1">
        <f ca="1">IFERROR(__xludf.DUMMYFUNCTION("""COMPUTED_VALUE"""),104.68)</f>
        <v>104.68</v>
      </c>
      <c r="AC823" s="1">
        <f ca="1">IFERROR(__xludf.DUMMYFUNCTION("""COMPUTED_VALUE"""),92.47)</f>
        <v>92.47</v>
      </c>
    </row>
    <row r="824" spans="1:29" x14ac:dyDescent="0.25">
      <c r="A824" s="2">
        <f ca="1">IFERROR(__xludf.DUMMYFUNCTION("""COMPUTED_VALUE"""),45026.6666666666)</f>
        <v>45026.666666666599</v>
      </c>
      <c r="B824" s="1">
        <f ca="1">IFERROR(__xludf.DUMMYFUNCTION("""COMPUTED_VALUE"""),162.03)</f>
        <v>162.03</v>
      </c>
      <c r="C824" s="1">
        <f ca="1">IFERROR(__xludf.DUMMYFUNCTION("""COMPUTED_VALUE"""),289.39)</f>
        <v>289.39</v>
      </c>
      <c r="D824" s="1">
        <f ca="1">IFERROR(__xludf.DUMMYFUNCTION("""COMPUTED_VALUE"""),102.17)</f>
        <v>102.17</v>
      </c>
      <c r="E824" s="1">
        <f ca="1">IFERROR(__xludf.DUMMYFUNCTION("""COMPUTED_VALUE"""),27.58)</f>
        <v>27.58</v>
      </c>
      <c r="F824" s="1">
        <f ca="1">IFERROR(__xludf.DUMMYFUNCTION("""COMPUTED_VALUE"""),214.75)</f>
        <v>214.75</v>
      </c>
      <c r="G824" s="1">
        <f ca="1">IFERROR(__xludf.DUMMYFUNCTION("""COMPUTED_VALUE"""),106.95)</f>
        <v>106.95</v>
      </c>
      <c r="H824" s="1">
        <f ca="1">IFERROR(__xludf.DUMMYFUNCTION("""COMPUTED_VALUE"""),184.51)</f>
        <v>184.51</v>
      </c>
      <c r="I824" s="1">
        <f ca="1">IFERROR(__xludf.DUMMYFUNCTION("""COMPUTED_VALUE"""),183.2)</f>
        <v>183.2</v>
      </c>
      <c r="J824" s="1">
        <f ca="1">IFERROR(__xludf.DUMMYFUNCTION("""COMPUTED_VALUE"""),493.83)</f>
        <v>493.83</v>
      </c>
      <c r="K824" s="1">
        <f ca="1">IFERROR(__xludf.DUMMYFUNCTION("""COMPUTED_VALUE"""),62.74)</f>
        <v>62.74</v>
      </c>
      <c r="L824" s="1">
        <f ca="1">IFERROR(__xludf.DUMMYFUNCTION("""COMPUTED_VALUE"""),376.25)</f>
        <v>376.25</v>
      </c>
      <c r="M824" s="1">
        <f ca="1">IFERROR(__xludf.DUMMYFUNCTION("""COMPUTED_VALUE"""),338.99)</f>
        <v>338.99</v>
      </c>
      <c r="N824" s="1">
        <f ca="1">IFERROR(__xludf.DUMMYFUNCTION("""COMPUTED_VALUE"""),127.89)</f>
        <v>127.89</v>
      </c>
      <c r="O824" s="1">
        <f ca="1">IFERROR(__xludf.DUMMYFUNCTION("""COMPUTED_VALUE"""),226.43)</f>
        <v>226.43</v>
      </c>
      <c r="P824" s="1">
        <f ca="1">IFERROR(__xludf.DUMMYFUNCTION("""COMPUTED_VALUE"""),164.32)</f>
        <v>164.32</v>
      </c>
      <c r="Q824" s="1">
        <f ca="1">IFERROR(__xludf.DUMMYFUNCTION("""COMPUTED_VALUE"""),515.18)</f>
        <v>515.17999999999995</v>
      </c>
      <c r="R824" s="1">
        <f ca="1">IFERROR(__xludf.DUMMYFUNCTION("""COMPUTED_VALUE"""),114.54)</f>
        <v>114.54</v>
      </c>
      <c r="S824" s="1">
        <f ca="1">IFERROR(__xludf.DUMMYFUNCTION("""COMPUTED_VALUE"""),78.43)</f>
        <v>78.430000000000007</v>
      </c>
      <c r="T824" s="1">
        <f ca="1">IFERROR(__xludf.DUMMYFUNCTION("""COMPUTED_VALUE"""),50.17)</f>
        <v>50.17</v>
      </c>
      <c r="U824" s="1">
        <f ca="1">IFERROR(__xludf.DUMMYFUNCTION("""COMPUTED_VALUE"""),121.91)</f>
        <v>121.91</v>
      </c>
      <c r="V824" s="1">
        <f ca="1">IFERROR(__xludf.DUMMYFUNCTION("""COMPUTED_VALUE"""),215.53)</f>
        <v>215.53</v>
      </c>
      <c r="W824" s="1">
        <f ca="1">IFERROR(__xludf.DUMMYFUNCTION("""COMPUTED_VALUE"""),496.75)</f>
        <v>496.75</v>
      </c>
      <c r="X824" s="1">
        <f ca="1">IFERROR(__xludf.DUMMYFUNCTION("""COMPUTED_VALUE"""),661.64)</f>
        <v>661.64</v>
      </c>
      <c r="Y824" s="1">
        <f ca="1">IFERROR(__xludf.DUMMYFUNCTION("""COMPUTED_VALUE"""),89.02)</f>
        <v>89.02</v>
      </c>
      <c r="Z824" s="1">
        <f ca="1">IFERROR(__xludf.DUMMYFUNCTION("""COMPUTED_VALUE"""),324.96)</f>
        <v>324.95999999999998</v>
      </c>
      <c r="AA824" s="1">
        <f ca="1">IFERROR(__xludf.DUMMYFUNCTION("""COMPUTED_VALUE"""),41.73)</f>
        <v>41.73</v>
      </c>
      <c r="AB824" s="1">
        <f ca="1">IFERROR(__xludf.DUMMYFUNCTION("""COMPUTED_VALUE"""),104.74)</f>
        <v>104.74</v>
      </c>
      <c r="AC824" s="1">
        <f ca="1">IFERROR(__xludf.DUMMYFUNCTION("""COMPUTED_VALUE"""),95.48)</f>
        <v>95.48</v>
      </c>
    </row>
    <row r="825" spans="1:29" x14ac:dyDescent="0.25">
      <c r="A825" s="2">
        <f ca="1">IFERROR(__xludf.DUMMYFUNCTION("""COMPUTED_VALUE"""),45027.6666666666)</f>
        <v>45027.666666666599</v>
      </c>
      <c r="B825" s="1">
        <f ca="1">IFERROR(__xludf.DUMMYFUNCTION("""COMPUTED_VALUE"""),160.8)</f>
        <v>160.80000000000001</v>
      </c>
      <c r="C825" s="1">
        <f ca="1">IFERROR(__xludf.DUMMYFUNCTION("""COMPUTED_VALUE"""),282.83)</f>
        <v>282.83</v>
      </c>
      <c r="D825" s="1">
        <f ca="1">IFERROR(__xludf.DUMMYFUNCTION("""COMPUTED_VALUE"""),99.92)</f>
        <v>99.92</v>
      </c>
      <c r="E825" s="1">
        <f ca="1">IFERROR(__xludf.DUMMYFUNCTION("""COMPUTED_VALUE"""),27.17)</f>
        <v>27.17</v>
      </c>
      <c r="F825" s="1">
        <f ca="1">IFERROR(__xludf.DUMMYFUNCTION("""COMPUTED_VALUE"""),213.85)</f>
        <v>213.85</v>
      </c>
      <c r="G825" s="1">
        <f ca="1">IFERROR(__xludf.DUMMYFUNCTION("""COMPUTED_VALUE"""),106.12)</f>
        <v>106.12</v>
      </c>
      <c r="H825" s="1">
        <f ca="1">IFERROR(__xludf.DUMMYFUNCTION("""COMPUTED_VALUE"""),186.79)</f>
        <v>186.79</v>
      </c>
      <c r="I825" s="1">
        <f ca="1">IFERROR(__xludf.DUMMYFUNCTION("""COMPUTED_VALUE"""),182.92)</f>
        <v>182.92</v>
      </c>
      <c r="J825" s="1">
        <f ca="1">IFERROR(__xludf.DUMMYFUNCTION("""COMPUTED_VALUE"""),498.65)</f>
        <v>498.65</v>
      </c>
      <c r="K825" s="1">
        <f ca="1">IFERROR(__xludf.DUMMYFUNCTION("""COMPUTED_VALUE"""),62.16)</f>
        <v>62.16</v>
      </c>
      <c r="L825" s="1">
        <f ca="1">IFERROR(__xludf.DUMMYFUNCTION("""COMPUTED_VALUE"""),371.11)</f>
        <v>371.11</v>
      </c>
      <c r="M825" s="1">
        <f ca="1">IFERROR(__xludf.DUMMYFUNCTION("""COMPUTED_VALUE"""),338.21)</f>
        <v>338.21</v>
      </c>
      <c r="N825" s="1">
        <f ca="1">IFERROR(__xludf.DUMMYFUNCTION("""COMPUTED_VALUE"""),128.52)</f>
        <v>128.52000000000001</v>
      </c>
      <c r="O825" s="1">
        <f ca="1">IFERROR(__xludf.DUMMYFUNCTION("""COMPUTED_VALUE"""),228.45)</f>
        <v>228.45</v>
      </c>
      <c r="P825" s="1">
        <f ca="1">IFERROR(__xludf.DUMMYFUNCTION("""COMPUTED_VALUE"""),164.27)</f>
        <v>164.27</v>
      </c>
      <c r="Q825" s="1">
        <f ca="1">IFERROR(__xludf.DUMMYFUNCTION("""COMPUTED_VALUE"""),520.97)</f>
        <v>520.97</v>
      </c>
      <c r="R825" s="1">
        <f ca="1">IFERROR(__xludf.DUMMYFUNCTION("""COMPUTED_VALUE"""),115.35)</f>
        <v>115.35</v>
      </c>
      <c r="S825" s="1">
        <f ca="1">IFERROR(__xludf.DUMMYFUNCTION("""COMPUTED_VALUE"""),78.34)</f>
        <v>78.34</v>
      </c>
      <c r="T825" s="1">
        <f ca="1">IFERROR(__xludf.DUMMYFUNCTION("""COMPUTED_VALUE"""),50.02)</f>
        <v>50.02</v>
      </c>
      <c r="U825" s="1">
        <f ca="1">IFERROR(__xludf.DUMMYFUNCTION("""COMPUTED_VALUE"""),123.3)</f>
        <v>123.3</v>
      </c>
      <c r="V825" s="1">
        <f ca="1">IFERROR(__xludf.DUMMYFUNCTION("""COMPUTED_VALUE"""),220.6)</f>
        <v>220.6</v>
      </c>
      <c r="W825" s="1">
        <f ca="1">IFERROR(__xludf.DUMMYFUNCTION("""COMPUTED_VALUE"""),487.84)</f>
        <v>487.84</v>
      </c>
      <c r="X825" s="1">
        <f ca="1">IFERROR(__xludf.DUMMYFUNCTION("""COMPUTED_VALUE"""),659.77)</f>
        <v>659.77</v>
      </c>
      <c r="Y825" s="1">
        <f ca="1">IFERROR(__xludf.DUMMYFUNCTION("""COMPUTED_VALUE"""),89.24)</f>
        <v>89.24</v>
      </c>
      <c r="Z825" s="1">
        <f ca="1">IFERROR(__xludf.DUMMYFUNCTION("""COMPUTED_VALUE"""),327.37)</f>
        <v>327.37</v>
      </c>
      <c r="AA825" s="1">
        <f ca="1">IFERROR(__xludf.DUMMYFUNCTION("""COMPUTED_VALUE"""),41.79)</f>
        <v>41.79</v>
      </c>
      <c r="AB825" s="1">
        <f ca="1">IFERROR(__xludf.DUMMYFUNCTION("""COMPUTED_VALUE"""),105.74)</f>
        <v>105.74</v>
      </c>
      <c r="AC825" s="1">
        <f ca="1">IFERROR(__xludf.DUMMYFUNCTION("""COMPUTED_VALUE"""),94.03)</f>
        <v>94.03</v>
      </c>
    </row>
    <row r="826" spans="1:29" x14ac:dyDescent="0.25">
      <c r="A826" s="2">
        <f ca="1">IFERROR(__xludf.DUMMYFUNCTION("""COMPUTED_VALUE"""),45028.6666666666)</f>
        <v>45028.666666666599</v>
      </c>
      <c r="B826" s="1">
        <f ca="1">IFERROR(__xludf.DUMMYFUNCTION("""COMPUTED_VALUE"""),160.1)</f>
        <v>160.1</v>
      </c>
      <c r="C826" s="1">
        <f ca="1">IFERROR(__xludf.DUMMYFUNCTION("""COMPUTED_VALUE"""),283.49)</f>
        <v>283.49</v>
      </c>
      <c r="D826" s="1">
        <f ca="1">IFERROR(__xludf.DUMMYFUNCTION("""COMPUTED_VALUE"""),97.83)</f>
        <v>97.83</v>
      </c>
      <c r="E826" s="1">
        <f ca="1">IFERROR(__xludf.DUMMYFUNCTION("""COMPUTED_VALUE"""),26.5)</f>
        <v>26.5</v>
      </c>
      <c r="F826" s="1">
        <f ca="1">IFERROR(__xludf.DUMMYFUNCTION("""COMPUTED_VALUE"""),214)</f>
        <v>214</v>
      </c>
      <c r="G826" s="1">
        <f ca="1">IFERROR(__xludf.DUMMYFUNCTION("""COMPUTED_VALUE"""),105.22)</f>
        <v>105.22</v>
      </c>
      <c r="H826" s="1">
        <f ca="1">IFERROR(__xludf.DUMMYFUNCTION("""COMPUTED_VALUE"""),180.54)</f>
        <v>180.54</v>
      </c>
      <c r="I826" s="1">
        <f ca="1">IFERROR(__xludf.DUMMYFUNCTION("""COMPUTED_VALUE"""),182.56)</f>
        <v>182.56</v>
      </c>
      <c r="J826" s="1">
        <f ca="1">IFERROR(__xludf.DUMMYFUNCTION("""COMPUTED_VALUE"""),489.35)</f>
        <v>489.35</v>
      </c>
      <c r="K826" s="1">
        <f ca="1">IFERROR(__xludf.DUMMYFUNCTION("""COMPUTED_VALUE"""),61.67)</f>
        <v>61.67</v>
      </c>
      <c r="L826" s="1">
        <f ca="1">IFERROR(__xludf.DUMMYFUNCTION("""COMPUTED_VALUE"""),369.89)</f>
        <v>369.89</v>
      </c>
      <c r="M826" s="1">
        <f ca="1">IFERROR(__xludf.DUMMYFUNCTION("""COMPUTED_VALUE"""),331.03)</f>
        <v>331.03</v>
      </c>
      <c r="N826" s="1">
        <f ca="1">IFERROR(__xludf.DUMMYFUNCTION("""COMPUTED_VALUE"""),128.5)</f>
        <v>128.5</v>
      </c>
      <c r="O826" s="1">
        <f ca="1">IFERROR(__xludf.DUMMYFUNCTION("""COMPUTED_VALUE"""),227.81)</f>
        <v>227.81</v>
      </c>
      <c r="P826" s="1">
        <f ca="1">IFERROR(__xludf.DUMMYFUNCTION("""COMPUTED_VALUE"""),163.92)</f>
        <v>163.92</v>
      </c>
      <c r="Q826" s="1">
        <f ca="1">IFERROR(__xludf.DUMMYFUNCTION("""COMPUTED_VALUE"""),521.19)</f>
        <v>521.19000000000005</v>
      </c>
      <c r="R826" s="1">
        <f ca="1">IFERROR(__xludf.DUMMYFUNCTION("""COMPUTED_VALUE"""),115.23)</f>
        <v>115.23</v>
      </c>
      <c r="S826" s="1">
        <f ca="1">IFERROR(__xludf.DUMMYFUNCTION("""COMPUTED_VALUE"""),78.59)</f>
        <v>78.59</v>
      </c>
      <c r="T826" s="1">
        <f ca="1">IFERROR(__xludf.DUMMYFUNCTION("""COMPUTED_VALUE"""),49.78)</f>
        <v>49.78</v>
      </c>
      <c r="U826" s="1">
        <f ca="1">IFERROR(__xludf.DUMMYFUNCTION("""COMPUTED_VALUE"""),123.66)</f>
        <v>123.66</v>
      </c>
      <c r="V826" s="1">
        <f ca="1">IFERROR(__xludf.DUMMYFUNCTION("""COMPUTED_VALUE"""),220.5)</f>
        <v>220.5</v>
      </c>
      <c r="W826" s="1">
        <f ca="1">IFERROR(__xludf.DUMMYFUNCTION("""COMPUTED_VALUE"""),488.1)</f>
        <v>488.1</v>
      </c>
      <c r="X826" s="1">
        <f ca="1">IFERROR(__xludf.DUMMYFUNCTION("""COMPUTED_VALUE"""),654.66)</f>
        <v>654.66</v>
      </c>
      <c r="Y826" s="1">
        <f ca="1">IFERROR(__xludf.DUMMYFUNCTION("""COMPUTED_VALUE"""),86.87)</f>
        <v>86.87</v>
      </c>
      <c r="Z826" s="1">
        <f ca="1">IFERROR(__xludf.DUMMYFUNCTION("""COMPUTED_VALUE"""),330.24)</f>
        <v>330.24</v>
      </c>
      <c r="AA826" s="1">
        <f ca="1">IFERROR(__xludf.DUMMYFUNCTION("""COMPUTED_VALUE"""),41.37)</f>
        <v>41.37</v>
      </c>
      <c r="AB826" s="1">
        <f ca="1">IFERROR(__xludf.DUMMYFUNCTION("""COMPUTED_VALUE"""),105.6)</f>
        <v>105.6</v>
      </c>
      <c r="AC826" s="1">
        <f ca="1">IFERROR(__xludf.DUMMYFUNCTION("""COMPUTED_VALUE"""),92.33)</f>
        <v>92.33</v>
      </c>
    </row>
    <row r="827" spans="1:29" x14ac:dyDescent="0.25">
      <c r="A827" s="2">
        <f ca="1">IFERROR(__xludf.DUMMYFUNCTION("""COMPUTED_VALUE"""),45029.6666666666)</f>
        <v>45029.666666666599</v>
      </c>
      <c r="B827" s="1">
        <f ca="1">IFERROR(__xludf.DUMMYFUNCTION("""COMPUTED_VALUE"""),165.56)</f>
        <v>165.56</v>
      </c>
      <c r="C827" s="1">
        <f ca="1">IFERROR(__xludf.DUMMYFUNCTION("""COMPUTED_VALUE"""),289.84)</f>
        <v>289.83999999999997</v>
      </c>
      <c r="D827" s="1">
        <f ca="1">IFERROR(__xludf.DUMMYFUNCTION("""COMPUTED_VALUE"""),102.4)</f>
        <v>102.4</v>
      </c>
      <c r="E827" s="1">
        <f ca="1">IFERROR(__xludf.DUMMYFUNCTION("""COMPUTED_VALUE"""),26.46)</f>
        <v>26.46</v>
      </c>
      <c r="F827" s="1">
        <f ca="1">IFERROR(__xludf.DUMMYFUNCTION("""COMPUTED_VALUE"""),220.35)</f>
        <v>220.35</v>
      </c>
      <c r="G827" s="1">
        <f ca="1">IFERROR(__xludf.DUMMYFUNCTION("""COMPUTED_VALUE"""),108.19)</f>
        <v>108.19</v>
      </c>
      <c r="H827" s="1">
        <f ca="1">IFERROR(__xludf.DUMMYFUNCTION("""COMPUTED_VALUE"""),185.9)</f>
        <v>185.9</v>
      </c>
      <c r="I827" s="1">
        <f ca="1">IFERROR(__xludf.DUMMYFUNCTION("""COMPUTED_VALUE"""),184.38)</f>
        <v>184.38</v>
      </c>
      <c r="J827" s="1">
        <f ca="1">IFERROR(__xludf.DUMMYFUNCTION("""COMPUTED_VALUE"""),497.89)</f>
        <v>497.89</v>
      </c>
      <c r="K827" s="1">
        <f ca="1">IFERROR(__xludf.DUMMYFUNCTION("""COMPUTED_VALUE"""),62.42)</f>
        <v>62.42</v>
      </c>
      <c r="L827" s="1">
        <f ca="1">IFERROR(__xludf.DUMMYFUNCTION("""COMPUTED_VALUE"""),378.8)</f>
        <v>378.8</v>
      </c>
      <c r="M827" s="1">
        <f ca="1">IFERROR(__xludf.DUMMYFUNCTION("""COMPUTED_VALUE"""),346.19)</f>
        <v>346.19</v>
      </c>
      <c r="N827" s="1">
        <f ca="1">IFERROR(__xludf.DUMMYFUNCTION("""COMPUTED_VALUE"""),128.99)</f>
        <v>128.99</v>
      </c>
      <c r="O827" s="1">
        <f ca="1">IFERROR(__xludf.DUMMYFUNCTION("""COMPUTED_VALUE"""),232.69)</f>
        <v>232.69</v>
      </c>
      <c r="P827" s="1">
        <f ca="1">IFERROR(__xludf.DUMMYFUNCTION("""COMPUTED_VALUE"""),166.11)</f>
        <v>166.11</v>
      </c>
      <c r="Q827" s="1">
        <f ca="1">IFERROR(__xludf.DUMMYFUNCTION("""COMPUTED_VALUE"""),526.23)</f>
        <v>526.23</v>
      </c>
      <c r="R827" s="1">
        <f ca="1">IFERROR(__xludf.DUMMYFUNCTION("""COMPUTED_VALUE"""),115.77)</f>
        <v>115.77</v>
      </c>
      <c r="S827" s="1">
        <f ca="1">IFERROR(__xludf.DUMMYFUNCTION("""COMPUTED_VALUE"""),78.85)</f>
        <v>78.849999999999994</v>
      </c>
      <c r="T827" s="1">
        <f ca="1">IFERROR(__xludf.DUMMYFUNCTION("""COMPUTED_VALUE"""),49.83)</f>
        <v>49.83</v>
      </c>
      <c r="U827" s="1">
        <f ca="1">IFERROR(__xludf.DUMMYFUNCTION("""COMPUTED_VALUE"""),126.43)</f>
        <v>126.43</v>
      </c>
      <c r="V827" s="1">
        <f ca="1">IFERROR(__xludf.DUMMYFUNCTION("""COMPUTED_VALUE"""),221.67)</f>
        <v>221.67</v>
      </c>
      <c r="W827" s="1">
        <f ca="1">IFERROR(__xludf.DUMMYFUNCTION("""COMPUTED_VALUE"""),492.14)</f>
        <v>492.14</v>
      </c>
      <c r="X827" s="1">
        <f ca="1">IFERROR(__xludf.DUMMYFUNCTION("""COMPUTED_VALUE"""),665.41)</f>
        <v>665.41</v>
      </c>
      <c r="Y827" s="1">
        <f ca="1">IFERROR(__xludf.DUMMYFUNCTION("""COMPUTED_VALUE"""),87.05)</f>
        <v>87.05</v>
      </c>
      <c r="Z827" s="1">
        <f ca="1">IFERROR(__xludf.DUMMYFUNCTION("""COMPUTED_VALUE"""),332.13)</f>
        <v>332.13</v>
      </c>
      <c r="AA827" s="1">
        <f ca="1">IFERROR(__xludf.DUMMYFUNCTION("""COMPUTED_VALUE"""),41.47)</f>
        <v>41.47</v>
      </c>
      <c r="AB827" s="1">
        <f ca="1">IFERROR(__xludf.DUMMYFUNCTION("""COMPUTED_VALUE"""),106.99)</f>
        <v>106.99</v>
      </c>
      <c r="AC827" s="1">
        <f ca="1">IFERROR(__xludf.DUMMYFUNCTION("""COMPUTED_VALUE"""),92.09)</f>
        <v>92.09</v>
      </c>
    </row>
    <row r="828" spans="1:29" x14ac:dyDescent="0.25">
      <c r="A828" s="2">
        <f ca="1">IFERROR(__xludf.DUMMYFUNCTION("""COMPUTED_VALUE"""),45030.6666666666)</f>
        <v>45030.666666666599</v>
      </c>
      <c r="B828" s="1">
        <f ca="1">IFERROR(__xludf.DUMMYFUNCTION("""COMPUTED_VALUE"""),165.21)</f>
        <v>165.21</v>
      </c>
      <c r="C828" s="1">
        <f ca="1">IFERROR(__xludf.DUMMYFUNCTION("""COMPUTED_VALUE"""),286.14)</f>
        <v>286.14</v>
      </c>
      <c r="D828" s="1">
        <f ca="1">IFERROR(__xludf.DUMMYFUNCTION("""COMPUTED_VALUE"""),102.51)</f>
        <v>102.51</v>
      </c>
      <c r="E828" s="1">
        <f ca="1">IFERROR(__xludf.DUMMYFUNCTION("""COMPUTED_VALUE"""),26.76)</f>
        <v>26.76</v>
      </c>
      <c r="F828" s="1">
        <f ca="1">IFERROR(__xludf.DUMMYFUNCTION("""COMPUTED_VALUE"""),221.49)</f>
        <v>221.49</v>
      </c>
      <c r="G828" s="1">
        <f ca="1">IFERROR(__xludf.DUMMYFUNCTION("""COMPUTED_VALUE"""),109.46)</f>
        <v>109.46</v>
      </c>
      <c r="H828" s="1">
        <f ca="1">IFERROR(__xludf.DUMMYFUNCTION("""COMPUTED_VALUE"""),185)</f>
        <v>185</v>
      </c>
      <c r="I828" s="1">
        <f ca="1">IFERROR(__xludf.DUMMYFUNCTION("""COMPUTED_VALUE"""),183.51)</f>
        <v>183.51</v>
      </c>
      <c r="J828" s="1">
        <f ca="1">IFERROR(__xludf.DUMMYFUNCTION("""COMPUTED_VALUE"""),491.3)</f>
        <v>491.3</v>
      </c>
      <c r="K828" s="1">
        <f ca="1">IFERROR(__xludf.DUMMYFUNCTION("""COMPUTED_VALUE"""),61.95)</f>
        <v>61.95</v>
      </c>
      <c r="L828" s="1">
        <f ca="1">IFERROR(__xludf.DUMMYFUNCTION("""COMPUTED_VALUE"""),379.38)</f>
        <v>379.38</v>
      </c>
      <c r="M828" s="1">
        <f ca="1">IFERROR(__xludf.DUMMYFUNCTION("""COMPUTED_VALUE"""),338.63)</f>
        <v>338.63</v>
      </c>
      <c r="N828" s="1">
        <f ca="1">IFERROR(__xludf.DUMMYFUNCTION("""COMPUTED_VALUE"""),138.73)</f>
        <v>138.72999999999999</v>
      </c>
      <c r="O828" s="1">
        <f ca="1">IFERROR(__xludf.DUMMYFUNCTION("""COMPUTED_VALUE"""),234.02)</f>
        <v>234.02</v>
      </c>
      <c r="P828" s="1">
        <f ca="1">IFERROR(__xludf.DUMMYFUNCTION("""COMPUTED_VALUE"""),165.84)</f>
        <v>165.84</v>
      </c>
      <c r="Q828" s="1">
        <f ca="1">IFERROR(__xludf.DUMMYFUNCTION("""COMPUTED_VALUE"""),511.79)</f>
        <v>511.79</v>
      </c>
      <c r="R828" s="1">
        <f ca="1">IFERROR(__xludf.DUMMYFUNCTION("""COMPUTED_VALUE"""),116.05)</f>
        <v>116.05</v>
      </c>
      <c r="S828" s="1">
        <f ca="1">IFERROR(__xludf.DUMMYFUNCTION("""COMPUTED_VALUE"""),78.02)</f>
        <v>78.02</v>
      </c>
      <c r="T828" s="1">
        <f ca="1">IFERROR(__xludf.DUMMYFUNCTION("""COMPUTED_VALUE"""),49.49)</f>
        <v>49.49</v>
      </c>
      <c r="U828" s="1">
        <f ca="1">IFERROR(__xludf.DUMMYFUNCTION("""COMPUTED_VALUE"""),125.95)</f>
        <v>125.95</v>
      </c>
      <c r="V828" s="1">
        <f ca="1">IFERROR(__xludf.DUMMYFUNCTION("""COMPUTED_VALUE"""),223.68)</f>
        <v>223.68</v>
      </c>
      <c r="W828" s="1">
        <f ca="1">IFERROR(__xludf.DUMMYFUNCTION("""COMPUTED_VALUE"""),487.99)</f>
        <v>487.99</v>
      </c>
      <c r="X828" s="1">
        <f ca="1">IFERROR(__xludf.DUMMYFUNCTION("""COMPUTED_VALUE"""),666.2)</f>
        <v>666.2</v>
      </c>
      <c r="Y828" s="1">
        <f ca="1">IFERROR(__xludf.DUMMYFUNCTION("""COMPUTED_VALUE"""),87.2)</f>
        <v>87.2</v>
      </c>
      <c r="Z828" s="1">
        <f ca="1">IFERROR(__xludf.DUMMYFUNCTION("""COMPUTED_VALUE"""),336.92)</f>
        <v>336.92</v>
      </c>
      <c r="AA828" s="1">
        <f ca="1">IFERROR(__xludf.DUMMYFUNCTION("""COMPUTED_VALUE"""),41.19)</f>
        <v>41.19</v>
      </c>
      <c r="AB828" s="1">
        <f ca="1">IFERROR(__xludf.DUMMYFUNCTION("""COMPUTED_VALUE"""),107.47)</f>
        <v>107.47</v>
      </c>
      <c r="AC828" s="1">
        <f ca="1">IFERROR(__xludf.DUMMYFUNCTION("""COMPUTED_VALUE"""),91.75)</f>
        <v>91.75</v>
      </c>
    </row>
    <row r="829" spans="1:29" x14ac:dyDescent="0.25">
      <c r="A829" s="2">
        <f ca="1">IFERROR(__xludf.DUMMYFUNCTION("""COMPUTED_VALUE"""),45033.6666666666)</f>
        <v>45033.666666666599</v>
      </c>
      <c r="B829" s="1">
        <f ca="1">IFERROR(__xludf.DUMMYFUNCTION("""COMPUTED_VALUE"""),165.23)</f>
        <v>165.23</v>
      </c>
      <c r="C829" s="1">
        <f ca="1">IFERROR(__xludf.DUMMYFUNCTION("""COMPUTED_VALUE"""),288.8)</f>
        <v>288.8</v>
      </c>
      <c r="D829" s="1">
        <f ca="1">IFERROR(__xludf.DUMMYFUNCTION("""COMPUTED_VALUE"""),102.74)</f>
        <v>102.74</v>
      </c>
      <c r="E829" s="1">
        <f ca="1">IFERROR(__xludf.DUMMYFUNCTION("""COMPUTED_VALUE"""),27)</f>
        <v>27</v>
      </c>
      <c r="F829" s="1">
        <f ca="1">IFERROR(__xludf.DUMMYFUNCTION("""COMPUTED_VALUE"""),218.86)</f>
        <v>218.86</v>
      </c>
      <c r="G829" s="1">
        <f ca="1">IFERROR(__xludf.DUMMYFUNCTION("""COMPUTED_VALUE"""),106.42)</f>
        <v>106.42</v>
      </c>
      <c r="H829" s="1">
        <f ca="1">IFERROR(__xludf.DUMMYFUNCTION("""COMPUTED_VALUE"""),187.04)</f>
        <v>187.04</v>
      </c>
      <c r="I829" s="1">
        <f ca="1">IFERROR(__xludf.DUMMYFUNCTION("""COMPUTED_VALUE"""),184.45)</f>
        <v>184.45</v>
      </c>
      <c r="J829" s="1">
        <f ca="1">IFERROR(__xludf.DUMMYFUNCTION("""COMPUTED_VALUE"""),493.94)</f>
        <v>493.94</v>
      </c>
      <c r="K829" s="1">
        <f ca="1">IFERROR(__xludf.DUMMYFUNCTION("""COMPUTED_VALUE"""),62.74)</f>
        <v>62.74</v>
      </c>
      <c r="L829" s="1">
        <f ca="1">IFERROR(__xludf.DUMMYFUNCTION("""COMPUTED_VALUE"""),377.92)</f>
        <v>377.92</v>
      </c>
      <c r="M829" s="1">
        <f ca="1">IFERROR(__xludf.DUMMYFUNCTION("""COMPUTED_VALUE"""),332.72)</f>
        <v>332.72</v>
      </c>
      <c r="N829" s="1">
        <f ca="1">IFERROR(__xludf.DUMMYFUNCTION("""COMPUTED_VALUE"""),139.83)</f>
        <v>139.83000000000001</v>
      </c>
      <c r="O829" s="1">
        <f ca="1">IFERROR(__xludf.DUMMYFUNCTION("""COMPUTED_VALUE"""),233.48)</f>
        <v>233.48</v>
      </c>
      <c r="P829" s="1">
        <f ca="1">IFERROR(__xludf.DUMMYFUNCTION("""COMPUTED_VALUE"""),165.67)</f>
        <v>165.67</v>
      </c>
      <c r="Q829" s="1">
        <f ca="1">IFERROR(__xludf.DUMMYFUNCTION("""COMPUTED_VALUE"""),505.35)</f>
        <v>505.35</v>
      </c>
      <c r="R829" s="1">
        <f ca="1">IFERROR(__xludf.DUMMYFUNCTION("""COMPUTED_VALUE"""),114.7)</f>
        <v>114.7</v>
      </c>
      <c r="S829" s="1">
        <f ca="1">IFERROR(__xludf.DUMMYFUNCTION("""COMPUTED_VALUE"""),78.54)</f>
        <v>78.540000000000006</v>
      </c>
      <c r="T829" s="1">
        <f ca="1">IFERROR(__xludf.DUMMYFUNCTION("""COMPUTED_VALUE"""),49.84)</f>
        <v>49.84</v>
      </c>
      <c r="U829" s="1">
        <f ca="1">IFERROR(__xludf.DUMMYFUNCTION("""COMPUTED_VALUE"""),126.19)</f>
        <v>126.19</v>
      </c>
      <c r="V829" s="1">
        <f ca="1">IFERROR(__xludf.DUMMYFUNCTION("""COMPUTED_VALUE"""),225.24)</f>
        <v>225.24</v>
      </c>
      <c r="W829" s="1">
        <f ca="1">IFERROR(__xludf.DUMMYFUNCTION("""COMPUTED_VALUE"""),489.64)</f>
        <v>489.64</v>
      </c>
      <c r="X829" s="1">
        <f ca="1">IFERROR(__xludf.DUMMYFUNCTION("""COMPUTED_VALUE"""),639.04)</f>
        <v>639.04</v>
      </c>
      <c r="Y829" s="1">
        <f ca="1">IFERROR(__xludf.DUMMYFUNCTION("""COMPUTED_VALUE"""),87.99)</f>
        <v>87.99</v>
      </c>
      <c r="Z829" s="1">
        <f ca="1">IFERROR(__xludf.DUMMYFUNCTION("""COMPUTED_VALUE"""),339.68)</f>
        <v>339.68</v>
      </c>
      <c r="AA829" s="1">
        <f ca="1">IFERROR(__xludf.DUMMYFUNCTION("""COMPUTED_VALUE"""),41.18)</f>
        <v>41.18</v>
      </c>
      <c r="AB829" s="1">
        <f ca="1">IFERROR(__xludf.DUMMYFUNCTION("""COMPUTED_VALUE"""),108.31)</f>
        <v>108.31</v>
      </c>
      <c r="AC829" s="1">
        <f ca="1">IFERROR(__xludf.DUMMYFUNCTION("""COMPUTED_VALUE"""),89.87)</f>
        <v>89.87</v>
      </c>
    </row>
    <row r="830" spans="1:29" x14ac:dyDescent="0.25">
      <c r="A830" s="2">
        <f ca="1">IFERROR(__xludf.DUMMYFUNCTION("""COMPUTED_VALUE"""),45034.6666666666)</f>
        <v>45034.666666666599</v>
      </c>
      <c r="B830" s="1">
        <f ca="1">IFERROR(__xludf.DUMMYFUNCTION("""COMPUTED_VALUE"""),166.47)</f>
        <v>166.47</v>
      </c>
      <c r="C830" s="1">
        <f ca="1">IFERROR(__xludf.DUMMYFUNCTION("""COMPUTED_VALUE"""),288.37)</f>
        <v>288.37</v>
      </c>
      <c r="D830" s="1">
        <f ca="1">IFERROR(__xludf.DUMMYFUNCTION("""COMPUTED_VALUE"""),102.3)</f>
        <v>102.3</v>
      </c>
      <c r="E830" s="1">
        <f ca="1">IFERROR(__xludf.DUMMYFUNCTION("""COMPUTED_VALUE"""),27.67)</f>
        <v>27.67</v>
      </c>
      <c r="F830" s="1">
        <f ca="1">IFERROR(__xludf.DUMMYFUNCTION("""COMPUTED_VALUE"""),217.89)</f>
        <v>217.89</v>
      </c>
      <c r="G830" s="1">
        <f ca="1">IFERROR(__xludf.DUMMYFUNCTION("""COMPUTED_VALUE"""),105.12)</f>
        <v>105.12</v>
      </c>
      <c r="H830" s="1">
        <f ca="1">IFERROR(__xludf.DUMMYFUNCTION("""COMPUTED_VALUE"""),184.31)</f>
        <v>184.31</v>
      </c>
      <c r="I830" s="1">
        <f ca="1">IFERROR(__xludf.DUMMYFUNCTION("""COMPUTED_VALUE"""),184.83)</f>
        <v>184.83</v>
      </c>
      <c r="J830" s="1">
        <f ca="1">IFERROR(__xludf.DUMMYFUNCTION("""COMPUTED_VALUE"""),496.9)</f>
        <v>496.9</v>
      </c>
      <c r="K830" s="1">
        <f ca="1">IFERROR(__xludf.DUMMYFUNCTION("""COMPUTED_VALUE"""),63.23)</f>
        <v>63.23</v>
      </c>
      <c r="L830" s="1">
        <f ca="1">IFERROR(__xludf.DUMMYFUNCTION("""COMPUTED_VALUE"""),377.55)</f>
        <v>377.55</v>
      </c>
      <c r="M830" s="1">
        <f ca="1">IFERROR(__xludf.DUMMYFUNCTION("""COMPUTED_VALUE"""),333.7)</f>
        <v>333.7</v>
      </c>
      <c r="N830" s="1">
        <f ca="1">IFERROR(__xludf.DUMMYFUNCTION("""COMPUTED_VALUE"""),141.4)</f>
        <v>141.4</v>
      </c>
      <c r="O830" s="1">
        <f ca="1">IFERROR(__xludf.DUMMYFUNCTION("""COMPUTED_VALUE"""),233.6)</f>
        <v>233.6</v>
      </c>
      <c r="P830" s="1">
        <f ca="1">IFERROR(__xludf.DUMMYFUNCTION("""COMPUTED_VALUE"""),161.01)</f>
        <v>161.01</v>
      </c>
      <c r="Q830" s="1">
        <f ca="1">IFERROR(__xludf.DUMMYFUNCTION("""COMPUTED_VALUE"""),504.48)</f>
        <v>504.48</v>
      </c>
      <c r="R830" s="1">
        <f ca="1">IFERROR(__xludf.DUMMYFUNCTION("""COMPUTED_VALUE"""),116.94)</f>
        <v>116.94</v>
      </c>
      <c r="S830" s="1">
        <f ca="1">IFERROR(__xludf.DUMMYFUNCTION("""COMPUTED_VALUE"""),78.3)</f>
        <v>78.3</v>
      </c>
      <c r="T830" s="1">
        <f ca="1">IFERROR(__xludf.DUMMYFUNCTION("""COMPUTED_VALUE"""),49.95)</f>
        <v>49.95</v>
      </c>
      <c r="U830" s="1">
        <f ca="1">IFERROR(__xludf.DUMMYFUNCTION("""COMPUTED_VALUE"""),126.21)</f>
        <v>126.21</v>
      </c>
      <c r="V830" s="1">
        <f ca="1">IFERROR(__xludf.DUMMYFUNCTION("""COMPUTED_VALUE"""),225.2)</f>
        <v>225.2</v>
      </c>
      <c r="W830" s="1">
        <f ca="1">IFERROR(__xludf.DUMMYFUNCTION("""COMPUTED_VALUE"""),501.41)</f>
        <v>501.41</v>
      </c>
      <c r="X830" s="1">
        <f ca="1">IFERROR(__xludf.DUMMYFUNCTION("""COMPUTED_VALUE"""),643.33)</f>
        <v>643.33000000000004</v>
      </c>
      <c r="Y830" s="1">
        <f ca="1">IFERROR(__xludf.DUMMYFUNCTION("""COMPUTED_VALUE"""),88.14)</f>
        <v>88.14</v>
      </c>
      <c r="Z830" s="1">
        <f ca="1">IFERROR(__xludf.DUMMYFUNCTION("""COMPUTED_VALUE"""),333.91)</f>
        <v>333.91</v>
      </c>
      <c r="AA830" s="1">
        <f ca="1">IFERROR(__xludf.DUMMYFUNCTION("""COMPUTED_VALUE"""),40.55)</f>
        <v>40.549999999999997</v>
      </c>
      <c r="AB830" s="1">
        <f ca="1">IFERROR(__xludf.DUMMYFUNCTION("""COMPUTED_VALUE"""),107.91)</f>
        <v>107.91</v>
      </c>
      <c r="AC830" s="1">
        <f ca="1">IFERROR(__xludf.DUMMYFUNCTION("""COMPUTED_VALUE"""),89.78)</f>
        <v>89.78</v>
      </c>
    </row>
    <row r="831" spans="1:29" x14ac:dyDescent="0.25">
      <c r="A831" s="2">
        <f ca="1">IFERROR(__xludf.DUMMYFUNCTION("""COMPUTED_VALUE"""),45035.6666666666)</f>
        <v>45035.666666666599</v>
      </c>
      <c r="B831" s="1">
        <f ca="1">IFERROR(__xludf.DUMMYFUNCTION("""COMPUTED_VALUE"""),167.63)</f>
        <v>167.63</v>
      </c>
      <c r="C831" s="1">
        <f ca="1">IFERROR(__xludf.DUMMYFUNCTION("""COMPUTED_VALUE"""),288.45)</f>
        <v>288.45</v>
      </c>
      <c r="D831" s="1">
        <f ca="1">IFERROR(__xludf.DUMMYFUNCTION("""COMPUTED_VALUE"""),104.3)</f>
        <v>104.3</v>
      </c>
      <c r="E831" s="1">
        <f ca="1">IFERROR(__xludf.DUMMYFUNCTION("""COMPUTED_VALUE"""),27.93)</f>
        <v>27.93</v>
      </c>
      <c r="F831" s="1">
        <f ca="1">IFERROR(__xludf.DUMMYFUNCTION("""COMPUTED_VALUE"""),215.7)</f>
        <v>215.7</v>
      </c>
      <c r="G831" s="1">
        <f ca="1">IFERROR(__xludf.DUMMYFUNCTION("""COMPUTED_VALUE"""),105.02)</f>
        <v>105.02</v>
      </c>
      <c r="H831" s="1">
        <f ca="1">IFERROR(__xludf.DUMMYFUNCTION("""COMPUTED_VALUE"""),180.59)</f>
        <v>180.59</v>
      </c>
      <c r="I831" s="1">
        <f ca="1">IFERROR(__xludf.DUMMYFUNCTION("""COMPUTED_VALUE"""),184.72)</f>
        <v>184.72</v>
      </c>
      <c r="J831" s="1">
        <f ca="1">IFERROR(__xludf.DUMMYFUNCTION("""COMPUTED_VALUE"""),496.03)</f>
        <v>496.03</v>
      </c>
      <c r="K831" s="1">
        <f ca="1">IFERROR(__xludf.DUMMYFUNCTION("""COMPUTED_VALUE"""),63.45)</f>
        <v>63.45</v>
      </c>
      <c r="L831" s="1">
        <f ca="1">IFERROR(__xludf.DUMMYFUNCTION("""COMPUTED_VALUE"""),380.11)</f>
        <v>380.11</v>
      </c>
      <c r="M831" s="1">
        <f ca="1">IFERROR(__xludf.DUMMYFUNCTION("""COMPUTED_VALUE"""),323.12)</f>
        <v>323.12</v>
      </c>
      <c r="N831" s="1">
        <f ca="1">IFERROR(__xludf.DUMMYFUNCTION("""COMPUTED_VALUE"""),141.22)</f>
        <v>141.22</v>
      </c>
      <c r="O831" s="1">
        <f ca="1">IFERROR(__xludf.DUMMYFUNCTION("""COMPUTED_VALUE"""),232.57)</f>
        <v>232.57</v>
      </c>
      <c r="P831" s="1">
        <f ca="1">IFERROR(__xludf.DUMMYFUNCTION("""COMPUTED_VALUE"""),162.53)</f>
        <v>162.53</v>
      </c>
      <c r="Q831" s="1">
        <f ca="1">IFERROR(__xludf.DUMMYFUNCTION("""COMPUTED_VALUE"""),486.2)</f>
        <v>486.2</v>
      </c>
      <c r="R831" s="1">
        <f ca="1">IFERROR(__xludf.DUMMYFUNCTION("""COMPUTED_VALUE"""),116.57)</f>
        <v>116.57</v>
      </c>
      <c r="S831" s="1">
        <f ca="1">IFERROR(__xludf.DUMMYFUNCTION("""COMPUTED_VALUE"""),78.94)</f>
        <v>78.94</v>
      </c>
      <c r="T831" s="1">
        <f ca="1">IFERROR(__xludf.DUMMYFUNCTION("""COMPUTED_VALUE"""),50)</f>
        <v>50</v>
      </c>
      <c r="U831" s="1">
        <f ca="1">IFERROR(__xludf.DUMMYFUNCTION("""COMPUTED_VALUE"""),125.67)</f>
        <v>125.67</v>
      </c>
      <c r="V831" s="1">
        <f ca="1">IFERROR(__xludf.DUMMYFUNCTION("""COMPUTED_VALUE"""),224.65)</f>
        <v>224.65</v>
      </c>
      <c r="W831" s="1">
        <f ca="1">IFERROR(__xludf.DUMMYFUNCTION("""COMPUTED_VALUE"""),495.16)</f>
        <v>495.16</v>
      </c>
      <c r="X831" s="1">
        <f ca="1">IFERROR(__xludf.DUMMYFUNCTION("""COMPUTED_VALUE"""),623.6)</f>
        <v>623.6</v>
      </c>
      <c r="Y831" s="1">
        <f ca="1">IFERROR(__xludf.DUMMYFUNCTION("""COMPUTED_VALUE"""),87.23)</f>
        <v>87.23</v>
      </c>
      <c r="Z831" s="1">
        <f ca="1">IFERROR(__xludf.DUMMYFUNCTION("""COMPUTED_VALUE"""),336.89)</f>
        <v>336.89</v>
      </c>
      <c r="AA831" s="1">
        <f ca="1">IFERROR(__xludf.DUMMYFUNCTION("""COMPUTED_VALUE"""),40.24)</f>
        <v>40.24</v>
      </c>
      <c r="AB831" s="1">
        <f ca="1">IFERROR(__xludf.DUMMYFUNCTION("""COMPUTED_VALUE"""),107.16)</f>
        <v>107.16</v>
      </c>
      <c r="AC831" s="1">
        <f ca="1">IFERROR(__xludf.DUMMYFUNCTION("""COMPUTED_VALUE"""),89.94)</f>
        <v>89.94</v>
      </c>
    </row>
    <row r="832" spans="1:29" x14ac:dyDescent="0.25">
      <c r="A832" s="2">
        <f ca="1">IFERROR(__xludf.DUMMYFUNCTION("""COMPUTED_VALUE"""),45036.6666666666)</f>
        <v>45036.666666666599</v>
      </c>
      <c r="B832" s="1">
        <f ca="1">IFERROR(__xludf.DUMMYFUNCTION("""COMPUTED_VALUE"""),166.65)</f>
        <v>166.65</v>
      </c>
      <c r="C832" s="1">
        <f ca="1">IFERROR(__xludf.DUMMYFUNCTION("""COMPUTED_VALUE"""),286.11)</f>
        <v>286.11</v>
      </c>
      <c r="D832" s="1">
        <f ca="1">IFERROR(__xludf.DUMMYFUNCTION("""COMPUTED_VALUE"""),103.81)</f>
        <v>103.81</v>
      </c>
      <c r="E832" s="1">
        <f ca="1">IFERROR(__xludf.DUMMYFUNCTION("""COMPUTED_VALUE"""),27.1)</f>
        <v>27.1</v>
      </c>
      <c r="F832" s="1">
        <f ca="1">IFERROR(__xludf.DUMMYFUNCTION("""COMPUTED_VALUE"""),213.07)</f>
        <v>213.07</v>
      </c>
      <c r="G832" s="1">
        <f ca="1">IFERROR(__xludf.DUMMYFUNCTION("""COMPUTED_VALUE"""),105.9)</f>
        <v>105.9</v>
      </c>
      <c r="H832" s="1">
        <f ca="1">IFERROR(__xludf.DUMMYFUNCTION("""COMPUTED_VALUE"""),162.99)</f>
        <v>162.99</v>
      </c>
      <c r="I832" s="1">
        <f ca="1">IFERROR(__xludf.DUMMYFUNCTION("""COMPUTED_VALUE"""),185.33)</f>
        <v>185.33</v>
      </c>
      <c r="J832" s="1">
        <f ca="1">IFERROR(__xludf.DUMMYFUNCTION("""COMPUTED_VALUE"""),505.58)</f>
        <v>505.58</v>
      </c>
      <c r="K832" s="1">
        <f ca="1">IFERROR(__xludf.DUMMYFUNCTION("""COMPUTED_VALUE"""),63.3)</f>
        <v>63.3</v>
      </c>
      <c r="L832" s="1">
        <f ca="1">IFERROR(__xludf.DUMMYFUNCTION("""COMPUTED_VALUE"""),380.26)</f>
        <v>380.26</v>
      </c>
      <c r="M832" s="1">
        <f ca="1">IFERROR(__xludf.DUMMYFUNCTION("""COMPUTED_VALUE"""),325.35)</f>
        <v>325.35000000000002</v>
      </c>
      <c r="N832" s="1">
        <f ca="1">IFERROR(__xludf.DUMMYFUNCTION("""COMPUTED_VALUE"""),140.81)</f>
        <v>140.81</v>
      </c>
      <c r="O832" s="1">
        <f ca="1">IFERROR(__xludf.DUMMYFUNCTION("""COMPUTED_VALUE"""),234.6)</f>
        <v>234.6</v>
      </c>
      <c r="P832" s="1">
        <f ca="1">IFERROR(__xludf.DUMMYFUNCTION("""COMPUTED_VALUE"""),163.58)</f>
        <v>163.58000000000001</v>
      </c>
      <c r="Q832" s="1">
        <f ca="1">IFERROR(__xludf.DUMMYFUNCTION("""COMPUTED_VALUE"""),487.46)</f>
        <v>487.46</v>
      </c>
      <c r="R832" s="1">
        <f ca="1">IFERROR(__xludf.DUMMYFUNCTION("""COMPUTED_VALUE"""),115.64)</f>
        <v>115.64</v>
      </c>
      <c r="S832" s="1">
        <f ca="1">IFERROR(__xludf.DUMMYFUNCTION("""COMPUTED_VALUE"""),78.75)</f>
        <v>78.75</v>
      </c>
      <c r="T832" s="1">
        <f ca="1">IFERROR(__xludf.DUMMYFUNCTION("""COMPUTED_VALUE"""),50.32)</f>
        <v>50.32</v>
      </c>
      <c r="U832" s="1">
        <f ca="1">IFERROR(__xludf.DUMMYFUNCTION("""COMPUTED_VALUE"""),124.45)</f>
        <v>124.45</v>
      </c>
      <c r="V832" s="1">
        <f ca="1">IFERROR(__xludf.DUMMYFUNCTION("""COMPUTED_VALUE"""),222.27)</f>
        <v>222.27</v>
      </c>
      <c r="W832" s="1">
        <f ca="1">IFERROR(__xludf.DUMMYFUNCTION("""COMPUTED_VALUE"""),490.6)</f>
        <v>490.6</v>
      </c>
      <c r="X832" s="1">
        <f ca="1">IFERROR(__xludf.DUMMYFUNCTION("""COMPUTED_VALUE"""),633.57)</f>
        <v>633.57000000000005</v>
      </c>
      <c r="Y832" s="1">
        <f ca="1">IFERROR(__xludf.DUMMYFUNCTION("""COMPUTED_VALUE"""),89.29)</f>
        <v>89.29</v>
      </c>
      <c r="Z832" s="1">
        <f ca="1">IFERROR(__xludf.DUMMYFUNCTION("""COMPUTED_VALUE"""),338.71)</f>
        <v>338.71</v>
      </c>
      <c r="AA832" s="1">
        <f ca="1">IFERROR(__xludf.DUMMYFUNCTION("""COMPUTED_VALUE"""),39.85)</f>
        <v>39.85</v>
      </c>
      <c r="AB832" s="1">
        <f ca="1">IFERROR(__xludf.DUMMYFUNCTION("""COMPUTED_VALUE"""),107.05)</f>
        <v>107.05</v>
      </c>
      <c r="AC832" s="1">
        <f ca="1">IFERROR(__xludf.DUMMYFUNCTION("""COMPUTED_VALUE"""),90.11)</f>
        <v>90.11</v>
      </c>
    </row>
    <row r="833" spans="1:29" x14ac:dyDescent="0.25">
      <c r="A833" s="2">
        <f ca="1">IFERROR(__xludf.DUMMYFUNCTION("""COMPUTED_VALUE"""),45037.6666666666)</f>
        <v>45037.666666666599</v>
      </c>
      <c r="B833" s="1">
        <f ca="1">IFERROR(__xludf.DUMMYFUNCTION("""COMPUTED_VALUE"""),165.02)</f>
        <v>165.02</v>
      </c>
      <c r="C833" s="1">
        <f ca="1">IFERROR(__xludf.DUMMYFUNCTION("""COMPUTED_VALUE"""),285.76)</f>
        <v>285.76</v>
      </c>
      <c r="D833" s="1">
        <f ca="1">IFERROR(__xludf.DUMMYFUNCTION("""COMPUTED_VALUE"""),106.96)</f>
        <v>106.96</v>
      </c>
      <c r="E833" s="1">
        <f ca="1">IFERROR(__xludf.DUMMYFUNCTION("""COMPUTED_VALUE"""),27.12)</f>
        <v>27.12</v>
      </c>
      <c r="F833" s="1">
        <f ca="1">IFERROR(__xludf.DUMMYFUNCTION("""COMPUTED_VALUE"""),212.89)</f>
        <v>212.89</v>
      </c>
      <c r="G833" s="1">
        <f ca="1">IFERROR(__xludf.DUMMYFUNCTION("""COMPUTED_VALUE"""),105.91)</f>
        <v>105.91</v>
      </c>
      <c r="H833" s="1">
        <f ca="1">IFERROR(__xludf.DUMMYFUNCTION("""COMPUTED_VALUE"""),165.08)</f>
        <v>165.08</v>
      </c>
      <c r="I833" s="1">
        <f ca="1">IFERROR(__xludf.DUMMYFUNCTION("""COMPUTED_VALUE"""),185.41)</f>
        <v>185.41</v>
      </c>
      <c r="J833" s="1">
        <f ca="1">IFERROR(__xludf.DUMMYFUNCTION("""COMPUTED_VALUE"""),506.35)</f>
        <v>506.35</v>
      </c>
      <c r="K833" s="1">
        <f ca="1">IFERROR(__xludf.DUMMYFUNCTION("""COMPUTED_VALUE"""),63.29)</f>
        <v>63.29</v>
      </c>
      <c r="L833" s="1">
        <f ca="1">IFERROR(__xludf.DUMMYFUNCTION("""COMPUTED_VALUE"""),377.67)</f>
        <v>377.67</v>
      </c>
      <c r="M833" s="1">
        <f ca="1">IFERROR(__xludf.DUMMYFUNCTION("""COMPUTED_VALUE"""),327.98)</f>
        <v>327.98</v>
      </c>
      <c r="N833" s="1">
        <f ca="1">IFERROR(__xludf.DUMMYFUNCTION("""COMPUTED_VALUE"""),140.54)</f>
        <v>140.54</v>
      </c>
      <c r="O833" s="1">
        <f ca="1">IFERROR(__xludf.DUMMYFUNCTION("""COMPUTED_VALUE"""),234.05)</f>
        <v>234.05</v>
      </c>
      <c r="P833" s="1">
        <f ca="1">IFERROR(__xludf.DUMMYFUNCTION("""COMPUTED_VALUE"""),162.69)</f>
        <v>162.69</v>
      </c>
      <c r="Q833" s="1">
        <f ca="1">IFERROR(__xludf.DUMMYFUNCTION("""COMPUTED_VALUE"""),483.82)</f>
        <v>483.82</v>
      </c>
      <c r="R833" s="1">
        <f ca="1">IFERROR(__xludf.DUMMYFUNCTION("""COMPUTED_VALUE"""),116.01)</f>
        <v>116.01</v>
      </c>
      <c r="S833" s="1">
        <f ca="1">IFERROR(__xludf.DUMMYFUNCTION("""COMPUTED_VALUE"""),78.99)</f>
        <v>78.989999999999995</v>
      </c>
      <c r="T833" s="1">
        <f ca="1">IFERROR(__xludf.DUMMYFUNCTION("""COMPUTED_VALUE"""),50.58)</f>
        <v>50.58</v>
      </c>
      <c r="U833" s="1">
        <f ca="1">IFERROR(__xludf.DUMMYFUNCTION("""COMPUTED_VALUE"""),125.53)</f>
        <v>125.53</v>
      </c>
      <c r="V833" s="1">
        <f ca="1">IFERROR(__xludf.DUMMYFUNCTION("""COMPUTED_VALUE"""),220.27)</f>
        <v>220.27</v>
      </c>
      <c r="W833" s="1">
        <f ca="1">IFERROR(__xludf.DUMMYFUNCTION("""COMPUTED_VALUE"""),482.55)</f>
        <v>482.55</v>
      </c>
      <c r="X833" s="1">
        <f ca="1">IFERROR(__xludf.DUMMYFUNCTION("""COMPUTED_VALUE"""),634.47)</f>
        <v>634.47</v>
      </c>
      <c r="Y833" s="1">
        <f ca="1">IFERROR(__xludf.DUMMYFUNCTION("""COMPUTED_VALUE"""),85.37)</f>
        <v>85.37</v>
      </c>
      <c r="Z833" s="1">
        <f ca="1">IFERROR(__xludf.DUMMYFUNCTION("""COMPUTED_VALUE"""),341.66)</f>
        <v>341.66</v>
      </c>
      <c r="AA833" s="1">
        <f ca="1">IFERROR(__xludf.DUMMYFUNCTION("""COMPUTED_VALUE"""),40.21)</f>
        <v>40.21</v>
      </c>
      <c r="AB833" s="1">
        <f ca="1">IFERROR(__xludf.DUMMYFUNCTION("""COMPUTED_VALUE"""),108.19)</f>
        <v>108.19</v>
      </c>
      <c r="AC833" s="1">
        <f ca="1">IFERROR(__xludf.DUMMYFUNCTION("""COMPUTED_VALUE"""),88.43)</f>
        <v>88.43</v>
      </c>
    </row>
    <row r="834" spans="1:29" x14ac:dyDescent="0.25">
      <c r="A834" s="2">
        <f ca="1">IFERROR(__xludf.DUMMYFUNCTION("""COMPUTED_VALUE"""),45040.6666666666)</f>
        <v>45040.666666666599</v>
      </c>
      <c r="B834" s="1">
        <f ca="1">IFERROR(__xludf.DUMMYFUNCTION("""COMPUTED_VALUE"""),165.33)</f>
        <v>165.33</v>
      </c>
      <c r="C834" s="1">
        <f ca="1">IFERROR(__xludf.DUMMYFUNCTION("""COMPUTED_VALUE"""),281.77)</f>
        <v>281.77</v>
      </c>
      <c r="D834" s="1">
        <f ca="1">IFERROR(__xludf.DUMMYFUNCTION("""COMPUTED_VALUE"""),106.21)</f>
        <v>106.21</v>
      </c>
      <c r="E834" s="1">
        <f ca="1">IFERROR(__xludf.DUMMYFUNCTION("""COMPUTED_VALUE"""),27.04)</f>
        <v>27.04</v>
      </c>
      <c r="F834" s="1">
        <f ca="1">IFERROR(__xludf.DUMMYFUNCTION("""COMPUTED_VALUE"""),212.79)</f>
        <v>212.79</v>
      </c>
      <c r="G834" s="1">
        <f ca="1">IFERROR(__xludf.DUMMYFUNCTION("""COMPUTED_VALUE"""),106.78)</f>
        <v>106.78</v>
      </c>
      <c r="H834" s="1">
        <f ca="1">IFERROR(__xludf.DUMMYFUNCTION("""COMPUTED_VALUE"""),162.55)</f>
        <v>162.55000000000001</v>
      </c>
      <c r="I834" s="1">
        <f ca="1">IFERROR(__xludf.DUMMYFUNCTION("""COMPUTED_VALUE"""),185.5)</f>
        <v>185.5</v>
      </c>
      <c r="J834" s="1">
        <f ca="1">IFERROR(__xludf.DUMMYFUNCTION("""COMPUTED_VALUE"""),511.42)</f>
        <v>511.42</v>
      </c>
      <c r="K834" s="1">
        <f ca="1">IFERROR(__xludf.DUMMYFUNCTION("""COMPUTED_VALUE"""),63.45)</f>
        <v>63.45</v>
      </c>
      <c r="L834" s="1">
        <f ca="1">IFERROR(__xludf.DUMMYFUNCTION("""COMPUTED_VALUE"""),377.34)</f>
        <v>377.34</v>
      </c>
      <c r="M834" s="1">
        <f ca="1">IFERROR(__xludf.DUMMYFUNCTION("""COMPUTED_VALUE"""),329.02)</f>
        <v>329.02</v>
      </c>
      <c r="N834" s="1">
        <f ca="1">IFERROR(__xludf.DUMMYFUNCTION("""COMPUTED_VALUE"""),140.73)</f>
        <v>140.72999999999999</v>
      </c>
      <c r="O834" s="1">
        <f ca="1">IFERROR(__xludf.DUMMYFUNCTION("""COMPUTED_VALUE"""),232.76)</f>
        <v>232.76</v>
      </c>
      <c r="P834" s="1">
        <f ca="1">IFERROR(__xludf.DUMMYFUNCTION("""COMPUTED_VALUE"""),163.68)</f>
        <v>163.68</v>
      </c>
      <c r="Q834" s="1">
        <f ca="1">IFERROR(__xludf.DUMMYFUNCTION("""COMPUTED_VALUE"""),488.94)</f>
        <v>488.94</v>
      </c>
      <c r="R834" s="1">
        <f ca="1">IFERROR(__xludf.DUMMYFUNCTION("""COMPUTED_VALUE"""),118.2)</f>
        <v>118.2</v>
      </c>
      <c r="S834" s="1">
        <f ca="1">IFERROR(__xludf.DUMMYFUNCTION("""COMPUTED_VALUE"""),79.04)</f>
        <v>79.040000000000006</v>
      </c>
      <c r="T834" s="1">
        <f ca="1">IFERROR(__xludf.DUMMYFUNCTION("""COMPUTED_VALUE"""),50.92)</f>
        <v>50.92</v>
      </c>
      <c r="U834" s="1">
        <f ca="1">IFERROR(__xludf.DUMMYFUNCTION("""COMPUTED_VALUE"""),127.09)</f>
        <v>127.09</v>
      </c>
      <c r="V834" s="1">
        <f ca="1">IFERROR(__xludf.DUMMYFUNCTION("""COMPUTED_VALUE"""),223.43)</f>
        <v>223.43</v>
      </c>
      <c r="W834" s="1">
        <f ca="1">IFERROR(__xludf.DUMMYFUNCTION("""COMPUTED_VALUE"""),480.92)</f>
        <v>480.92</v>
      </c>
      <c r="X834" s="1">
        <f ca="1">IFERROR(__xludf.DUMMYFUNCTION("""COMPUTED_VALUE"""),627.38)</f>
        <v>627.38</v>
      </c>
      <c r="Y834" s="1">
        <f ca="1">IFERROR(__xludf.DUMMYFUNCTION("""COMPUTED_VALUE"""),84.64)</f>
        <v>84.64</v>
      </c>
      <c r="Z834" s="1">
        <f ca="1">IFERROR(__xludf.DUMMYFUNCTION("""COMPUTED_VALUE"""),343.96)</f>
        <v>343.96</v>
      </c>
      <c r="AA834" s="1">
        <f ca="1">IFERROR(__xludf.DUMMYFUNCTION("""COMPUTED_VALUE"""),39.91)</f>
        <v>39.909999999999997</v>
      </c>
      <c r="AB834" s="1">
        <f ca="1">IFERROR(__xludf.DUMMYFUNCTION("""COMPUTED_VALUE"""),109.29)</f>
        <v>109.29</v>
      </c>
      <c r="AC834" s="1">
        <f ca="1">IFERROR(__xludf.DUMMYFUNCTION("""COMPUTED_VALUE"""),87.57)</f>
        <v>87.57</v>
      </c>
    </row>
    <row r="835" spans="1:29" x14ac:dyDescent="0.25">
      <c r="A835" s="2">
        <f ca="1">IFERROR(__xludf.DUMMYFUNCTION("""COMPUTED_VALUE"""),45041.6666666666)</f>
        <v>45041.666666666599</v>
      </c>
      <c r="B835" s="1">
        <f ca="1">IFERROR(__xludf.DUMMYFUNCTION("""COMPUTED_VALUE"""),163.77)</f>
        <v>163.77000000000001</v>
      </c>
      <c r="C835" s="1">
        <f ca="1">IFERROR(__xludf.DUMMYFUNCTION("""COMPUTED_VALUE"""),275.42)</f>
        <v>275.42</v>
      </c>
      <c r="D835" s="1">
        <f ca="1">IFERROR(__xludf.DUMMYFUNCTION("""COMPUTED_VALUE"""),102.57)</f>
        <v>102.57</v>
      </c>
      <c r="E835" s="1">
        <f ca="1">IFERROR(__xludf.DUMMYFUNCTION("""COMPUTED_VALUE"""),26.24)</f>
        <v>26.24</v>
      </c>
      <c r="F835" s="1">
        <f ca="1">IFERROR(__xludf.DUMMYFUNCTION("""COMPUTED_VALUE"""),207.55)</f>
        <v>207.55</v>
      </c>
      <c r="G835" s="1">
        <f ca="1">IFERROR(__xludf.DUMMYFUNCTION("""COMPUTED_VALUE"""),104.61)</f>
        <v>104.61</v>
      </c>
      <c r="H835" s="1">
        <f ca="1">IFERROR(__xludf.DUMMYFUNCTION("""COMPUTED_VALUE"""),160.67)</f>
        <v>160.66999999999999</v>
      </c>
      <c r="I835" s="1">
        <f ca="1">IFERROR(__xludf.DUMMYFUNCTION("""COMPUTED_VALUE"""),189.71)</f>
        <v>189.71</v>
      </c>
      <c r="J835" s="1">
        <f ca="1">IFERROR(__xludf.DUMMYFUNCTION("""COMPUTED_VALUE"""),503.17)</f>
        <v>503.17</v>
      </c>
      <c r="K835" s="1">
        <f ca="1">IFERROR(__xludf.DUMMYFUNCTION("""COMPUTED_VALUE"""),62.2)</f>
        <v>62.2</v>
      </c>
      <c r="L835" s="1">
        <f ca="1">IFERROR(__xludf.DUMMYFUNCTION("""COMPUTED_VALUE"""),369.59)</f>
        <v>369.59</v>
      </c>
      <c r="M835" s="1">
        <f ca="1">IFERROR(__xludf.DUMMYFUNCTION("""COMPUTED_VALUE"""),322.55)</f>
        <v>322.55</v>
      </c>
      <c r="N835" s="1">
        <f ca="1">IFERROR(__xludf.DUMMYFUNCTION("""COMPUTED_VALUE"""),137.67)</f>
        <v>137.66999999999999</v>
      </c>
      <c r="O835" s="1">
        <f ca="1">IFERROR(__xludf.DUMMYFUNCTION("""COMPUTED_VALUE"""),229.59)</f>
        <v>229.59</v>
      </c>
      <c r="P835" s="1">
        <f ca="1">IFERROR(__xludf.DUMMYFUNCTION("""COMPUTED_VALUE"""),165.18)</f>
        <v>165.18</v>
      </c>
      <c r="Q835" s="1">
        <f ca="1">IFERROR(__xludf.DUMMYFUNCTION("""COMPUTED_VALUE"""),491.92)</f>
        <v>491.92</v>
      </c>
      <c r="R835" s="1">
        <f ca="1">IFERROR(__xludf.DUMMYFUNCTION("""COMPUTED_VALUE"""),116.52)</f>
        <v>116.52</v>
      </c>
      <c r="S835" s="1">
        <f ca="1">IFERROR(__xludf.DUMMYFUNCTION("""COMPUTED_VALUE"""),77.82)</f>
        <v>77.819999999999993</v>
      </c>
      <c r="T835" s="1">
        <f ca="1">IFERROR(__xludf.DUMMYFUNCTION("""COMPUTED_VALUE"""),50.52)</f>
        <v>50.52</v>
      </c>
      <c r="U835" s="1">
        <f ca="1">IFERROR(__xludf.DUMMYFUNCTION("""COMPUTED_VALUE"""),124.66)</f>
        <v>124.66</v>
      </c>
      <c r="V835" s="1">
        <f ca="1">IFERROR(__xludf.DUMMYFUNCTION("""COMPUTED_VALUE"""),218.63)</f>
        <v>218.63</v>
      </c>
      <c r="W835" s="1">
        <f ca="1">IFERROR(__xludf.DUMMYFUNCTION("""COMPUTED_VALUE"""),475.58)</f>
        <v>475.58</v>
      </c>
      <c r="X835" s="1">
        <f ca="1">IFERROR(__xludf.DUMMYFUNCTION("""COMPUTED_VALUE"""),605.76)</f>
        <v>605.76</v>
      </c>
      <c r="Y835" s="1">
        <f ca="1">IFERROR(__xludf.DUMMYFUNCTION("""COMPUTED_VALUE"""),82.29)</f>
        <v>82.29</v>
      </c>
      <c r="Z835" s="1">
        <f ca="1">IFERROR(__xludf.DUMMYFUNCTION("""COMPUTED_VALUE"""),339.48)</f>
        <v>339.48</v>
      </c>
      <c r="AA835" s="1">
        <f ca="1">IFERROR(__xludf.DUMMYFUNCTION("""COMPUTED_VALUE"""),39.33)</f>
        <v>39.33</v>
      </c>
      <c r="AB835" s="1">
        <f ca="1">IFERROR(__xludf.DUMMYFUNCTION("""COMPUTED_VALUE"""),109.34)</f>
        <v>109.34</v>
      </c>
      <c r="AC835" s="1">
        <f ca="1">IFERROR(__xludf.DUMMYFUNCTION("""COMPUTED_VALUE"""),83.8)</f>
        <v>83.8</v>
      </c>
    </row>
    <row r="836" spans="1:29" x14ac:dyDescent="0.25">
      <c r="A836" s="2">
        <f ca="1">IFERROR(__xludf.DUMMYFUNCTION("""COMPUTED_VALUE"""),45042.6666666666)</f>
        <v>45042.666666666599</v>
      </c>
      <c r="B836" s="1">
        <f ca="1">IFERROR(__xludf.DUMMYFUNCTION("""COMPUTED_VALUE"""),163.76)</f>
        <v>163.76</v>
      </c>
      <c r="C836" s="1">
        <f ca="1">IFERROR(__xludf.DUMMYFUNCTION("""COMPUTED_VALUE"""),295.37)</f>
        <v>295.37</v>
      </c>
      <c r="D836" s="1">
        <f ca="1">IFERROR(__xludf.DUMMYFUNCTION("""COMPUTED_VALUE"""),104.98)</f>
        <v>104.98</v>
      </c>
      <c r="E836" s="1">
        <f ca="1">IFERROR(__xludf.DUMMYFUNCTION("""COMPUTED_VALUE"""),26.96)</f>
        <v>26.96</v>
      </c>
      <c r="F836" s="1">
        <f ca="1">IFERROR(__xludf.DUMMYFUNCTION("""COMPUTED_VALUE"""),209.4)</f>
        <v>209.4</v>
      </c>
      <c r="G836" s="1">
        <f ca="1">IFERROR(__xludf.DUMMYFUNCTION("""COMPUTED_VALUE"""),104.45)</f>
        <v>104.45</v>
      </c>
      <c r="H836" s="1">
        <f ca="1">IFERROR(__xludf.DUMMYFUNCTION("""COMPUTED_VALUE"""),153.75)</f>
        <v>153.75</v>
      </c>
      <c r="I836" s="1">
        <f ca="1">IFERROR(__xludf.DUMMYFUNCTION("""COMPUTED_VALUE"""),188.54)</f>
        <v>188.54</v>
      </c>
      <c r="J836" s="1">
        <f ca="1">IFERROR(__xludf.DUMMYFUNCTION("""COMPUTED_VALUE"""),494.66)</f>
        <v>494.66</v>
      </c>
      <c r="K836" s="1">
        <f ca="1">IFERROR(__xludf.DUMMYFUNCTION("""COMPUTED_VALUE"""),61.62)</f>
        <v>61.62</v>
      </c>
      <c r="L836" s="1">
        <f ca="1">IFERROR(__xludf.DUMMYFUNCTION("""COMPUTED_VALUE"""),363.06)</f>
        <v>363.06</v>
      </c>
      <c r="M836" s="1">
        <f ca="1">IFERROR(__xludf.DUMMYFUNCTION("""COMPUTED_VALUE"""),321.15)</f>
        <v>321.14999999999998</v>
      </c>
      <c r="N836" s="1">
        <f ca="1">IFERROR(__xludf.DUMMYFUNCTION("""COMPUTED_VALUE"""),135.23)</f>
        <v>135.22999999999999</v>
      </c>
      <c r="O836" s="1">
        <f ca="1">IFERROR(__xludf.DUMMYFUNCTION("""COMPUTED_VALUE"""),228.15)</f>
        <v>228.15</v>
      </c>
      <c r="P836" s="1">
        <f ca="1">IFERROR(__xludf.DUMMYFUNCTION("""COMPUTED_VALUE"""),162.62)</f>
        <v>162.62</v>
      </c>
      <c r="Q836" s="1">
        <f ca="1">IFERROR(__xludf.DUMMYFUNCTION("""COMPUTED_VALUE"""),482.95)</f>
        <v>482.95</v>
      </c>
      <c r="R836" s="1">
        <f ca="1">IFERROR(__xludf.DUMMYFUNCTION("""COMPUTED_VALUE"""),115.45)</f>
        <v>115.45</v>
      </c>
      <c r="S836" s="1">
        <f ca="1">IFERROR(__xludf.DUMMYFUNCTION("""COMPUTED_VALUE"""),74.07)</f>
        <v>74.069999999999993</v>
      </c>
      <c r="T836" s="1">
        <f ca="1">IFERROR(__xludf.DUMMYFUNCTION("""COMPUTED_VALUE"""),50.3)</f>
        <v>50.3</v>
      </c>
      <c r="U836" s="1">
        <f ca="1">IFERROR(__xludf.DUMMYFUNCTION("""COMPUTED_VALUE"""),123.84)</f>
        <v>123.84</v>
      </c>
      <c r="V836" s="1">
        <f ca="1">IFERROR(__xludf.DUMMYFUNCTION("""COMPUTED_VALUE"""),216.19)</f>
        <v>216.19</v>
      </c>
      <c r="W836" s="1">
        <f ca="1">IFERROR(__xludf.DUMMYFUNCTION("""COMPUTED_VALUE"""),461.62)</f>
        <v>461.62</v>
      </c>
      <c r="X836" s="1">
        <f ca="1">IFERROR(__xludf.DUMMYFUNCTION("""COMPUTED_VALUE"""),609.1)</f>
        <v>609.1</v>
      </c>
      <c r="Y836" s="1">
        <f ca="1">IFERROR(__xludf.DUMMYFUNCTION("""COMPUTED_VALUE"""),82.25)</f>
        <v>82.25</v>
      </c>
      <c r="Z836" s="1">
        <f ca="1">IFERROR(__xludf.DUMMYFUNCTION("""COMPUTED_VALUE"""),336.56)</f>
        <v>336.56</v>
      </c>
      <c r="AA836" s="1">
        <f ca="1">IFERROR(__xludf.DUMMYFUNCTION("""COMPUTED_VALUE"""),38.63)</f>
        <v>38.630000000000003</v>
      </c>
      <c r="AB836" s="1">
        <f ca="1">IFERROR(__xludf.DUMMYFUNCTION("""COMPUTED_VALUE"""),111.47)</f>
        <v>111.47</v>
      </c>
      <c r="AC836" s="1">
        <f ca="1">IFERROR(__xludf.DUMMYFUNCTION("""COMPUTED_VALUE"""),85.94)</f>
        <v>85.94</v>
      </c>
    </row>
    <row r="837" spans="1:29" x14ac:dyDescent="0.25">
      <c r="A837" s="2">
        <f ca="1">IFERROR(__xludf.DUMMYFUNCTION("""COMPUTED_VALUE"""),45043.6666666666)</f>
        <v>45043.666666666599</v>
      </c>
      <c r="B837" s="1">
        <f ca="1">IFERROR(__xludf.DUMMYFUNCTION("""COMPUTED_VALUE"""),168.41)</f>
        <v>168.41</v>
      </c>
      <c r="C837" s="1">
        <f ca="1">IFERROR(__xludf.DUMMYFUNCTION("""COMPUTED_VALUE"""),304.83)</f>
        <v>304.83</v>
      </c>
      <c r="D837" s="1">
        <f ca="1">IFERROR(__xludf.DUMMYFUNCTION("""COMPUTED_VALUE"""),109.82)</f>
        <v>109.82</v>
      </c>
      <c r="E837" s="1">
        <f ca="1">IFERROR(__xludf.DUMMYFUNCTION("""COMPUTED_VALUE"""),27.23)</f>
        <v>27.23</v>
      </c>
      <c r="F837" s="1">
        <f ca="1">IFERROR(__xludf.DUMMYFUNCTION("""COMPUTED_VALUE"""),238.56)</f>
        <v>238.56</v>
      </c>
      <c r="G837" s="1">
        <f ca="1">IFERROR(__xludf.DUMMYFUNCTION("""COMPUTED_VALUE"""),108.37)</f>
        <v>108.37</v>
      </c>
      <c r="H837" s="1">
        <f ca="1">IFERROR(__xludf.DUMMYFUNCTION("""COMPUTED_VALUE"""),160.19)</f>
        <v>160.19</v>
      </c>
      <c r="I837" s="1">
        <f ca="1">IFERROR(__xludf.DUMMYFUNCTION("""COMPUTED_VALUE"""),189.69)</f>
        <v>189.69</v>
      </c>
      <c r="J837" s="1">
        <f ca="1">IFERROR(__xludf.DUMMYFUNCTION("""COMPUTED_VALUE"""),501.27)</f>
        <v>501.27</v>
      </c>
      <c r="K837" s="1">
        <f ca="1">IFERROR(__xludf.DUMMYFUNCTION("""COMPUTED_VALUE"""),61.84)</f>
        <v>61.84</v>
      </c>
      <c r="L837" s="1">
        <f ca="1">IFERROR(__xludf.DUMMYFUNCTION("""COMPUTED_VALUE"""),371.42)</f>
        <v>371.42</v>
      </c>
      <c r="M837" s="1">
        <f ca="1">IFERROR(__xludf.DUMMYFUNCTION("""COMPUTED_VALUE"""),325.85)</f>
        <v>325.85000000000002</v>
      </c>
      <c r="N837" s="1">
        <f ca="1">IFERROR(__xludf.DUMMYFUNCTION("""COMPUTED_VALUE"""),137.05)</f>
        <v>137.05000000000001</v>
      </c>
      <c r="O837" s="1">
        <f ca="1">IFERROR(__xludf.DUMMYFUNCTION("""COMPUTED_VALUE"""),229.01)</f>
        <v>229.01</v>
      </c>
      <c r="P837" s="1">
        <f ca="1">IFERROR(__xludf.DUMMYFUNCTION("""COMPUTED_VALUE"""),163)</f>
        <v>163</v>
      </c>
      <c r="Q837" s="1">
        <f ca="1">IFERROR(__xludf.DUMMYFUNCTION("""COMPUTED_VALUE"""),490.47)</f>
        <v>490.47</v>
      </c>
      <c r="R837" s="1">
        <f ca="1">IFERROR(__xludf.DUMMYFUNCTION("""COMPUTED_VALUE"""),116.83)</f>
        <v>116.83</v>
      </c>
      <c r="S837" s="1">
        <f ca="1">IFERROR(__xludf.DUMMYFUNCTION("""COMPUTED_VALUE"""),75.85)</f>
        <v>75.849999999999994</v>
      </c>
      <c r="T837" s="1">
        <f ca="1">IFERROR(__xludf.DUMMYFUNCTION("""COMPUTED_VALUE"""),50.46)</f>
        <v>50.46</v>
      </c>
      <c r="U837" s="1">
        <f ca="1">IFERROR(__xludf.DUMMYFUNCTION("""COMPUTED_VALUE"""),125.7)</f>
        <v>125.7</v>
      </c>
      <c r="V837" s="1">
        <f ca="1">IFERROR(__xludf.DUMMYFUNCTION("""COMPUTED_VALUE"""),214.33)</f>
        <v>214.33</v>
      </c>
      <c r="W837" s="1">
        <f ca="1">IFERROR(__xludf.DUMMYFUNCTION("""COMPUTED_VALUE"""),465)</f>
        <v>465</v>
      </c>
      <c r="X837" s="1">
        <f ca="1">IFERROR(__xludf.DUMMYFUNCTION("""COMPUTED_VALUE"""),629.24)</f>
        <v>629.24</v>
      </c>
      <c r="Y837" s="1">
        <f ca="1">IFERROR(__xludf.DUMMYFUNCTION("""COMPUTED_VALUE"""),83.67)</f>
        <v>83.67</v>
      </c>
      <c r="Z837" s="1">
        <f ca="1">IFERROR(__xludf.DUMMYFUNCTION("""COMPUTED_VALUE"""),341.6)</f>
        <v>341.6</v>
      </c>
      <c r="AA837" s="1">
        <f ca="1">IFERROR(__xludf.DUMMYFUNCTION("""COMPUTED_VALUE"""),38.74)</f>
        <v>38.74</v>
      </c>
      <c r="AB837" s="1">
        <f ca="1">IFERROR(__xludf.DUMMYFUNCTION("""COMPUTED_VALUE"""),112.75)</f>
        <v>112.75</v>
      </c>
      <c r="AC837" s="1">
        <f ca="1">IFERROR(__xludf.DUMMYFUNCTION("""COMPUTED_VALUE"""),87.44)</f>
        <v>87.44</v>
      </c>
    </row>
    <row r="838" spans="1:29" x14ac:dyDescent="0.25">
      <c r="A838" s="2">
        <f ca="1">IFERROR(__xludf.DUMMYFUNCTION("""COMPUTED_VALUE"""),45044.6666666666)</f>
        <v>45044.666666666599</v>
      </c>
      <c r="B838" s="1">
        <f ca="1">IFERROR(__xludf.DUMMYFUNCTION("""COMPUTED_VALUE"""),169.68)</f>
        <v>169.68</v>
      </c>
      <c r="C838" s="1">
        <f ca="1">IFERROR(__xludf.DUMMYFUNCTION("""COMPUTED_VALUE"""),307.26)</f>
        <v>307.26</v>
      </c>
      <c r="D838" s="1">
        <f ca="1">IFERROR(__xludf.DUMMYFUNCTION("""COMPUTED_VALUE"""),105.45)</f>
        <v>105.45</v>
      </c>
      <c r="E838" s="1">
        <f ca="1">IFERROR(__xludf.DUMMYFUNCTION("""COMPUTED_VALUE"""),27.75)</f>
        <v>27.75</v>
      </c>
      <c r="F838" s="1">
        <f ca="1">IFERROR(__xludf.DUMMYFUNCTION("""COMPUTED_VALUE"""),240.32)</f>
        <v>240.32</v>
      </c>
      <c r="G838" s="1">
        <f ca="1">IFERROR(__xludf.DUMMYFUNCTION("""COMPUTED_VALUE"""),108.22)</f>
        <v>108.22</v>
      </c>
      <c r="H838" s="1">
        <f ca="1">IFERROR(__xludf.DUMMYFUNCTION("""COMPUTED_VALUE"""),164.31)</f>
        <v>164.31</v>
      </c>
      <c r="I838" s="1">
        <f ca="1">IFERROR(__xludf.DUMMYFUNCTION("""COMPUTED_VALUE"""),190.89)</f>
        <v>190.89</v>
      </c>
      <c r="J838" s="1">
        <f ca="1">IFERROR(__xludf.DUMMYFUNCTION("""COMPUTED_VALUE"""),503.22)</f>
        <v>503.22</v>
      </c>
      <c r="K838" s="1">
        <f ca="1">IFERROR(__xludf.DUMMYFUNCTION("""COMPUTED_VALUE"""),62.65)</f>
        <v>62.65</v>
      </c>
      <c r="L838" s="1">
        <f ca="1">IFERROR(__xludf.DUMMYFUNCTION("""COMPUTED_VALUE"""),377.56)</f>
        <v>377.56</v>
      </c>
      <c r="M838" s="1">
        <f ca="1">IFERROR(__xludf.DUMMYFUNCTION("""COMPUTED_VALUE"""),329.93)</f>
        <v>329.93</v>
      </c>
      <c r="N838" s="1">
        <f ca="1">IFERROR(__xludf.DUMMYFUNCTION("""COMPUTED_VALUE"""),138.24)</f>
        <v>138.24</v>
      </c>
      <c r="O838" s="1">
        <f ca="1">IFERROR(__xludf.DUMMYFUNCTION("""COMPUTED_VALUE"""),232.73)</f>
        <v>232.73</v>
      </c>
      <c r="P838" s="1">
        <f ca="1">IFERROR(__xludf.DUMMYFUNCTION("""COMPUTED_VALUE"""),163.7)</f>
        <v>163.69999999999999</v>
      </c>
      <c r="Q838" s="1">
        <f ca="1">IFERROR(__xludf.DUMMYFUNCTION("""COMPUTED_VALUE"""),492.09)</f>
        <v>492.09</v>
      </c>
      <c r="R838" s="1">
        <f ca="1">IFERROR(__xludf.DUMMYFUNCTION("""COMPUTED_VALUE"""),118.34)</f>
        <v>118.34</v>
      </c>
      <c r="S838" s="1">
        <f ca="1">IFERROR(__xludf.DUMMYFUNCTION("""COMPUTED_VALUE"""),76.63)</f>
        <v>76.63</v>
      </c>
      <c r="T838" s="1">
        <f ca="1">IFERROR(__xludf.DUMMYFUNCTION("""COMPUTED_VALUE"""),50.32)</f>
        <v>50.32</v>
      </c>
      <c r="U838" s="1">
        <f ca="1">IFERROR(__xludf.DUMMYFUNCTION("""COMPUTED_VALUE"""),126.72)</f>
        <v>126.72</v>
      </c>
      <c r="V838" s="1">
        <f ca="1">IFERROR(__xludf.DUMMYFUNCTION("""COMPUTED_VALUE"""),218.8)</f>
        <v>218.8</v>
      </c>
      <c r="W838" s="1">
        <f ca="1">IFERROR(__xludf.DUMMYFUNCTION("""COMPUTED_VALUE"""),464.45)</f>
        <v>464.45</v>
      </c>
      <c r="X838" s="1">
        <f ca="1">IFERROR(__xludf.DUMMYFUNCTION("""COMPUTED_VALUE"""),636.86)</f>
        <v>636.86</v>
      </c>
      <c r="Y838" s="1">
        <f ca="1">IFERROR(__xludf.DUMMYFUNCTION("""COMPUTED_VALUE"""),84.3)</f>
        <v>84.3</v>
      </c>
      <c r="Z838" s="1">
        <f ca="1">IFERROR(__xludf.DUMMYFUNCTION("""COMPUTED_VALUE"""),343.44)</f>
        <v>343.44</v>
      </c>
      <c r="AA838" s="1">
        <f ca="1">IFERROR(__xludf.DUMMYFUNCTION("""COMPUTED_VALUE"""),38.89)</f>
        <v>38.89</v>
      </c>
      <c r="AB838" s="1">
        <f ca="1">IFERROR(__xludf.DUMMYFUNCTION("""COMPUTED_VALUE"""),114.29)</f>
        <v>114.29</v>
      </c>
      <c r="AC838" s="1">
        <f ca="1">IFERROR(__xludf.DUMMYFUNCTION("""COMPUTED_VALUE"""),89.37)</f>
        <v>89.37</v>
      </c>
    </row>
    <row r="839" spans="1:29" x14ac:dyDescent="0.25">
      <c r="A839" s="2">
        <f ca="1">IFERROR(__xludf.DUMMYFUNCTION("""COMPUTED_VALUE"""),45047.6666666666)</f>
        <v>45047.666666666599</v>
      </c>
      <c r="B839" s="1">
        <f ca="1">IFERROR(__xludf.DUMMYFUNCTION("""COMPUTED_VALUE"""),169.59)</f>
        <v>169.59</v>
      </c>
      <c r="C839" s="1">
        <f ca="1">IFERROR(__xludf.DUMMYFUNCTION("""COMPUTED_VALUE"""),305.56)</f>
        <v>305.56</v>
      </c>
      <c r="D839" s="1">
        <f ca="1">IFERROR(__xludf.DUMMYFUNCTION("""COMPUTED_VALUE"""),102.05)</f>
        <v>102.05</v>
      </c>
      <c r="E839" s="1">
        <f ca="1">IFERROR(__xludf.DUMMYFUNCTION("""COMPUTED_VALUE"""),28.91)</f>
        <v>28.91</v>
      </c>
      <c r="F839" s="1">
        <f ca="1">IFERROR(__xludf.DUMMYFUNCTION("""COMPUTED_VALUE"""),243.18)</f>
        <v>243.18</v>
      </c>
      <c r="G839" s="1">
        <f ca="1">IFERROR(__xludf.DUMMYFUNCTION("""COMPUTED_VALUE"""),107.71)</f>
        <v>107.71</v>
      </c>
      <c r="H839" s="1">
        <f ca="1">IFERROR(__xludf.DUMMYFUNCTION("""COMPUTED_VALUE"""),161.83)</f>
        <v>161.83000000000001</v>
      </c>
      <c r="I839" s="1">
        <f ca="1">IFERROR(__xludf.DUMMYFUNCTION("""COMPUTED_VALUE"""),191.68)</f>
        <v>191.68</v>
      </c>
      <c r="J839" s="1">
        <f ca="1">IFERROR(__xludf.DUMMYFUNCTION("""COMPUTED_VALUE"""),493.59)</f>
        <v>493.59</v>
      </c>
      <c r="K839" s="1">
        <f ca="1">IFERROR(__xludf.DUMMYFUNCTION("""COMPUTED_VALUE"""),63.8)</f>
        <v>63.8</v>
      </c>
      <c r="L839" s="1">
        <f ca="1">IFERROR(__xludf.DUMMYFUNCTION("""COMPUTED_VALUE"""),374.15)</f>
        <v>374.15</v>
      </c>
      <c r="M839" s="1">
        <f ca="1">IFERROR(__xludf.DUMMYFUNCTION("""COMPUTED_VALUE"""),324.12)</f>
        <v>324.12</v>
      </c>
      <c r="N839" s="1">
        <f ca="1">IFERROR(__xludf.DUMMYFUNCTION("""COMPUTED_VALUE"""),141.2)</f>
        <v>141.19999999999999</v>
      </c>
      <c r="O839" s="1">
        <f ca="1">IFERROR(__xludf.DUMMYFUNCTION("""COMPUTED_VALUE"""),232.51)</f>
        <v>232.51</v>
      </c>
      <c r="P839" s="1">
        <f ca="1">IFERROR(__xludf.DUMMYFUNCTION("""COMPUTED_VALUE"""),163.6)</f>
        <v>163.6</v>
      </c>
      <c r="Q839" s="1">
        <f ca="1">IFERROR(__xludf.DUMMYFUNCTION("""COMPUTED_VALUE"""),495.7)</f>
        <v>495.7</v>
      </c>
      <c r="R839" s="1">
        <f ca="1">IFERROR(__xludf.DUMMYFUNCTION("""COMPUTED_VALUE"""),114.67)</f>
        <v>114.67</v>
      </c>
      <c r="S839" s="1">
        <f ca="1">IFERROR(__xludf.DUMMYFUNCTION("""COMPUTED_VALUE"""),76.8)</f>
        <v>76.8</v>
      </c>
      <c r="T839" s="1">
        <f ca="1">IFERROR(__xludf.DUMMYFUNCTION("""COMPUTED_VALUE"""),50.53)</f>
        <v>50.53</v>
      </c>
      <c r="U839" s="1">
        <f ca="1">IFERROR(__xludf.DUMMYFUNCTION("""COMPUTED_VALUE"""),127.92)</f>
        <v>127.92</v>
      </c>
      <c r="V839" s="1">
        <f ca="1">IFERROR(__xludf.DUMMYFUNCTION("""COMPUTED_VALUE"""),217.27)</f>
        <v>217.27</v>
      </c>
      <c r="W839" s="1">
        <f ca="1">IFERROR(__xludf.DUMMYFUNCTION("""COMPUTED_VALUE"""),469.43)</f>
        <v>469.43</v>
      </c>
      <c r="X839" s="1">
        <f ca="1">IFERROR(__xludf.DUMMYFUNCTION("""COMPUTED_VALUE"""),635.2)</f>
        <v>635.20000000000005</v>
      </c>
      <c r="Y839" s="1">
        <f ca="1">IFERROR(__xludf.DUMMYFUNCTION("""COMPUTED_VALUE"""),83.98)</f>
        <v>83.98</v>
      </c>
      <c r="Z839" s="1">
        <f ca="1">IFERROR(__xludf.DUMMYFUNCTION("""COMPUTED_VALUE"""),340.57)</f>
        <v>340.57</v>
      </c>
      <c r="AA839" s="1">
        <f ca="1">IFERROR(__xludf.DUMMYFUNCTION("""COMPUTED_VALUE"""),39.21)</f>
        <v>39.21</v>
      </c>
      <c r="AB839" s="1">
        <f ca="1">IFERROR(__xludf.DUMMYFUNCTION("""COMPUTED_VALUE"""),114.56)</f>
        <v>114.56</v>
      </c>
      <c r="AC839" s="1">
        <f ca="1">IFERROR(__xludf.DUMMYFUNCTION("""COMPUTED_VALUE"""),89.69)</f>
        <v>89.69</v>
      </c>
    </row>
    <row r="840" spans="1:29" x14ac:dyDescent="0.25">
      <c r="A840" s="2">
        <f ca="1">IFERROR(__xludf.DUMMYFUNCTION("""COMPUTED_VALUE"""),45048.6666666666)</f>
        <v>45048.666666666599</v>
      </c>
      <c r="B840" s="1">
        <f ca="1">IFERROR(__xludf.DUMMYFUNCTION("""COMPUTED_VALUE"""),168.54)</f>
        <v>168.54</v>
      </c>
      <c r="C840" s="1">
        <f ca="1">IFERROR(__xludf.DUMMYFUNCTION("""COMPUTED_VALUE"""),305.41)</f>
        <v>305.41000000000003</v>
      </c>
      <c r="D840" s="1">
        <f ca="1">IFERROR(__xludf.DUMMYFUNCTION("""COMPUTED_VALUE"""),103.63)</f>
        <v>103.63</v>
      </c>
      <c r="E840" s="1">
        <f ca="1">IFERROR(__xludf.DUMMYFUNCTION("""COMPUTED_VALUE"""),28.21)</f>
        <v>28.21</v>
      </c>
      <c r="F840" s="1">
        <f ca="1">IFERROR(__xludf.DUMMYFUNCTION("""COMPUTED_VALUE"""),239.24)</f>
        <v>239.24</v>
      </c>
      <c r="G840" s="1">
        <f ca="1">IFERROR(__xludf.DUMMYFUNCTION("""COMPUTED_VALUE"""),105.98)</f>
        <v>105.98</v>
      </c>
      <c r="H840" s="1">
        <f ca="1">IFERROR(__xludf.DUMMYFUNCTION("""COMPUTED_VALUE"""),160.31)</f>
        <v>160.31</v>
      </c>
      <c r="I840" s="1">
        <f ca="1">IFERROR(__xludf.DUMMYFUNCTION("""COMPUTED_VALUE"""),192.25)</f>
        <v>192.25</v>
      </c>
      <c r="J840" s="1">
        <f ca="1">IFERROR(__xludf.DUMMYFUNCTION("""COMPUTED_VALUE"""),494.81)</f>
        <v>494.81</v>
      </c>
      <c r="K840" s="1">
        <f ca="1">IFERROR(__xludf.DUMMYFUNCTION("""COMPUTED_VALUE"""),61.23)</f>
        <v>61.23</v>
      </c>
      <c r="L840" s="1">
        <f ca="1">IFERROR(__xludf.DUMMYFUNCTION("""COMPUTED_VALUE"""),368.66)</f>
        <v>368.66</v>
      </c>
      <c r="M840" s="1">
        <f ca="1">IFERROR(__xludf.DUMMYFUNCTION("""COMPUTED_VALUE"""),317.55)</f>
        <v>317.55</v>
      </c>
      <c r="N840" s="1">
        <f ca="1">IFERROR(__xludf.DUMMYFUNCTION("""COMPUTED_VALUE"""),138.92)</f>
        <v>138.91999999999999</v>
      </c>
      <c r="O840" s="1">
        <f ca="1">IFERROR(__xludf.DUMMYFUNCTION("""COMPUTED_VALUE"""),226.98)</f>
        <v>226.98</v>
      </c>
      <c r="P840" s="1">
        <f ca="1">IFERROR(__xludf.DUMMYFUNCTION("""COMPUTED_VALUE"""),165.03)</f>
        <v>165.03</v>
      </c>
      <c r="Q840" s="1">
        <f ca="1">IFERROR(__xludf.DUMMYFUNCTION("""COMPUTED_VALUE"""),493.39)</f>
        <v>493.39</v>
      </c>
      <c r="R840" s="1">
        <f ca="1">IFERROR(__xludf.DUMMYFUNCTION("""COMPUTED_VALUE"""),110.1)</f>
        <v>110.1</v>
      </c>
      <c r="S840" s="1">
        <f ca="1">IFERROR(__xludf.DUMMYFUNCTION("""COMPUTED_VALUE"""),75.94)</f>
        <v>75.94</v>
      </c>
      <c r="T840" s="1">
        <f ca="1">IFERROR(__xludf.DUMMYFUNCTION("""COMPUTED_VALUE"""),50.39)</f>
        <v>50.39</v>
      </c>
      <c r="U840" s="1">
        <f ca="1">IFERROR(__xludf.DUMMYFUNCTION("""COMPUTED_VALUE"""),127.26)</f>
        <v>127.26</v>
      </c>
      <c r="V840" s="1">
        <f ca="1">IFERROR(__xludf.DUMMYFUNCTION("""COMPUTED_VALUE"""),215.15)</f>
        <v>215.15</v>
      </c>
      <c r="W840" s="1">
        <f ca="1">IFERROR(__xludf.DUMMYFUNCTION("""COMPUTED_VALUE"""),458.89)</f>
        <v>458.89</v>
      </c>
      <c r="X840" s="1">
        <f ca="1">IFERROR(__xludf.DUMMYFUNCTION("""COMPUTED_VALUE"""),634.05)</f>
        <v>634.04999999999995</v>
      </c>
      <c r="Y840" s="1">
        <f ca="1">IFERROR(__xludf.DUMMYFUNCTION("""COMPUTED_VALUE"""),82.96)</f>
        <v>82.96</v>
      </c>
      <c r="Z840" s="1">
        <f ca="1">IFERROR(__xludf.DUMMYFUNCTION("""COMPUTED_VALUE"""),333.37)</f>
        <v>333.37</v>
      </c>
      <c r="AA840" s="1">
        <f ca="1">IFERROR(__xludf.DUMMYFUNCTION("""COMPUTED_VALUE"""),39.06)</f>
        <v>39.06</v>
      </c>
      <c r="AB840" s="1">
        <f ca="1">IFERROR(__xludf.DUMMYFUNCTION("""COMPUTED_VALUE"""),114.46)</f>
        <v>114.46</v>
      </c>
      <c r="AC840" s="1">
        <f ca="1">IFERROR(__xludf.DUMMYFUNCTION("""COMPUTED_VALUE"""),89.91)</f>
        <v>89.91</v>
      </c>
    </row>
    <row r="841" spans="1:29" x14ac:dyDescent="0.25">
      <c r="A841" s="2">
        <f ca="1">IFERROR(__xludf.DUMMYFUNCTION("""COMPUTED_VALUE"""),45049.6666666666)</f>
        <v>45049.666666666599</v>
      </c>
      <c r="B841" s="1">
        <f ca="1">IFERROR(__xludf.DUMMYFUNCTION("""COMPUTED_VALUE"""),167.45)</f>
        <v>167.45</v>
      </c>
      <c r="C841" s="1">
        <f ca="1">IFERROR(__xludf.DUMMYFUNCTION("""COMPUTED_VALUE"""),304.4)</f>
        <v>304.39999999999998</v>
      </c>
      <c r="D841" s="1">
        <f ca="1">IFERROR(__xludf.DUMMYFUNCTION("""COMPUTED_VALUE"""),103.65)</f>
        <v>103.65</v>
      </c>
      <c r="E841" s="1">
        <f ca="1">IFERROR(__xludf.DUMMYFUNCTION("""COMPUTED_VALUE"""),27.8)</f>
        <v>27.8</v>
      </c>
      <c r="F841" s="1">
        <f ca="1">IFERROR(__xludf.DUMMYFUNCTION("""COMPUTED_VALUE"""),237.03)</f>
        <v>237.03</v>
      </c>
      <c r="G841" s="1">
        <f ca="1">IFERROR(__xludf.DUMMYFUNCTION("""COMPUTED_VALUE"""),106.12)</f>
        <v>106.12</v>
      </c>
      <c r="H841" s="1">
        <f ca="1">IFERROR(__xludf.DUMMYFUNCTION("""COMPUTED_VALUE"""),160.61)</f>
        <v>160.61000000000001</v>
      </c>
      <c r="I841" s="1">
        <f ca="1">IFERROR(__xludf.DUMMYFUNCTION("""COMPUTED_VALUE"""),192.18)</f>
        <v>192.18</v>
      </c>
      <c r="J841" s="1">
        <f ca="1">IFERROR(__xludf.DUMMYFUNCTION("""COMPUTED_VALUE"""),490.06)</f>
        <v>490.06</v>
      </c>
      <c r="K841" s="1">
        <f ca="1">IFERROR(__xludf.DUMMYFUNCTION("""COMPUTED_VALUE"""),61.32)</f>
        <v>61.32</v>
      </c>
      <c r="L841" s="1">
        <f ca="1">IFERROR(__xludf.DUMMYFUNCTION("""COMPUTED_VALUE"""),345.25)</f>
        <v>345.25</v>
      </c>
      <c r="M841" s="1">
        <f ca="1">IFERROR(__xludf.DUMMYFUNCTION("""COMPUTED_VALUE"""),319.3)</f>
        <v>319.3</v>
      </c>
      <c r="N841" s="1">
        <f ca="1">IFERROR(__xludf.DUMMYFUNCTION("""COMPUTED_VALUE"""),135.98)</f>
        <v>135.97999999999999</v>
      </c>
      <c r="O841" s="1">
        <f ca="1">IFERROR(__xludf.DUMMYFUNCTION("""COMPUTED_VALUE"""),225.98)</f>
        <v>225.98</v>
      </c>
      <c r="P841" s="1">
        <f ca="1">IFERROR(__xludf.DUMMYFUNCTION("""COMPUTED_VALUE"""),162.87)</f>
        <v>162.87</v>
      </c>
      <c r="Q841" s="1">
        <f ca="1">IFERROR(__xludf.DUMMYFUNCTION("""COMPUTED_VALUE"""),489.44)</f>
        <v>489.44</v>
      </c>
      <c r="R841" s="1">
        <f ca="1">IFERROR(__xludf.DUMMYFUNCTION("""COMPUTED_VALUE"""),107.93)</f>
        <v>107.93</v>
      </c>
      <c r="S841" s="1">
        <f ca="1">IFERROR(__xludf.DUMMYFUNCTION("""COMPUTED_VALUE"""),75.39)</f>
        <v>75.39</v>
      </c>
      <c r="T841" s="1">
        <f ca="1">IFERROR(__xludf.DUMMYFUNCTION("""COMPUTED_VALUE"""),50.21)</f>
        <v>50.21</v>
      </c>
      <c r="U841" s="1">
        <f ca="1">IFERROR(__xludf.DUMMYFUNCTION("""COMPUTED_VALUE"""),126.74)</f>
        <v>126.74</v>
      </c>
      <c r="V841" s="1">
        <f ca="1">IFERROR(__xludf.DUMMYFUNCTION("""COMPUTED_VALUE"""),215.64)</f>
        <v>215.64</v>
      </c>
      <c r="W841" s="1">
        <f ca="1">IFERROR(__xludf.DUMMYFUNCTION("""COMPUTED_VALUE"""),453.07)</f>
        <v>453.07</v>
      </c>
      <c r="X841" s="1">
        <f ca="1">IFERROR(__xludf.DUMMYFUNCTION("""COMPUTED_VALUE"""),634.74)</f>
        <v>634.74</v>
      </c>
      <c r="Y841" s="1">
        <f ca="1">IFERROR(__xludf.DUMMYFUNCTION("""COMPUTED_VALUE"""),82.7)</f>
        <v>82.7</v>
      </c>
      <c r="Z841" s="1">
        <f ca="1">IFERROR(__xludf.DUMMYFUNCTION("""COMPUTED_VALUE"""),328.65)</f>
        <v>328.65</v>
      </c>
      <c r="AA841" s="1">
        <f ca="1">IFERROR(__xludf.DUMMYFUNCTION("""COMPUTED_VALUE"""),38.45)</f>
        <v>38.450000000000003</v>
      </c>
      <c r="AB841" s="1">
        <f ca="1">IFERROR(__xludf.DUMMYFUNCTION("""COMPUTED_VALUE"""),103.96)</f>
        <v>103.96</v>
      </c>
      <c r="AC841" s="1">
        <f ca="1">IFERROR(__xludf.DUMMYFUNCTION("""COMPUTED_VALUE"""),81.62)</f>
        <v>81.62</v>
      </c>
    </row>
    <row r="842" spans="1:29" x14ac:dyDescent="0.25">
      <c r="A842" s="2">
        <f ca="1">IFERROR(__xludf.DUMMYFUNCTION("""COMPUTED_VALUE"""),45050.6666666666)</f>
        <v>45050.666666666599</v>
      </c>
      <c r="B842" s="1">
        <f ca="1">IFERROR(__xludf.DUMMYFUNCTION("""COMPUTED_VALUE"""),165.79)</f>
        <v>165.79</v>
      </c>
      <c r="C842" s="1">
        <f ca="1">IFERROR(__xludf.DUMMYFUNCTION("""COMPUTED_VALUE"""),305.41)</f>
        <v>305.41000000000003</v>
      </c>
      <c r="D842" s="1">
        <f ca="1">IFERROR(__xludf.DUMMYFUNCTION("""COMPUTED_VALUE"""),104)</f>
        <v>104</v>
      </c>
      <c r="E842" s="1">
        <f ca="1">IFERROR(__xludf.DUMMYFUNCTION("""COMPUTED_VALUE"""),27.56)</f>
        <v>27.56</v>
      </c>
      <c r="F842" s="1">
        <f ca="1">IFERROR(__xludf.DUMMYFUNCTION("""COMPUTED_VALUE"""),233.52)</f>
        <v>233.52</v>
      </c>
      <c r="G842" s="1">
        <f ca="1">IFERROR(__xludf.DUMMYFUNCTION("""COMPUTED_VALUE"""),105.21)</f>
        <v>105.21</v>
      </c>
      <c r="H842" s="1">
        <f ca="1">IFERROR(__xludf.DUMMYFUNCTION("""COMPUTED_VALUE"""),161.2)</f>
        <v>161.19999999999999</v>
      </c>
      <c r="I842" s="1">
        <f ca="1">IFERROR(__xludf.DUMMYFUNCTION("""COMPUTED_VALUE"""),193.38)</f>
        <v>193.38</v>
      </c>
      <c r="J842" s="1">
        <f ca="1">IFERROR(__xludf.DUMMYFUNCTION("""COMPUTED_VALUE"""),490.34)</f>
        <v>490.34</v>
      </c>
      <c r="K842" s="1">
        <f ca="1">IFERROR(__xludf.DUMMYFUNCTION("""COMPUTED_VALUE"""),61.02)</f>
        <v>61.02</v>
      </c>
      <c r="L842" s="1">
        <f ca="1">IFERROR(__xludf.DUMMYFUNCTION("""COMPUTED_VALUE"""),335.83)</f>
        <v>335.83</v>
      </c>
      <c r="M842" s="1">
        <f ca="1">IFERROR(__xludf.DUMMYFUNCTION("""COMPUTED_VALUE"""),320.78)</f>
        <v>320.77999999999997</v>
      </c>
      <c r="N842" s="1">
        <f ca="1">IFERROR(__xludf.DUMMYFUNCTION("""COMPUTED_VALUE"""),134.12)</f>
        <v>134.12</v>
      </c>
      <c r="O842" s="1">
        <f ca="1">IFERROR(__xludf.DUMMYFUNCTION("""COMPUTED_VALUE"""),225.6)</f>
        <v>225.6</v>
      </c>
      <c r="P842" s="1">
        <f ca="1">IFERROR(__xludf.DUMMYFUNCTION("""COMPUTED_VALUE"""),162.13)</f>
        <v>162.13</v>
      </c>
      <c r="Q842" s="1">
        <f ca="1">IFERROR(__xludf.DUMMYFUNCTION("""COMPUTED_VALUE"""),487.28)</f>
        <v>487.28</v>
      </c>
      <c r="R842" s="1">
        <f ca="1">IFERROR(__xludf.DUMMYFUNCTION("""COMPUTED_VALUE"""),106.04)</f>
        <v>106.04</v>
      </c>
      <c r="S842" s="1">
        <f ca="1">IFERROR(__xludf.DUMMYFUNCTION("""COMPUTED_VALUE"""),75.51)</f>
        <v>75.510000000000005</v>
      </c>
      <c r="T842" s="1">
        <f ca="1">IFERROR(__xludf.DUMMYFUNCTION("""COMPUTED_VALUE"""),50.16)</f>
        <v>50.16</v>
      </c>
      <c r="U842" s="1">
        <f ca="1">IFERROR(__xludf.DUMMYFUNCTION("""COMPUTED_VALUE"""),123.67)</f>
        <v>123.67</v>
      </c>
      <c r="V842" s="1">
        <f ca="1">IFERROR(__xludf.DUMMYFUNCTION("""COMPUTED_VALUE"""),210.38)</f>
        <v>210.38</v>
      </c>
      <c r="W842" s="1">
        <f ca="1">IFERROR(__xludf.DUMMYFUNCTION("""COMPUTED_VALUE"""),451.93)</f>
        <v>451.93</v>
      </c>
      <c r="X842" s="1">
        <f ca="1">IFERROR(__xludf.DUMMYFUNCTION("""COMPUTED_VALUE"""),635.05)</f>
        <v>635.04999999999995</v>
      </c>
      <c r="Y842" s="1">
        <f ca="1">IFERROR(__xludf.DUMMYFUNCTION("""COMPUTED_VALUE"""),83.49)</f>
        <v>83.49</v>
      </c>
      <c r="Z842" s="1">
        <f ca="1">IFERROR(__xludf.DUMMYFUNCTION("""COMPUTED_VALUE"""),321.26)</f>
        <v>321.26</v>
      </c>
      <c r="AA842" s="1">
        <f ca="1">IFERROR(__xludf.DUMMYFUNCTION("""COMPUTED_VALUE"""),38.23)</f>
        <v>38.229999999999997</v>
      </c>
      <c r="AB842" s="1">
        <f ca="1">IFERROR(__xludf.DUMMYFUNCTION("""COMPUTED_VALUE"""),104.72)</f>
        <v>104.72</v>
      </c>
      <c r="AC842" s="1">
        <f ca="1">IFERROR(__xludf.DUMMYFUNCTION("""COMPUTED_VALUE"""),86.61)</f>
        <v>86.61</v>
      </c>
    </row>
    <row r="843" spans="1:29" x14ac:dyDescent="0.25">
      <c r="A843" s="2">
        <f ca="1">IFERROR(__xludf.DUMMYFUNCTION("""COMPUTED_VALUE"""),45051.6666666666)</f>
        <v>45051.666666666599</v>
      </c>
      <c r="B843" s="1">
        <f ca="1">IFERROR(__xludf.DUMMYFUNCTION("""COMPUTED_VALUE"""),173.57)</f>
        <v>173.57</v>
      </c>
      <c r="C843" s="1">
        <f ca="1">IFERROR(__xludf.DUMMYFUNCTION("""COMPUTED_VALUE"""),310.65)</f>
        <v>310.64999999999998</v>
      </c>
      <c r="D843" s="1">
        <f ca="1">IFERROR(__xludf.DUMMYFUNCTION("""COMPUTED_VALUE"""),105.66)</f>
        <v>105.66</v>
      </c>
      <c r="E843" s="1">
        <f ca="1">IFERROR(__xludf.DUMMYFUNCTION("""COMPUTED_VALUE"""),28.68)</f>
        <v>28.68</v>
      </c>
      <c r="F843" s="1">
        <f ca="1">IFERROR(__xludf.DUMMYFUNCTION("""COMPUTED_VALUE"""),232.78)</f>
        <v>232.78</v>
      </c>
      <c r="G843" s="1">
        <f ca="1">IFERROR(__xludf.DUMMYFUNCTION("""COMPUTED_VALUE"""),106.22)</f>
        <v>106.22</v>
      </c>
      <c r="H843" s="1">
        <f ca="1">IFERROR(__xludf.DUMMYFUNCTION("""COMPUTED_VALUE"""),170.06)</f>
        <v>170.06</v>
      </c>
      <c r="I843" s="1">
        <f ca="1">IFERROR(__xludf.DUMMYFUNCTION("""COMPUTED_VALUE"""),194.27)</f>
        <v>194.27</v>
      </c>
      <c r="J843" s="1">
        <f ca="1">IFERROR(__xludf.DUMMYFUNCTION("""COMPUTED_VALUE"""),499.06)</f>
        <v>499.06</v>
      </c>
      <c r="K843" s="1">
        <f ca="1">IFERROR(__xludf.DUMMYFUNCTION("""COMPUTED_VALUE"""),63.01)</f>
        <v>63.01</v>
      </c>
      <c r="L843" s="1">
        <f ca="1">IFERROR(__xludf.DUMMYFUNCTION("""COMPUTED_VALUE"""),348.4)</f>
        <v>348.4</v>
      </c>
      <c r="M843" s="1">
        <f ca="1">IFERROR(__xludf.DUMMYFUNCTION("""COMPUTED_VALUE"""),322.76)</f>
        <v>322.76</v>
      </c>
      <c r="N843" s="1">
        <f ca="1">IFERROR(__xludf.DUMMYFUNCTION("""COMPUTED_VALUE"""),136.74)</f>
        <v>136.74</v>
      </c>
      <c r="O843" s="1">
        <f ca="1">IFERROR(__xludf.DUMMYFUNCTION("""COMPUTED_VALUE"""),231.78)</f>
        <v>231.78</v>
      </c>
      <c r="P843" s="1">
        <f ca="1">IFERROR(__xludf.DUMMYFUNCTION("""COMPUTED_VALUE"""),162.68)</f>
        <v>162.68</v>
      </c>
      <c r="Q843" s="1">
        <f ca="1">IFERROR(__xludf.DUMMYFUNCTION("""COMPUTED_VALUE"""),494.28)</f>
        <v>494.28</v>
      </c>
      <c r="R843" s="1">
        <f ca="1">IFERROR(__xludf.DUMMYFUNCTION("""COMPUTED_VALUE"""),108.68)</f>
        <v>108.68</v>
      </c>
      <c r="S843" s="1">
        <f ca="1">IFERROR(__xludf.DUMMYFUNCTION("""COMPUTED_VALUE"""),75.51)</f>
        <v>75.510000000000005</v>
      </c>
      <c r="T843" s="1">
        <f ca="1">IFERROR(__xludf.DUMMYFUNCTION("""COMPUTED_VALUE"""),50.59)</f>
        <v>50.59</v>
      </c>
      <c r="U843" s="1">
        <f ca="1">IFERROR(__xludf.DUMMYFUNCTION("""COMPUTED_VALUE"""),126.59)</f>
        <v>126.59</v>
      </c>
      <c r="V843" s="1">
        <f ca="1">IFERROR(__xludf.DUMMYFUNCTION("""COMPUTED_VALUE"""),215.09)</f>
        <v>215.09</v>
      </c>
      <c r="W843" s="1">
        <f ca="1">IFERROR(__xludf.DUMMYFUNCTION("""COMPUTED_VALUE"""),455.54)</f>
        <v>455.54</v>
      </c>
      <c r="X843" s="1">
        <f ca="1">IFERROR(__xludf.DUMMYFUNCTION("""COMPUTED_VALUE"""),650.32)</f>
        <v>650.32000000000005</v>
      </c>
      <c r="Y843" s="1">
        <f ca="1">IFERROR(__xludf.DUMMYFUNCTION("""COMPUTED_VALUE"""),84.97)</f>
        <v>84.97</v>
      </c>
      <c r="Z843" s="1">
        <f ca="1">IFERROR(__xludf.DUMMYFUNCTION("""COMPUTED_VALUE"""),327.02)</f>
        <v>327.02</v>
      </c>
      <c r="AA843" s="1">
        <f ca="1">IFERROR(__xludf.DUMMYFUNCTION("""COMPUTED_VALUE"""),38.49)</f>
        <v>38.49</v>
      </c>
      <c r="AB843" s="1">
        <f ca="1">IFERROR(__xludf.DUMMYFUNCTION("""COMPUTED_VALUE"""),107.21)</f>
        <v>107.21</v>
      </c>
      <c r="AC843" s="1">
        <f ca="1">IFERROR(__xludf.DUMMYFUNCTION("""COMPUTED_VALUE"""),89.84)</f>
        <v>89.84</v>
      </c>
    </row>
    <row r="844" spans="1:29" x14ac:dyDescent="0.25">
      <c r="A844" s="2">
        <f ca="1">IFERROR(__xludf.DUMMYFUNCTION("""COMPUTED_VALUE"""),45054.6666666666)</f>
        <v>45054.666666666599</v>
      </c>
      <c r="B844" s="1">
        <f ca="1">IFERROR(__xludf.DUMMYFUNCTION("""COMPUTED_VALUE"""),173.5)</f>
        <v>173.5</v>
      </c>
      <c r="C844" s="1">
        <f ca="1">IFERROR(__xludf.DUMMYFUNCTION("""COMPUTED_VALUE"""),308.65)</f>
        <v>308.64999999999998</v>
      </c>
      <c r="D844" s="1">
        <f ca="1">IFERROR(__xludf.DUMMYFUNCTION("""COMPUTED_VALUE"""),105.83)</f>
        <v>105.83</v>
      </c>
      <c r="E844" s="1">
        <f ca="1">IFERROR(__xludf.DUMMYFUNCTION("""COMPUTED_VALUE"""),29.15)</f>
        <v>29.15</v>
      </c>
      <c r="F844" s="1">
        <f ca="1">IFERROR(__xludf.DUMMYFUNCTION("""COMPUTED_VALUE"""),233.27)</f>
        <v>233.27</v>
      </c>
      <c r="G844" s="1">
        <f ca="1">IFERROR(__xludf.DUMMYFUNCTION("""COMPUTED_VALUE"""),108.24)</f>
        <v>108.24</v>
      </c>
      <c r="H844" s="1">
        <f ca="1">IFERROR(__xludf.DUMMYFUNCTION("""COMPUTED_VALUE"""),171.79)</f>
        <v>171.79</v>
      </c>
      <c r="I844" s="1">
        <f ca="1">IFERROR(__xludf.DUMMYFUNCTION("""COMPUTED_VALUE"""),193.35)</f>
        <v>193.35</v>
      </c>
      <c r="J844" s="1">
        <f ca="1">IFERROR(__xludf.DUMMYFUNCTION("""COMPUTED_VALUE"""),499.06)</f>
        <v>499.06</v>
      </c>
      <c r="K844" s="1">
        <f ca="1">IFERROR(__xludf.DUMMYFUNCTION("""COMPUTED_VALUE"""),62.91)</f>
        <v>62.91</v>
      </c>
      <c r="L844" s="1">
        <f ca="1">IFERROR(__xludf.DUMMYFUNCTION("""COMPUTED_VALUE"""),344.06)</f>
        <v>344.06</v>
      </c>
      <c r="M844" s="1">
        <f ca="1">IFERROR(__xludf.DUMMYFUNCTION("""COMPUTED_VALUE"""),331.21)</f>
        <v>331.21</v>
      </c>
      <c r="N844" s="1">
        <f ca="1">IFERROR(__xludf.DUMMYFUNCTION("""COMPUTED_VALUE"""),137.07)</f>
        <v>137.07</v>
      </c>
      <c r="O844" s="1">
        <f ca="1">IFERROR(__xludf.DUMMYFUNCTION("""COMPUTED_VALUE"""),232.23)</f>
        <v>232.23</v>
      </c>
      <c r="P844" s="1">
        <f ca="1">IFERROR(__xludf.DUMMYFUNCTION("""COMPUTED_VALUE"""),162.31)</f>
        <v>162.31</v>
      </c>
      <c r="Q844" s="1">
        <f ca="1">IFERROR(__xludf.DUMMYFUNCTION("""COMPUTED_VALUE"""),492.62)</f>
        <v>492.62</v>
      </c>
      <c r="R844" s="1">
        <f ca="1">IFERROR(__xludf.DUMMYFUNCTION("""COMPUTED_VALUE"""),109.11)</f>
        <v>109.11</v>
      </c>
      <c r="S844" s="1">
        <f ca="1">IFERROR(__xludf.DUMMYFUNCTION("""COMPUTED_VALUE"""),76.06)</f>
        <v>76.06</v>
      </c>
      <c r="T844" s="1">
        <f ca="1">IFERROR(__xludf.DUMMYFUNCTION("""COMPUTED_VALUE"""),50.91)</f>
        <v>50.91</v>
      </c>
      <c r="U844" s="1">
        <f ca="1">IFERROR(__xludf.DUMMYFUNCTION("""COMPUTED_VALUE"""),126.88)</f>
        <v>126.88</v>
      </c>
      <c r="V844" s="1">
        <f ca="1">IFERROR(__xludf.DUMMYFUNCTION("""COMPUTED_VALUE"""),214.79)</f>
        <v>214.79</v>
      </c>
      <c r="W844" s="1">
        <f ca="1">IFERROR(__xludf.DUMMYFUNCTION("""COMPUTED_VALUE"""),450.96)</f>
        <v>450.96</v>
      </c>
      <c r="X844" s="1">
        <f ca="1">IFERROR(__xludf.DUMMYFUNCTION("""COMPUTED_VALUE"""),654.99)</f>
        <v>654.99</v>
      </c>
      <c r="Y844" s="1">
        <f ca="1">IFERROR(__xludf.DUMMYFUNCTION("""COMPUTED_VALUE"""),85.54)</f>
        <v>85.54</v>
      </c>
      <c r="Z844" s="1">
        <f ca="1">IFERROR(__xludf.DUMMYFUNCTION("""COMPUTED_VALUE"""),326.51)</f>
        <v>326.51</v>
      </c>
      <c r="AA844" s="1">
        <f ca="1">IFERROR(__xludf.DUMMYFUNCTION("""COMPUTED_VALUE"""),38.67)</f>
        <v>38.67</v>
      </c>
      <c r="AB844" s="1">
        <f ca="1">IFERROR(__xludf.DUMMYFUNCTION("""COMPUTED_VALUE"""),107.17)</f>
        <v>107.17</v>
      </c>
      <c r="AC844" s="1">
        <f ca="1">IFERROR(__xludf.DUMMYFUNCTION("""COMPUTED_VALUE"""),95.04)</f>
        <v>95.04</v>
      </c>
    </row>
    <row r="845" spans="1:29" x14ac:dyDescent="0.25">
      <c r="A845" s="2">
        <f ca="1">IFERROR(__xludf.DUMMYFUNCTION("""COMPUTED_VALUE"""),45055.6666666666)</f>
        <v>45055.666666666599</v>
      </c>
      <c r="B845" s="1">
        <f ca="1">IFERROR(__xludf.DUMMYFUNCTION("""COMPUTED_VALUE"""),171.77)</f>
        <v>171.77</v>
      </c>
      <c r="C845" s="1">
        <f ca="1">IFERROR(__xludf.DUMMYFUNCTION("""COMPUTED_VALUE"""),307)</f>
        <v>307</v>
      </c>
      <c r="D845" s="1">
        <f ca="1">IFERROR(__xludf.DUMMYFUNCTION("""COMPUTED_VALUE"""),106.62)</f>
        <v>106.62</v>
      </c>
      <c r="E845" s="1">
        <f ca="1">IFERROR(__xludf.DUMMYFUNCTION("""COMPUTED_VALUE"""),28.57)</f>
        <v>28.57</v>
      </c>
      <c r="F845" s="1">
        <f ca="1">IFERROR(__xludf.DUMMYFUNCTION("""COMPUTED_VALUE"""),233.37)</f>
        <v>233.37</v>
      </c>
      <c r="G845" s="1">
        <f ca="1">IFERROR(__xludf.DUMMYFUNCTION("""COMPUTED_VALUE"""),107.94)</f>
        <v>107.94</v>
      </c>
      <c r="H845" s="1">
        <f ca="1">IFERROR(__xludf.DUMMYFUNCTION("""COMPUTED_VALUE"""),169.15)</f>
        <v>169.15</v>
      </c>
      <c r="I845" s="1">
        <f ca="1">IFERROR(__xludf.DUMMYFUNCTION("""COMPUTED_VALUE"""),194.14)</f>
        <v>194.14</v>
      </c>
      <c r="J845" s="1">
        <f ca="1">IFERROR(__xludf.DUMMYFUNCTION("""COMPUTED_VALUE"""),500.79)</f>
        <v>500.79</v>
      </c>
      <c r="K845" s="1">
        <f ca="1">IFERROR(__xludf.DUMMYFUNCTION("""COMPUTED_VALUE"""),61.85)</f>
        <v>61.85</v>
      </c>
      <c r="L845" s="1">
        <f ca="1">IFERROR(__xludf.DUMMYFUNCTION("""COMPUTED_VALUE"""),342.65)</f>
        <v>342.65</v>
      </c>
      <c r="M845" s="1">
        <f ca="1">IFERROR(__xludf.DUMMYFUNCTION("""COMPUTED_VALUE"""),332.14)</f>
        <v>332.14</v>
      </c>
      <c r="N845" s="1">
        <f ca="1">IFERROR(__xludf.DUMMYFUNCTION("""COMPUTED_VALUE"""),136.41)</f>
        <v>136.41</v>
      </c>
      <c r="O845" s="1">
        <f ca="1">IFERROR(__xludf.DUMMYFUNCTION("""COMPUTED_VALUE"""),233.26)</f>
        <v>233.26</v>
      </c>
      <c r="P845" s="1">
        <f ca="1">IFERROR(__xludf.DUMMYFUNCTION("""COMPUTED_VALUE"""),161.05)</f>
        <v>161.05000000000001</v>
      </c>
      <c r="Q845" s="1">
        <f ca="1">IFERROR(__xludf.DUMMYFUNCTION("""COMPUTED_VALUE"""),490.38)</f>
        <v>490.38</v>
      </c>
      <c r="R845" s="1">
        <f ca="1">IFERROR(__xludf.DUMMYFUNCTION("""COMPUTED_VALUE"""),109.14)</f>
        <v>109.14</v>
      </c>
      <c r="S845" s="1">
        <f ca="1">IFERROR(__xludf.DUMMYFUNCTION("""COMPUTED_VALUE"""),75.58)</f>
        <v>75.58</v>
      </c>
      <c r="T845" s="1">
        <f ca="1">IFERROR(__xludf.DUMMYFUNCTION("""COMPUTED_VALUE"""),50.99)</f>
        <v>50.99</v>
      </c>
      <c r="U845" s="1">
        <f ca="1">IFERROR(__xludf.DUMMYFUNCTION("""COMPUTED_VALUE"""),125.1)</f>
        <v>125.1</v>
      </c>
      <c r="V845" s="1">
        <f ca="1">IFERROR(__xludf.DUMMYFUNCTION("""COMPUTED_VALUE"""),213.49)</f>
        <v>213.49</v>
      </c>
      <c r="W845" s="1">
        <f ca="1">IFERROR(__xludf.DUMMYFUNCTION("""COMPUTED_VALUE"""),452.04)</f>
        <v>452.04</v>
      </c>
      <c r="X845" s="1">
        <f ca="1">IFERROR(__xludf.DUMMYFUNCTION("""COMPUTED_VALUE"""),643.05)</f>
        <v>643.04999999999995</v>
      </c>
      <c r="Y845" s="1">
        <f ca="1">IFERROR(__xludf.DUMMYFUNCTION("""COMPUTED_VALUE"""),85.06)</f>
        <v>85.06</v>
      </c>
      <c r="Z845" s="1">
        <f ca="1">IFERROR(__xludf.DUMMYFUNCTION("""COMPUTED_VALUE"""),324.77)</f>
        <v>324.77</v>
      </c>
      <c r="AA845" s="1">
        <f ca="1">IFERROR(__xludf.DUMMYFUNCTION("""COMPUTED_VALUE"""),38.48)</f>
        <v>38.479999999999997</v>
      </c>
      <c r="AB845" s="1">
        <f ca="1">IFERROR(__xludf.DUMMYFUNCTION("""COMPUTED_VALUE"""),106.71)</f>
        <v>106.71</v>
      </c>
      <c r="AC845" s="1">
        <f ca="1">IFERROR(__xludf.DUMMYFUNCTION("""COMPUTED_VALUE"""),95.06)</f>
        <v>95.06</v>
      </c>
    </row>
    <row r="846" spans="1:29" x14ac:dyDescent="0.25">
      <c r="A846" s="2">
        <f ca="1">IFERROR(__xludf.DUMMYFUNCTION("""COMPUTED_VALUE"""),45056.6666666666)</f>
        <v>45056.666666666599</v>
      </c>
      <c r="B846" s="1">
        <f ca="1">IFERROR(__xludf.DUMMYFUNCTION("""COMPUTED_VALUE"""),173.56)</f>
        <v>173.56</v>
      </c>
      <c r="C846" s="1">
        <f ca="1">IFERROR(__xludf.DUMMYFUNCTION("""COMPUTED_VALUE"""),312.31)</f>
        <v>312.31</v>
      </c>
      <c r="D846" s="1">
        <f ca="1">IFERROR(__xludf.DUMMYFUNCTION("""COMPUTED_VALUE"""),110.19)</f>
        <v>110.19</v>
      </c>
      <c r="E846" s="1">
        <f ca="1">IFERROR(__xludf.DUMMYFUNCTION("""COMPUTED_VALUE"""),28.89)</f>
        <v>28.89</v>
      </c>
      <c r="F846" s="1">
        <f ca="1">IFERROR(__xludf.DUMMYFUNCTION("""COMPUTED_VALUE"""),233.08)</f>
        <v>233.08</v>
      </c>
      <c r="G846" s="1">
        <f ca="1">IFERROR(__xludf.DUMMYFUNCTION("""COMPUTED_VALUE"""),112.28)</f>
        <v>112.28</v>
      </c>
      <c r="H846" s="1">
        <f ca="1">IFERROR(__xludf.DUMMYFUNCTION("""COMPUTED_VALUE"""),168.54)</f>
        <v>168.54</v>
      </c>
      <c r="I846" s="1">
        <f ca="1">IFERROR(__xludf.DUMMYFUNCTION("""COMPUTED_VALUE"""),194.27)</f>
        <v>194.27</v>
      </c>
      <c r="J846" s="1">
        <f ca="1">IFERROR(__xludf.DUMMYFUNCTION("""COMPUTED_VALUE"""),499.66)</f>
        <v>499.66</v>
      </c>
      <c r="K846" s="1">
        <f ca="1">IFERROR(__xludf.DUMMYFUNCTION("""COMPUTED_VALUE"""),62.63)</f>
        <v>62.63</v>
      </c>
      <c r="L846" s="1">
        <f ca="1">IFERROR(__xludf.DUMMYFUNCTION("""COMPUTED_VALUE"""),344.02)</f>
        <v>344.02</v>
      </c>
      <c r="M846" s="1">
        <f ca="1">IFERROR(__xludf.DUMMYFUNCTION("""COMPUTED_VALUE"""),335.42)</f>
        <v>335.42</v>
      </c>
      <c r="N846" s="1">
        <f ca="1">IFERROR(__xludf.DUMMYFUNCTION("""COMPUTED_VALUE"""),136.48)</f>
        <v>136.47999999999999</v>
      </c>
      <c r="O846" s="1">
        <f ca="1">IFERROR(__xludf.DUMMYFUNCTION("""COMPUTED_VALUE"""),231.27)</f>
        <v>231.27</v>
      </c>
      <c r="P846" s="1">
        <f ca="1">IFERROR(__xludf.DUMMYFUNCTION("""COMPUTED_VALUE"""),161.65)</f>
        <v>161.65</v>
      </c>
      <c r="Q846" s="1">
        <f ca="1">IFERROR(__xludf.DUMMYFUNCTION("""COMPUTED_VALUE"""),490.07)</f>
        <v>490.07</v>
      </c>
      <c r="R846" s="1">
        <f ca="1">IFERROR(__xludf.DUMMYFUNCTION("""COMPUTED_VALUE"""),107.74)</f>
        <v>107.74</v>
      </c>
      <c r="S846" s="1">
        <f ca="1">IFERROR(__xludf.DUMMYFUNCTION("""COMPUTED_VALUE"""),76.89)</f>
        <v>76.89</v>
      </c>
      <c r="T846" s="1">
        <f ca="1">IFERROR(__xludf.DUMMYFUNCTION("""COMPUTED_VALUE"""),50.85)</f>
        <v>50.85</v>
      </c>
      <c r="U846" s="1">
        <f ca="1">IFERROR(__xludf.DUMMYFUNCTION("""COMPUTED_VALUE"""),123.51)</f>
        <v>123.51</v>
      </c>
      <c r="V846" s="1">
        <f ca="1">IFERROR(__xludf.DUMMYFUNCTION("""COMPUTED_VALUE"""),213.17)</f>
        <v>213.17</v>
      </c>
      <c r="W846" s="1">
        <f ca="1">IFERROR(__xludf.DUMMYFUNCTION("""COMPUTED_VALUE"""),453.15)</f>
        <v>453.15</v>
      </c>
      <c r="X846" s="1">
        <f ca="1">IFERROR(__xludf.DUMMYFUNCTION("""COMPUTED_VALUE"""),657.14)</f>
        <v>657.14</v>
      </c>
      <c r="Y846" s="1">
        <f ca="1">IFERROR(__xludf.DUMMYFUNCTION("""COMPUTED_VALUE"""),84.9)</f>
        <v>84.9</v>
      </c>
      <c r="Z846" s="1">
        <f ca="1">IFERROR(__xludf.DUMMYFUNCTION("""COMPUTED_VALUE"""),322.55)</f>
        <v>322.55</v>
      </c>
      <c r="AA846" s="1">
        <f ca="1">IFERROR(__xludf.DUMMYFUNCTION("""COMPUTED_VALUE"""),38.3)</f>
        <v>38.299999999999997</v>
      </c>
      <c r="AB846" s="1">
        <f ca="1">IFERROR(__xludf.DUMMYFUNCTION("""COMPUTED_VALUE"""),106.97)</f>
        <v>106.97</v>
      </c>
      <c r="AC846" s="1">
        <f ca="1">IFERROR(__xludf.DUMMYFUNCTION("""COMPUTED_VALUE"""),97.02)</f>
        <v>97.02</v>
      </c>
    </row>
    <row r="847" spans="1:29" x14ac:dyDescent="0.25">
      <c r="A847" s="2">
        <f ca="1">IFERROR(__xludf.DUMMYFUNCTION("""COMPUTED_VALUE"""),45057.6666666666)</f>
        <v>45057.666666666599</v>
      </c>
      <c r="B847" s="1">
        <f ca="1">IFERROR(__xludf.DUMMYFUNCTION("""COMPUTED_VALUE"""),173.75)</f>
        <v>173.75</v>
      </c>
      <c r="C847" s="1">
        <f ca="1">IFERROR(__xludf.DUMMYFUNCTION("""COMPUTED_VALUE"""),310.11)</f>
        <v>310.11</v>
      </c>
      <c r="D847" s="1">
        <f ca="1">IFERROR(__xludf.DUMMYFUNCTION("""COMPUTED_VALUE"""),112.18)</f>
        <v>112.18</v>
      </c>
      <c r="E847" s="1">
        <f ca="1">IFERROR(__xludf.DUMMYFUNCTION("""COMPUTED_VALUE"""),28.58)</f>
        <v>28.58</v>
      </c>
      <c r="F847" s="1">
        <f ca="1">IFERROR(__xludf.DUMMYFUNCTION("""COMPUTED_VALUE"""),235.79)</f>
        <v>235.79</v>
      </c>
      <c r="G847" s="1">
        <f ca="1">IFERROR(__xludf.DUMMYFUNCTION("""COMPUTED_VALUE"""),116.9)</f>
        <v>116.9</v>
      </c>
      <c r="H847" s="1">
        <f ca="1">IFERROR(__xludf.DUMMYFUNCTION("""COMPUTED_VALUE"""),172.08)</f>
        <v>172.08</v>
      </c>
      <c r="I847" s="1">
        <f ca="1">IFERROR(__xludf.DUMMYFUNCTION("""COMPUTED_VALUE"""),195.34)</f>
        <v>195.34</v>
      </c>
      <c r="J847" s="1">
        <f ca="1">IFERROR(__xludf.DUMMYFUNCTION("""COMPUTED_VALUE"""),501.89)</f>
        <v>501.89</v>
      </c>
      <c r="K847" s="1">
        <f ca="1">IFERROR(__xludf.DUMMYFUNCTION("""COMPUTED_VALUE"""),62.77)</f>
        <v>62.77</v>
      </c>
      <c r="L847" s="1">
        <f ca="1">IFERROR(__xludf.DUMMYFUNCTION("""COMPUTED_VALUE"""),341.58)</f>
        <v>341.58</v>
      </c>
      <c r="M847" s="1">
        <f ca="1">IFERROR(__xludf.DUMMYFUNCTION("""COMPUTED_VALUE"""),344.76)</f>
        <v>344.76</v>
      </c>
      <c r="N847" s="1">
        <f ca="1">IFERROR(__xludf.DUMMYFUNCTION("""COMPUTED_VALUE"""),136.05)</f>
        <v>136.05000000000001</v>
      </c>
      <c r="O847" s="1">
        <f ca="1">IFERROR(__xludf.DUMMYFUNCTION("""COMPUTED_VALUE"""),231.01)</f>
        <v>231.01</v>
      </c>
      <c r="P847" s="1">
        <f ca="1">IFERROR(__xludf.DUMMYFUNCTION("""COMPUTED_VALUE"""),160.99)</f>
        <v>160.99</v>
      </c>
      <c r="Q847" s="1">
        <f ca="1">IFERROR(__xludf.DUMMYFUNCTION("""COMPUTED_VALUE"""),488.76)</f>
        <v>488.76</v>
      </c>
      <c r="R847" s="1">
        <f ca="1">IFERROR(__xludf.DUMMYFUNCTION("""COMPUTED_VALUE"""),105.79)</f>
        <v>105.79</v>
      </c>
      <c r="S847" s="1">
        <f ca="1">IFERROR(__xludf.DUMMYFUNCTION("""COMPUTED_VALUE"""),76.1)</f>
        <v>76.099999999999994</v>
      </c>
      <c r="T847" s="1">
        <f ca="1">IFERROR(__xludf.DUMMYFUNCTION("""COMPUTED_VALUE"""),51.04)</f>
        <v>51.04</v>
      </c>
      <c r="U847" s="1">
        <f ca="1">IFERROR(__xludf.DUMMYFUNCTION("""COMPUTED_VALUE"""),122.22)</f>
        <v>122.22</v>
      </c>
      <c r="V847" s="1">
        <f ca="1">IFERROR(__xludf.DUMMYFUNCTION("""COMPUTED_VALUE"""),210.03)</f>
        <v>210.03</v>
      </c>
      <c r="W847" s="1">
        <f ca="1">IFERROR(__xludf.DUMMYFUNCTION("""COMPUTED_VALUE"""),450.69)</f>
        <v>450.69</v>
      </c>
      <c r="X847" s="1">
        <f ca="1">IFERROR(__xludf.DUMMYFUNCTION("""COMPUTED_VALUE"""),650.19)</f>
        <v>650.19000000000005</v>
      </c>
      <c r="Y847" s="1">
        <f ca="1">IFERROR(__xludf.DUMMYFUNCTION("""COMPUTED_VALUE"""),83.43)</f>
        <v>83.43</v>
      </c>
      <c r="Z847" s="1">
        <f ca="1">IFERROR(__xludf.DUMMYFUNCTION("""COMPUTED_VALUE"""),320.72)</f>
        <v>320.72000000000003</v>
      </c>
      <c r="AA847" s="1">
        <f ca="1">IFERROR(__xludf.DUMMYFUNCTION("""COMPUTED_VALUE"""),37.58)</f>
        <v>37.58</v>
      </c>
      <c r="AB847" s="1">
        <f ca="1">IFERROR(__xludf.DUMMYFUNCTION("""COMPUTED_VALUE"""),105.63)</f>
        <v>105.63</v>
      </c>
      <c r="AC847" s="1">
        <f ca="1">IFERROR(__xludf.DUMMYFUNCTION("""COMPUTED_VALUE"""),97.1)</f>
        <v>97.1</v>
      </c>
    </row>
    <row r="848" spans="1:29" x14ac:dyDescent="0.25">
      <c r="A848" s="2">
        <f ca="1">IFERROR(__xludf.DUMMYFUNCTION("""COMPUTED_VALUE"""),45058.6666666666)</f>
        <v>45058.666666666599</v>
      </c>
      <c r="B848" s="1">
        <f ca="1">IFERROR(__xludf.DUMMYFUNCTION("""COMPUTED_VALUE"""),172.57)</f>
        <v>172.57</v>
      </c>
      <c r="C848" s="1">
        <f ca="1">IFERROR(__xludf.DUMMYFUNCTION("""COMPUTED_VALUE"""),308.97)</f>
        <v>308.97000000000003</v>
      </c>
      <c r="D848" s="1">
        <f ca="1">IFERROR(__xludf.DUMMYFUNCTION("""COMPUTED_VALUE"""),110.26)</f>
        <v>110.26</v>
      </c>
      <c r="E848" s="1">
        <f ca="1">IFERROR(__xludf.DUMMYFUNCTION("""COMPUTED_VALUE"""),28.34)</f>
        <v>28.34</v>
      </c>
      <c r="F848" s="1">
        <f ca="1">IFERROR(__xludf.DUMMYFUNCTION("""COMPUTED_VALUE"""),233.81)</f>
        <v>233.81</v>
      </c>
      <c r="G848" s="1">
        <f ca="1">IFERROR(__xludf.DUMMYFUNCTION("""COMPUTED_VALUE"""),117.92)</f>
        <v>117.92</v>
      </c>
      <c r="H848" s="1">
        <f ca="1">IFERROR(__xludf.DUMMYFUNCTION("""COMPUTED_VALUE"""),167.98)</f>
        <v>167.98</v>
      </c>
      <c r="I848" s="1">
        <f ca="1">IFERROR(__xludf.DUMMYFUNCTION("""COMPUTED_VALUE"""),196.12)</f>
        <v>196.12</v>
      </c>
      <c r="J848" s="1">
        <f ca="1">IFERROR(__xludf.DUMMYFUNCTION("""COMPUTED_VALUE"""),504.07)</f>
        <v>504.07</v>
      </c>
      <c r="K848" s="1">
        <f ca="1">IFERROR(__xludf.DUMMYFUNCTION("""COMPUTED_VALUE"""),63.12)</f>
        <v>63.12</v>
      </c>
      <c r="L848" s="1">
        <f ca="1">IFERROR(__xludf.DUMMYFUNCTION("""COMPUTED_VALUE"""),335.45)</f>
        <v>335.45</v>
      </c>
      <c r="M848" s="1">
        <f ca="1">IFERROR(__xludf.DUMMYFUNCTION("""COMPUTED_VALUE"""),339.89)</f>
        <v>339.89</v>
      </c>
      <c r="N848" s="1">
        <f ca="1">IFERROR(__xludf.DUMMYFUNCTION("""COMPUTED_VALUE"""),134.1)</f>
        <v>134.1</v>
      </c>
      <c r="O848" s="1">
        <f ca="1">IFERROR(__xludf.DUMMYFUNCTION("""COMPUTED_VALUE"""),231.38)</f>
        <v>231.38</v>
      </c>
      <c r="P848" s="1">
        <f ca="1">IFERROR(__xludf.DUMMYFUNCTION("""COMPUTED_VALUE"""),160.78)</f>
        <v>160.78</v>
      </c>
      <c r="Q848" s="1">
        <f ca="1">IFERROR(__xludf.DUMMYFUNCTION("""COMPUTED_VALUE"""),491.23)</f>
        <v>491.23</v>
      </c>
      <c r="R848" s="1">
        <f ca="1">IFERROR(__xludf.DUMMYFUNCTION("""COMPUTED_VALUE"""),105.78)</f>
        <v>105.78</v>
      </c>
      <c r="S848" s="1">
        <f ca="1">IFERROR(__xludf.DUMMYFUNCTION("""COMPUTED_VALUE"""),77.96)</f>
        <v>77.959999999999994</v>
      </c>
      <c r="T848" s="1">
        <f ca="1">IFERROR(__xludf.DUMMYFUNCTION("""COMPUTED_VALUE"""),51.02)</f>
        <v>51.02</v>
      </c>
      <c r="U848" s="1">
        <f ca="1">IFERROR(__xludf.DUMMYFUNCTION("""COMPUTED_VALUE"""),120.21)</f>
        <v>120.21</v>
      </c>
      <c r="V848" s="1">
        <f ca="1">IFERROR(__xludf.DUMMYFUNCTION("""COMPUTED_VALUE"""),209.54)</f>
        <v>209.54</v>
      </c>
      <c r="W848" s="1">
        <f ca="1">IFERROR(__xludf.DUMMYFUNCTION("""COMPUTED_VALUE"""),450.79)</f>
        <v>450.79</v>
      </c>
      <c r="X848" s="1">
        <f ca="1">IFERROR(__xludf.DUMMYFUNCTION("""COMPUTED_VALUE"""),647.51)</f>
        <v>647.51</v>
      </c>
      <c r="Y848" s="1">
        <f ca="1">IFERROR(__xludf.DUMMYFUNCTION("""COMPUTED_VALUE"""),83.43)</f>
        <v>83.43</v>
      </c>
      <c r="Z848" s="1">
        <f ca="1">IFERROR(__xludf.DUMMYFUNCTION("""COMPUTED_VALUE"""),319.5)</f>
        <v>319.5</v>
      </c>
      <c r="AA848" s="1">
        <f ca="1">IFERROR(__xludf.DUMMYFUNCTION("""COMPUTED_VALUE"""),37.35)</f>
        <v>37.35</v>
      </c>
      <c r="AB848" s="1">
        <f ca="1">IFERROR(__xludf.DUMMYFUNCTION("""COMPUTED_VALUE"""),106.12)</f>
        <v>106.12</v>
      </c>
      <c r="AC848" s="1">
        <f ca="1">IFERROR(__xludf.DUMMYFUNCTION("""COMPUTED_VALUE"""),95.26)</f>
        <v>95.26</v>
      </c>
    </row>
    <row r="849" spans="1:29" x14ac:dyDescent="0.25">
      <c r="A849" s="2">
        <f ca="1">IFERROR(__xludf.DUMMYFUNCTION("""COMPUTED_VALUE"""),45061.6666666666)</f>
        <v>45061.666666666599</v>
      </c>
      <c r="B849" s="1">
        <f ca="1">IFERROR(__xludf.DUMMYFUNCTION("""COMPUTED_VALUE"""),172.07)</f>
        <v>172.07</v>
      </c>
      <c r="C849" s="1">
        <f ca="1">IFERROR(__xludf.DUMMYFUNCTION("""COMPUTED_VALUE"""),309.46)</f>
        <v>309.45999999999998</v>
      </c>
      <c r="D849" s="1">
        <f ca="1">IFERROR(__xludf.DUMMYFUNCTION("""COMPUTED_VALUE"""),111.2)</f>
        <v>111.2</v>
      </c>
      <c r="E849" s="1">
        <f ca="1">IFERROR(__xludf.DUMMYFUNCTION("""COMPUTED_VALUE"""),28.95)</f>
        <v>28.95</v>
      </c>
      <c r="F849" s="1">
        <f ca="1">IFERROR(__xludf.DUMMYFUNCTION("""COMPUTED_VALUE"""),238.86)</f>
        <v>238.86</v>
      </c>
      <c r="G849" s="1">
        <f ca="1">IFERROR(__xludf.DUMMYFUNCTION("""COMPUTED_VALUE"""),116.96)</f>
        <v>116.96</v>
      </c>
      <c r="H849" s="1">
        <f ca="1">IFERROR(__xludf.DUMMYFUNCTION("""COMPUTED_VALUE"""),166.35)</f>
        <v>166.35</v>
      </c>
      <c r="I849" s="1">
        <f ca="1">IFERROR(__xludf.DUMMYFUNCTION("""COMPUTED_VALUE"""),194.27)</f>
        <v>194.27</v>
      </c>
      <c r="J849" s="1">
        <f ca="1">IFERROR(__xludf.DUMMYFUNCTION("""COMPUTED_VALUE"""),502.04)</f>
        <v>502.04</v>
      </c>
      <c r="K849" s="1">
        <f ca="1">IFERROR(__xludf.DUMMYFUNCTION("""COMPUTED_VALUE"""),63.98)</f>
        <v>63.98</v>
      </c>
      <c r="L849" s="1">
        <f ca="1">IFERROR(__xludf.DUMMYFUNCTION("""COMPUTED_VALUE"""),345.67)</f>
        <v>345.67</v>
      </c>
      <c r="M849" s="1">
        <f ca="1">IFERROR(__xludf.DUMMYFUNCTION("""COMPUTED_VALUE"""),335.89)</f>
        <v>335.89</v>
      </c>
      <c r="N849" s="1">
        <f ca="1">IFERROR(__xludf.DUMMYFUNCTION("""COMPUTED_VALUE"""),135.23)</f>
        <v>135.22999999999999</v>
      </c>
      <c r="O849" s="1">
        <f ca="1">IFERROR(__xludf.DUMMYFUNCTION("""COMPUTED_VALUE"""),232.81)</f>
        <v>232.81</v>
      </c>
      <c r="P849" s="1">
        <f ca="1">IFERROR(__xludf.DUMMYFUNCTION("""COMPUTED_VALUE"""),159.55)</f>
        <v>159.55000000000001</v>
      </c>
      <c r="Q849" s="1">
        <f ca="1">IFERROR(__xludf.DUMMYFUNCTION("""COMPUTED_VALUE"""),486.86)</f>
        <v>486.86</v>
      </c>
      <c r="R849" s="1">
        <f ca="1">IFERROR(__xludf.DUMMYFUNCTION("""COMPUTED_VALUE"""),105.07)</f>
        <v>105.07</v>
      </c>
      <c r="S849" s="1">
        <f ca="1">IFERROR(__xludf.DUMMYFUNCTION("""COMPUTED_VALUE"""),77.54)</f>
        <v>77.540000000000006</v>
      </c>
      <c r="T849" s="1">
        <f ca="1">IFERROR(__xludf.DUMMYFUNCTION("""COMPUTED_VALUE"""),50.63)</f>
        <v>50.63</v>
      </c>
      <c r="U849" s="1">
        <f ca="1">IFERROR(__xludf.DUMMYFUNCTION("""COMPUTED_VALUE"""),119.83)</f>
        <v>119.83</v>
      </c>
      <c r="V849" s="1">
        <f ca="1">IFERROR(__xludf.DUMMYFUNCTION("""COMPUTED_VALUE"""),211.29)</f>
        <v>211.29</v>
      </c>
      <c r="W849" s="1">
        <f ca="1">IFERROR(__xludf.DUMMYFUNCTION("""COMPUTED_VALUE"""),451.92)</f>
        <v>451.92</v>
      </c>
      <c r="X849" s="1">
        <f ca="1">IFERROR(__xludf.DUMMYFUNCTION("""COMPUTED_VALUE"""),655.69)</f>
        <v>655.69</v>
      </c>
      <c r="Y849" s="1">
        <f ca="1">IFERROR(__xludf.DUMMYFUNCTION("""COMPUTED_VALUE"""),85.66)</f>
        <v>85.66</v>
      </c>
      <c r="Z849" s="1">
        <f ca="1">IFERROR(__xludf.DUMMYFUNCTION("""COMPUTED_VALUE"""),322.07)</f>
        <v>322.07</v>
      </c>
      <c r="AA849" s="1">
        <f ca="1">IFERROR(__xludf.DUMMYFUNCTION("""COMPUTED_VALUE"""),37.16)</f>
        <v>37.159999999999997</v>
      </c>
      <c r="AB849" s="1">
        <f ca="1">IFERROR(__xludf.DUMMYFUNCTION("""COMPUTED_VALUE"""),106.64)</f>
        <v>106.64</v>
      </c>
      <c r="AC849" s="1">
        <f ca="1">IFERROR(__xludf.DUMMYFUNCTION("""COMPUTED_VALUE"""),97.4)</f>
        <v>97.4</v>
      </c>
    </row>
    <row r="850" spans="1:29" x14ac:dyDescent="0.25">
      <c r="A850" s="2">
        <f ca="1">IFERROR(__xludf.DUMMYFUNCTION("""COMPUTED_VALUE"""),45062.6666666666)</f>
        <v>45062.666666666599</v>
      </c>
      <c r="B850" s="1">
        <f ca="1">IFERROR(__xludf.DUMMYFUNCTION("""COMPUTED_VALUE"""),172.07)</f>
        <v>172.07</v>
      </c>
      <c r="C850" s="1">
        <f ca="1">IFERROR(__xludf.DUMMYFUNCTION("""COMPUTED_VALUE"""),311.74)</f>
        <v>311.74</v>
      </c>
      <c r="D850" s="1">
        <f ca="1">IFERROR(__xludf.DUMMYFUNCTION("""COMPUTED_VALUE"""),113.4)</f>
        <v>113.4</v>
      </c>
      <c r="E850" s="1">
        <f ca="1">IFERROR(__xludf.DUMMYFUNCTION("""COMPUTED_VALUE"""),29.21)</f>
        <v>29.21</v>
      </c>
      <c r="F850" s="1">
        <f ca="1">IFERROR(__xludf.DUMMYFUNCTION("""COMPUTED_VALUE"""),238.82)</f>
        <v>238.82</v>
      </c>
      <c r="G850" s="1">
        <f ca="1">IFERROR(__xludf.DUMMYFUNCTION("""COMPUTED_VALUE"""),120.09)</f>
        <v>120.09</v>
      </c>
      <c r="H850" s="1">
        <f ca="1">IFERROR(__xludf.DUMMYFUNCTION("""COMPUTED_VALUE"""),166.52)</f>
        <v>166.52</v>
      </c>
      <c r="I850" s="1">
        <f ca="1">IFERROR(__xludf.DUMMYFUNCTION("""COMPUTED_VALUE"""),193.43)</f>
        <v>193.43</v>
      </c>
      <c r="J850" s="1">
        <f ca="1">IFERROR(__xludf.DUMMYFUNCTION("""COMPUTED_VALUE"""),496.15)</f>
        <v>496.15</v>
      </c>
      <c r="K850" s="1">
        <f ca="1">IFERROR(__xludf.DUMMYFUNCTION("""COMPUTED_VALUE"""),64.14)</f>
        <v>64.14</v>
      </c>
      <c r="L850" s="1">
        <f ca="1">IFERROR(__xludf.DUMMYFUNCTION("""COMPUTED_VALUE"""),345.11)</f>
        <v>345.11</v>
      </c>
      <c r="M850" s="1">
        <f ca="1">IFERROR(__xludf.DUMMYFUNCTION("""COMPUTED_VALUE"""),333.75)</f>
        <v>333.75</v>
      </c>
      <c r="N850" s="1">
        <f ca="1">IFERROR(__xludf.DUMMYFUNCTION("""COMPUTED_VALUE"""),134.32)</f>
        <v>134.32</v>
      </c>
      <c r="O850" s="1">
        <f ca="1">IFERROR(__xludf.DUMMYFUNCTION("""COMPUTED_VALUE"""),230.47)</f>
        <v>230.47</v>
      </c>
      <c r="P850" s="1">
        <f ca="1">IFERROR(__xludf.DUMMYFUNCTION("""COMPUTED_VALUE"""),159.34)</f>
        <v>159.34</v>
      </c>
      <c r="Q850" s="1">
        <f ca="1">IFERROR(__xludf.DUMMYFUNCTION("""COMPUTED_VALUE"""),479.72)</f>
        <v>479.72</v>
      </c>
      <c r="R850" s="1">
        <f ca="1">IFERROR(__xludf.DUMMYFUNCTION("""COMPUTED_VALUE"""),102.52)</f>
        <v>102.52</v>
      </c>
      <c r="S850" s="1">
        <f ca="1">IFERROR(__xludf.DUMMYFUNCTION("""COMPUTED_VALUE"""),75.84)</f>
        <v>75.84</v>
      </c>
      <c r="T850" s="1">
        <f ca="1">IFERROR(__xludf.DUMMYFUNCTION("""COMPUTED_VALUE"""),49.93)</f>
        <v>49.93</v>
      </c>
      <c r="U850" s="1">
        <f ca="1">IFERROR(__xludf.DUMMYFUNCTION("""COMPUTED_VALUE"""),116.48)</f>
        <v>116.48</v>
      </c>
      <c r="V850" s="1">
        <f ca="1">IFERROR(__xludf.DUMMYFUNCTION("""COMPUTED_VALUE"""),207.2)</f>
        <v>207.2</v>
      </c>
      <c r="W850" s="1">
        <f ca="1">IFERROR(__xludf.DUMMYFUNCTION("""COMPUTED_VALUE"""),447.73)</f>
        <v>447.73</v>
      </c>
      <c r="X850" s="1">
        <f ca="1">IFERROR(__xludf.DUMMYFUNCTION("""COMPUTED_VALUE"""),652.05)</f>
        <v>652.04999999999995</v>
      </c>
      <c r="Y850" s="1">
        <f ca="1">IFERROR(__xludf.DUMMYFUNCTION("""COMPUTED_VALUE"""),85.88)</f>
        <v>85.88</v>
      </c>
      <c r="Z850" s="1">
        <f ca="1">IFERROR(__xludf.DUMMYFUNCTION("""COMPUTED_VALUE"""),320.81)</f>
        <v>320.81</v>
      </c>
      <c r="AA850" s="1">
        <f ca="1">IFERROR(__xludf.DUMMYFUNCTION("""COMPUTED_VALUE"""),37.01)</f>
        <v>37.01</v>
      </c>
      <c r="AB850" s="1">
        <f ca="1">IFERROR(__xludf.DUMMYFUNCTION("""COMPUTED_VALUE"""),105.28)</f>
        <v>105.28</v>
      </c>
      <c r="AC850" s="1">
        <f ca="1">IFERROR(__xludf.DUMMYFUNCTION("""COMPUTED_VALUE"""),101.48)</f>
        <v>101.48</v>
      </c>
    </row>
    <row r="851" spans="1:29" x14ac:dyDescent="0.25">
      <c r="A851" s="2">
        <f ca="1">IFERROR(__xludf.DUMMYFUNCTION("""COMPUTED_VALUE"""),45063.6666666666)</f>
        <v>45063.666666666599</v>
      </c>
      <c r="B851" s="1">
        <f ca="1">IFERROR(__xludf.DUMMYFUNCTION("""COMPUTED_VALUE"""),172.69)</f>
        <v>172.69</v>
      </c>
      <c r="C851" s="1">
        <f ca="1">IFERROR(__xludf.DUMMYFUNCTION("""COMPUTED_VALUE"""),314)</f>
        <v>314</v>
      </c>
      <c r="D851" s="1">
        <f ca="1">IFERROR(__xludf.DUMMYFUNCTION("""COMPUTED_VALUE"""),115.5)</f>
        <v>115.5</v>
      </c>
      <c r="E851" s="1">
        <f ca="1">IFERROR(__xludf.DUMMYFUNCTION("""COMPUTED_VALUE"""),30.18)</f>
        <v>30.18</v>
      </c>
      <c r="F851" s="1">
        <f ca="1">IFERROR(__xludf.DUMMYFUNCTION("""COMPUTED_VALUE"""),242.49)</f>
        <v>242.49</v>
      </c>
      <c r="G851" s="1">
        <f ca="1">IFERROR(__xludf.DUMMYFUNCTION("""COMPUTED_VALUE"""),121.48)</f>
        <v>121.48</v>
      </c>
      <c r="H851" s="1">
        <f ca="1">IFERROR(__xludf.DUMMYFUNCTION("""COMPUTED_VALUE"""),173.86)</f>
        <v>173.86</v>
      </c>
      <c r="I851" s="1">
        <f ca="1">IFERROR(__xludf.DUMMYFUNCTION("""COMPUTED_VALUE"""),192.06)</f>
        <v>192.06</v>
      </c>
      <c r="J851" s="1">
        <f ca="1">IFERROR(__xludf.DUMMYFUNCTION("""COMPUTED_VALUE"""),495)</f>
        <v>495</v>
      </c>
      <c r="K851" s="1">
        <f ca="1">IFERROR(__xludf.DUMMYFUNCTION("""COMPUTED_VALUE"""),65.75)</f>
        <v>65.75</v>
      </c>
      <c r="L851" s="1">
        <f ca="1">IFERROR(__xludf.DUMMYFUNCTION("""COMPUTED_VALUE"""),356.63)</f>
        <v>356.63</v>
      </c>
      <c r="M851" s="1">
        <f ca="1">IFERROR(__xludf.DUMMYFUNCTION("""COMPUTED_VALUE"""),339.96)</f>
        <v>339.96</v>
      </c>
      <c r="N851" s="1">
        <f ca="1">IFERROR(__xludf.DUMMYFUNCTION("""COMPUTED_VALUE"""),138.45)</f>
        <v>138.44999999999999</v>
      </c>
      <c r="O851" s="1">
        <f ca="1">IFERROR(__xludf.DUMMYFUNCTION("""COMPUTED_VALUE"""),232.65)</f>
        <v>232.65</v>
      </c>
      <c r="P851" s="1">
        <f ca="1">IFERROR(__xludf.DUMMYFUNCTION("""COMPUTED_VALUE"""),158.99)</f>
        <v>158.99</v>
      </c>
      <c r="Q851" s="1">
        <f ca="1">IFERROR(__xludf.DUMMYFUNCTION("""COMPUTED_VALUE"""),484.81)</f>
        <v>484.81</v>
      </c>
      <c r="R851" s="1">
        <f ca="1">IFERROR(__xludf.DUMMYFUNCTION("""COMPUTED_VALUE"""),104.82)</f>
        <v>104.82</v>
      </c>
      <c r="S851" s="1">
        <f ca="1">IFERROR(__xludf.DUMMYFUNCTION("""COMPUTED_VALUE"""),75.34)</f>
        <v>75.34</v>
      </c>
      <c r="T851" s="1">
        <f ca="1">IFERROR(__xludf.DUMMYFUNCTION("""COMPUTED_VALUE"""),49.84)</f>
        <v>49.84</v>
      </c>
      <c r="U851" s="1">
        <f ca="1">IFERROR(__xludf.DUMMYFUNCTION("""COMPUTED_VALUE"""),116.98)</f>
        <v>116.98</v>
      </c>
      <c r="V851" s="1">
        <f ca="1">IFERROR(__xludf.DUMMYFUNCTION("""COMPUTED_VALUE"""),212.1)</f>
        <v>212.1</v>
      </c>
      <c r="W851" s="1">
        <f ca="1">IFERROR(__xludf.DUMMYFUNCTION("""COMPUTED_VALUE"""),457.3)</f>
        <v>457.3</v>
      </c>
      <c r="X851" s="1">
        <f ca="1">IFERROR(__xludf.DUMMYFUNCTION("""COMPUTED_VALUE"""),670.5)</f>
        <v>670.5</v>
      </c>
      <c r="Y851" s="1">
        <f ca="1">IFERROR(__xludf.DUMMYFUNCTION("""COMPUTED_VALUE"""),90.88)</f>
        <v>90.88</v>
      </c>
      <c r="Z851" s="1">
        <f ca="1">IFERROR(__xludf.DUMMYFUNCTION("""COMPUTED_VALUE"""),330.18)</f>
        <v>330.18</v>
      </c>
      <c r="AA851" s="1">
        <f ca="1">IFERROR(__xludf.DUMMYFUNCTION("""COMPUTED_VALUE"""),36.75)</f>
        <v>36.75</v>
      </c>
      <c r="AB851" s="1">
        <f ca="1">IFERROR(__xludf.DUMMYFUNCTION("""COMPUTED_VALUE"""),105.69)</f>
        <v>105.69</v>
      </c>
      <c r="AC851" s="1">
        <f ca="1">IFERROR(__xludf.DUMMYFUNCTION("""COMPUTED_VALUE"""),103.75)</f>
        <v>103.75</v>
      </c>
    </row>
    <row r="852" spans="1:29" x14ac:dyDescent="0.25">
      <c r="A852" s="2">
        <f ca="1">IFERROR(__xludf.DUMMYFUNCTION("""COMPUTED_VALUE"""),45064.6666666666)</f>
        <v>45064.666666666599</v>
      </c>
      <c r="B852" s="1">
        <f ca="1">IFERROR(__xludf.DUMMYFUNCTION("""COMPUTED_VALUE"""),175.05)</f>
        <v>175.05</v>
      </c>
      <c r="C852" s="1">
        <f ca="1">IFERROR(__xludf.DUMMYFUNCTION("""COMPUTED_VALUE"""),318.52)</f>
        <v>318.52</v>
      </c>
      <c r="D852" s="1">
        <f ca="1">IFERROR(__xludf.DUMMYFUNCTION("""COMPUTED_VALUE"""),118.15)</f>
        <v>118.15</v>
      </c>
      <c r="E852" s="1">
        <f ca="1">IFERROR(__xludf.DUMMYFUNCTION("""COMPUTED_VALUE"""),31.68)</f>
        <v>31.68</v>
      </c>
      <c r="F852" s="1">
        <f ca="1">IFERROR(__xludf.DUMMYFUNCTION("""COMPUTED_VALUE"""),246.85)</f>
        <v>246.85</v>
      </c>
      <c r="G852" s="1">
        <f ca="1">IFERROR(__xludf.DUMMYFUNCTION("""COMPUTED_VALUE"""),123.52)</f>
        <v>123.52</v>
      </c>
      <c r="H852" s="1">
        <f ca="1">IFERROR(__xludf.DUMMYFUNCTION("""COMPUTED_VALUE"""),176.89)</f>
        <v>176.89</v>
      </c>
      <c r="I852" s="1">
        <f ca="1">IFERROR(__xludf.DUMMYFUNCTION("""COMPUTED_VALUE"""),191.56)</f>
        <v>191.56</v>
      </c>
      <c r="J852" s="1">
        <f ca="1">IFERROR(__xludf.DUMMYFUNCTION("""COMPUTED_VALUE"""),498.1)</f>
        <v>498.1</v>
      </c>
      <c r="K852" s="1">
        <f ca="1">IFERROR(__xludf.DUMMYFUNCTION("""COMPUTED_VALUE"""),67.79)</f>
        <v>67.790000000000006</v>
      </c>
      <c r="L852" s="1">
        <f ca="1">IFERROR(__xludf.DUMMYFUNCTION("""COMPUTED_VALUE"""),360.43)</f>
        <v>360.43</v>
      </c>
      <c r="M852" s="1">
        <f ca="1">IFERROR(__xludf.DUMMYFUNCTION("""COMPUTED_VALUE"""),371.29)</f>
        <v>371.29</v>
      </c>
      <c r="N852" s="1">
        <f ca="1">IFERROR(__xludf.DUMMYFUNCTION("""COMPUTED_VALUE"""),139.5)</f>
        <v>139.5</v>
      </c>
      <c r="O852" s="1">
        <f ca="1">IFERROR(__xludf.DUMMYFUNCTION("""COMPUTED_VALUE"""),233.6)</f>
        <v>233.6</v>
      </c>
      <c r="P852" s="1">
        <f ca="1">IFERROR(__xludf.DUMMYFUNCTION("""COMPUTED_VALUE"""),158.48)</f>
        <v>158.47999999999999</v>
      </c>
      <c r="Q852" s="1">
        <f ca="1">IFERROR(__xludf.DUMMYFUNCTION("""COMPUTED_VALUE"""),479.23)</f>
        <v>479.23</v>
      </c>
      <c r="R852" s="1">
        <f ca="1">IFERROR(__xludf.DUMMYFUNCTION("""COMPUTED_VALUE"""),105.77)</f>
        <v>105.77</v>
      </c>
      <c r="S852" s="1">
        <f ca="1">IFERROR(__xludf.DUMMYFUNCTION("""COMPUTED_VALUE"""),75.1)</f>
        <v>75.099999999999994</v>
      </c>
      <c r="T852" s="1">
        <f ca="1">IFERROR(__xludf.DUMMYFUNCTION("""COMPUTED_VALUE"""),50.49)</f>
        <v>50.49</v>
      </c>
      <c r="U852" s="1">
        <f ca="1">IFERROR(__xludf.DUMMYFUNCTION("""COMPUTED_VALUE"""),118.87)</f>
        <v>118.87</v>
      </c>
      <c r="V852" s="1">
        <f ca="1">IFERROR(__xludf.DUMMYFUNCTION("""COMPUTED_VALUE"""),214.72)</f>
        <v>214.72</v>
      </c>
      <c r="W852" s="1">
        <f ca="1">IFERROR(__xludf.DUMMYFUNCTION("""COMPUTED_VALUE"""),455.75)</f>
        <v>455.75</v>
      </c>
      <c r="X852" s="1">
        <f ca="1">IFERROR(__xludf.DUMMYFUNCTION("""COMPUTED_VALUE"""),695.93)</f>
        <v>695.93</v>
      </c>
      <c r="Y852" s="1">
        <f ca="1">IFERROR(__xludf.DUMMYFUNCTION("""COMPUTED_VALUE"""),92.65)</f>
        <v>92.65</v>
      </c>
      <c r="Z852" s="1">
        <f ca="1">IFERROR(__xludf.DUMMYFUNCTION("""COMPUTED_VALUE"""),329.58)</f>
        <v>329.58</v>
      </c>
      <c r="AA852" s="1">
        <f ca="1">IFERROR(__xludf.DUMMYFUNCTION("""COMPUTED_VALUE"""),36.48)</f>
        <v>36.479999999999997</v>
      </c>
      <c r="AB852" s="1">
        <f ca="1">IFERROR(__xludf.DUMMYFUNCTION("""COMPUTED_VALUE"""),107.09)</f>
        <v>107.09</v>
      </c>
      <c r="AC852" s="1">
        <f ca="1">IFERROR(__xludf.DUMMYFUNCTION("""COMPUTED_VALUE"""),107.93)</f>
        <v>107.93</v>
      </c>
    </row>
    <row r="853" spans="1:29" x14ac:dyDescent="0.25">
      <c r="A853" s="2">
        <f ca="1">IFERROR(__xludf.DUMMYFUNCTION("""COMPUTED_VALUE"""),45065.6666666666)</f>
        <v>45065.666666666599</v>
      </c>
      <c r="B853" s="1">
        <f ca="1">IFERROR(__xludf.DUMMYFUNCTION("""COMPUTED_VALUE"""),175.16)</f>
        <v>175.16</v>
      </c>
      <c r="C853" s="1">
        <f ca="1">IFERROR(__xludf.DUMMYFUNCTION("""COMPUTED_VALUE"""),318.34)</f>
        <v>318.33999999999997</v>
      </c>
      <c r="D853" s="1">
        <f ca="1">IFERROR(__xludf.DUMMYFUNCTION("""COMPUTED_VALUE"""),116.25)</f>
        <v>116.25</v>
      </c>
      <c r="E853" s="1">
        <f ca="1">IFERROR(__xludf.DUMMYFUNCTION("""COMPUTED_VALUE"""),31.26)</f>
        <v>31.26</v>
      </c>
      <c r="F853" s="1">
        <f ca="1">IFERROR(__xludf.DUMMYFUNCTION("""COMPUTED_VALUE"""),245.64)</f>
        <v>245.64</v>
      </c>
      <c r="G853" s="1">
        <f ca="1">IFERROR(__xludf.DUMMYFUNCTION("""COMPUTED_VALUE"""),123.25)</f>
        <v>123.25</v>
      </c>
      <c r="H853" s="1">
        <f ca="1">IFERROR(__xludf.DUMMYFUNCTION("""COMPUTED_VALUE"""),180.14)</f>
        <v>180.14</v>
      </c>
      <c r="I853" s="1">
        <f ca="1">IFERROR(__xludf.DUMMYFUNCTION("""COMPUTED_VALUE"""),191.84)</f>
        <v>191.84</v>
      </c>
      <c r="J853" s="1">
        <f ca="1">IFERROR(__xludf.DUMMYFUNCTION("""COMPUTED_VALUE"""),496.52)</f>
        <v>496.52</v>
      </c>
      <c r="K853" s="1">
        <f ca="1">IFERROR(__xludf.DUMMYFUNCTION("""COMPUTED_VALUE"""),68.22)</f>
        <v>68.22</v>
      </c>
      <c r="L853" s="1">
        <f ca="1">IFERROR(__xludf.DUMMYFUNCTION("""COMPUTED_VALUE"""),371.25)</f>
        <v>371.25</v>
      </c>
      <c r="M853" s="1">
        <f ca="1">IFERROR(__xludf.DUMMYFUNCTION("""COMPUTED_VALUE"""),365.36)</f>
        <v>365.36</v>
      </c>
      <c r="N853" s="1">
        <f ca="1">IFERROR(__xludf.DUMMYFUNCTION("""COMPUTED_VALUE"""),139.18)</f>
        <v>139.18</v>
      </c>
      <c r="O853" s="1">
        <f ca="1">IFERROR(__xludf.DUMMYFUNCTION("""COMPUTED_VALUE"""),233.31)</f>
        <v>233.31</v>
      </c>
      <c r="P853" s="1">
        <f ca="1">IFERROR(__xludf.DUMMYFUNCTION("""COMPUTED_VALUE"""),158.91)</f>
        <v>158.91</v>
      </c>
      <c r="Q853" s="1">
        <f ca="1">IFERROR(__xludf.DUMMYFUNCTION("""COMPUTED_VALUE"""),478.82)</f>
        <v>478.82</v>
      </c>
      <c r="R853" s="1">
        <f ca="1">IFERROR(__xludf.DUMMYFUNCTION("""COMPUTED_VALUE"""),106.26)</f>
        <v>106.26</v>
      </c>
      <c r="S853" s="1">
        <f ca="1">IFERROR(__xludf.DUMMYFUNCTION("""COMPUTED_VALUE"""),74.48)</f>
        <v>74.48</v>
      </c>
      <c r="T853" s="1">
        <f ca="1">IFERROR(__xludf.DUMMYFUNCTION("""COMPUTED_VALUE"""),49.97)</f>
        <v>49.97</v>
      </c>
      <c r="U853" s="1">
        <f ca="1">IFERROR(__xludf.DUMMYFUNCTION("""COMPUTED_VALUE"""),114.76)</f>
        <v>114.76</v>
      </c>
      <c r="V853" s="1">
        <f ca="1">IFERROR(__xludf.DUMMYFUNCTION("""COMPUTED_VALUE"""),214.78)</f>
        <v>214.78</v>
      </c>
      <c r="W853" s="1">
        <f ca="1">IFERROR(__xludf.DUMMYFUNCTION("""COMPUTED_VALUE"""),454.49)</f>
        <v>454.49</v>
      </c>
      <c r="X853" s="1">
        <f ca="1">IFERROR(__xludf.DUMMYFUNCTION("""COMPUTED_VALUE"""),694)</f>
        <v>694</v>
      </c>
      <c r="Y853" s="1">
        <f ca="1">IFERROR(__xludf.DUMMYFUNCTION("""COMPUTED_VALUE"""),92.58)</f>
        <v>92.58</v>
      </c>
      <c r="Z853" s="1">
        <f ca="1">IFERROR(__xludf.DUMMYFUNCTION("""COMPUTED_VALUE"""),326.15)</f>
        <v>326.14999999999998</v>
      </c>
      <c r="AA853" s="1">
        <f ca="1">IFERROR(__xludf.DUMMYFUNCTION("""COMPUTED_VALUE"""),36.77)</f>
        <v>36.770000000000003</v>
      </c>
      <c r="AB853" s="1">
        <f ca="1">IFERROR(__xludf.DUMMYFUNCTION("""COMPUTED_VALUE"""),105.51)</f>
        <v>105.51</v>
      </c>
      <c r="AC853" s="1">
        <f ca="1">IFERROR(__xludf.DUMMYFUNCTION("""COMPUTED_VALUE"""),105.82)</f>
        <v>105.82</v>
      </c>
    </row>
    <row r="854" spans="1:29" x14ac:dyDescent="0.25">
      <c r="A854" s="2">
        <f ca="1">IFERROR(__xludf.DUMMYFUNCTION("""COMPUTED_VALUE"""),45068.6666666666)</f>
        <v>45068.666666666599</v>
      </c>
      <c r="B854" s="1">
        <f ca="1">IFERROR(__xludf.DUMMYFUNCTION("""COMPUTED_VALUE"""),174.2)</f>
        <v>174.2</v>
      </c>
      <c r="C854" s="1">
        <f ca="1">IFERROR(__xludf.DUMMYFUNCTION("""COMPUTED_VALUE"""),321.18)</f>
        <v>321.18</v>
      </c>
      <c r="D854" s="1">
        <f ca="1">IFERROR(__xludf.DUMMYFUNCTION("""COMPUTED_VALUE"""),115.01)</f>
        <v>115.01</v>
      </c>
      <c r="E854" s="1">
        <f ca="1">IFERROR(__xludf.DUMMYFUNCTION("""COMPUTED_VALUE"""),31.18)</f>
        <v>31.18</v>
      </c>
      <c r="F854" s="1">
        <f ca="1">IFERROR(__xludf.DUMMYFUNCTION("""COMPUTED_VALUE"""),248.32)</f>
        <v>248.32</v>
      </c>
      <c r="G854" s="1">
        <f ca="1">IFERROR(__xludf.DUMMYFUNCTION("""COMPUTED_VALUE"""),125.87)</f>
        <v>125.87</v>
      </c>
      <c r="H854" s="1">
        <f ca="1">IFERROR(__xludf.DUMMYFUNCTION("""COMPUTED_VALUE"""),188.87)</f>
        <v>188.87</v>
      </c>
      <c r="I854" s="1">
        <f ca="1">IFERROR(__xludf.DUMMYFUNCTION("""COMPUTED_VALUE"""),186.64)</f>
        <v>186.64</v>
      </c>
      <c r="J854" s="1">
        <f ca="1">IFERROR(__xludf.DUMMYFUNCTION("""COMPUTED_VALUE"""),491.87)</f>
        <v>491.87</v>
      </c>
      <c r="K854" s="1">
        <f ca="1">IFERROR(__xludf.DUMMYFUNCTION("""COMPUTED_VALUE"""),67.84)</f>
        <v>67.84</v>
      </c>
      <c r="L854" s="1">
        <f ca="1">IFERROR(__xludf.DUMMYFUNCTION("""COMPUTED_VALUE"""),372.05)</f>
        <v>372.05</v>
      </c>
      <c r="M854" s="1">
        <f ca="1">IFERROR(__xludf.DUMMYFUNCTION("""COMPUTED_VALUE"""),363.01)</f>
        <v>363.01</v>
      </c>
      <c r="N854" s="1">
        <f ca="1">IFERROR(__xludf.DUMMYFUNCTION("""COMPUTED_VALUE"""),138.03)</f>
        <v>138.03</v>
      </c>
      <c r="O854" s="1">
        <f ca="1">IFERROR(__xludf.DUMMYFUNCTION("""COMPUTED_VALUE"""),231.28)</f>
        <v>231.28</v>
      </c>
      <c r="P854" s="1">
        <f ca="1">IFERROR(__xludf.DUMMYFUNCTION("""COMPUTED_VALUE"""),156.87)</f>
        <v>156.87</v>
      </c>
      <c r="Q854" s="1">
        <f ca="1">IFERROR(__xludf.DUMMYFUNCTION("""COMPUTED_VALUE"""),480.62)</f>
        <v>480.62</v>
      </c>
      <c r="R854" s="1">
        <f ca="1">IFERROR(__xludf.DUMMYFUNCTION("""COMPUTED_VALUE"""),104.97)</f>
        <v>104.97</v>
      </c>
      <c r="S854" s="1">
        <f ca="1">IFERROR(__xludf.DUMMYFUNCTION("""COMPUTED_VALUE"""),74.58)</f>
        <v>74.58</v>
      </c>
      <c r="T854" s="1">
        <f ca="1">IFERROR(__xludf.DUMMYFUNCTION("""COMPUTED_VALUE"""),49.53)</f>
        <v>49.53</v>
      </c>
      <c r="U854" s="1">
        <f ca="1">IFERROR(__xludf.DUMMYFUNCTION("""COMPUTED_VALUE"""),110.18)</f>
        <v>110.18</v>
      </c>
      <c r="V854" s="1">
        <f ca="1">IFERROR(__xludf.DUMMYFUNCTION("""COMPUTED_VALUE"""),214.26)</f>
        <v>214.26</v>
      </c>
      <c r="W854" s="1">
        <f ca="1">IFERROR(__xludf.DUMMYFUNCTION("""COMPUTED_VALUE"""),454.72)</f>
        <v>454.72</v>
      </c>
      <c r="X854" s="1">
        <f ca="1">IFERROR(__xludf.DUMMYFUNCTION("""COMPUTED_VALUE"""),698.64)</f>
        <v>698.64</v>
      </c>
      <c r="Y854" s="1">
        <f ca="1">IFERROR(__xludf.DUMMYFUNCTION("""COMPUTED_VALUE"""),91.72)</f>
        <v>91.72</v>
      </c>
      <c r="Z854" s="1">
        <f ca="1">IFERROR(__xludf.DUMMYFUNCTION("""COMPUTED_VALUE"""),324.92)</f>
        <v>324.92</v>
      </c>
      <c r="AA854" s="1">
        <f ca="1">IFERROR(__xludf.DUMMYFUNCTION("""COMPUTED_VALUE"""),38.75)</f>
        <v>38.75</v>
      </c>
      <c r="AB854" s="1">
        <f ca="1">IFERROR(__xludf.DUMMYFUNCTION("""COMPUTED_VALUE"""),102.9)</f>
        <v>102.9</v>
      </c>
      <c r="AC854" s="1">
        <f ca="1">IFERROR(__xludf.DUMMYFUNCTION("""COMPUTED_VALUE"""),108)</f>
        <v>108</v>
      </c>
    </row>
    <row r="855" spans="1:29" x14ac:dyDescent="0.25">
      <c r="A855" s="2">
        <f ca="1">IFERROR(__xludf.DUMMYFUNCTION("""COMPUTED_VALUE"""),45069.6666666666)</f>
        <v>45069.666666666599</v>
      </c>
      <c r="B855" s="1">
        <f ca="1">IFERROR(__xludf.DUMMYFUNCTION("""COMPUTED_VALUE"""),171.56)</f>
        <v>171.56</v>
      </c>
      <c r="C855" s="1">
        <f ca="1">IFERROR(__xludf.DUMMYFUNCTION("""COMPUTED_VALUE"""),315.26)</f>
        <v>315.26</v>
      </c>
      <c r="D855" s="1">
        <f ca="1">IFERROR(__xludf.DUMMYFUNCTION("""COMPUTED_VALUE"""),114.99)</f>
        <v>114.99</v>
      </c>
      <c r="E855" s="1">
        <f ca="1">IFERROR(__xludf.DUMMYFUNCTION("""COMPUTED_VALUE"""),30.69)</f>
        <v>30.69</v>
      </c>
      <c r="F855" s="1">
        <f ca="1">IFERROR(__xludf.DUMMYFUNCTION("""COMPUTED_VALUE"""),246.74)</f>
        <v>246.74</v>
      </c>
      <c r="G855" s="1">
        <f ca="1">IFERROR(__xludf.DUMMYFUNCTION("""COMPUTED_VALUE"""),123.29)</f>
        <v>123.29</v>
      </c>
      <c r="H855" s="1">
        <f ca="1">IFERROR(__xludf.DUMMYFUNCTION("""COMPUTED_VALUE"""),185.77)</f>
        <v>185.77</v>
      </c>
      <c r="I855" s="1">
        <f ca="1">IFERROR(__xludf.DUMMYFUNCTION("""COMPUTED_VALUE"""),186.07)</f>
        <v>186.07</v>
      </c>
      <c r="J855" s="1">
        <f ca="1">IFERROR(__xludf.DUMMYFUNCTION("""COMPUTED_VALUE"""),484.87)</f>
        <v>484.87</v>
      </c>
      <c r="K855" s="1">
        <f ca="1">IFERROR(__xludf.DUMMYFUNCTION("""COMPUTED_VALUE"""),68.65)</f>
        <v>68.650000000000006</v>
      </c>
      <c r="L855" s="1">
        <f ca="1">IFERROR(__xludf.DUMMYFUNCTION("""COMPUTED_VALUE"""),370.42)</f>
        <v>370.42</v>
      </c>
      <c r="M855" s="1">
        <f ca="1">IFERROR(__xludf.DUMMYFUNCTION("""COMPUTED_VALUE"""),355.99)</f>
        <v>355.99</v>
      </c>
      <c r="N855" s="1">
        <f ca="1">IFERROR(__xludf.DUMMYFUNCTION("""COMPUTED_VALUE"""),136.59)</f>
        <v>136.59</v>
      </c>
      <c r="O855" s="1">
        <f ca="1">IFERROR(__xludf.DUMMYFUNCTION("""COMPUTED_VALUE"""),224.58)</f>
        <v>224.58</v>
      </c>
      <c r="P855" s="1">
        <f ca="1">IFERROR(__xludf.DUMMYFUNCTION("""COMPUTED_VALUE"""),156.81)</f>
        <v>156.81</v>
      </c>
      <c r="Q855" s="1">
        <f ca="1">IFERROR(__xludf.DUMMYFUNCTION("""COMPUTED_VALUE"""),479.44)</f>
        <v>479.44</v>
      </c>
      <c r="R855" s="1">
        <f ca="1">IFERROR(__xludf.DUMMYFUNCTION("""COMPUTED_VALUE"""),106.4)</f>
        <v>106.4</v>
      </c>
      <c r="S855" s="1">
        <f ca="1">IFERROR(__xludf.DUMMYFUNCTION("""COMPUTED_VALUE"""),74.16)</f>
        <v>74.16</v>
      </c>
      <c r="T855" s="1">
        <f ca="1">IFERROR(__xludf.DUMMYFUNCTION("""COMPUTED_VALUE"""),49.44)</f>
        <v>49.44</v>
      </c>
      <c r="U855" s="1">
        <f ca="1">IFERROR(__xludf.DUMMYFUNCTION("""COMPUTED_VALUE"""),108.78)</f>
        <v>108.78</v>
      </c>
      <c r="V855" s="1">
        <f ca="1">IFERROR(__xludf.DUMMYFUNCTION("""COMPUTED_VALUE"""),212.71)</f>
        <v>212.71</v>
      </c>
      <c r="W855" s="1">
        <f ca="1">IFERROR(__xludf.DUMMYFUNCTION("""COMPUTED_VALUE"""),452.63)</f>
        <v>452.63</v>
      </c>
      <c r="X855" s="1">
        <f ca="1">IFERROR(__xludf.DUMMYFUNCTION("""COMPUTED_VALUE"""),681.45)</f>
        <v>681.45</v>
      </c>
      <c r="Y855" s="1">
        <f ca="1">IFERROR(__xludf.DUMMYFUNCTION("""COMPUTED_VALUE"""),90.44)</f>
        <v>90.44</v>
      </c>
      <c r="Z855" s="1">
        <f ca="1">IFERROR(__xludf.DUMMYFUNCTION("""COMPUTED_VALUE"""),323.57)</f>
        <v>323.57</v>
      </c>
      <c r="AA855" s="1">
        <f ca="1">IFERROR(__xludf.DUMMYFUNCTION("""COMPUTED_VALUE"""),39.64)</f>
        <v>39.64</v>
      </c>
      <c r="AB855" s="1">
        <f ca="1">IFERROR(__xludf.DUMMYFUNCTION("""COMPUTED_VALUE"""),100.34)</f>
        <v>100.34</v>
      </c>
      <c r="AC855" s="1">
        <f ca="1">IFERROR(__xludf.DUMMYFUNCTION("""COMPUTED_VALUE"""),108.12)</f>
        <v>108.12</v>
      </c>
    </row>
    <row r="856" spans="1:29" x14ac:dyDescent="0.25">
      <c r="A856" s="2">
        <f ca="1">IFERROR(__xludf.DUMMYFUNCTION("""COMPUTED_VALUE"""),45070.6666666666)</f>
        <v>45070.666666666599</v>
      </c>
      <c r="B856" s="1">
        <f ca="1">IFERROR(__xludf.DUMMYFUNCTION("""COMPUTED_VALUE"""),171.84)</f>
        <v>171.84</v>
      </c>
      <c r="C856" s="1">
        <f ca="1">IFERROR(__xludf.DUMMYFUNCTION("""COMPUTED_VALUE"""),313.85)</f>
        <v>313.85000000000002</v>
      </c>
      <c r="D856" s="1">
        <f ca="1">IFERROR(__xludf.DUMMYFUNCTION("""COMPUTED_VALUE"""),116.75)</f>
        <v>116.75</v>
      </c>
      <c r="E856" s="1">
        <f ca="1">IFERROR(__xludf.DUMMYFUNCTION("""COMPUTED_VALUE"""),30.54)</f>
        <v>30.54</v>
      </c>
      <c r="F856" s="1">
        <f ca="1">IFERROR(__xludf.DUMMYFUNCTION("""COMPUTED_VALUE"""),249.21)</f>
        <v>249.21</v>
      </c>
      <c r="G856" s="1">
        <f ca="1">IFERROR(__xludf.DUMMYFUNCTION("""COMPUTED_VALUE"""),121.64)</f>
        <v>121.64</v>
      </c>
      <c r="H856" s="1">
        <f ca="1">IFERROR(__xludf.DUMMYFUNCTION("""COMPUTED_VALUE"""),182.9)</f>
        <v>182.9</v>
      </c>
      <c r="I856" s="1">
        <f ca="1">IFERROR(__xludf.DUMMYFUNCTION("""COMPUTED_VALUE"""),184.89)</f>
        <v>184.89</v>
      </c>
      <c r="J856" s="1">
        <f ca="1">IFERROR(__xludf.DUMMYFUNCTION("""COMPUTED_VALUE"""),482.76)</f>
        <v>482.76</v>
      </c>
      <c r="K856" s="1">
        <f ca="1">IFERROR(__xludf.DUMMYFUNCTION("""COMPUTED_VALUE"""),67.95)</f>
        <v>67.95</v>
      </c>
      <c r="L856" s="1">
        <f ca="1">IFERROR(__xludf.DUMMYFUNCTION("""COMPUTED_VALUE"""),365.76)</f>
        <v>365.76</v>
      </c>
      <c r="M856" s="1">
        <f ca="1">IFERROR(__xludf.DUMMYFUNCTION("""COMPUTED_VALUE"""),364.85)</f>
        <v>364.85</v>
      </c>
      <c r="N856" s="1">
        <f ca="1">IFERROR(__xludf.DUMMYFUNCTION("""COMPUTED_VALUE"""),135.34)</f>
        <v>135.34</v>
      </c>
      <c r="O856" s="1">
        <f ca="1">IFERROR(__xludf.DUMMYFUNCTION("""COMPUTED_VALUE"""),222.25)</f>
        <v>222.25</v>
      </c>
      <c r="P856" s="1">
        <f ca="1">IFERROR(__xludf.DUMMYFUNCTION("""COMPUTED_VALUE"""),156.66)</f>
        <v>156.66</v>
      </c>
      <c r="Q856" s="1">
        <f ca="1">IFERROR(__xludf.DUMMYFUNCTION("""COMPUTED_VALUE"""),480.83)</f>
        <v>480.83</v>
      </c>
      <c r="R856" s="1">
        <f ca="1">IFERROR(__xludf.DUMMYFUNCTION("""COMPUTED_VALUE"""),107.59)</f>
        <v>107.59</v>
      </c>
      <c r="S856" s="1">
        <f ca="1">IFERROR(__xludf.DUMMYFUNCTION("""COMPUTED_VALUE"""),74.24)</f>
        <v>74.239999999999995</v>
      </c>
      <c r="T856" s="1">
        <f ca="1">IFERROR(__xludf.DUMMYFUNCTION("""COMPUTED_VALUE"""),49.21)</f>
        <v>49.21</v>
      </c>
      <c r="U856" s="1">
        <f ca="1">IFERROR(__xludf.DUMMYFUNCTION("""COMPUTED_VALUE"""),108.29)</f>
        <v>108.29</v>
      </c>
      <c r="V856" s="1">
        <f ca="1">IFERROR(__xludf.DUMMYFUNCTION("""COMPUTED_VALUE"""),209.7)</f>
        <v>209.7</v>
      </c>
      <c r="W856" s="1">
        <f ca="1">IFERROR(__xludf.DUMMYFUNCTION("""COMPUTED_VALUE"""),452.72)</f>
        <v>452.72</v>
      </c>
      <c r="X856" s="1">
        <f ca="1">IFERROR(__xludf.DUMMYFUNCTION("""COMPUTED_VALUE"""),666.79)</f>
        <v>666.79</v>
      </c>
      <c r="Y856" s="1">
        <f ca="1">IFERROR(__xludf.DUMMYFUNCTION("""COMPUTED_VALUE"""),90.13)</f>
        <v>90.13</v>
      </c>
      <c r="Z856" s="1">
        <f ca="1">IFERROR(__xludf.DUMMYFUNCTION("""COMPUTED_VALUE"""),319.81)</f>
        <v>319.81</v>
      </c>
      <c r="AA856" s="1">
        <f ca="1">IFERROR(__xludf.DUMMYFUNCTION("""COMPUTED_VALUE"""),38.63)</f>
        <v>38.630000000000003</v>
      </c>
      <c r="AB856" s="1">
        <f ca="1">IFERROR(__xludf.DUMMYFUNCTION("""COMPUTED_VALUE"""),99.61)</f>
        <v>99.61</v>
      </c>
      <c r="AC856" s="1">
        <f ca="1">IFERROR(__xludf.DUMMYFUNCTION("""COMPUTED_VALUE"""),108.27)</f>
        <v>108.27</v>
      </c>
    </row>
    <row r="857" spans="1:29" x14ac:dyDescent="0.25">
      <c r="A857" s="2">
        <f ca="1">IFERROR(__xludf.DUMMYFUNCTION("""COMPUTED_VALUE"""),45071.6666666666)</f>
        <v>45071.666666666599</v>
      </c>
      <c r="B857" s="1">
        <f ca="1">IFERROR(__xludf.DUMMYFUNCTION("""COMPUTED_VALUE"""),172.99)</f>
        <v>172.99</v>
      </c>
      <c r="C857" s="1">
        <f ca="1">IFERROR(__xludf.DUMMYFUNCTION("""COMPUTED_VALUE"""),325.92)</f>
        <v>325.92</v>
      </c>
      <c r="D857" s="1">
        <f ca="1">IFERROR(__xludf.DUMMYFUNCTION("""COMPUTED_VALUE"""),115)</f>
        <v>115</v>
      </c>
      <c r="E857" s="1">
        <f ca="1">IFERROR(__xludf.DUMMYFUNCTION("""COMPUTED_VALUE"""),37.98)</f>
        <v>37.979999999999997</v>
      </c>
      <c r="F857" s="1">
        <f ca="1">IFERROR(__xludf.DUMMYFUNCTION("""COMPUTED_VALUE"""),252.69)</f>
        <v>252.69</v>
      </c>
      <c r="G857" s="1">
        <f ca="1">IFERROR(__xludf.DUMMYFUNCTION("""COMPUTED_VALUE"""),124.35)</f>
        <v>124.35</v>
      </c>
      <c r="H857" s="1">
        <f ca="1">IFERROR(__xludf.DUMMYFUNCTION("""COMPUTED_VALUE"""),184.47)</f>
        <v>184.47</v>
      </c>
      <c r="I857" s="1">
        <f ca="1">IFERROR(__xludf.DUMMYFUNCTION("""COMPUTED_VALUE"""),183.8)</f>
        <v>183.8</v>
      </c>
      <c r="J857" s="1">
        <f ca="1">IFERROR(__xludf.DUMMYFUNCTION("""COMPUTED_VALUE"""),486.55)</f>
        <v>486.55</v>
      </c>
      <c r="K857" s="1">
        <f ca="1">IFERROR(__xludf.DUMMYFUNCTION("""COMPUTED_VALUE"""),72.88)</f>
        <v>72.88</v>
      </c>
      <c r="L857" s="1">
        <f ca="1">IFERROR(__xludf.DUMMYFUNCTION("""COMPUTED_VALUE"""),392.06)</f>
        <v>392.06</v>
      </c>
      <c r="M857" s="1">
        <f ca="1">IFERROR(__xludf.DUMMYFUNCTION("""COMPUTED_VALUE"""),359)</f>
        <v>359</v>
      </c>
      <c r="N857" s="1">
        <f ca="1">IFERROR(__xludf.DUMMYFUNCTION("""COMPUTED_VALUE"""),135.67)</f>
        <v>135.66999999999999</v>
      </c>
      <c r="O857" s="1">
        <f ca="1">IFERROR(__xludf.DUMMYFUNCTION("""COMPUTED_VALUE"""),223.38)</f>
        <v>223.38</v>
      </c>
      <c r="P857" s="1">
        <f ca="1">IFERROR(__xludf.DUMMYFUNCTION("""COMPUTED_VALUE"""),154.41)</f>
        <v>154.41</v>
      </c>
      <c r="Q857" s="1">
        <f ca="1">IFERROR(__xludf.DUMMYFUNCTION("""COMPUTED_VALUE"""),477.7)</f>
        <v>477.7</v>
      </c>
      <c r="R857" s="1">
        <f ca="1">IFERROR(__xludf.DUMMYFUNCTION("""COMPUTED_VALUE"""),105.66)</f>
        <v>105.66</v>
      </c>
      <c r="S857" s="1">
        <f ca="1">IFERROR(__xludf.DUMMYFUNCTION("""COMPUTED_VALUE"""),73.39)</f>
        <v>73.39</v>
      </c>
      <c r="T857" s="1">
        <f ca="1">IFERROR(__xludf.DUMMYFUNCTION("""COMPUTED_VALUE"""),48.72)</f>
        <v>48.72</v>
      </c>
      <c r="U857" s="1">
        <f ca="1">IFERROR(__xludf.DUMMYFUNCTION("""COMPUTED_VALUE"""),107.48)</f>
        <v>107.48</v>
      </c>
      <c r="V857" s="1">
        <f ca="1">IFERROR(__xludf.DUMMYFUNCTION("""COMPUTED_VALUE"""),209.98)</f>
        <v>209.98</v>
      </c>
      <c r="W857" s="1">
        <f ca="1">IFERROR(__xludf.DUMMYFUNCTION("""COMPUTED_VALUE"""),442.83)</f>
        <v>442.83</v>
      </c>
      <c r="X857" s="1">
        <f ca="1">IFERROR(__xludf.DUMMYFUNCTION("""COMPUTED_VALUE"""),708.48)</f>
        <v>708.48</v>
      </c>
      <c r="Y857" s="1">
        <f ca="1">IFERROR(__xludf.DUMMYFUNCTION("""COMPUTED_VALUE"""),100.95)</f>
        <v>100.95</v>
      </c>
      <c r="Z857" s="1">
        <f ca="1">IFERROR(__xludf.DUMMYFUNCTION("""COMPUTED_VALUE"""),323.88)</f>
        <v>323.88</v>
      </c>
      <c r="AA857" s="1">
        <f ca="1">IFERROR(__xludf.DUMMYFUNCTION("""COMPUTED_VALUE"""),37.83)</f>
        <v>37.83</v>
      </c>
      <c r="AB857" s="1">
        <f ca="1">IFERROR(__xludf.DUMMYFUNCTION("""COMPUTED_VALUE"""),98.44)</f>
        <v>98.44</v>
      </c>
      <c r="AC857" s="1">
        <f ca="1">IFERROR(__xludf.DUMMYFUNCTION("""COMPUTED_VALUE"""),120.35)</f>
        <v>120.35</v>
      </c>
    </row>
    <row r="858" spans="1:29" x14ac:dyDescent="0.25">
      <c r="A858" s="2">
        <f ca="1">IFERROR(__xludf.DUMMYFUNCTION("""COMPUTED_VALUE"""),45072.6666666666)</f>
        <v>45072.666666666599</v>
      </c>
      <c r="B858" s="1">
        <f ca="1">IFERROR(__xludf.DUMMYFUNCTION("""COMPUTED_VALUE"""),175.43)</f>
        <v>175.43</v>
      </c>
      <c r="C858" s="1">
        <f ca="1">IFERROR(__xludf.DUMMYFUNCTION("""COMPUTED_VALUE"""),332.89)</f>
        <v>332.89</v>
      </c>
      <c r="D858" s="1">
        <f ca="1">IFERROR(__xludf.DUMMYFUNCTION("""COMPUTED_VALUE"""),120.11)</f>
        <v>120.11</v>
      </c>
      <c r="E858" s="1">
        <f ca="1">IFERROR(__xludf.DUMMYFUNCTION("""COMPUTED_VALUE"""),38.95)</f>
        <v>38.950000000000003</v>
      </c>
      <c r="F858" s="1">
        <f ca="1">IFERROR(__xludf.DUMMYFUNCTION("""COMPUTED_VALUE"""),262.04)</f>
        <v>262.04000000000002</v>
      </c>
      <c r="G858" s="1">
        <f ca="1">IFERROR(__xludf.DUMMYFUNCTION("""COMPUTED_VALUE"""),125.43)</f>
        <v>125.43</v>
      </c>
      <c r="H858" s="1">
        <f ca="1">IFERROR(__xludf.DUMMYFUNCTION("""COMPUTED_VALUE"""),193.17)</f>
        <v>193.17</v>
      </c>
      <c r="I858" s="1">
        <f ca="1">IFERROR(__xludf.DUMMYFUNCTION("""COMPUTED_VALUE"""),183.58)</f>
        <v>183.58</v>
      </c>
      <c r="J858" s="1">
        <f ca="1">IFERROR(__xludf.DUMMYFUNCTION("""COMPUTED_VALUE"""),507.26)</f>
        <v>507.26</v>
      </c>
      <c r="K858" s="1">
        <f ca="1">IFERROR(__xludf.DUMMYFUNCTION("""COMPUTED_VALUE"""),81.27)</f>
        <v>81.27</v>
      </c>
      <c r="L858" s="1">
        <f ca="1">IFERROR(__xludf.DUMMYFUNCTION("""COMPUTED_VALUE"""),415.39)</f>
        <v>415.39</v>
      </c>
      <c r="M858" s="1">
        <f ca="1">IFERROR(__xludf.DUMMYFUNCTION("""COMPUTED_VALUE"""),378.88)</f>
        <v>378.88</v>
      </c>
      <c r="N858" s="1">
        <f ca="1">IFERROR(__xludf.DUMMYFUNCTION("""COMPUTED_VALUE"""),136.94)</f>
        <v>136.94</v>
      </c>
      <c r="O858" s="1">
        <f ca="1">IFERROR(__xludf.DUMMYFUNCTION("""COMPUTED_VALUE"""),225.01)</f>
        <v>225.01</v>
      </c>
      <c r="P858" s="1">
        <f ca="1">IFERROR(__xludf.DUMMYFUNCTION("""COMPUTED_VALUE"""),154.35)</f>
        <v>154.35</v>
      </c>
      <c r="Q858" s="1">
        <f ca="1">IFERROR(__xludf.DUMMYFUNCTION("""COMPUTED_VALUE"""),481.52)</f>
        <v>481.52</v>
      </c>
      <c r="R858" s="1">
        <f ca="1">IFERROR(__xludf.DUMMYFUNCTION("""COMPUTED_VALUE"""),104.97)</f>
        <v>104.97</v>
      </c>
      <c r="S858" s="1">
        <f ca="1">IFERROR(__xludf.DUMMYFUNCTION("""COMPUTED_VALUE"""),73.92)</f>
        <v>73.92</v>
      </c>
      <c r="T858" s="1">
        <f ca="1">IFERROR(__xludf.DUMMYFUNCTION("""COMPUTED_VALUE"""),48.81)</f>
        <v>48.81</v>
      </c>
      <c r="U858" s="1">
        <f ca="1">IFERROR(__xludf.DUMMYFUNCTION("""COMPUTED_VALUE"""),107.51)</f>
        <v>107.51</v>
      </c>
      <c r="V858" s="1">
        <f ca="1">IFERROR(__xludf.DUMMYFUNCTION("""COMPUTED_VALUE"""),211.8)</f>
        <v>211.8</v>
      </c>
      <c r="W858" s="1">
        <f ca="1">IFERROR(__xludf.DUMMYFUNCTION("""COMPUTED_VALUE"""),448.45)</f>
        <v>448.45</v>
      </c>
      <c r="X858" s="1">
        <f ca="1">IFERROR(__xludf.DUMMYFUNCTION("""COMPUTED_VALUE"""),735.93)</f>
        <v>735.93</v>
      </c>
      <c r="Y858" s="1">
        <f ca="1">IFERROR(__xludf.DUMMYFUNCTION("""COMPUTED_VALUE"""),103.21)</f>
        <v>103.21</v>
      </c>
      <c r="Z858" s="1">
        <f ca="1">IFERROR(__xludf.DUMMYFUNCTION("""COMPUTED_VALUE"""),332.01)</f>
        <v>332.01</v>
      </c>
      <c r="AA858" s="1">
        <f ca="1">IFERROR(__xludf.DUMMYFUNCTION("""COMPUTED_VALUE"""),37.6)</f>
        <v>37.6</v>
      </c>
      <c r="AB858" s="1">
        <f ca="1">IFERROR(__xludf.DUMMYFUNCTION("""COMPUTED_VALUE"""),98.53)</f>
        <v>98.53</v>
      </c>
      <c r="AC858" s="1">
        <f ca="1">IFERROR(__xludf.DUMMYFUNCTION("""COMPUTED_VALUE"""),127.03)</f>
        <v>127.03</v>
      </c>
    </row>
    <row r="859" spans="1:29" x14ac:dyDescent="0.25">
      <c r="A859" s="2">
        <f ca="1">IFERROR(__xludf.DUMMYFUNCTION("""COMPUTED_VALUE"""),45076.6666666666)</f>
        <v>45076.666666666599</v>
      </c>
      <c r="B859" s="1">
        <f ca="1">IFERROR(__xludf.DUMMYFUNCTION("""COMPUTED_VALUE"""),177.3)</f>
        <v>177.3</v>
      </c>
      <c r="C859" s="1">
        <f ca="1">IFERROR(__xludf.DUMMYFUNCTION("""COMPUTED_VALUE"""),331.21)</f>
        <v>331.21</v>
      </c>
      <c r="D859" s="1">
        <f ca="1">IFERROR(__xludf.DUMMYFUNCTION("""COMPUTED_VALUE"""),121.66)</f>
        <v>121.66</v>
      </c>
      <c r="E859" s="1">
        <f ca="1">IFERROR(__xludf.DUMMYFUNCTION("""COMPUTED_VALUE"""),40.11)</f>
        <v>40.11</v>
      </c>
      <c r="F859" s="1">
        <f ca="1">IFERROR(__xludf.DUMMYFUNCTION("""COMPUTED_VALUE"""),262.52)</f>
        <v>262.52</v>
      </c>
      <c r="G859" s="1">
        <f ca="1">IFERROR(__xludf.DUMMYFUNCTION("""COMPUTED_VALUE"""),124.64)</f>
        <v>124.64</v>
      </c>
      <c r="H859" s="1">
        <f ca="1">IFERROR(__xludf.DUMMYFUNCTION("""COMPUTED_VALUE"""),201.16)</f>
        <v>201.16</v>
      </c>
      <c r="I859" s="1">
        <f ca="1">IFERROR(__xludf.DUMMYFUNCTION("""COMPUTED_VALUE"""),181.61)</f>
        <v>181.61</v>
      </c>
      <c r="J859" s="1">
        <f ca="1">IFERROR(__xludf.DUMMYFUNCTION("""COMPUTED_VALUE"""),508.03)</f>
        <v>508.03</v>
      </c>
      <c r="K859" s="1">
        <f ca="1">IFERROR(__xludf.DUMMYFUNCTION("""COMPUTED_VALUE"""),80.33)</f>
        <v>80.33</v>
      </c>
      <c r="L859" s="1">
        <f ca="1">IFERROR(__xludf.DUMMYFUNCTION("""COMPUTED_VALUE"""),417.21)</f>
        <v>417.21</v>
      </c>
      <c r="M859" s="1">
        <f ca="1">IFERROR(__xludf.DUMMYFUNCTION("""COMPUTED_VALUE"""),392.98)</f>
        <v>392.98</v>
      </c>
      <c r="N859" s="1">
        <f ca="1">IFERROR(__xludf.DUMMYFUNCTION("""COMPUTED_VALUE"""),137.46)</f>
        <v>137.46</v>
      </c>
      <c r="O859" s="1">
        <f ca="1">IFERROR(__xludf.DUMMYFUNCTION("""COMPUTED_VALUE"""),221.64)</f>
        <v>221.64</v>
      </c>
      <c r="P859" s="1">
        <f ca="1">IFERROR(__xludf.DUMMYFUNCTION("""COMPUTED_VALUE"""),154.37)</f>
        <v>154.37</v>
      </c>
      <c r="Q859" s="1">
        <f ca="1">IFERROR(__xludf.DUMMYFUNCTION("""COMPUTED_VALUE"""),479.85)</f>
        <v>479.85</v>
      </c>
      <c r="R859" s="1">
        <f ca="1">IFERROR(__xludf.DUMMYFUNCTION("""COMPUTED_VALUE"""),104.04)</f>
        <v>104.04</v>
      </c>
      <c r="S859" s="1">
        <f ca="1">IFERROR(__xludf.DUMMYFUNCTION("""COMPUTED_VALUE"""),72.69)</f>
        <v>72.69</v>
      </c>
      <c r="T859" s="1">
        <f ca="1">IFERROR(__xludf.DUMMYFUNCTION("""COMPUTED_VALUE"""),48.69)</f>
        <v>48.69</v>
      </c>
      <c r="U859" s="1">
        <f ca="1">IFERROR(__xludf.DUMMYFUNCTION("""COMPUTED_VALUE"""),106.52)</f>
        <v>106.52</v>
      </c>
      <c r="V859" s="1">
        <f ca="1">IFERROR(__xludf.DUMMYFUNCTION("""COMPUTED_VALUE"""),209.9)</f>
        <v>209.9</v>
      </c>
      <c r="W859" s="1">
        <f ca="1">IFERROR(__xludf.DUMMYFUNCTION("""COMPUTED_VALUE"""),447.97)</f>
        <v>447.97</v>
      </c>
      <c r="X859" s="1">
        <f ca="1">IFERROR(__xludf.DUMMYFUNCTION("""COMPUTED_VALUE"""),728.26)</f>
        <v>728.26</v>
      </c>
      <c r="Y859" s="1">
        <f ca="1">IFERROR(__xludf.DUMMYFUNCTION("""COMPUTED_VALUE"""),101.98)</f>
        <v>101.98</v>
      </c>
      <c r="Z859" s="1">
        <f ca="1">IFERROR(__xludf.DUMMYFUNCTION("""COMPUTED_VALUE"""),330.83)</f>
        <v>330.83</v>
      </c>
      <c r="AA859" s="1">
        <f ca="1">IFERROR(__xludf.DUMMYFUNCTION("""COMPUTED_VALUE"""),37.01)</f>
        <v>37.01</v>
      </c>
      <c r="AB859" s="1">
        <f ca="1">IFERROR(__xludf.DUMMYFUNCTION("""COMPUTED_VALUE"""),97.75)</f>
        <v>97.75</v>
      </c>
      <c r="AC859" s="1">
        <f ca="1">IFERROR(__xludf.DUMMYFUNCTION("""COMPUTED_VALUE"""),125.27)</f>
        <v>125.27</v>
      </c>
    </row>
    <row r="860" spans="1:29" x14ac:dyDescent="0.25">
      <c r="A860" s="2">
        <f ca="1">IFERROR(__xludf.DUMMYFUNCTION("""COMPUTED_VALUE"""),45077.6666666666)</f>
        <v>45077.666666666599</v>
      </c>
      <c r="B860" s="1">
        <f ca="1">IFERROR(__xludf.DUMMYFUNCTION("""COMPUTED_VALUE"""),177.25)</f>
        <v>177.25</v>
      </c>
      <c r="C860" s="1">
        <f ca="1">IFERROR(__xludf.DUMMYFUNCTION("""COMPUTED_VALUE"""),328.39)</f>
        <v>328.39</v>
      </c>
      <c r="D860" s="1">
        <f ca="1">IFERROR(__xludf.DUMMYFUNCTION("""COMPUTED_VALUE"""),120.58)</f>
        <v>120.58</v>
      </c>
      <c r="E860" s="1">
        <f ca="1">IFERROR(__xludf.DUMMYFUNCTION("""COMPUTED_VALUE"""),37.83)</f>
        <v>37.83</v>
      </c>
      <c r="F860" s="1">
        <f ca="1">IFERROR(__xludf.DUMMYFUNCTION("""COMPUTED_VALUE"""),264.72)</f>
        <v>264.72000000000003</v>
      </c>
      <c r="G860" s="1">
        <f ca="1">IFERROR(__xludf.DUMMYFUNCTION("""COMPUTED_VALUE"""),123.37)</f>
        <v>123.37</v>
      </c>
      <c r="H860" s="1">
        <f ca="1">IFERROR(__xludf.DUMMYFUNCTION("""COMPUTED_VALUE"""),203.93)</f>
        <v>203.93</v>
      </c>
      <c r="I860" s="1">
        <f ca="1">IFERROR(__xludf.DUMMYFUNCTION("""COMPUTED_VALUE"""),182.35)</f>
        <v>182.35</v>
      </c>
      <c r="J860" s="1">
        <f ca="1">IFERROR(__xludf.DUMMYFUNCTION("""COMPUTED_VALUE"""),511.56)</f>
        <v>511.56</v>
      </c>
      <c r="K860" s="1">
        <f ca="1">IFERROR(__xludf.DUMMYFUNCTION("""COMPUTED_VALUE"""),80.8)</f>
        <v>80.8</v>
      </c>
      <c r="L860" s="1">
        <f ca="1">IFERROR(__xludf.DUMMYFUNCTION("""COMPUTED_VALUE"""),417.79)</f>
        <v>417.79</v>
      </c>
      <c r="M860" s="1">
        <f ca="1">IFERROR(__xludf.DUMMYFUNCTION("""COMPUTED_VALUE"""),395.23)</f>
        <v>395.23</v>
      </c>
      <c r="N860" s="1">
        <f ca="1">IFERROR(__xludf.DUMMYFUNCTION("""COMPUTED_VALUE"""),135.71)</f>
        <v>135.71</v>
      </c>
      <c r="O860" s="1">
        <f ca="1">IFERROR(__xludf.DUMMYFUNCTION("""COMPUTED_VALUE"""),221.03)</f>
        <v>221.03</v>
      </c>
      <c r="P860" s="1">
        <f ca="1">IFERROR(__xludf.DUMMYFUNCTION("""COMPUTED_VALUE"""),155.06)</f>
        <v>155.06</v>
      </c>
      <c r="Q860" s="1">
        <f ca="1">IFERROR(__xludf.DUMMYFUNCTION("""COMPUTED_VALUE"""),487.24)</f>
        <v>487.24</v>
      </c>
      <c r="R860" s="1">
        <f ca="1">IFERROR(__xludf.DUMMYFUNCTION("""COMPUTED_VALUE"""),102.18)</f>
        <v>102.18</v>
      </c>
      <c r="S860" s="1">
        <f ca="1">IFERROR(__xludf.DUMMYFUNCTION("""COMPUTED_VALUE"""),73.46)</f>
        <v>73.459999999999994</v>
      </c>
      <c r="T860" s="1">
        <f ca="1">IFERROR(__xludf.DUMMYFUNCTION("""COMPUTED_VALUE"""),48.96)</f>
        <v>48.96</v>
      </c>
      <c r="U860" s="1">
        <f ca="1">IFERROR(__xludf.DUMMYFUNCTION("""COMPUTED_VALUE"""),105.26)</f>
        <v>105.26</v>
      </c>
      <c r="V860" s="1">
        <f ca="1">IFERROR(__xludf.DUMMYFUNCTION("""COMPUTED_VALUE"""),205.75)</f>
        <v>205.75</v>
      </c>
      <c r="W860" s="1">
        <f ca="1">IFERROR(__xludf.DUMMYFUNCTION("""COMPUTED_VALUE"""),444.01)</f>
        <v>444.01</v>
      </c>
      <c r="X860" s="1">
        <f ca="1">IFERROR(__xludf.DUMMYFUNCTION("""COMPUTED_VALUE"""),722.93)</f>
        <v>722.93</v>
      </c>
      <c r="Y860" s="1">
        <f ca="1">IFERROR(__xludf.DUMMYFUNCTION("""COMPUTED_VALUE"""),98.59)</f>
        <v>98.59</v>
      </c>
      <c r="Z860" s="1">
        <f ca="1">IFERROR(__xludf.DUMMYFUNCTION("""COMPUTED_VALUE"""),323.9)</f>
        <v>323.89999999999998</v>
      </c>
      <c r="AA860" s="1">
        <f ca="1">IFERROR(__xludf.DUMMYFUNCTION("""COMPUTED_VALUE"""),38.02)</f>
        <v>38.020000000000003</v>
      </c>
      <c r="AB860" s="1">
        <f ca="1">IFERROR(__xludf.DUMMYFUNCTION("""COMPUTED_VALUE"""),97.64)</f>
        <v>97.64</v>
      </c>
      <c r="AC860" s="1">
        <f ca="1">IFERROR(__xludf.DUMMYFUNCTION("""COMPUTED_VALUE"""),118.21)</f>
        <v>118.21</v>
      </c>
    </row>
    <row r="861" spans="1:29" x14ac:dyDescent="0.25">
      <c r="A861" s="2">
        <f ca="1">IFERROR(__xludf.DUMMYFUNCTION("""COMPUTED_VALUE"""),45078.6666666666)</f>
        <v>45078.666666666599</v>
      </c>
      <c r="B861" s="1">
        <f ca="1">IFERROR(__xludf.DUMMYFUNCTION("""COMPUTED_VALUE"""),180.09)</f>
        <v>180.09</v>
      </c>
      <c r="C861" s="1">
        <f ca="1">IFERROR(__xludf.DUMMYFUNCTION("""COMPUTED_VALUE"""),332.58)</f>
        <v>332.58</v>
      </c>
      <c r="D861" s="1">
        <f ca="1">IFERROR(__xludf.DUMMYFUNCTION("""COMPUTED_VALUE"""),122.77)</f>
        <v>122.77</v>
      </c>
      <c r="E861" s="1">
        <f ca="1">IFERROR(__xludf.DUMMYFUNCTION("""COMPUTED_VALUE"""),39.77)</f>
        <v>39.770000000000003</v>
      </c>
      <c r="F861" s="1">
        <f ca="1">IFERROR(__xludf.DUMMYFUNCTION("""COMPUTED_VALUE"""),272.61)</f>
        <v>272.61</v>
      </c>
      <c r="G861" s="1">
        <f ca="1">IFERROR(__xludf.DUMMYFUNCTION("""COMPUTED_VALUE"""),124.37)</f>
        <v>124.37</v>
      </c>
      <c r="H861" s="1">
        <f ca="1">IFERROR(__xludf.DUMMYFUNCTION("""COMPUTED_VALUE"""),207.52)</f>
        <v>207.52</v>
      </c>
      <c r="I861" s="1">
        <f ca="1">IFERROR(__xludf.DUMMYFUNCTION("""COMPUTED_VALUE"""),182.19)</f>
        <v>182.19</v>
      </c>
      <c r="J861" s="1">
        <f ca="1">IFERROR(__xludf.DUMMYFUNCTION("""COMPUTED_VALUE"""),512.6)</f>
        <v>512.6</v>
      </c>
      <c r="K861" s="1">
        <f ca="1">IFERROR(__xludf.DUMMYFUNCTION("""COMPUTED_VALUE"""),79)</f>
        <v>79</v>
      </c>
      <c r="L861" s="1">
        <f ca="1">IFERROR(__xludf.DUMMYFUNCTION("""COMPUTED_VALUE"""),426.75)</f>
        <v>426.75</v>
      </c>
      <c r="M861" s="1">
        <f ca="1">IFERROR(__xludf.DUMMYFUNCTION("""COMPUTED_VALUE"""),403.13)</f>
        <v>403.13</v>
      </c>
      <c r="N861" s="1">
        <f ca="1">IFERROR(__xludf.DUMMYFUNCTION("""COMPUTED_VALUE"""),137.58)</f>
        <v>137.58000000000001</v>
      </c>
      <c r="O861" s="1">
        <f ca="1">IFERROR(__xludf.DUMMYFUNCTION("""COMPUTED_VALUE"""),226.5)</f>
        <v>226.5</v>
      </c>
      <c r="P861" s="1">
        <f ca="1">IFERROR(__xludf.DUMMYFUNCTION("""COMPUTED_VALUE"""),154.54)</f>
        <v>154.54</v>
      </c>
      <c r="Q861" s="1">
        <f ca="1">IFERROR(__xludf.DUMMYFUNCTION("""COMPUTED_VALUE"""),493.63)</f>
        <v>493.63</v>
      </c>
      <c r="R861" s="1">
        <f ca="1">IFERROR(__xludf.DUMMYFUNCTION("""COMPUTED_VALUE"""),103.36)</f>
        <v>103.36</v>
      </c>
      <c r="S861" s="1">
        <f ca="1">IFERROR(__xludf.DUMMYFUNCTION("""COMPUTED_VALUE"""),72.96)</f>
        <v>72.959999999999994</v>
      </c>
      <c r="T861" s="1">
        <f ca="1">IFERROR(__xludf.DUMMYFUNCTION("""COMPUTED_VALUE"""),49.14)</f>
        <v>49.14</v>
      </c>
      <c r="U861" s="1">
        <f ca="1">IFERROR(__xludf.DUMMYFUNCTION("""COMPUTED_VALUE"""),103.63)</f>
        <v>103.63</v>
      </c>
      <c r="V861" s="1">
        <f ca="1">IFERROR(__xludf.DUMMYFUNCTION("""COMPUTED_VALUE"""),209.07)</f>
        <v>209.07</v>
      </c>
      <c r="W861" s="1">
        <f ca="1">IFERROR(__xludf.DUMMYFUNCTION("""COMPUTED_VALUE"""),449.67)</f>
        <v>449.67</v>
      </c>
      <c r="X861" s="1">
        <f ca="1">IFERROR(__xludf.DUMMYFUNCTION("""COMPUTED_VALUE"""),726.77)</f>
        <v>726.77</v>
      </c>
      <c r="Y861" s="1">
        <f ca="1">IFERROR(__xludf.DUMMYFUNCTION("""COMPUTED_VALUE"""),98.84)</f>
        <v>98.84</v>
      </c>
      <c r="Z861" s="1">
        <f ca="1">IFERROR(__xludf.DUMMYFUNCTION("""COMPUTED_VALUE"""),316.4)</f>
        <v>316.39999999999998</v>
      </c>
      <c r="AA861" s="1">
        <f ca="1">IFERROR(__xludf.DUMMYFUNCTION("""COMPUTED_VALUE"""),38.02)</f>
        <v>38.020000000000003</v>
      </c>
      <c r="AB861" s="1">
        <f ca="1">IFERROR(__xludf.DUMMYFUNCTION("""COMPUTED_VALUE"""),97.52)</f>
        <v>97.52</v>
      </c>
      <c r="AC861" s="1">
        <f ca="1">IFERROR(__xludf.DUMMYFUNCTION("""COMPUTED_VALUE"""),119.47)</f>
        <v>119.47</v>
      </c>
    </row>
    <row r="862" spans="1:29" x14ac:dyDescent="0.25">
      <c r="A862" s="2">
        <f ca="1">IFERROR(__xludf.DUMMYFUNCTION("""COMPUTED_VALUE"""),45079.6666666666)</f>
        <v>45079.666666666599</v>
      </c>
      <c r="B862" s="1">
        <f ca="1">IFERROR(__xludf.DUMMYFUNCTION("""COMPUTED_VALUE"""),180.95)</f>
        <v>180.95</v>
      </c>
      <c r="C862" s="1">
        <f ca="1">IFERROR(__xludf.DUMMYFUNCTION("""COMPUTED_VALUE"""),335.4)</f>
        <v>335.4</v>
      </c>
      <c r="D862" s="1">
        <f ca="1">IFERROR(__xludf.DUMMYFUNCTION("""COMPUTED_VALUE"""),124.25)</f>
        <v>124.25</v>
      </c>
      <c r="E862" s="1">
        <f ca="1">IFERROR(__xludf.DUMMYFUNCTION("""COMPUTED_VALUE"""),39.33)</f>
        <v>39.33</v>
      </c>
      <c r="F862" s="1">
        <f ca="1">IFERROR(__xludf.DUMMYFUNCTION("""COMPUTED_VALUE"""),272.61)</f>
        <v>272.61</v>
      </c>
      <c r="G862" s="1">
        <f ca="1">IFERROR(__xludf.DUMMYFUNCTION("""COMPUTED_VALUE"""),125.23)</f>
        <v>125.23</v>
      </c>
      <c r="H862" s="1">
        <f ca="1">IFERROR(__xludf.DUMMYFUNCTION("""COMPUTED_VALUE"""),213.97)</f>
        <v>213.97</v>
      </c>
      <c r="I862" s="1">
        <f ca="1">IFERROR(__xludf.DUMMYFUNCTION("""COMPUTED_VALUE"""),184.06)</f>
        <v>184.06</v>
      </c>
      <c r="J862" s="1">
        <f ca="1">IFERROR(__xludf.DUMMYFUNCTION("""COMPUTED_VALUE"""),512.59)</f>
        <v>512.59</v>
      </c>
      <c r="K862" s="1">
        <f ca="1">IFERROR(__xludf.DUMMYFUNCTION("""COMPUTED_VALUE"""),81.2)</f>
        <v>81.2</v>
      </c>
      <c r="L862" s="1">
        <f ca="1">IFERROR(__xludf.DUMMYFUNCTION("""COMPUTED_VALUE"""),436.37)</f>
        <v>436.37</v>
      </c>
      <c r="M862" s="1">
        <f ca="1">IFERROR(__xludf.DUMMYFUNCTION("""COMPUTED_VALUE"""),400.47)</f>
        <v>400.47</v>
      </c>
      <c r="N862" s="1">
        <f ca="1">IFERROR(__xludf.DUMMYFUNCTION("""COMPUTED_VALUE"""),140.47)</f>
        <v>140.47</v>
      </c>
      <c r="O862" s="1">
        <f ca="1">IFERROR(__xludf.DUMMYFUNCTION("""COMPUTED_VALUE"""),228.79)</f>
        <v>228.79</v>
      </c>
      <c r="P862" s="1">
        <f ca="1">IFERROR(__xludf.DUMMYFUNCTION("""COMPUTED_VALUE"""),156.97)</f>
        <v>156.97</v>
      </c>
      <c r="Q862" s="1">
        <f ca="1">IFERROR(__xludf.DUMMYFUNCTION("""COMPUTED_VALUE"""),499.58)</f>
        <v>499.58</v>
      </c>
      <c r="R862" s="1">
        <f ca="1">IFERROR(__xludf.DUMMYFUNCTION("""COMPUTED_VALUE"""),105.76)</f>
        <v>105.76</v>
      </c>
      <c r="S862" s="1">
        <f ca="1">IFERROR(__xludf.DUMMYFUNCTION("""COMPUTED_VALUE"""),73.85)</f>
        <v>73.849999999999994</v>
      </c>
      <c r="T862" s="1">
        <f ca="1">IFERROR(__xludf.DUMMYFUNCTION("""COMPUTED_VALUE"""),49.61)</f>
        <v>49.61</v>
      </c>
      <c r="U862" s="1">
        <f ca="1">IFERROR(__xludf.DUMMYFUNCTION("""COMPUTED_VALUE"""),107.78)</f>
        <v>107.78</v>
      </c>
      <c r="V862" s="1">
        <f ca="1">IFERROR(__xludf.DUMMYFUNCTION("""COMPUTED_VALUE"""),226.63)</f>
        <v>226.63</v>
      </c>
      <c r="W862" s="1">
        <f ca="1">IFERROR(__xludf.DUMMYFUNCTION("""COMPUTED_VALUE"""),454.49)</f>
        <v>454.49</v>
      </c>
      <c r="X862" s="1">
        <f ca="1">IFERROR(__xludf.DUMMYFUNCTION("""COMPUTED_VALUE"""),724.65)</f>
        <v>724.65</v>
      </c>
      <c r="Y862" s="1">
        <f ca="1">IFERROR(__xludf.DUMMYFUNCTION("""COMPUTED_VALUE"""),98.94)</f>
        <v>98.94</v>
      </c>
      <c r="Z862" s="1">
        <f ca="1">IFERROR(__xludf.DUMMYFUNCTION("""COMPUTED_VALUE"""),323.65)</f>
        <v>323.64999999999998</v>
      </c>
      <c r="AA862" s="1">
        <f ca="1">IFERROR(__xludf.DUMMYFUNCTION("""COMPUTED_VALUE"""),38.36)</f>
        <v>38.36</v>
      </c>
      <c r="AB862" s="1">
        <f ca="1">IFERROR(__xludf.DUMMYFUNCTION("""COMPUTED_VALUE"""),99.5)</f>
        <v>99.5</v>
      </c>
      <c r="AC862" s="1">
        <f ca="1">IFERROR(__xludf.DUMMYFUNCTION("""COMPUTED_VALUE"""),117.86)</f>
        <v>117.86</v>
      </c>
    </row>
    <row r="863" spans="1:29" x14ac:dyDescent="0.25">
      <c r="A863" s="2">
        <f ca="1">IFERROR(__xludf.DUMMYFUNCTION("""COMPUTED_VALUE"""),45082.6666666666)</f>
        <v>45082.666666666599</v>
      </c>
      <c r="B863" s="1">
        <f ca="1">IFERROR(__xludf.DUMMYFUNCTION("""COMPUTED_VALUE"""),179.58)</f>
        <v>179.58</v>
      </c>
      <c r="C863" s="1">
        <f ca="1">IFERROR(__xludf.DUMMYFUNCTION("""COMPUTED_VALUE"""),335.94)</f>
        <v>335.94</v>
      </c>
      <c r="D863" s="1">
        <f ca="1">IFERROR(__xludf.DUMMYFUNCTION("""COMPUTED_VALUE"""),125.3)</f>
        <v>125.3</v>
      </c>
      <c r="E863" s="1">
        <f ca="1">IFERROR(__xludf.DUMMYFUNCTION("""COMPUTED_VALUE"""),39.17)</f>
        <v>39.17</v>
      </c>
      <c r="F863" s="1">
        <f ca="1">IFERROR(__xludf.DUMMYFUNCTION("""COMPUTED_VALUE"""),271.39)</f>
        <v>271.39</v>
      </c>
      <c r="G863" s="1">
        <f ca="1">IFERROR(__xludf.DUMMYFUNCTION("""COMPUTED_VALUE"""),126.63)</f>
        <v>126.63</v>
      </c>
      <c r="H863" s="1">
        <f ca="1">IFERROR(__xludf.DUMMYFUNCTION("""COMPUTED_VALUE"""),217.61)</f>
        <v>217.61</v>
      </c>
      <c r="I863" s="1">
        <f ca="1">IFERROR(__xludf.DUMMYFUNCTION("""COMPUTED_VALUE"""),184.19)</f>
        <v>184.19</v>
      </c>
      <c r="J863" s="1">
        <f ca="1">IFERROR(__xludf.DUMMYFUNCTION("""COMPUTED_VALUE"""),518.25)</f>
        <v>518.25</v>
      </c>
      <c r="K863" s="1">
        <f ca="1">IFERROR(__xludf.DUMMYFUNCTION("""COMPUTED_VALUE"""),80.23)</f>
        <v>80.23</v>
      </c>
      <c r="L863" s="1">
        <f ca="1">IFERROR(__xludf.DUMMYFUNCTION("""COMPUTED_VALUE"""),434.18)</f>
        <v>434.18</v>
      </c>
      <c r="M863" s="1">
        <f ca="1">IFERROR(__xludf.DUMMYFUNCTION("""COMPUTED_VALUE"""),403.54)</f>
        <v>403.54</v>
      </c>
      <c r="N863" s="1">
        <f ca="1">IFERROR(__xludf.DUMMYFUNCTION("""COMPUTED_VALUE"""),139.09)</f>
        <v>139.09</v>
      </c>
      <c r="O863" s="1">
        <f ca="1">IFERROR(__xludf.DUMMYFUNCTION("""COMPUTED_VALUE"""),226.77)</f>
        <v>226.77</v>
      </c>
      <c r="P863" s="1">
        <f ca="1">IFERROR(__xludf.DUMMYFUNCTION("""COMPUTED_VALUE"""),158.32)</f>
        <v>158.32</v>
      </c>
      <c r="Q863" s="1">
        <f ca="1">IFERROR(__xludf.DUMMYFUNCTION("""COMPUTED_VALUE"""),498.19)</f>
        <v>498.19</v>
      </c>
      <c r="R863" s="1">
        <f ca="1">IFERROR(__xludf.DUMMYFUNCTION("""COMPUTED_VALUE"""),105.29)</f>
        <v>105.29</v>
      </c>
      <c r="S863" s="1">
        <f ca="1">IFERROR(__xludf.DUMMYFUNCTION("""COMPUTED_VALUE"""),73.59)</f>
        <v>73.59</v>
      </c>
      <c r="T863" s="1">
        <f ca="1">IFERROR(__xludf.DUMMYFUNCTION("""COMPUTED_VALUE"""),49.93)</f>
        <v>49.93</v>
      </c>
      <c r="U863" s="1">
        <f ca="1">IFERROR(__xludf.DUMMYFUNCTION("""COMPUTED_VALUE"""),105.2)</f>
        <v>105.2</v>
      </c>
      <c r="V863" s="1">
        <f ca="1">IFERROR(__xludf.DUMMYFUNCTION("""COMPUTED_VALUE"""),222.47)</f>
        <v>222.47</v>
      </c>
      <c r="W863" s="1">
        <f ca="1">IFERROR(__xludf.DUMMYFUNCTION("""COMPUTED_VALUE"""),454.69)</f>
        <v>454.69</v>
      </c>
      <c r="X863" s="1">
        <f ca="1">IFERROR(__xludf.DUMMYFUNCTION("""COMPUTED_VALUE"""),722.2)</f>
        <v>722.2</v>
      </c>
      <c r="Y863" s="1">
        <f ca="1">IFERROR(__xludf.DUMMYFUNCTION("""COMPUTED_VALUE"""),98.05)</f>
        <v>98.05</v>
      </c>
      <c r="Z863" s="1">
        <f ca="1">IFERROR(__xludf.DUMMYFUNCTION("""COMPUTED_VALUE"""),321.81)</f>
        <v>321.81</v>
      </c>
      <c r="AA863" s="1">
        <f ca="1">IFERROR(__xludf.DUMMYFUNCTION("""COMPUTED_VALUE"""),38.65)</f>
        <v>38.65</v>
      </c>
      <c r="AB863" s="1">
        <f ca="1">IFERROR(__xludf.DUMMYFUNCTION("""COMPUTED_VALUE"""),99.93)</f>
        <v>99.93</v>
      </c>
      <c r="AC863" s="1">
        <f ca="1">IFERROR(__xludf.DUMMYFUNCTION("""COMPUTED_VALUE"""),117.93)</f>
        <v>117.93</v>
      </c>
    </row>
    <row r="864" spans="1:29" x14ac:dyDescent="0.25">
      <c r="A864" s="2">
        <f ca="1">IFERROR(__xludf.DUMMYFUNCTION("""COMPUTED_VALUE"""),45083.6666666666)</f>
        <v>45083.666666666599</v>
      </c>
      <c r="B864" s="1">
        <f ca="1">IFERROR(__xludf.DUMMYFUNCTION("""COMPUTED_VALUE"""),179.21)</f>
        <v>179.21</v>
      </c>
      <c r="C864" s="1">
        <f ca="1">IFERROR(__xludf.DUMMYFUNCTION("""COMPUTED_VALUE"""),333.68)</f>
        <v>333.68</v>
      </c>
      <c r="D864" s="1">
        <f ca="1">IFERROR(__xludf.DUMMYFUNCTION("""COMPUTED_VALUE"""),126.61)</f>
        <v>126.61</v>
      </c>
      <c r="E864" s="1">
        <f ca="1">IFERROR(__xludf.DUMMYFUNCTION("""COMPUTED_VALUE"""),38.65)</f>
        <v>38.65</v>
      </c>
      <c r="F864" s="1">
        <f ca="1">IFERROR(__xludf.DUMMYFUNCTION("""COMPUTED_VALUE"""),271.12)</f>
        <v>271.12</v>
      </c>
      <c r="G864" s="1">
        <f ca="1">IFERROR(__xludf.DUMMYFUNCTION("""COMPUTED_VALUE"""),127.91)</f>
        <v>127.91</v>
      </c>
      <c r="H864" s="1">
        <f ca="1">IFERROR(__xludf.DUMMYFUNCTION("""COMPUTED_VALUE"""),221.31)</f>
        <v>221.31</v>
      </c>
      <c r="I864" s="1">
        <f ca="1">IFERROR(__xludf.DUMMYFUNCTION("""COMPUTED_VALUE"""),181.56)</f>
        <v>181.56</v>
      </c>
      <c r="J864" s="1">
        <f ca="1">IFERROR(__xludf.DUMMYFUNCTION("""COMPUTED_VALUE"""),516.26)</f>
        <v>516.26</v>
      </c>
      <c r="K864" s="1">
        <f ca="1">IFERROR(__xludf.DUMMYFUNCTION("""COMPUTED_VALUE"""),79)</f>
        <v>79</v>
      </c>
      <c r="L864" s="1">
        <f ca="1">IFERROR(__xludf.DUMMYFUNCTION("""COMPUTED_VALUE"""),432.89)</f>
        <v>432.89</v>
      </c>
      <c r="M864" s="1">
        <f ca="1">IFERROR(__xludf.DUMMYFUNCTION("""COMPUTED_VALUE"""),399.29)</f>
        <v>399.29</v>
      </c>
      <c r="N864" s="1">
        <f ca="1">IFERROR(__xludf.DUMMYFUNCTION("""COMPUTED_VALUE"""),139.34)</f>
        <v>139.34</v>
      </c>
      <c r="O864" s="1">
        <f ca="1">IFERROR(__xludf.DUMMYFUNCTION("""COMPUTED_VALUE"""),228.22)</f>
        <v>228.22</v>
      </c>
      <c r="P864" s="1">
        <f ca="1">IFERROR(__xludf.DUMMYFUNCTION("""COMPUTED_VALUE"""),158.18)</f>
        <v>158.18</v>
      </c>
      <c r="Q864" s="1">
        <f ca="1">IFERROR(__xludf.DUMMYFUNCTION("""COMPUTED_VALUE"""),487.57)</f>
        <v>487.57</v>
      </c>
      <c r="R864" s="1">
        <f ca="1">IFERROR(__xludf.DUMMYFUNCTION("""COMPUTED_VALUE"""),106.15)</f>
        <v>106.15</v>
      </c>
      <c r="S864" s="1">
        <f ca="1">IFERROR(__xludf.DUMMYFUNCTION("""COMPUTED_VALUE"""),73.38)</f>
        <v>73.38</v>
      </c>
      <c r="T864" s="1">
        <f ca="1">IFERROR(__xludf.DUMMYFUNCTION("""COMPUTED_VALUE"""),49.93)</f>
        <v>49.93</v>
      </c>
      <c r="U864" s="1">
        <f ca="1">IFERROR(__xludf.DUMMYFUNCTION("""COMPUTED_VALUE"""),106.19)</f>
        <v>106.19</v>
      </c>
      <c r="V864" s="1">
        <f ca="1">IFERROR(__xludf.DUMMYFUNCTION("""COMPUTED_VALUE"""),226.68)</f>
        <v>226.68</v>
      </c>
      <c r="W864" s="1">
        <f ca="1">IFERROR(__xludf.DUMMYFUNCTION("""COMPUTED_VALUE"""),458.63)</f>
        <v>458.63</v>
      </c>
      <c r="X864" s="1">
        <f ca="1">IFERROR(__xludf.DUMMYFUNCTION("""COMPUTED_VALUE"""),716.63)</f>
        <v>716.63</v>
      </c>
      <c r="Y864" s="1">
        <f ca="1">IFERROR(__xludf.DUMMYFUNCTION("""COMPUTED_VALUE"""),99.82)</f>
        <v>99.82</v>
      </c>
      <c r="Z864" s="1">
        <f ca="1">IFERROR(__xludf.DUMMYFUNCTION("""COMPUTED_VALUE"""),326.8)</f>
        <v>326.8</v>
      </c>
      <c r="AA864" s="1">
        <f ca="1">IFERROR(__xludf.DUMMYFUNCTION("""COMPUTED_VALUE"""),38.37)</f>
        <v>38.369999999999997</v>
      </c>
      <c r="AB864" s="1">
        <f ca="1">IFERROR(__xludf.DUMMYFUNCTION("""COMPUTED_VALUE"""),98.22)</f>
        <v>98.22</v>
      </c>
      <c r="AC864" s="1">
        <f ca="1">IFERROR(__xludf.DUMMYFUNCTION("""COMPUTED_VALUE"""),124.23)</f>
        <v>124.23</v>
      </c>
    </row>
    <row r="865" spans="1:29" x14ac:dyDescent="0.25">
      <c r="A865" s="2">
        <f ca="1">IFERROR(__xludf.DUMMYFUNCTION("""COMPUTED_VALUE"""),45084.6666666666)</f>
        <v>45084.666666666599</v>
      </c>
      <c r="B865" s="1">
        <f ca="1">IFERROR(__xludf.DUMMYFUNCTION("""COMPUTED_VALUE"""),177.82)</f>
        <v>177.82</v>
      </c>
      <c r="C865" s="1">
        <f ca="1">IFERROR(__xludf.DUMMYFUNCTION("""COMPUTED_VALUE"""),323.38)</f>
        <v>323.38</v>
      </c>
      <c r="D865" s="1">
        <f ca="1">IFERROR(__xludf.DUMMYFUNCTION("""COMPUTED_VALUE"""),121.23)</f>
        <v>121.23</v>
      </c>
      <c r="E865" s="1">
        <f ca="1">IFERROR(__xludf.DUMMYFUNCTION("""COMPUTED_VALUE"""),37.48)</f>
        <v>37.479999999999997</v>
      </c>
      <c r="F865" s="1">
        <f ca="1">IFERROR(__xludf.DUMMYFUNCTION("""COMPUTED_VALUE"""),263.6)</f>
        <v>263.60000000000002</v>
      </c>
      <c r="G865" s="1">
        <f ca="1">IFERROR(__xludf.DUMMYFUNCTION("""COMPUTED_VALUE"""),122.94)</f>
        <v>122.94</v>
      </c>
      <c r="H865" s="1">
        <f ca="1">IFERROR(__xludf.DUMMYFUNCTION("""COMPUTED_VALUE"""),224.57)</f>
        <v>224.57</v>
      </c>
      <c r="I865" s="1">
        <f ca="1">IFERROR(__xludf.DUMMYFUNCTION("""COMPUTED_VALUE"""),180.11)</f>
        <v>180.11</v>
      </c>
      <c r="J865" s="1">
        <f ca="1">IFERROR(__xludf.DUMMYFUNCTION("""COMPUTED_VALUE"""),511.23)</f>
        <v>511.23</v>
      </c>
      <c r="K865" s="1">
        <f ca="1">IFERROR(__xludf.DUMMYFUNCTION("""COMPUTED_VALUE"""),79.26)</f>
        <v>79.260000000000005</v>
      </c>
      <c r="L865" s="1">
        <f ca="1">IFERROR(__xludf.DUMMYFUNCTION("""COMPUTED_VALUE"""),418.32)</f>
        <v>418.32</v>
      </c>
      <c r="M865" s="1">
        <f ca="1">IFERROR(__xludf.DUMMYFUNCTION("""COMPUTED_VALUE"""),399.77)</f>
        <v>399.77</v>
      </c>
      <c r="N865" s="1">
        <f ca="1">IFERROR(__xludf.DUMMYFUNCTION("""COMPUTED_VALUE"""),140.69)</f>
        <v>140.69</v>
      </c>
      <c r="O865" s="1">
        <f ca="1">IFERROR(__xludf.DUMMYFUNCTION("""COMPUTED_VALUE"""),225.27)</f>
        <v>225.27</v>
      </c>
      <c r="P865" s="1">
        <f ca="1">IFERROR(__xludf.DUMMYFUNCTION("""COMPUTED_VALUE"""),158.52)</f>
        <v>158.52000000000001</v>
      </c>
      <c r="Q865" s="1">
        <f ca="1">IFERROR(__xludf.DUMMYFUNCTION("""COMPUTED_VALUE"""),482.13)</f>
        <v>482.13</v>
      </c>
      <c r="R865" s="1">
        <f ca="1">IFERROR(__xludf.DUMMYFUNCTION("""COMPUTED_VALUE"""),108.53)</f>
        <v>108.53</v>
      </c>
      <c r="S865" s="1">
        <f ca="1">IFERROR(__xludf.DUMMYFUNCTION("""COMPUTED_VALUE"""),74.17)</f>
        <v>74.17</v>
      </c>
      <c r="T865" s="1">
        <f ca="1">IFERROR(__xludf.DUMMYFUNCTION("""COMPUTED_VALUE"""),50)</f>
        <v>50</v>
      </c>
      <c r="U865" s="1">
        <f ca="1">IFERROR(__xludf.DUMMYFUNCTION("""COMPUTED_VALUE"""),107.09)</f>
        <v>107.09</v>
      </c>
      <c r="V865" s="1">
        <f ca="1">IFERROR(__xludf.DUMMYFUNCTION("""COMPUTED_VALUE"""),235.55)</f>
        <v>235.55</v>
      </c>
      <c r="W865" s="1">
        <f ca="1">IFERROR(__xludf.DUMMYFUNCTION("""COMPUTED_VALUE"""),461.75)</f>
        <v>461.75</v>
      </c>
      <c r="X865" s="1">
        <f ca="1">IFERROR(__xludf.DUMMYFUNCTION("""COMPUTED_VALUE"""),710.21)</f>
        <v>710.21</v>
      </c>
      <c r="Y865" s="1">
        <f ca="1">IFERROR(__xludf.DUMMYFUNCTION("""COMPUTED_VALUE"""),100.29)</f>
        <v>100.29</v>
      </c>
      <c r="Z865" s="1">
        <f ca="1">IFERROR(__xludf.DUMMYFUNCTION("""COMPUTED_VALUE"""),335.75)</f>
        <v>335.75</v>
      </c>
      <c r="AA865" s="1">
        <f ca="1">IFERROR(__xludf.DUMMYFUNCTION("""COMPUTED_VALUE"""),38.89)</f>
        <v>38.89</v>
      </c>
      <c r="AB865" s="1">
        <f ca="1">IFERROR(__xludf.DUMMYFUNCTION("""COMPUTED_VALUE"""),97.92)</f>
        <v>97.92</v>
      </c>
      <c r="AC865" s="1">
        <f ca="1">IFERROR(__xludf.DUMMYFUNCTION("""COMPUTED_VALUE"""),117.83)</f>
        <v>117.83</v>
      </c>
    </row>
    <row r="866" spans="1:29" x14ac:dyDescent="0.25">
      <c r="A866" s="2">
        <f ca="1">IFERROR(__xludf.DUMMYFUNCTION("""COMPUTED_VALUE"""),45085.6666666666)</f>
        <v>45085.666666666599</v>
      </c>
      <c r="B866" s="1">
        <f ca="1">IFERROR(__xludf.DUMMYFUNCTION("""COMPUTED_VALUE"""),180.57)</f>
        <v>180.57</v>
      </c>
      <c r="C866" s="1">
        <f ca="1">IFERROR(__xludf.DUMMYFUNCTION("""COMPUTED_VALUE"""),325.26)</f>
        <v>325.26</v>
      </c>
      <c r="D866" s="1">
        <f ca="1">IFERROR(__xludf.DUMMYFUNCTION("""COMPUTED_VALUE"""),124.25)</f>
        <v>124.25</v>
      </c>
      <c r="E866" s="1">
        <f ca="1">IFERROR(__xludf.DUMMYFUNCTION("""COMPUTED_VALUE"""),38.51)</f>
        <v>38.51</v>
      </c>
      <c r="F866" s="1">
        <f ca="1">IFERROR(__xludf.DUMMYFUNCTION("""COMPUTED_VALUE"""),264.58)</f>
        <v>264.58</v>
      </c>
      <c r="G866" s="1">
        <f ca="1">IFERROR(__xludf.DUMMYFUNCTION("""COMPUTED_VALUE"""),122.67)</f>
        <v>122.67</v>
      </c>
      <c r="H866" s="1">
        <f ca="1">IFERROR(__xludf.DUMMYFUNCTION("""COMPUTED_VALUE"""),234.86)</f>
        <v>234.86</v>
      </c>
      <c r="I866" s="1">
        <f ca="1">IFERROR(__xludf.DUMMYFUNCTION("""COMPUTED_VALUE"""),182.1)</f>
        <v>182.1</v>
      </c>
      <c r="J866" s="1">
        <f ca="1">IFERROR(__xludf.DUMMYFUNCTION("""COMPUTED_VALUE"""),520.09)</f>
        <v>520.09</v>
      </c>
      <c r="K866" s="1">
        <f ca="1">IFERROR(__xludf.DUMMYFUNCTION("""COMPUTED_VALUE"""),80.42)</f>
        <v>80.42</v>
      </c>
      <c r="L866" s="1">
        <f ca="1">IFERROR(__xludf.DUMMYFUNCTION("""COMPUTED_VALUE"""),439.03)</f>
        <v>439.03</v>
      </c>
      <c r="M866" s="1">
        <f ca="1">IFERROR(__xludf.DUMMYFUNCTION("""COMPUTED_VALUE"""),409.37)</f>
        <v>409.37</v>
      </c>
      <c r="N866" s="1">
        <f ca="1">IFERROR(__xludf.DUMMYFUNCTION("""COMPUTED_VALUE"""),140.73)</f>
        <v>140.72999999999999</v>
      </c>
      <c r="O866" s="1">
        <f ca="1">IFERROR(__xludf.DUMMYFUNCTION("""COMPUTED_VALUE"""),223.05)</f>
        <v>223.05</v>
      </c>
      <c r="P866" s="1">
        <f ca="1">IFERROR(__xludf.DUMMYFUNCTION("""COMPUTED_VALUE"""),160.26)</f>
        <v>160.26</v>
      </c>
      <c r="Q866" s="1">
        <f ca="1">IFERROR(__xludf.DUMMYFUNCTION("""COMPUTED_VALUE"""),490.23)</f>
        <v>490.23</v>
      </c>
      <c r="R866" s="1">
        <f ca="1">IFERROR(__xludf.DUMMYFUNCTION("""COMPUTED_VALUE"""),108.19)</f>
        <v>108.19</v>
      </c>
      <c r="S866" s="1">
        <f ca="1">IFERROR(__xludf.DUMMYFUNCTION("""COMPUTED_VALUE"""),74.9)</f>
        <v>74.900000000000006</v>
      </c>
      <c r="T866" s="1">
        <f ca="1">IFERROR(__xludf.DUMMYFUNCTION("""COMPUTED_VALUE"""),50.72)</f>
        <v>50.72</v>
      </c>
      <c r="U866" s="1">
        <f ca="1">IFERROR(__xludf.DUMMYFUNCTION("""COMPUTED_VALUE"""),106.2)</f>
        <v>106.2</v>
      </c>
      <c r="V866" s="1">
        <f ca="1">IFERROR(__xludf.DUMMYFUNCTION("""COMPUTED_VALUE"""),234.45)</f>
        <v>234.45</v>
      </c>
      <c r="W866" s="1">
        <f ca="1">IFERROR(__xludf.DUMMYFUNCTION("""COMPUTED_VALUE"""),464.17)</f>
        <v>464.17</v>
      </c>
      <c r="X866" s="1">
        <f ca="1">IFERROR(__xludf.DUMMYFUNCTION("""COMPUTED_VALUE"""),720.05)</f>
        <v>720.05</v>
      </c>
      <c r="Y866" s="1">
        <f ca="1">IFERROR(__xludf.DUMMYFUNCTION("""COMPUTED_VALUE"""),99.94)</f>
        <v>99.94</v>
      </c>
      <c r="Z866" s="1">
        <f ca="1">IFERROR(__xludf.DUMMYFUNCTION("""COMPUTED_VALUE"""),335.47)</f>
        <v>335.47</v>
      </c>
      <c r="AA866" s="1">
        <f ca="1">IFERROR(__xludf.DUMMYFUNCTION("""COMPUTED_VALUE"""),39.09)</f>
        <v>39.090000000000003</v>
      </c>
      <c r="AB866" s="1">
        <f ca="1">IFERROR(__xludf.DUMMYFUNCTION("""COMPUTED_VALUE"""),99.15)</f>
        <v>99.15</v>
      </c>
      <c r="AC866" s="1">
        <f ca="1">IFERROR(__xludf.DUMMYFUNCTION("""COMPUTED_VALUE"""),121.05)</f>
        <v>121.05</v>
      </c>
    </row>
    <row r="867" spans="1:29" x14ac:dyDescent="0.25">
      <c r="A867" s="2">
        <f ca="1">IFERROR(__xludf.DUMMYFUNCTION("""COMPUTED_VALUE"""),45086.6666666666)</f>
        <v>45086.666666666599</v>
      </c>
      <c r="B867" s="1">
        <f ca="1">IFERROR(__xludf.DUMMYFUNCTION("""COMPUTED_VALUE"""),180.96)</f>
        <v>180.96</v>
      </c>
      <c r="C867" s="1">
        <f ca="1">IFERROR(__xludf.DUMMYFUNCTION("""COMPUTED_VALUE"""),326.79)</f>
        <v>326.79000000000002</v>
      </c>
      <c r="D867" s="1">
        <f ca="1">IFERROR(__xludf.DUMMYFUNCTION("""COMPUTED_VALUE"""),123.43)</f>
        <v>123.43</v>
      </c>
      <c r="E867" s="1">
        <f ca="1">IFERROR(__xludf.DUMMYFUNCTION("""COMPUTED_VALUE"""),38.77)</f>
        <v>38.770000000000003</v>
      </c>
      <c r="F867" s="1">
        <f ca="1">IFERROR(__xludf.DUMMYFUNCTION("""COMPUTED_VALUE"""),264.95)</f>
        <v>264.95</v>
      </c>
      <c r="G867" s="1">
        <f ca="1">IFERROR(__xludf.DUMMYFUNCTION("""COMPUTED_VALUE"""),122.87)</f>
        <v>122.87</v>
      </c>
      <c r="H867" s="1">
        <f ca="1">IFERROR(__xludf.DUMMYFUNCTION("""COMPUTED_VALUE"""),244.4)</f>
        <v>244.4</v>
      </c>
      <c r="I867" s="1">
        <f ca="1">IFERROR(__xludf.DUMMYFUNCTION("""COMPUTED_VALUE"""),182.35)</f>
        <v>182.35</v>
      </c>
      <c r="J867" s="1">
        <f ca="1">IFERROR(__xludf.DUMMYFUNCTION("""COMPUTED_VALUE"""),517.28)</f>
        <v>517.28</v>
      </c>
      <c r="K867" s="1">
        <f ca="1">IFERROR(__xludf.DUMMYFUNCTION("""COMPUTED_VALUE"""),80.46)</f>
        <v>80.459999999999994</v>
      </c>
      <c r="L867" s="1">
        <f ca="1">IFERROR(__xludf.DUMMYFUNCTION("""COMPUTED_VALUE"""),454)</f>
        <v>454</v>
      </c>
      <c r="M867" s="1">
        <f ca="1">IFERROR(__xludf.DUMMYFUNCTION("""COMPUTED_VALUE"""),420.02)</f>
        <v>420.02</v>
      </c>
      <c r="N867" s="1">
        <f ca="1">IFERROR(__xludf.DUMMYFUNCTION("""COMPUTED_VALUE"""),141.01)</f>
        <v>141.01</v>
      </c>
      <c r="O867" s="1">
        <f ca="1">IFERROR(__xludf.DUMMYFUNCTION("""COMPUTED_VALUE"""),223.56)</f>
        <v>223.56</v>
      </c>
      <c r="P867" s="1">
        <f ca="1">IFERROR(__xludf.DUMMYFUNCTION("""COMPUTED_VALUE"""),160.01)</f>
        <v>160.01</v>
      </c>
      <c r="Q867" s="1">
        <f ca="1">IFERROR(__xludf.DUMMYFUNCTION("""COMPUTED_VALUE"""),493.62)</f>
        <v>493.62</v>
      </c>
      <c r="R867" s="1">
        <f ca="1">IFERROR(__xludf.DUMMYFUNCTION("""COMPUTED_VALUE"""),107.39)</f>
        <v>107.39</v>
      </c>
      <c r="S867" s="1">
        <f ca="1">IFERROR(__xludf.DUMMYFUNCTION("""COMPUTED_VALUE"""),74.07)</f>
        <v>74.069999999999993</v>
      </c>
      <c r="T867" s="1">
        <f ca="1">IFERROR(__xludf.DUMMYFUNCTION("""COMPUTED_VALUE"""),51.03)</f>
        <v>51.03</v>
      </c>
      <c r="U867" s="1">
        <f ca="1">IFERROR(__xludf.DUMMYFUNCTION("""COMPUTED_VALUE"""),105.86)</f>
        <v>105.86</v>
      </c>
      <c r="V867" s="1">
        <f ca="1">IFERROR(__xludf.DUMMYFUNCTION("""COMPUTED_VALUE"""),235.03)</f>
        <v>235.03</v>
      </c>
      <c r="W867" s="1">
        <f ca="1">IFERROR(__xludf.DUMMYFUNCTION("""COMPUTED_VALUE"""),462.69)</f>
        <v>462.69</v>
      </c>
      <c r="X867" s="1">
        <f ca="1">IFERROR(__xludf.DUMMYFUNCTION("""COMPUTED_VALUE"""),715.86)</f>
        <v>715.86</v>
      </c>
      <c r="Y867" s="1">
        <f ca="1">IFERROR(__xludf.DUMMYFUNCTION("""COMPUTED_VALUE"""),102.8)</f>
        <v>102.8</v>
      </c>
      <c r="Z867" s="1">
        <f ca="1">IFERROR(__xludf.DUMMYFUNCTION("""COMPUTED_VALUE"""),336.02)</f>
        <v>336.02</v>
      </c>
      <c r="AA867" s="1">
        <f ca="1">IFERROR(__xludf.DUMMYFUNCTION("""COMPUTED_VALUE"""),38.97)</f>
        <v>38.97</v>
      </c>
      <c r="AB867" s="1">
        <f ca="1">IFERROR(__xludf.DUMMYFUNCTION("""COMPUTED_VALUE"""),97.96)</f>
        <v>97.96</v>
      </c>
      <c r="AC867" s="1">
        <f ca="1">IFERROR(__xludf.DUMMYFUNCTION("""COMPUTED_VALUE"""),124.92)</f>
        <v>124.92</v>
      </c>
    </row>
    <row r="868" spans="1:29" x14ac:dyDescent="0.25">
      <c r="A868" s="2">
        <f ca="1">IFERROR(__xludf.DUMMYFUNCTION("""COMPUTED_VALUE"""),45089.6666666666)</f>
        <v>45089.666666666599</v>
      </c>
      <c r="B868" s="1">
        <f ca="1">IFERROR(__xludf.DUMMYFUNCTION("""COMPUTED_VALUE"""),183.79)</f>
        <v>183.79</v>
      </c>
      <c r="C868" s="1">
        <f ca="1">IFERROR(__xludf.DUMMYFUNCTION("""COMPUTED_VALUE"""),331.85)</f>
        <v>331.85</v>
      </c>
      <c r="D868" s="1">
        <f ca="1">IFERROR(__xludf.DUMMYFUNCTION("""COMPUTED_VALUE"""),126.57)</f>
        <v>126.57</v>
      </c>
      <c r="E868" s="1">
        <f ca="1">IFERROR(__xludf.DUMMYFUNCTION("""COMPUTED_VALUE"""),39.48)</f>
        <v>39.479999999999997</v>
      </c>
      <c r="F868" s="1">
        <f ca="1">IFERROR(__xludf.DUMMYFUNCTION("""COMPUTED_VALUE"""),271.05)</f>
        <v>271.05</v>
      </c>
      <c r="G868" s="1">
        <f ca="1">IFERROR(__xludf.DUMMYFUNCTION("""COMPUTED_VALUE"""),124.35)</f>
        <v>124.35</v>
      </c>
      <c r="H868" s="1">
        <f ca="1">IFERROR(__xludf.DUMMYFUNCTION("""COMPUTED_VALUE"""),249.83)</f>
        <v>249.83</v>
      </c>
      <c r="I868" s="1">
        <f ca="1">IFERROR(__xludf.DUMMYFUNCTION("""COMPUTED_VALUE"""),181.9)</f>
        <v>181.9</v>
      </c>
      <c r="J868" s="1">
        <f ca="1">IFERROR(__xludf.DUMMYFUNCTION("""COMPUTED_VALUE"""),520.97)</f>
        <v>520.97</v>
      </c>
      <c r="K868" s="1">
        <f ca="1">IFERROR(__xludf.DUMMYFUNCTION("""COMPUTED_VALUE"""),85.54)</f>
        <v>85.54</v>
      </c>
      <c r="L868" s="1">
        <f ca="1">IFERROR(__xludf.DUMMYFUNCTION("""COMPUTED_VALUE"""),474.63)</f>
        <v>474.63</v>
      </c>
      <c r="M868" s="1">
        <f ca="1">IFERROR(__xludf.DUMMYFUNCTION("""COMPUTED_VALUE"""),423.97)</f>
        <v>423.97</v>
      </c>
      <c r="N868" s="1">
        <f ca="1">IFERROR(__xludf.DUMMYFUNCTION("""COMPUTED_VALUE"""),141)</f>
        <v>141</v>
      </c>
      <c r="O868" s="1">
        <f ca="1">IFERROR(__xludf.DUMMYFUNCTION("""COMPUTED_VALUE"""),226.17)</f>
        <v>226.17</v>
      </c>
      <c r="P868" s="1">
        <f ca="1">IFERROR(__xludf.DUMMYFUNCTION("""COMPUTED_VALUE"""),159.9)</f>
        <v>159.9</v>
      </c>
      <c r="Q868" s="1">
        <f ca="1">IFERROR(__xludf.DUMMYFUNCTION("""COMPUTED_VALUE"""),492.59)</f>
        <v>492.59</v>
      </c>
      <c r="R868" s="1">
        <f ca="1">IFERROR(__xludf.DUMMYFUNCTION("""COMPUTED_VALUE"""),106.42)</f>
        <v>106.42</v>
      </c>
      <c r="S868" s="1">
        <f ca="1">IFERROR(__xludf.DUMMYFUNCTION("""COMPUTED_VALUE"""),73.98)</f>
        <v>73.98</v>
      </c>
      <c r="T868" s="1">
        <f ca="1">IFERROR(__xludf.DUMMYFUNCTION("""COMPUTED_VALUE"""),51.37)</f>
        <v>51.37</v>
      </c>
      <c r="U868" s="1">
        <f ca="1">IFERROR(__xludf.DUMMYFUNCTION("""COMPUTED_VALUE"""),106.83)</f>
        <v>106.83</v>
      </c>
      <c r="V868" s="1">
        <f ca="1">IFERROR(__xludf.DUMMYFUNCTION("""COMPUTED_VALUE"""),237.9)</f>
        <v>237.9</v>
      </c>
      <c r="W868" s="1">
        <f ca="1">IFERROR(__xludf.DUMMYFUNCTION("""COMPUTED_VALUE"""),459.87)</f>
        <v>459.87</v>
      </c>
      <c r="X868" s="1">
        <f ca="1">IFERROR(__xludf.DUMMYFUNCTION("""COMPUTED_VALUE"""),730.17)</f>
        <v>730.17</v>
      </c>
      <c r="Y868" s="1">
        <f ca="1">IFERROR(__xludf.DUMMYFUNCTION("""COMPUTED_VALUE"""),107.06)</f>
        <v>107.06</v>
      </c>
      <c r="Z868" s="1">
        <f ca="1">IFERROR(__xludf.DUMMYFUNCTION("""COMPUTED_VALUE"""),339.49)</f>
        <v>339.49</v>
      </c>
      <c r="AA868" s="1">
        <f ca="1">IFERROR(__xludf.DUMMYFUNCTION("""COMPUTED_VALUE"""),39.9)</f>
        <v>39.9</v>
      </c>
      <c r="AB868" s="1">
        <f ca="1">IFERROR(__xludf.DUMMYFUNCTION("""COMPUTED_VALUE"""),98.46)</f>
        <v>98.46</v>
      </c>
      <c r="AC868" s="1">
        <f ca="1">IFERROR(__xludf.DUMMYFUNCTION("""COMPUTED_VALUE"""),129.19)</f>
        <v>129.19</v>
      </c>
    </row>
    <row r="869" spans="1:29" x14ac:dyDescent="0.25">
      <c r="A869" s="2">
        <f ca="1">IFERROR(__xludf.DUMMYFUNCTION("""COMPUTED_VALUE"""),45090.6666666666)</f>
        <v>45090.666666666599</v>
      </c>
      <c r="B869" s="1">
        <f ca="1">IFERROR(__xludf.DUMMYFUNCTION("""COMPUTED_VALUE"""),183.31)</f>
        <v>183.31</v>
      </c>
      <c r="C869" s="1">
        <f ca="1">IFERROR(__xludf.DUMMYFUNCTION("""COMPUTED_VALUE"""),334.29)</f>
        <v>334.29</v>
      </c>
      <c r="D869" s="1">
        <f ca="1">IFERROR(__xludf.DUMMYFUNCTION("""COMPUTED_VALUE"""),126.66)</f>
        <v>126.66</v>
      </c>
      <c r="E869" s="1">
        <f ca="1">IFERROR(__xludf.DUMMYFUNCTION("""COMPUTED_VALUE"""),41.02)</f>
        <v>41.02</v>
      </c>
      <c r="F869" s="1">
        <f ca="1">IFERROR(__xludf.DUMMYFUNCTION("""COMPUTED_VALUE"""),271.32)</f>
        <v>271.32</v>
      </c>
      <c r="G869" s="1">
        <f ca="1">IFERROR(__xludf.DUMMYFUNCTION("""COMPUTED_VALUE"""),124.43)</f>
        <v>124.43</v>
      </c>
      <c r="H869" s="1">
        <f ca="1">IFERROR(__xludf.DUMMYFUNCTION("""COMPUTED_VALUE"""),258.71)</f>
        <v>258.70999999999998</v>
      </c>
      <c r="I869" s="1">
        <f ca="1">IFERROR(__xludf.DUMMYFUNCTION("""COMPUTED_VALUE"""),181.54)</f>
        <v>181.54</v>
      </c>
      <c r="J869" s="1">
        <f ca="1">IFERROR(__xludf.DUMMYFUNCTION("""COMPUTED_VALUE"""),522.02)</f>
        <v>522.02</v>
      </c>
      <c r="K869" s="1">
        <f ca="1">IFERROR(__xludf.DUMMYFUNCTION("""COMPUTED_VALUE"""),85.11)</f>
        <v>85.11</v>
      </c>
      <c r="L869" s="1">
        <f ca="1">IFERROR(__xludf.DUMMYFUNCTION("""COMPUTED_VALUE"""),478.99)</f>
        <v>478.99</v>
      </c>
      <c r="M869" s="1">
        <f ca="1">IFERROR(__xludf.DUMMYFUNCTION("""COMPUTED_VALUE"""),435.73)</f>
        <v>435.73</v>
      </c>
      <c r="N869" s="1">
        <f ca="1">IFERROR(__xludf.DUMMYFUNCTION("""COMPUTED_VALUE"""),142.02)</f>
        <v>142.02000000000001</v>
      </c>
      <c r="O869" s="1">
        <f ca="1">IFERROR(__xludf.DUMMYFUNCTION("""COMPUTED_VALUE"""),223.4)</f>
        <v>223.4</v>
      </c>
      <c r="P869" s="1">
        <f ca="1">IFERROR(__xludf.DUMMYFUNCTION("""COMPUTED_VALUE"""),160.74)</f>
        <v>160.74</v>
      </c>
      <c r="Q869" s="1">
        <f ca="1">IFERROR(__xludf.DUMMYFUNCTION("""COMPUTED_VALUE"""),491.31)</f>
        <v>491.31</v>
      </c>
      <c r="R869" s="1">
        <f ca="1">IFERROR(__xludf.DUMMYFUNCTION("""COMPUTED_VALUE"""),106.44)</f>
        <v>106.44</v>
      </c>
      <c r="S869" s="1">
        <f ca="1">IFERROR(__xludf.DUMMYFUNCTION("""COMPUTED_VALUE"""),74.35)</f>
        <v>74.349999999999994</v>
      </c>
      <c r="T869" s="1">
        <f ca="1">IFERROR(__xludf.DUMMYFUNCTION("""COMPUTED_VALUE"""),51.77)</f>
        <v>51.77</v>
      </c>
      <c r="U869" s="1">
        <f ca="1">IFERROR(__xludf.DUMMYFUNCTION("""COMPUTED_VALUE"""),106.78)</f>
        <v>106.78</v>
      </c>
      <c r="V869" s="1">
        <f ca="1">IFERROR(__xludf.DUMMYFUNCTION("""COMPUTED_VALUE"""),245.44)</f>
        <v>245.44</v>
      </c>
      <c r="W869" s="1">
        <f ca="1">IFERROR(__xludf.DUMMYFUNCTION("""COMPUTED_VALUE"""),452.37)</f>
        <v>452.37</v>
      </c>
      <c r="X869" s="1">
        <f ca="1">IFERROR(__xludf.DUMMYFUNCTION("""COMPUTED_VALUE"""),737.27)</f>
        <v>737.27</v>
      </c>
      <c r="Y869" s="1">
        <f ca="1">IFERROR(__xludf.DUMMYFUNCTION("""COMPUTED_VALUE"""),106.8)</f>
        <v>106.8</v>
      </c>
      <c r="Z869" s="1">
        <f ca="1">IFERROR(__xludf.DUMMYFUNCTION("""COMPUTED_VALUE"""),342.5)</f>
        <v>342.5</v>
      </c>
      <c r="AA869" s="1">
        <f ca="1">IFERROR(__xludf.DUMMYFUNCTION("""COMPUTED_VALUE"""),40.28)</f>
        <v>40.28</v>
      </c>
      <c r="AB869" s="1">
        <f ca="1">IFERROR(__xludf.DUMMYFUNCTION("""COMPUTED_VALUE"""),99.26)</f>
        <v>99.26</v>
      </c>
      <c r="AC869" s="1">
        <f ca="1">IFERROR(__xludf.DUMMYFUNCTION("""COMPUTED_VALUE"""),124.53)</f>
        <v>124.53</v>
      </c>
    </row>
    <row r="870" spans="1:29" x14ac:dyDescent="0.25">
      <c r="A870" s="2">
        <f ca="1">IFERROR(__xludf.DUMMYFUNCTION("""COMPUTED_VALUE"""),45091.6666666666)</f>
        <v>45091.666666666599</v>
      </c>
      <c r="B870" s="1">
        <f ca="1">IFERROR(__xludf.DUMMYFUNCTION("""COMPUTED_VALUE"""),183.95)</f>
        <v>183.95</v>
      </c>
      <c r="C870" s="1">
        <f ca="1">IFERROR(__xludf.DUMMYFUNCTION("""COMPUTED_VALUE"""),337.34)</f>
        <v>337.34</v>
      </c>
      <c r="D870" s="1">
        <f ca="1">IFERROR(__xludf.DUMMYFUNCTION("""COMPUTED_VALUE"""),126.42)</f>
        <v>126.42</v>
      </c>
      <c r="E870" s="1">
        <f ca="1">IFERROR(__xludf.DUMMYFUNCTION("""COMPUTED_VALUE"""),43)</f>
        <v>43</v>
      </c>
      <c r="F870" s="1">
        <f ca="1">IFERROR(__xludf.DUMMYFUNCTION("""COMPUTED_VALUE"""),273.35)</f>
        <v>273.35000000000002</v>
      </c>
      <c r="G870" s="1">
        <f ca="1">IFERROR(__xludf.DUMMYFUNCTION("""COMPUTED_VALUE"""),124.38)</f>
        <v>124.38</v>
      </c>
      <c r="H870" s="1">
        <f ca="1">IFERROR(__xludf.DUMMYFUNCTION("""COMPUTED_VALUE"""),256.79)</f>
        <v>256.79000000000002</v>
      </c>
      <c r="I870" s="1">
        <f ca="1">IFERROR(__xludf.DUMMYFUNCTION("""COMPUTED_VALUE"""),183.17)</f>
        <v>183.17</v>
      </c>
      <c r="J870" s="1">
        <f ca="1">IFERROR(__xludf.DUMMYFUNCTION("""COMPUTED_VALUE"""),527.2)</f>
        <v>527.20000000000005</v>
      </c>
      <c r="K870" s="1">
        <f ca="1">IFERROR(__xludf.DUMMYFUNCTION("""COMPUTED_VALUE"""),88.62)</f>
        <v>88.62</v>
      </c>
      <c r="L870" s="1">
        <f ca="1">IFERROR(__xludf.DUMMYFUNCTION("""COMPUTED_VALUE"""),479.53)</f>
        <v>479.53</v>
      </c>
      <c r="M870" s="1">
        <f ca="1">IFERROR(__xludf.DUMMYFUNCTION("""COMPUTED_VALUE"""),440.86)</f>
        <v>440.86</v>
      </c>
      <c r="N870" s="1">
        <f ca="1">IFERROR(__xludf.DUMMYFUNCTION("""COMPUTED_VALUE"""),141.49)</f>
        <v>141.49</v>
      </c>
      <c r="O870" s="1">
        <f ca="1">IFERROR(__xludf.DUMMYFUNCTION("""COMPUTED_VALUE"""),223.44)</f>
        <v>223.44</v>
      </c>
      <c r="P870" s="1">
        <f ca="1">IFERROR(__xludf.DUMMYFUNCTION("""COMPUTED_VALUE"""),161.56)</f>
        <v>161.56</v>
      </c>
      <c r="Q870" s="1">
        <f ca="1">IFERROR(__xludf.DUMMYFUNCTION("""COMPUTED_VALUE"""),459.86)</f>
        <v>459.86</v>
      </c>
      <c r="R870" s="1">
        <f ca="1">IFERROR(__xludf.DUMMYFUNCTION("""COMPUTED_VALUE"""),105.16)</f>
        <v>105.16</v>
      </c>
      <c r="S870" s="1">
        <f ca="1">IFERROR(__xludf.DUMMYFUNCTION("""COMPUTED_VALUE"""),73.4)</f>
        <v>73.400000000000006</v>
      </c>
      <c r="T870" s="1">
        <f ca="1">IFERROR(__xludf.DUMMYFUNCTION("""COMPUTED_VALUE"""),52.29)</f>
        <v>52.29</v>
      </c>
      <c r="U870" s="1">
        <f ca="1">IFERROR(__xludf.DUMMYFUNCTION("""COMPUTED_VALUE"""),112.86)</f>
        <v>112.86</v>
      </c>
      <c r="V870" s="1">
        <f ca="1">IFERROR(__xludf.DUMMYFUNCTION("""COMPUTED_VALUE"""),243.32)</f>
        <v>243.32</v>
      </c>
      <c r="W870" s="1">
        <f ca="1">IFERROR(__xludf.DUMMYFUNCTION("""COMPUTED_VALUE"""),452.55)</f>
        <v>452.55</v>
      </c>
      <c r="X870" s="1">
        <f ca="1">IFERROR(__xludf.DUMMYFUNCTION("""COMPUTED_VALUE"""),740.21)</f>
        <v>740.21</v>
      </c>
      <c r="Y870" s="1">
        <f ca="1">IFERROR(__xludf.DUMMYFUNCTION("""COMPUTED_VALUE"""),107.41)</f>
        <v>107.41</v>
      </c>
      <c r="Z870" s="1">
        <f ca="1">IFERROR(__xludf.DUMMYFUNCTION("""COMPUTED_VALUE"""),338.42)</f>
        <v>338.42</v>
      </c>
      <c r="AA870" s="1">
        <f ca="1">IFERROR(__xludf.DUMMYFUNCTION("""COMPUTED_VALUE"""),39.36)</f>
        <v>39.36</v>
      </c>
      <c r="AB870" s="1">
        <f ca="1">IFERROR(__xludf.DUMMYFUNCTION("""COMPUTED_VALUE"""),100.66)</f>
        <v>100.66</v>
      </c>
      <c r="AC870" s="1">
        <f ca="1">IFERROR(__xludf.DUMMYFUNCTION("""COMPUTED_VALUE"""),127.33)</f>
        <v>127.33</v>
      </c>
    </row>
    <row r="871" spans="1:29" x14ac:dyDescent="0.25">
      <c r="A871" s="2">
        <f ca="1">IFERROR(__xludf.DUMMYFUNCTION("""COMPUTED_VALUE"""),45092.6666666666)</f>
        <v>45092.666666666599</v>
      </c>
      <c r="B871" s="1">
        <f ca="1">IFERROR(__xludf.DUMMYFUNCTION("""COMPUTED_VALUE"""),186.01)</f>
        <v>186.01</v>
      </c>
      <c r="C871" s="1">
        <f ca="1">IFERROR(__xludf.DUMMYFUNCTION("""COMPUTED_VALUE"""),348.1)</f>
        <v>348.1</v>
      </c>
      <c r="D871" s="1">
        <f ca="1">IFERROR(__xludf.DUMMYFUNCTION("""COMPUTED_VALUE"""),127.11)</f>
        <v>127.11</v>
      </c>
      <c r="E871" s="1">
        <f ca="1">IFERROR(__xludf.DUMMYFUNCTION("""COMPUTED_VALUE"""),42.65)</f>
        <v>42.65</v>
      </c>
      <c r="F871" s="1">
        <f ca="1">IFERROR(__xludf.DUMMYFUNCTION("""COMPUTED_VALUE"""),281.83)</f>
        <v>281.83</v>
      </c>
      <c r="G871" s="1">
        <f ca="1">IFERROR(__xludf.DUMMYFUNCTION("""COMPUTED_VALUE"""),125.79)</f>
        <v>125.79</v>
      </c>
      <c r="H871" s="1">
        <f ca="1">IFERROR(__xludf.DUMMYFUNCTION("""COMPUTED_VALUE"""),255.9)</f>
        <v>255.9</v>
      </c>
      <c r="I871" s="1">
        <f ca="1">IFERROR(__xludf.DUMMYFUNCTION("""COMPUTED_VALUE"""),185.71)</f>
        <v>185.71</v>
      </c>
      <c r="J871" s="1">
        <f ca="1">IFERROR(__xludf.DUMMYFUNCTION("""COMPUTED_VALUE"""),529.18)</f>
        <v>529.17999999999995</v>
      </c>
      <c r="K871" s="1">
        <f ca="1">IFERROR(__xludf.DUMMYFUNCTION("""COMPUTED_VALUE"""),88.34)</f>
        <v>88.34</v>
      </c>
      <c r="L871" s="1">
        <f ca="1">IFERROR(__xludf.DUMMYFUNCTION("""COMPUTED_VALUE"""),490.91)</f>
        <v>490.91</v>
      </c>
      <c r="M871" s="1">
        <f ca="1">IFERROR(__xludf.DUMMYFUNCTION("""COMPUTED_VALUE"""),445.27)</f>
        <v>445.27</v>
      </c>
      <c r="N871" s="1">
        <f ca="1">IFERROR(__xludf.DUMMYFUNCTION("""COMPUTED_VALUE"""),143.09)</f>
        <v>143.09</v>
      </c>
      <c r="O871" s="1">
        <f ca="1">IFERROR(__xludf.DUMMYFUNCTION("""COMPUTED_VALUE"""),226.17)</f>
        <v>226.17</v>
      </c>
      <c r="P871" s="1">
        <f ca="1">IFERROR(__xludf.DUMMYFUNCTION("""COMPUTED_VALUE"""),163.73)</f>
        <v>163.72999999999999</v>
      </c>
      <c r="Q871" s="1">
        <f ca="1">IFERROR(__xludf.DUMMYFUNCTION("""COMPUTED_VALUE"""),465.89)</f>
        <v>465.89</v>
      </c>
      <c r="R871" s="1">
        <f ca="1">IFERROR(__xludf.DUMMYFUNCTION("""COMPUTED_VALUE"""),105.89)</f>
        <v>105.89</v>
      </c>
      <c r="S871" s="1">
        <f ca="1">IFERROR(__xludf.DUMMYFUNCTION("""COMPUTED_VALUE"""),74.36)</f>
        <v>74.36</v>
      </c>
      <c r="T871" s="1">
        <f ca="1">IFERROR(__xludf.DUMMYFUNCTION("""COMPUTED_VALUE"""),52.58)</f>
        <v>52.58</v>
      </c>
      <c r="U871" s="1">
        <f ca="1">IFERROR(__xludf.DUMMYFUNCTION("""COMPUTED_VALUE"""),112.41)</f>
        <v>112.41</v>
      </c>
      <c r="V871" s="1">
        <f ca="1">IFERROR(__xludf.DUMMYFUNCTION("""COMPUTED_VALUE"""),247.67)</f>
        <v>247.67</v>
      </c>
      <c r="W871" s="1">
        <f ca="1">IFERROR(__xludf.DUMMYFUNCTION("""COMPUTED_VALUE"""),455.95)</f>
        <v>455.95</v>
      </c>
      <c r="X871" s="1">
        <f ca="1">IFERROR(__xludf.DUMMYFUNCTION("""COMPUTED_VALUE"""),738.69)</f>
        <v>738.69</v>
      </c>
      <c r="Y871" s="1">
        <f ca="1">IFERROR(__xludf.DUMMYFUNCTION("""COMPUTED_VALUE"""),105.18)</f>
        <v>105.18</v>
      </c>
      <c r="Z871" s="1">
        <f ca="1">IFERROR(__xludf.DUMMYFUNCTION("""COMPUTED_VALUE"""),339.74)</f>
        <v>339.74</v>
      </c>
      <c r="AA871" s="1">
        <f ca="1">IFERROR(__xludf.DUMMYFUNCTION("""COMPUTED_VALUE"""),39.75)</f>
        <v>39.75</v>
      </c>
      <c r="AB871" s="1">
        <f ca="1">IFERROR(__xludf.DUMMYFUNCTION("""COMPUTED_VALUE"""),101.38)</f>
        <v>101.38</v>
      </c>
      <c r="AC871" s="1">
        <f ca="1">IFERROR(__xludf.DUMMYFUNCTION("""COMPUTED_VALUE"""),124.24)</f>
        <v>124.24</v>
      </c>
    </row>
    <row r="872" spans="1:29" x14ac:dyDescent="0.25">
      <c r="A872" s="2">
        <f ca="1">IFERROR(__xludf.DUMMYFUNCTION("""COMPUTED_VALUE"""),45093.6666666666)</f>
        <v>45093.666666666599</v>
      </c>
      <c r="B872" s="1">
        <f ca="1">IFERROR(__xludf.DUMMYFUNCTION("""COMPUTED_VALUE"""),184.92)</f>
        <v>184.92</v>
      </c>
      <c r="C872" s="1">
        <f ca="1">IFERROR(__xludf.DUMMYFUNCTION("""COMPUTED_VALUE"""),342.33)</f>
        <v>342.33</v>
      </c>
      <c r="D872" s="1">
        <f ca="1">IFERROR(__xludf.DUMMYFUNCTION("""COMPUTED_VALUE"""),125.49)</f>
        <v>125.49</v>
      </c>
      <c r="E872" s="1">
        <f ca="1">IFERROR(__xludf.DUMMYFUNCTION("""COMPUTED_VALUE"""),42.69)</f>
        <v>42.69</v>
      </c>
      <c r="F872" s="1">
        <f ca="1">IFERROR(__xludf.DUMMYFUNCTION("""COMPUTED_VALUE"""),281)</f>
        <v>281</v>
      </c>
      <c r="G872" s="1">
        <f ca="1">IFERROR(__xludf.DUMMYFUNCTION("""COMPUTED_VALUE"""),124.06)</f>
        <v>124.06</v>
      </c>
      <c r="H872" s="1">
        <f ca="1">IFERROR(__xludf.DUMMYFUNCTION("""COMPUTED_VALUE"""),260.54)</f>
        <v>260.54000000000002</v>
      </c>
      <c r="I872" s="1">
        <f ca="1">IFERROR(__xludf.DUMMYFUNCTION("""COMPUTED_VALUE"""),186.04)</f>
        <v>186.04</v>
      </c>
      <c r="J872" s="1">
        <f ca="1">IFERROR(__xludf.DUMMYFUNCTION("""COMPUTED_VALUE"""),523.65)</f>
        <v>523.65</v>
      </c>
      <c r="K872" s="1">
        <f ca="1">IFERROR(__xludf.DUMMYFUNCTION("""COMPUTED_VALUE"""),86.81)</f>
        <v>86.81</v>
      </c>
      <c r="L872" s="1">
        <f ca="1">IFERROR(__xludf.DUMMYFUNCTION("""COMPUTED_VALUE"""),495.18)</f>
        <v>495.18</v>
      </c>
      <c r="M872" s="1">
        <f ca="1">IFERROR(__xludf.DUMMYFUNCTION("""COMPUTED_VALUE"""),431.96)</f>
        <v>431.96</v>
      </c>
      <c r="N872" s="1">
        <f ca="1">IFERROR(__xludf.DUMMYFUNCTION("""COMPUTED_VALUE"""),143.26)</f>
        <v>143.26</v>
      </c>
      <c r="O872" s="1">
        <f ca="1">IFERROR(__xludf.DUMMYFUNCTION("""COMPUTED_VALUE"""),228.91)</f>
        <v>228.91</v>
      </c>
      <c r="P872" s="1">
        <f ca="1">IFERROR(__xludf.DUMMYFUNCTION("""COMPUTED_VALUE"""),164.23)</f>
        <v>164.23</v>
      </c>
      <c r="Q872" s="1">
        <f ca="1">IFERROR(__xludf.DUMMYFUNCTION("""COMPUTED_VALUE"""),458.49)</f>
        <v>458.49</v>
      </c>
      <c r="R872" s="1">
        <f ca="1">IFERROR(__xludf.DUMMYFUNCTION("""COMPUTED_VALUE"""),105.13)</f>
        <v>105.13</v>
      </c>
      <c r="S872" s="1">
        <f ca="1">IFERROR(__xludf.DUMMYFUNCTION("""COMPUTED_VALUE"""),75.59)</f>
        <v>75.59</v>
      </c>
      <c r="T872" s="1">
        <f ca="1">IFERROR(__xludf.DUMMYFUNCTION("""COMPUTED_VALUE"""),51.84)</f>
        <v>51.84</v>
      </c>
      <c r="U872" s="1">
        <f ca="1">IFERROR(__xludf.DUMMYFUNCTION("""COMPUTED_VALUE"""),113.59)</f>
        <v>113.59</v>
      </c>
      <c r="V872" s="1">
        <f ca="1">IFERROR(__xludf.DUMMYFUNCTION("""COMPUTED_VALUE"""),245.27)</f>
        <v>245.27</v>
      </c>
      <c r="W872" s="1">
        <f ca="1">IFERROR(__xludf.DUMMYFUNCTION("""COMPUTED_VALUE"""),459.17)</f>
        <v>459.17</v>
      </c>
      <c r="X872" s="1">
        <f ca="1">IFERROR(__xludf.DUMMYFUNCTION("""COMPUTED_VALUE"""),721.88)</f>
        <v>721.88</v>
      </c>
      <c r="Y872" s="1">
        <f ca="1">IFERROR(__xludf.DUMMYFUNCTION("""COMPUTED_VALUE"""),104.57)</f>
        <v>104.57</v>
      </c>
      <c r="Z872" s="1">
        <f ca="1">IFERROR(__xludf.DUMMYFUNCTION("""COMPUTED_VALUE"""),338.31)</f>
        <v>338.31</v>
      </c>
      <c r="AA872" s="1">
        <f ca="1">IFERROR(__xludf.DUMMYFUNCTION("""COMPUTED_VALUE"""),40.06)</f>
        <v>40.06</v>
      </c>
      <c r="AB872" s="1">
        <f ca="1">IFERROR(__xludf.DUMMYFUNCTION("""COMPUTED_VALUE"""),101.87)</f>
        <v>101.87</v>
      </c>
      <c r="AC872" s="1">
        <f ca="1">IFERROR(__xludf.DUMMYFUNCTION("""COMPUTED_VALUE"""),120.08)</f>
        <v>120.08</v>
      </c>
    </row>
    <row r="873" spans="1:29" x14ac:dyDescent="0.25">
      <c r="A873" s="2">
        <f ca="1">IFERROR(__xludf.DUMMYFUNCTION("""COMPUTED_VALUE"""),45097.6666666666)</f>
        <v>45097.666666666599</v>
      </c>
      <c r="B873" s="1">
        <f ca="1">IFERROR(__xludf.DUMMYFUNCTION("""COMPUTED_VALUE"""),185.01)</f>
        <v>185.01</v>
      </c>
      <c r="C873" s="1">
        <f ca="1">IFERROR(__xludf.DUMMYFUNCTION("""COMPUTED_VALUE"""),338.05)</f>
        <v>338.05</v>
      </c>
      <c r="D873" s="1">
        <f ca="1">IFERROR(__xludf.DUMMYFUNCTION("""COMPUTED_VALUE"""),125.78)</f>
        <v>125.78</v>
      </c>
      <c r="E873" s="1">
        <f ca="1">IFERROR(__xludf.DUMMYFUNCTION("""COMPUTED_VALUE"""),43.81)</f>
        <v>43.81</v>
      </c>
      <c r="F873" s="1">
        <f ca="1">IFERROR(__xludf.DUMMYFUNCTION("""COMPUTED_VALUE"""),284.33)</f>
        <v>284.33</v>
      </c>
      <c r="G873" s="1">
        <f ca="1">IFERROR(__xludf.DUMMYFUNCTION("""COMPUTED_VALUE"""),123.85)</f>
        <v>123.85</v>
      </c>
      <c r="H873" s="1">
        <f ca="1">IFERROR(__xludf.DUMMYFUNCTION("""COMPUTED_VALUE"""),274.45)</f>
        <v>274.45</v>
      </c>
      <c r="I873" s="1">
        <f ca="1">IFERROR(__xludf.DUMMYFUNCTION("""COMPUTED_VALUE"""),185.31)</f>
        <v>185.31</v>
      </c>
      <c r="J873" s="1">
        <f ca="1">IFERROR(__xludf.DUMMYFUNCTION("""COMPUTED_VALUE"""),519.7)</f>
        <v>519.70000000000005</v>
      </c>
      <c r="K873" s="1">
        <f ca="1">IFERROR(__xludf.DUMMYFUNCTION("""COMPUTED_VALUE"""),86.8)</f>
        <v>86.8</v>
      </c>
      <c r="L873" s="1">
        <f ca="1">IFERROR(__xludf.DUMMYFUNCTION("""COMPUTED_VALUE"""),485.86)</f>
        <v>485.86</v>
      </c>
      <c r="M873" s="1">
        <f ca="1">IFERROR(__xludf.DUMMYFUNCTION("""COMPUTED_VALUE"""),434.7)</f>
        <v>434.7</v>
      </c>
      <c r="N873" s="1">
        <f ca="1">IFERROR(__xludf.DUMMYFUNCTION("""COMPUTED_VALUE"""),142.53)</f>
        <v>142.53</v>
      </c>
      <c r="O873" s="1">
        <f ca="1">IFERROR(__xludf.DUMMYFUNCTION("""COMPUTED_VALUE"""),226.47)</f>
        <v>226.47</v>
      </c>
      <c r="P873" s="1">
        <f ca="1">IFERROR(__xludf.DUMMYFUNCTION("""COMPUTED_VALUE"""),164.13)</f>
        <v>164.13</v>
      </c>
      <c r="Q873" s="1">
        <f ca="1">IFERROR(__xludf.DUMMYFUNCTION("""COMPUTED_VALUE"""),469.39)</f>
        <v>469.39</v>
      </c>
      <c r="R873" s="1">
        <f ca="1">IFERROR(__xludf.DUMMYFUNCTION("""COMPUTED_VALUE"""),102.72)</f>
        <v>102.72</v>
      </c>
      <c r="S873" s="1">
        <f ca="1">IFERROR(__xludf.DUMMYFUNCTION("""COMPUTED_VALUE"""),74.76)</f>
        <v>74.760000000000005</v>
      </c>
      <c r="T873" s="1">
        <f ca="1">IFERROR(__xludf.DUMMYFUNCTION("""COMPUTED_VALUE"""),51.39)</f>
        <v>51.39</v>
      </c>
      <c r="U873" s="1">
        <f ca="1">IFERROR(__xludf.DUMMYFUNCTION("""COMPUTED_VALUE"""),109.54)</f>
        <v>109.54</v>
      </c>
      <c r="V873" s="1">
        <f ca="1">IFERROR(__xludf.DUMMYFUNCTION("""COMPUTED_VALUE"""),241.15)</f>
        <v>241.15</v>
      </c>
      <c r="W873" s="1">
        <f ca="1">IFERROR(__xludf.DUMMYFUNCTION("""COMPUTED_VALUE"""),458.38)</f>
        <v>458.38</v>
      </c>
      <c r="X873" s="1">
        <f ca="1">IFERROR(__xludf.DUMMYFUNCTION("""COMPUTED_VALUE"""),720.41)</f>
        <v>720.41</v>
      </c>
      <c r="Y873" s="1">
        <f ca="1">IFERROR(__xludf.DUMMYFUNCTION("""COMPUTED_VALUE"""),103.98)</f>
        <v>103.98</v>
      </c>
      <c r="Z873" s="1">
        <f ca="1">IFERROR(__xludf.DUMMYFUNCTION("""COMPUTED_VALUE"""),330.72)</f>
        <v>330.72</v>
      </c>
      <c r="AA873" s="1">
        <f ca="1">IFERROR(__xludf.DUMMYFUNCTION("""COMPUTED_VALUE"""),39.34)</f>
        <v>39.340000000000003</v>
      </c>
      <c r="AB873" s="1">
        <f ca="1">IFERROR(__xludf.DUMMYFUNCTION("""COMPUTED_VALUE"""),101.27)</f>
        <v>101.27</v>
      </c>
      <c r="AC873" s="1">
        <f ca="1">IFERROR(__xludf.DUMMYFUNCTION("""COMPUTED_VALUE"""),118.93)</f>
        <v>118.93</v>
      </c>
    </row>
    <row r="874" spans="1:29" x14ac:dyDescent="0.25">
      <c r="A874" s="2">
        <f ca="1">IFERROR(__xludf.DUMMYFUNCTION("""COMPUTED_VALUE"""),45098.6666666666)</f>
        <v>45098.666666666599</v>
      </c>
      <c r="B874" s="1">
        <f ca="1">IFERROR(__xludf.DUMMYFUNCTION("""COMPUTED_VALUE"""),183.96)</f>
        <v>183.96</v>
      </c>
      <c r="C874" s="1">
        <f ca="1">IFERROR(__xludf.DUMMYFUNCTION("""COMPUTED_VALUE"""),333.56)</f>
        <v>333.56</v>
      </c>
      <c r="D874" s="1">
        <f ca="1">IFERROR(__xludf.DUMMYFUNCTION("""COMPUTED_VALUE"""),124.83)</f>
        <v>124.83</v>
      </c>
      <c r="E874" s="1">
        <f ca="1">IFERROR(__xludf.DUMMYFUNCTION("""COMPUTED_VALUE"""),43.05)</f>
        <v>43.05</v>
      </c>
      <c r="F874" s="1">
        <f ca="1">IFERROR(__xludf.DUMMYFUNCTION("""COMPUTED_VALUE"""),281.64)</f>
        <v>281.64</v>
      </c>
      <c r="G874" s="1">
        <f ca="1">IFERROR(__xludf.DUMMYFUNCTION("""COMPUTED_VALUE"""),121.26)</f>
        <v>121.26</v>
      </c>
      <c r="H874" s="1">
        <f ca="1">IFERROR(__xludf.DUMMYFUNCTION("""COMPUTED_VALUE"""),259.46)</f>
        <v>259.45999999999998</v>
      </c>
      <c r="I874" s="1">
        <f ca="1">IFERROR(__xludf.DUMMYFUNCTION("""COMPUTED_VALUE"""),185.43)</f>
        <v>185.43</v>
      </c>
      <c r="J874" s="1">
        <f ca="1">IFERROR(__xludf.DUMMYFUNCTION("""COMPUTED_VALUE"""),519.62)</f>
        <v>519.62</v>
      </c>
      <c r="K874" s="1">
        <f ca="1">IFERROR(__xludf.DUMMYFUNCTION("""COMPUTED_VALUE"""),84.77)</f>
        <v>84.77</v>
      </c>
      <c r="L874" s="1">
        <f ca="1">IFERROR(__xludf.DUMMYFUNCTION("""COMPUTED_VALUE"""),477.48)</f>
        <v>477.48</v>
      </c>
      <c r="M874" s="1">
        <f ca="1">IFERROR(__xludf.DUMMYFUNCTION("""COMPUTED_VALUE"""),424.45)</f>
        <v>424.45</v>
      </c>
      <c r="N874" s="1">
        <f ca="1">IFERROR(__xludf.DUMMYFUNCTION("""COMPUTED_VALUE"""),142.32)</f>
        <v>142.32</v>
      </c>
      <c r="O874" s="1">
        <f ca="1">IFERROR(__xludf.DUMMYFUNCTION("""COMPUTED_VALUE"""),227.25)</f>
        <v>227.25</v>
      </c>
      <c r="P874" s="1">
        <f ca="1">IFERROR(__xludf.DUMMYFUNCTION("""COMPUTED_VALUE"""),163.88)</f>
        <v>163.88</v>
      </c>
      <c r="Q874" s="1">
        <f ca="1">IFERROR(__xludf.DUMMYFUNCTION("""COMPUTED_VALUE"""),476.75)</f>
        <v>476.75</v>
      </c>
      <c r="R874" s="1">
        <f ca="1">IFERROR(__xludf.DUMMYFUNCTION("""COMPUTED_VALUE"""),103.87)</f>
        <v>103.87</v>
      </c>
      <c r="S874" s="1">
        <f ca="1">IFERROR(__xludf.DUMMYFUNCTION("""COMPUTED_VALUE"""),75.78)</f>
        <v>75.78</v>
      </c>
      <c r="T874" s="1">
        <f ca="1">IFERROR(__xludf.DUMMYFUNCTION("""COMPUTED_VALUE"""),51.49)</f>
        <v>51.49</v>
      </c>
      <c r="U874" s="1">
        <f ca="1">IFERROR(__xludf.DUMMYFUNCTION("""COMPUTED_VALUE"""),109.98)</f>
        <v>109.98</v>
      </c>
      <c r="V874" s="1">
        <f ca="1">IFERROR(__xludf.DUMMYFUNCTION("""COMPUTED_VALUE"""),241.48)</f>
        <v>241.48</v>
      </c>
      <c r="W874" s="1">
        <f ca="1">IFERROR(__xludf.DUMMYFUNCTION("""COMPUTED_VALUE"""),466.04)</f>
        <v>466.04</v>
      </c>
      <c r="X874" s="1">
        <f ca="1">IFERROR(__xludf.DUMMYFUNCTION("""COMPUTED_VALUE"""),707.3)</f>
        <v>707.3</v>
      </c>
      <c r="Y874" s="1">
        <f ca="1">IFERROR(__xludf.DUMMYFUNCTION("""COMPUTED_VALUE"""),101.64)</f>
        <v>101.64</v>
      </c>
      <c r="Z874" s="1">
        <f ca="1">IFERROR(__xludf.DUMMYFUNCTION("""COMPUTED_VALUE"""),325.07)</f>
        <v>325.07</v>
      </c>
      <c r="AA874" s="1">
        <f ca="1">IFERROR(__xludf.DUMMYFUNCTION("""COMPUTED_VALUE"""),38.9)</f>
        <v>38.9</v>
      </c>
      <c r="AB874" s="1">
        <f ca="1">IFERROR(__xludf.DUMMYFUNCTION("""COMPUTED_VALUE"""),101.87)</f>
        <v>101.87</v>
      </c>
      <c r="AC874" s="1">
        <f ca="1">IFERROR(__xludf.DUMMYFUNCTION("""COMPUTED_VALUE"""),112.11)</f>
        <v>112.11</v>
      </c>
    </row>
    <row r="875" spans="1:29" x14ac:dyDescent="0.25">
      <c r="A875" s="2">
        <f ca="1">IFERROR(__xludf.DUMMYFUNCTION("""COMPUTED_VALUE"""),45099.6666666666)</f>
        <v>45099.666666666599</v>
      </c>
      <c r="B875" s="1">
        <f ca="1">IFERROR(__xludf.DUMMYFUNCTION("""COMPUTED_VALUE"""),187)</f>
        <v>187</v>
      </c>
      <c r="C875" s="1">
        <f ca="1">IFERROR(__xludf.DUMMYFUNCTION("""COMPUTED_VALUE"""),339.71)</f>
        <v>339.71</v>
      </c>
      <c r="D875" s="1">
        <f ca="1">IFERROR(__xludf.DUMMYFUNCTION("""COMPUTED_VALUE"""),130.15)</f>
        <v>130.15</v>
      </c>
      <c r="E875" s="1">
        <f ca="1">IFERROR(__xludf.DUMMYFUNCTION("""COMPUTED_VALUE"""),43.03)</f>
        <v>43.03</v>
      </c>
      <c r="F875" s="1">
        <f ca="1">IFERROR(__xludf.DUMMYFUNCTION("""COMPUTED_VALUE"""),284.88)</f>
        <v>284.88</v>
      </c>
      <c r="G875" s="1">
        <f ca="1">IFERROR(__xludf.DUMMYFUNCTION("""COMPUTED_VALUE"""),123.87)</f>
        <v>123.87</v>
      </c>
      <c r="H875" s="1">
        <f ca="1">IFERROR(__xludf.DUMMYFUNCTION("""COMPUTED_VALUE"""),264.61)</f>
        <v>264.61</v>
      </c>
      <c r="I875" s="1">
        <f ca="1">IFERROR(__xludf.DUMMYFUNCTION("""COMPUTED_VALUE"""),187.35)</f>
        <v>187.35</v>
      </c>
      <c r="J875" s="1">
        <f ca="1">IFERROR(__xludf.DUMMYFUNCTION("""COMPUTED_VALUE"""),524.2)</f>
        <v>524.20000000000005</v>
      </c>
      <c r="K875" s="1">
        <f ca="1">IFERROR(__xludf.DUMMYFUNCTION("""COMPUTED_VALUE"""),84.24)</f>
        <v>84.24</v>
      </c>
      <c r="L875" s="1">
        <f ca="1">IFERROR(__xludf.DUMMYFUNCTION("""COMPUTED_VALUE"""),477.58)</f>
        <v>477.58</v>
      </c>
      <c r="M875" s="1">
        <f ca="1">IFERROR(__xludf.DUMMYFUNCTION("""COMPUTED_VALUE"""),422.48)</f>
        <v>422.48</v>
      </c>
      <c r="N875" s="1">
        <f ca="1">IFERROR(__xludf.DUMMYFUNCTION("""COMPUTED_VALUE"""),139.58)</f>
        <v>139.58000000000001</v>
      </c>
      <c r="O875" s="1">
        <f ca="1">IFERROR(__xludf.DUMMYFUNCTION("""COMPUTED_VALUE"""),228.39)</f>
        <v>228.39</v>
      </c>
      <c r="P875" s="1">
        <f ca="1">IFERROR(__xludf.DUMMYFUNCTION("""COMPUTED_VALUE"""),165.62)</f>
        <v>165.62</v>
      </c>
      <c r="Q875" s="1">
        <f ca="1">IFERROR(__xludf.DUMMYFUNCTION("""COMPUTED_VALUE"""),479.05)</f>
        <v>479.05</v>
      </c>
      <c r="R875" s="1">
        <f ca="1">IFERROR(__xludf.DUMMYFUNCTION("""COMPUTED_VALUE"""),103.3)</f>
        <v>103.3</v>
      </c>
      <c r="S875" s="1">
        <f ca="1">IFERROR(__xludf.DUMMYFUNCTION("""COMPUTED_VALUE"""),75.13)</f>
        <v>75.13</v>
      </c>
      <c r="T875" s="1">
        <f ca="1">IFERROR(__xludf.DUMMYFUNCTION("""COMPUTED_VALUE"""),51.92)</f>
        <v>51.92</v>
      </c>
      <c r="U875" s="1">
        <f ca="1">IFERROR(__xludf.DUMMYFUNCTION("""COMPUTED_VALUE"""),110.46)</f>
        <v>110.46</v>
      </c>
      <c r="V875" s="1">
        <f ca="1">IFERROR(__xludf.DUMMYFUNCTION("""COMPUTED_VALUE"""),237.34)</f>
        <v>237.34</v>
      </c>
      <c r="W875" s="1">
        <f ca="1">IFERROR(__xludf.DUMMYFUNCTION("""COMPUTED_VALUE"""),463.43)</f>
        <v>463.43</v>
      </c>
      <c r="X875" s="1">
        <f ca="1">IFERROR(__xludf.DUMMYFUNCTION("""COMPUTED_VALUE"""),717.41)</f>
        <v>717.41</v>
      </c>
      <c r="Y875" s="1">
        <f ca="1">IFERROR(__xludf.DUMMYFUNCTION("""COMPUTED_VALUE"""),103.13)</f>
        <v>103.13</v>
      </c>
      <c r="Z875" s="1">
        <f ca="1">IFERROR(__xludf.DUMMYFUNCTION("""COMPUTED_VALUE"""),319.58)</f>
        <v>319.58</v>
      </c>
      <c r="AA875" s="1">
        <f ca="1">IFERROR(__xludf.DUMMYFUNCTION("""COMPUTED_VALUE"""),38.73)</f>
        <v>38.729999999999997</v>
      </c>
      <c r="AB875" s="1">
        <f ca="1">IFERROR(__xludf.DUMMYFUNCTION("""COMPUTED_VALUE"""),100.85)</f>
        <v>100.85</v>
      </c>
      <c r="AC875" s="1">
        <f ca="1">IFERROR(__xludf.DUMMYFUNCTION("""COMPUTED_VALUE"""),110.7)</f>
        <v>110.7</v>
      </c>
    </row>
    <row r="876" spans="1:29" x14ac:dyDescent="0.25">
      <c r="A876" s="2">
        <f ca="1">IFERROR(__xludf.DUMMYFUNCTION("""COMPUTED_VALUE"""),45100.6666666666)</f>
        <v>45100.666666666599</v>
      </c>
      <c r="B876" s="1">
        <f ca="1">IFERROR(__xludf.DUMMYFUNCTION("""COMPUTED_VALUE"""),186.68)</f>
        <v>186.68</v>
      </c>
      <c r="C876" s="1">
        <f ca="1">IFERROR(__xludf.DUMMYFUNCTION("""COMPUTED_VALUE"""),335.02)</f>
        <v>335.02</v>
      </c>
      <c r="D876" s="1">
        <f ca="1">IFERROR(__xludf.DUMMYFUNCTION("""COMPUTED_VALUE"""),129.33)</f>
        <v>129.33000000000001</v>
      </c>
      <c r="E876" s="1">
        <f ca="1">IFERROR(__xludf.DUMMYFUNCTION("""COMPUTED_VALUE"""),42.21)</f>
        <v>42.21</v>
      </c>
      <c r="F876" s="1">
        <f ca="1">IFERROR(__xludf.DUMMYFUNCTION("""COMPUTED_VALUE"""),288.73)</f>
        <v>288.73</v>
      </c>
      <c r="G876" s="1">
        <f ca="1">IFERROR(__xludf.DUMMYFUNCTION("""COMPUTED_VALUE"""),123.02)</f>
        <v>123.02</v>
      </c>
      <c r="H876" s="1">
        <f ca="1">IFERROR(__xludf.DUMMYFUNCTION("""COMPUTED_VALUE"""),256.6)</f>
        <v>256.60000000000002</v>
      </c>
      <c r="I876" s="1">
        <f ca="1">IFERROR(__xludf.DUMMYFUNCTION("""COMPUTED_VALUE"""),186.07)</f>
        <v>186.07</v>
      </c>
      <c r="J876" s="1">
        <f ca="1">IFERROR(__xludf.DUMMYFUNCTION("""COMPUTED_VALUE"""),524.44)</f>
        <v>524.44000000000005</v>
      </c>
      <c r="K876" s="1">
        <f ca="1">IFERROR(__xludf.DUMMYFUNCTION("""COMPUTED_VALUE"""),82.22)</f>
        <v>82.22</v>
      </c>
      <c r="L876" s="1">
        <f ca="1">IFERROR(__xludf.DUMMYFUNCTION("""COMPUTED_VALUE"""),484.72)</f>
        <v>484.72</v>
      </c>
      <c r="M876" s="1">
        <f ca="1">IFERROR(__xludf.DUMMYFUNCTION("""COMPUTED_VALUE"""),424.02)</f>
        <v>424.02</v>
      </c>
      <c r="N876" s="1">
        <f ca="1">IFERROR(__xludf.DUMMYFUNCTION("""COMPUTED_VALUE"""),138.85)</f>
        <v>138.85</v>
      </c>
      <c r="O876" s="1">
        <f ca="1">IFERROR(__xludf.DUMMYFUNCTION("""COMPUTED_VALUE"""),229.55)</f>
        <v>229.55</v>
      </c>
      <c r="P876" s="1">
        <f ca="1">IFERROR(__xludf.DUMMYFUNCTION("""COMPUTED_VALUE"""),165.48)</f>
        <v>165.48</v>
      </c>
      <c r="Q876" s="1">
        <f ca="1">IFERROR(__xludf.DUMMYFUNCTION("""COMPUTED_VALUE"""),477)</f>
        <v>477</v>
      </c>
      <c r="R876" s="1">
        <f ca="1">IFERROR(__xludf.DUMMYFUNCTION("""COMPUTED_VALUE"""),102.4)</f>
        <v>102.4</v>
      </c>
      <c r="S876" s="1">
        <f ca="1">IFERROR(__xludf.DUMMYFUNCTION("""COMPUTED_VALUE"""),74.17)</f>
        <v>74.17</v>
      </c>
      <c r="T876" s="1">
        <f ca="1">IFERROR(__xludf.DUMMYFUNCTION("""COMPUTED_VALUE"""),51.82)</f>
        <v>51.82</v>
      </c>
      <c r="U876" s="1">
        <f ca="1">IFERROR(__xludf.DUMMYFUNCTION("""COMPUTED_VALUE"""),109.52)</f>
        <v>109.52</v>
      </c>
      <c r="V876" s="1">
        <f ca="1">IFERROR(__xludf.DUMMYFUNCTION("""COMPUTED_VALUE"""),234.44)</f>
        <v>234.44</v>
      </c>
      <c r="W876" s="1">
        <f ca="1">IFERROR(__xludf.DUMMYFUNCTION("""COMPUTED_VALUE"""),459.36)</f>
        <v>459.36</v>
      </c>
      <c r="X876" s="1">
        <f ca="1">IFERROR(__xludf.DUMMYFUNCTION("""COMPUTED_VALUE"""),697.89)</f>
        <v>697.89</v>
      </c>
      <c r="Y876" s="1">
        <f ca="1">IFERROR(__xludf.DUMMYFUNCTION("""COMPUTED_VALUE"""),101.91)</f>
        <v>101.91</v>
      </c>
      <c r="Z876" s="1">
        <f ca="1">IFERROR(__xludf.DUMMYFUNCTION("""COMPUTED_VALUE"""),314.71)</f>
        <v>314.70999999999998</v>
      </c>
      <c r="AA876" s="1">
        <f ca="1">IFERROR(__xludf.DUMMYFUNCTION("""COMPUTED_VALUE"""),38.3)</f>
        <v>38.299999999999997</v>
      </c>
      <c r="AB876" s="1">
        <f ca="1">IFERROR(__xludf.DUMMYFUNCTION("""COMPUTED_VALUE"""),98.34)</f>
        <v>98.34</v>
      </c>
      <c r="AC876" s="1">
        <f ca="1">IFERROR(__xludf.DUMMYFUNCTION("""COMPUTED_VALUE"""),110.01)</f>
        <v>110.01</v>
      </c>
    </row>
    <row r="877" spans="1:29" x14ac:dyDescent="0.25">
      <c r="A877" s="2">
        <f ca="1">IFERROR(__xludf.DUMMYFUNCTION("""COMPUTED_VALUE"""),45103.6666666666)</f>
        <v>45103.666666666599</v>
      </c>
      <c r="B877" s="1">
        <f ca="1">IFERROR(__xludf.DUMMYFUNCTION("""COMPUTED_VALUE"""),185.27)</f>
        <v>185.27</v>
      </c>
      <c r="C877" s="1">
        <f ca="1">IFERROR(__xludf.DUMMYFUNCTION("""COMPUTED_VALUE"""),328.6)</f>
        <v>328.6</v>
      </c>
      <c r="D877" s="1">
        <f ca="1">IFERROR(__xludf.DUMMYFUNCTION("""COMPUTED_VALUE"""),127.33)</f>
        <v>127.33</v>
      </c>
      <c r="E877" s="1">
        <f ca="1">IFERROR(__xludf.DUMMYFUNCTION("""COMPUTED_VALUE"""),40.63)</f>
        <v>40.630000000000003</v>
      </c>
      <c r="F877" s="1">
        <f ca="1">IFERROR(__xludf.DUMMYFUNCTION("""COMPUTED_VALUE"""),278.47)</f>
        <v>278.47000000000003</v>
      </c>
      <c r="G877" s="1">
        <f ca="1">IFERROR(__xludf.DUMMYFUNCTION("""COMPUTED_VALUE"""),119.09)</f>
        <v>119.09</v>
      </c>
      <c r="H877" s="1">
        <f ca="1">IFERROR(__xludf.DUMMYFUNCTION("""COMPUTED_VALUE"""),241.05)</f>
        <v>241.05</v>
      </c>
      <c r="I877" s="1">
        <f ca="1">IFERROR(__xludf.DUMMYFUNCTION("""COMPUTED_VALUE"""),184.89)</f>
        <v>184.89</v>
      </c>
      <c r="J877" s="1">
        <f ca="1">IFERROR(__xludf.DUMMYFUNCTION("""COMPUTED_VALUE"""),523.42)</f>
        <v>523.41999999999996</v>
      </c>
      <c r="K877" s="1">
        <f ca="1">IFERROR(__xludf.DUMMYFUNCTION("""COMPUTED_VALUE"""),82.16)</f>
        <v>82.16</v>
      </c>
      <c r="L877" s="1">
        <f ca="1">IFERROR(__xludf.DUMMYFUNCTION("""COMPUTED_VALUE"""),479.51)</f>
        <v>479.51</v>
      </c>
      <c r="M877" s="1">
        <f ca="1">IFERROR(__xludf.DUMMYFUNCTION("""COMPUTED_VALUE"""),415.94)</f>
        <v>415.94</v>
      </c>
      <c r="N877" s="1">
        <f ca="1">IFERROR(__xludf.DUMMYFUNCTION("""COMPUTED_VALUE"""),139.19)</f>
        <v>139.19</v>
      </c>
      <c r="O877" s="1">
        <f ca="1">IFERROR(__xludf.DUMMYFUNCTION("""COMPUTED_VALUE"""),226.3)</f>
        <v>226.3</v>
      </c>
      <c r="P877" s="1">
        <f ca="1">IFERROR(__xludf.DUMMYFUNCTION("""COMPUTED_VALUE"""),163.63)</f>
        <v>163.63</v>
      </c>
      <c r="Q877" s="1">
        <f ca="1">IFERROR(__xludf.DUMMYFUNCTION("""COMPUTED_VALUE"""),479.06)</f>
        <v>479.06</v>
      </c>
      <c r="R877" s="1">
        <f ca="1">IFERROR(__xludf.DUMMYFUNCTION("""COMPUTED_VALUE"""),104.29)</f>
        <v>104.29</v>
      </c>
      <c r="S877" s="1">
        <f ca="1">IFERROR(__xludf.DUMMYFUNCTION("""COMPUTED_VALUE"""),74.29)</f>
        <v>74.290000000000006</v>
      </c>
      <c r="T877" s="1">
        <f ca="1">IFERROR(__xludf.DUMMYFUNCTION("""COMPUTED_VALUE"""),51.68)</f>
        <v>51.68</v>
      </c>
      <c r="U877" s="1">
        <f ca="1">IFERROR(__xludf.DUMMYFUNCTION("""COMPUTED_VALUE"""),111.74)</f>
        <v>111.74</v>
      </c>
      <c r="V877" s="1">
        <f ca="1">IFERROR(__xludf.DUMMYFUNCTION("""COMPUTED_VALUE"""),236.95)</f>
        <v>236.95</v>
      </c>
      <c r="W877" s="1">
        <f ca="1">IFERROR(__xludf.DUMMYFUNCTION("""COMPUTED_VALUE"""),452.8)</f>
        <v>452.8</v>
      </c>
      <c r="X877" s="1">
        <f ca="1">IFERROR(__xludf.DUMMYFUNCTION("""COMPUTED_VALUE"""),700.24)</f>
        <v>700.24</v>
      </c>
      <c r="Y877" s="1">
        <f ca="1">IFERROR(__xludf.DUMMYFUNCTION("""COMPUTED_VALUE"""),100.11)</f>
        <v>100.11</v>
      </c>
      <c r="Z877" s="1">
        <f ca="1">IFERROR(__xludf.DUMMYFUNCTION("""COMPUTED_VALUE"""),312.36)</f>
        <v>312.36</v>
      </c>
      <c r="AA877" s="1">
        <f ca="1">IFERROR(__xludf.DUMMYFUNCTION("""COMPUTED_VALUE"""),36.89)</f>
        <v>36.89</v>
      </c>
      <c r="AB877" s="1">
        <f ca="1">IFERROR(__xludf.DUMMYFUNCTION("""COMPUTED_VALUE"""),98.23)</f>
        <v>98.23</v>
      </c>
      <c r="AC877" s="1">
        <f ca="1">IFERROR(__xludf.DUMMYFUNCTION("""COMPUTED_VALUE"""),107.51)</f>
        <v>107.51</v>
      </c>
    </row>
    <row r="878" spans="1:29" x14ac:dyDescent="0.25">
      <c r="A878" s="2">
        <f ca="1">IFERROR(__xludf.DUMMYFUNCTION("""COMPUTED_VALUE"""),45104.6666666666)</f>
        <v>45104.666666666599</v>
      </c>
      <c r="B878" s="1">
        <f ca="1">IFERROR(__xludf.DUMMYFUNCTION("""COMPUTED_VALUE"""),188.06)</f>
        <v>188.06</v>
      </c>
      <c r="C878" s="1">
        <f ca="1">IFERROR(__xludf.DUMMYFUNCTION("""COMPUTED_VALUE"""),334.57)</f>
        <v>334.57</v>
      </c>
      <c r="D878" s="1">
        <f ca="1">IFERROR(__xludf.DUMMYFUNCTION("""COMPUTED_VALUE"""),129.18)</f>
        <v>129.18</v>
      </c>
      <c r="E878" s="1">
        <f ca="1">IFERROR(__xludf.DUMMYFUNCTION("""COMPUTED_VALUE"""),41.88)</f>
        <v>41.88</v>
      </c>
      <c r="F878" s="1">
        <f ca="1">IFERROR(__xludf.DUMMYFUNCTION("""COMPUTED_VALUE"""),287.05)</f>
        <v>287.05</v>
      </c>
      <c r="G878" s="1">
        <f ca="1">IFERROR(__xludf.DUMMYFUNCTION("""COMPUTED_VALUE"""),119.01)</f>
        <v>119.01</v>
      </c>
      <c r="H878" s="1">
        <f ca="1">IFERROR(__xludf.DUMMYFUNCTION("""COMPUTED_VALUE"""),250.21)</f>
        <v>250.21</v>
      </c>
      <c r="I878" s="1">
        <f ca="1">IFERROR(__xludf.DUMMYFUNCTION("""COMPUTED_VALUE"""),186.22)</f>
        <v>186.22</v>
      </c>
      <c r="J878" s="1">
        <f ca="1">IFERROR(__xludf.DUMMYFUNCTION("""COMPUTED_VALUE"""),530.33)</f>
        <v>530.33000000000004</v>
      </c>
      <c r="K878" s="1">
        <f ca="1">IFERROR(__xludf.DUMMYFUNCTION("""COMPUTED_VALUE"""),84.84)</f>
        <v>84.84</v>
      </c>
      <c r="L878" s="1">
        <f ca="1">IFERROR(__xludf.DUMMYFUNCTION("""COMPUTED_VALUE"""),489.27)</f>
        <v>489.27</v>
      </c>
      <c r="M878" s="1">
        <f ca="1">IFERROR(__xludf.DUMMYFUNCTION("""COMPUTED_VALUE"""),417.08)</f>
        <v>417.08</v>
      </c>
      <c r="N878" s="1">
        <f ca="1">IFERROR(__xludf.DUMMYFUNCTION("""COMPUTED_VALUE"""),139.2)</f>
        <v>139.19999999999999</v>
      </c>
      <c r="O878" s="1">
        <f ca="1">IFERROR(__xludf.DUMMYFUNCTION("""COMPUTED_VALUE"""),227.34)</f>
        <v>227.34</v>
      </c>
      <c r="P878" s="1">
        <f ca="1">IFERROR(__xludf.DUMMYFUNCTION("""COMPUTED_VALUE"""),163.29)</f>
        <v>163.29</v>
      </c>
      <c r="Q878" s="1">
        <f ca="1">IFERROR(__xludf.DUMMYFUNCTION("""COMPUTED_VALUE"""),482.56)</f>
        <v>482.56</v>
      </c>
      <c r="R878" s="1">
        <f ca="1">IFERROR(__xludf.DUMMYFUNCTION("""COMPUTED_VALUE"""),104.55)</f>
        <v>104.55</v>
      </c>
      <c r="S878" s="1">
        <f ca="1">IFERROR(__xludf.DUMMYFUNCTION("""COMPUTED_VALUE"""),73.91)</f>
        <v>73.91</v>
      </c>
      <c r="T878" s="1">
        <f ca="1">IFERROR(__xludf.DUMMYFUNCTION("""COMPUTED_VALUE"""),51.5)</f>
        <v>51.5</v>
      </c>
      <c r="U878" s="1">
        <f ca="1">IFERROR(__xludf.DUMMYFUNCTION("""COMPUTED_VALUE"""),113.61)</f>
        <v>113.61</v>
      </c>
      <c r="V878" s="1">
        <f ca="1">IFERROR(__xludf.DUMMYFUNCTION("""COMPUTED_VALUE"""),240.69)</f>
        <v>240.69</v>
      </c>
      <c r="W878" s="1">
        <f ca="1">IFERROR(__xludf.DUMMYFUNCTION("""COMPUTED_VALUE"""),453.15)</f>
        <v>453.15</v>
      </c>
      <c r="X878" s="1">
        <f ca="1">IFERROR(__xludf.DUMMYFUNCTION("""COMPUTED_VALUE"""),725.08)</f>
        <v>725.08</v>
      </c>
      <c r="Y878" s="1">
        <f ca="1">IFERROR(__xludf.DUMMYFUNCTION("""COMPUTED_VALUE"""),102.08)</f>
        <v>102.08</v>
      </c>
      <c r="Z878" s="1">
        <f ca="1">IFERROR(__xludf.DUMMYFUNCTION("""COMPUTED_VALUE"""),313.45)</f>
        <v>313.45</v>
      </c>
      <c r="AA878" s="1">
        <f ca="1">IFERROR(__xludf.DUMMYFUNCTION("""COMPUTED_VALUE"""),36.42)</f>
        <v>36.42</v>
      </c>
      <c r="AB878" s="1">
        <f ca="1">IFERROR(__xludf.DUMMYFUNCTION("""COMPUTED_VALUE"""),98.72)</f>
        <v>98.72</v>
      </c>
      <c r="AC878" s="1">
        <f ca="1">IFERROR(__xludf.DUMMYFUNCTION("""COMPUTED_VALUE"""),110.39)</f>
        <v>110.39</v>
      </c>
    </row>
    <row r="879" spans="1:29" x14ac:dyDescent="0.25">
      <c r="A879" s="2">
        <f ca="1">IFERROR(__xludf.DUMMYFUNCTION("""COMPUTED_VALUE"""),45105.6666666666)</f>
        <v>45105.666666666599</v>
      </c>
      <c r="B879" s="1">
        <f ca="1">IFERROR(__xludf.DUMMYFUNCTION("""COMPUTED_VALUE"""),189.25)</f>
        <v>189.25</v>
      </c>
      <c r="C879" s="1">
        <f ca="1">IFERROR(__xludf.DUMMYFUNCTION("""COMPUTED_VALUE"""),335.85)</f>
        <v>335.85</v>
      </c>
      <c r="D879" s="1">
        <f ca="1">IFERROR(__xludf.DUMMYFUNCTION("""COMPUTED_VALUE"""),129.04)</f>
        <v>129.04</v>
      </c>
      <c r="E879" s="1">
        <f ca="1">IFERROR(__xludf.DUMMYFUNCTION("""COMPUTED_VALUE"""),41.12)</f>
        <v>41.12</v>
      </c>
      <c r="F879" s="1">
        <f ca="1">IFERROR(__xludf.DUMMYFUNCTION("""COMPUTED_VALUE"""),285.29)</f>
        <v>285.29000000000002</v>
      </c>
      <c r="G879" s="1">
        <f ca="1">IFERROR(__xludf.DUMMYFUNCTION("""COMPUTED_VALUE"""),121.08)</f>
        <v>121.08</v>
      </c>
      <c r="H879" s="1">
        <f ca="1">IFERROR(__xludf.DUMMYFUNCTION("""COMPUTED_VALUE"""),256.24)</f>
        <v>256.24</v>
      </c>
      <c r="I879" s="1">
        <f ca="1">IFERROR(__xludf.DUMMYFUNCTION("""COMPUTED_VALUE"""),183.7)</f>
        <v>183.7</v>
      </c>
      <c r="J879" s="1">
        <f ca="1">IFERROR(__xludf.DUMMYFUNCTION("""COMPUTED_VALUE"""),532.8)</f>
        <v>532.79999999999995</v>
      </c>
      <c r="K879" s="1">
        <f ca="1">IFERROR(__xludf.DUMMYFUNCTION("""COMPUTED_VALUE"""),84.79)</f>
        <v>84.79</v>
      </c>
      <c r="L879" s="1">
        <f ca="1">IFERROR(__xludf.DUMMYFUNCTION("""COMPUTED_VALUE"""),482.43)</f>
        <v>482.43</v>
      </c>
      <c r="M879" s="1">
        <f ca="1">IFERROR(__xludf.DUMMYFUNCTION("""COMPUTED_VALUE"""),429.84)</f>
        <v>429.84</v>
      </c>
      <c r="N879" s="1">
        <f ca="1">IFERROR(__xludf.DUMMYFUNCTION("""COMPUTED_VALUE"""),138.59)</f>
        <v>138.59</v>
      </c>
      <c r="O879" s="1">
        <f ca="1">IFERROR(__xludf.DUMMYFUNCTION("""COMPUTED_VALUE"""),227.96)</f>
        <v>227.96</v>
      </c>
      <c r="P879" s="1">
        <f ca="1">IFERROR(__xludf.DUMMYFUNCTION("""COMPUTED_VALUE"""),162.96)</f>
        <v>162.96</v>
      </c>
      <c r="Q879" s="1">
        <f ca="1">IFERROR(__xludf.DUMMYFUNCTION("""COMPUTED_VALUE"""),474.45)</f>
        <v>474.45</v>
      </c>
      <c r="R879" s="1">
        <f ca="1">IFERROR(__xludf.DUMMYFUNCTION("""COMPUTED_VALUE"""),105.4)</f>
        <v>105.4</v>
      </c>
      <c r="S879" s="1">
        <f ca="1">IFERROR(__xludf.DUMMYFUNCTION("""COMPUTED_VALUE"""),73.44)</f>
        <v>73.44</v>
      </c>
      <c r="T879" s="1">
        <f ca="1">IFERROR(__xludf.DUMMYFUNCTION("""COMPUTED_VALUE"""),51.78)</f>
        <v>51.78</v>
      </c>
      <c r="U879" s="1">
        <f ca="1">IFERROR(__xludf.DUMMYFUNCTION("""COMPUTED_VALUE"""),113.03)</f>
        <v>113.03</v>
      </c>
      <c r="V879" s="1">
        <f ca="1">IFERROR(__xludf.DUMMYFUNCTION("""COMPUTED_VALUE"""),241.87)</f>
        <v>241.87</v>
      </c>
      <c r="W879" s="1">
        <f ca="1">IFERROR(__xludf.DUMMYFUNCTION("""COMPUTED_VALUE"""),449.66)</f>
        <v>449.66</v>
      </c>
      <c r="X879" s="1">
        <f ca="1">IFERROR(__xludf.DUMMYFUNCTION("""COMPUTED_VALUE"""),724.19)</f>
        <v>724.19</v>
      </c>
      <c r="Y879" s="1">
        <f ca="1">IFERROR(__xludf.DUMMYFUNCTION("""COMPUTED_VALUE"""),100.92)</f>
        <v>100.92</v>
      </c>
      <c r="Z879" s="1">
        <f ca="1">IFERROR(__xludf.DUMMYFUNCTION("""COMPUTED_VALUE"""),313.66)</f>
        <v>313.66000000000003</v>
      </c>
      <c r="AA879" s="1">
        <f ca="1">IFERROR(__xludf.DUMMYFUNCTION("""COMPUTED_VALUE"""),36.29)</f>
        <v>36.29</v>
      </c>
      <c r="AB879" s="1">
        <f ca="1">IFERROR(__xludf.DUMMYFUNCTION("""COMPUTED_VALUE"""),98.61)</f>
        <v>98.61</v>
      </c>
      <c r="AC879" s="1">
        <f ca="1">IFERROR(__xludf.DUMMYFUNCTION("""COMPUTED_VALUE"""),110.17)</f>
        <v>110.17</v>
      </c>
    </row>
    <row r="880" spans="1:29" x14ac:dyDescent="0.25">
      <c r="A880" s="2">
        <f ca="1">IFERROR(__xludf.DUMMYFUNCTION("""COMPUTED_VALUE"""),45106.6666666666)</f>
        <v>45106.666666666599</v>
      </c>
      <c r="B880" s="1">
        <f ca="1">IFERROR(__xludf.DUMMYFUNCTION("""COMPUTED_VALUE"""),189.59)</f>
        <v>189.59</v>
      </c>
      <c r="C880" s="1">
        <f ca="1">IFERROR(__xludf.DUMMYFUNCTION("""COMPUTED_VALUE"""),335.05)</f>
        <v>335.05</v>
      </c>
      <c r="D880" s="1">
        <f ca="1">IFERROR(__xludf.DUMMYFUNCTION("""COMPUTED_VALUE"""),127.9)</f>
        <v>127.9</v>
      </c>
      <c r="E880" s="1">
        <f ca="1">IFERROR(__xludf.DUMMYFUNCTION("""COMPUTED_VALUE"""),40.82)</f>
        <v>40.82</v>
      </c>
      <c r="F880" s="1">
        <f ca="1">IFERROR(__xludf.DUMMYFUNCTION("""COMPUTED_VALUE"""),281.53)</f>
        <v>281.52999999999997</v>
      </c>
      <c r="G880" s="1">
        <f ca="1">IFERROR(__xludf.DUMMYFUNCTION("""COMPUTED_VALUE"""),120.01)</f>
        <v>120.01</v>
      </c>
      <c r="H880" s="1">
        <f ca="1">IFERROR(__xludf.DUMMYFUNCTION("""COMPUTED_VALUE"""),257.5)</f>
        <v>257.5</v>
      </c>
      <c r="I880" s="1">
        <f ca="1">IFERROR(__xludf.DUMMYFUNCTION("""COMPUTED_VALUE"""),183.88)</f>
        <v>183.88</v>
      </c>
      <c r="J880" s="1">
        <f ca="1">IFERROR(__xludf.DUMMYFUNCTION("""COMPUTED_VALUE"""),531.69)</f>
        <v>531.69000000000005</v>
      </c>
      <c r="K880" s="1">
        <f ca="1">IFERROR(__xludf.DUMMYFUNCTION("""COMPUTED_VALUE"""),86.26)</f>
        <v>86.26</v>
      </c>
      <c r="L880" s="1">
        <f ca="1">IFERROR(__xludf.DUMMYFUNCTION("""COMPUTED_VALUE"""),483.77)</f>
        <v>483.77</v>
      </c>
      <c r="M880" s="1">
        <f ca="1">IFERROR(__xludf.DUMMYFUNCTION("""COMPUTED_VALUE"""),428.24)</f>
        <v>428.24</v>
      </c>
      <c r="N880" s="1">
        <f ca="1">IFERROR(__xludf.DUMMYFUNCTION("""COMPUTED_VALUE"""),143.43)</f>
        <v>143.43</v>
      </c>
      <c r="O880" s="1">
        <f ca="1">IFERROR(__xludf.DUMMYFUNCTION("""COMPUTED_VALUE"""),234.32)</f>
        <v>234.32</v>
      </c>
      <c r="P880" s="1">
        <f ca="1">IFERROR(__xludf.DUMMYFUNCTION("""COMPUTED_VALUE"""),164.1)</f>
        <v>164.1</v>
      </c>
      <c r="Q880" s="1">
        <f ca="1">IFERROR(__xludf.DUMMYFUNCTION("""COMPUTED_VALUE"""),476.44)</f>
        <v>476.44</v>
      </c>
      <c r="R880" s="1">
        <f ca="1">IFERROR(__xludf.DUMMYFUNCTION("""COMPUTED_VALUE"""),106.7)</f>
        <v>106.7</v>
      </c>
      <c r="S880" s="1">
        <f ca="1">IFERROR(__xludf.DUMMYFUNCTION("""COMPUTED_VALUE"""),72.81)</f>
        <v>72.81</v>
      </c>
      <c r="T880" s="1">
        <f ca="1">IFERROR(__xludf.DUMMYFUNCTION("""COMPUTED_VALUE"""),51.43)</f>
        <v>51.43</v>
      </c>
      <c r="U880" s="1">
        <f ca="1">IFERROR(__xludf.DUMMYFUNCTION("""COMPUTED_VALUE"""),113.37)</f>
        <v>113.37</v>
      </c>
      <c r="V880" s="1">
        <f ca="1">IFERROR(__xludf.DUMMYFUNCTION("""COMPUTED_VALUE"""),244.24)</f>
        <v>244.24</v>
      </c>
      <c r="W880" s="1">
        <f ca="1">IFERROR(__xludf.DUMMYFUNCTION("""COMPUTED_VALUE"""),457.44)</f>
        <v>457.44</v>
      </c>
      <c r="X880" s="1">
        <f ca="1">IFERROR(__xludf.DUMMYFUNCTION("""COMPUTED_VALUE"""),723.35)</f>
        <v>723.35</v>
      </c>
      <c r="Y880" s="1">
        <f ca="1">IFERROR(__xludf.DUMMYFUNCTION("""COMPUTED_VALUE"""),100.64)</f>
        <v>100.64</v>
      </c>
      <c r="Z880" s="1">
        <f ca="1">IFERROR(__xludf.DUMMYFUNCTION("""COMPUTED_VALUE"""),323.09)</f>
        <v>323.08999999999997</v>
      </c>
      <c r="AA880" s="1">
        <f ca="1">IFERROR(__xludf.DUMMYFUNCTION("""COMPUTED_VALUE"""),36.12)</f>
        <v>36.119999999999997</v>
      </c>
      <c r="AB880" s="1">
        <f ca="1">IFERROR(__xludf.DUMMYFUNCTION("""COMPUTED_VALUE"""),98.68)</f>
        <v>98.68</v>
      </c>
      <c r="AC880" s="1">
        <f ca="1">IFERROR(__xludf.DUMMYFUNCTION("""COMPUTED_VALUE"""),111.24)</f>
        <v>111.24</v>
      </c>
    </row>
    <row r="881" spans="1:29" x14ac:dyDescent="0.25">
      <c r="A881" s="2">
        <f ca="1">IFERROR(__xludf.DUMMYFUNCTION("""COMPUTED_VALUE"""),45107.6666666666)</f>
        <v>45107.666666666599</v>
      </c>
      <c r="B881" s="1">
        <f ca="1">IFERROR(__xludf.DUMMYFUNCTION("""COMPUTED_VALUE"""),193.97)</f>
        <v>193.97</v>
      </c>
      <c r="C881" s="1">
        <f ca="1">IFERROR(__xludf.DUMMYFUNCTION("""COMPUTED_VALUE"""),340.54)</f>
        <v>340.54</v>
      </c>
      <c r="D881" s="1">
        <f ca="1">IFERROR(__xludf.DUMMYFUNCTION("""COMPUTED_VALUE"""),130.36)</f>
        <v>130.36000000000001</v>
      </c>
      <c r="E881" s="1">
        <f ca="1">IFERROR(__xludf.DUMMYFUNCTION("""COMPUTED_VALUE"""),42.3)</f>
        <v>42.3</v>
      </c>
      <c r="F881" s="1">
        <f ca="1">IFERROR(__xludf.DUMMYFUNCTION("""COMPUTED_VALUE"""),286.98)</f>
        <v>286.98</v>
      </c>
      <c r="G881" s="1">
        <f ca="1">IFERROR(__xludf.DUMMYFUNCTION("""COMPUTED_VALUE"""),120.97)</f>
        <v>120.97</v>
      </c>
      <c r="H881" s="1">
        <f ca="1">IFERROR(__xludf.DUMMYFUNCTION("""COMPUTED_VALUE"""),261.77)</f>
        <v>261.77</v>
      </c>
      <c r="I881" s="1">
        <f ca="1">IFERROR(__xludf.DUMMYFUNCTION("""COMPUTED_VALUE"""),185.22)</f>
        <v>185.22</v>
      </c>
      <c r="J881" s="1">
        <f ca="1">IFERROR(__xludf.DUMMYFUNCTION("""COMPUTED_VALUE"""),538.38)</f>
        <v>538.38</v>
      </c>
      <c r="K881" s="1">
        <f ca="1">IFERROR(__xludf.DUMMYFUNCTION("""COMPUTED_VALUE"""),86.74)</f>
        <v>86.74</v>
      </c>
      <c r="L881" s="1">
        <f ca="1">IFERROR(__xludf.DUMMYFUNCTION("""COMPUTED_VALUE"""),488.99)</f>
        <v>488.99</v>
      </c>
      <c r="M881" s="1">
        <f ca="1">IFERROR(__xludf.DUMMYFUNCTION("""COMPUTED_VALUE"""),440.49)</f>
        <v>440.49</v>
      </c>
      <c r="N881" s="1">
        <f ca="1">IFERROR(__xludf.DUMMYFUNCTION("""COMPUTED_VALUE"""),145.44)</f>
        <v>145.44</v>
      </c>
      <c r="O881" s="1">
        <f ca="1">IFERROR(__xludf.DUMMYFUNCTION("""COMPUTED_VALUE"""),237.48)</f>
        <v>237.48</v>
      </c>
      <c r="P881" s="1">
        <f ca="1">IFERROR(__xludf.DUMMYFUNCTION("""COMPUTED_VALUE"""),165.52)</f>
        <v>165.52</v>
      </c>
      <c r="Q881" s="1">
        <f ca="1">IFERROR(__xludf.DUMMYFUNCTION("""COMPUTED_VALUE"""),480.64)</f>
        <v>480.64</v>
      </c>
      <c r="R881" s="1">
        <f ca="1">IFERROR(__xludf.DUMMYFUNCTION("""COMPUTED_VALUE"""),107.25)</f>
        <v>107.25</v>
      </c>
      <c r="S881" s="1">
        <f ca="1">IFERROR(__xludf.DUMMYFUNCTION("""COMPUTED_VALUE"""),74.2)</f>
        <v>74.2</v>
      </c>
      <c r="T881" s="1">
        <f ca="1">IFERROR(__xludf.DUMMYFUNCTION("""COMPUTED_VALUE"""),52.39)</f>
        <v>52.39</v>
      </c>
      <c r="U881" s="1">
        <f ca="1">IFERROR(__xludf.DUMMYFUNCTION("""COMPUTED_VALUE"""),110.37)</f>
        <v>110.37</v>
      </c>
      <c r="V881" s="1">
        <f ca="1">IFERROR(__xludf.DUMMYFUNCTION("""COMPUTED_VALUE"""),246.05)</f>
        <v>246.05</v>
      </c>
      <c r="W881" s="1">
        <f ca="1">IFERROR(__xludf.DUMMYFUNCTION("""COMPUTED_VALUE"""),460.38)</f>
        <v>460.38</v>
      </c>
      <c r="X881" s="1">
        <f ca="1">IFERROR(__xludf.DUMMYFUNCTION("""COMPUTED_VALUE"""),724.75)</f>
        <v>724.75</v>
      </c>
      <c r="Y881" s="1">
        <f ca="1">IFERROR(__xludf.DUMMYFUNCTION("""COMPUTED_VALUE"""),100.92)</f>
        <v>100.92</v>
      </c>
      <c r="Z881" s="1">
        <f ca="1">IFERROR(__xludf.DUMMYFUNCTION("""COMPUTED_VALUE"""),322.54)</f>
        <v>322.54000000000002</v>
      </c>
      <c r="AA881" s="1">
        <f ca="1">IFERROR(__xludf.DUMMYFUNCTION("""COMPUTED_VALUE"""),36.68)</f>
        <v>36.68</v>
      </c>
      <c r="AB881" s="1">
        <f ca="1">IFERROR(__xludf.DUMMYFUNCTION("""COMPUTED_VALUE"""),99.06)</f>
        <v>99.06</v>
      </c>
      <c r="AC881" s="1">
        <f ca="1">IFERROR(__xludf.DUMMYFUNCTION("""COMPUTED_VALUE"""),113.91)</f>
        <v>113.91</v>
      </c>
    </row>
    <row r="882" spans="1:29" x14ac:dyDescent="0.25">
      <c r="A882" s="2">
        <f ca="1">IFERROR(__xludf.DUMMYFUNCTION("""COMPUTED_VALUE"""),45110.5451388888)</f>
        <v>45110.545138888803</v>
      </c>
      <c r="B882" s="1">
        <f ca="1">IFERROR(__xludf.DUMMYFUNCTION("""COMPUTED_VALUE"""),192.46)</f>
        <v>192.46</v>
      </c>
      <c r="C882" s="1">
        <f ca="1">IFERROR(__xludf.DUMMYFUNCTION("""COMPUTED_VALUE"""),337.99)</f>
        <v>337.99</v>
      </c>
      <c r="D882" s="1">
        <f ca="1">IFERROR(__xludf.DUMMYFUNCTION("""COMPUTED_VALUE"""),130.22)</f>
        <v>130.22</v>
      </c>
      <c r="E882" s="1">
        <f ca="1">IFERROR(__xludf.DUMMYFUNCTION("""COMPUTED_VALUE"""),42.41)</f>
        <v>42.41</v>
      </c>
      <c r="F882" s="1">
        <f ca="1">IFERROR(__xludf.DUMMYFUNCTION("""COMPUTED_VALUE"""),286.02)</f>
        <v>286.02</v>
      </c>
      <c r="G882" s="1">
        <f ca="1">IFERROR(__xludf.DUMMYFUNCTION("""COMPUTED_VALUE"""),120.56)</f>
        <v>120.56</v>
      </c>
      <c r="H882" s="1">
        <f ca="1">IFERROR(__xludf.DUMMYFUNCTION("""COMPUTED_VALUE"""),279.82)</f>
        <v>279.82</v>
      </c>
      <c r="I882" s="1">
        <f ca="1">IFERROR(__xludf.DUMMYFUNCTION("""COMPUTED_VALUE"""),185.6)</f>
        <v>185.6</v>
      </c>
      <c r="J882" s="1">
        <f ca="1">IFERROR(__xludf.DUMMYFUNCTION("""COMPUTED_VALUE"""),541.04)</f>
        <v>541.04</v>
      </c>
      <c r="K882" s="1">
        <f ca="1">IFERROR(__xludf.DUMMYFUNCTION("""COMPUTED_VALUE"""),87.64)</f>
        <v>87.64</v>
      </c>
      <c r="L882" s="1">
        <f ca="1">IFERROR(__xludf.DUMMYFUNCTION("""COMPUTED_VALUE"""),485.21)</f>
        <v>485.21</v>
      </c>
      <c r="M882" s="1">
        <f ca="1">IFERROR(__xludf.DUMMYFUNCTION("""COMPUTED_VALUE"""),441.44)</f>
        <v>441.44</v>
      </c>
      <c r="N882" s="1">
        <f ca="1">IFERROR(__xludf.DUMMYFUNCTION("""COMPUTED_VALUE"""),146.61)</f>
        <v>146.61000000000001</v>
      </c>
      <c r="O882" s="1">
        <f ca="1">IFERROR(__xludf.DUMMYFUNCTION("""COMPUTED_VALUE"""),237.97)</f>
        <v>237.97</v>
      </c>
      <c r="P882" s="1">
        <f ca="1">IFERROR(__xludf.DUMMYFUNCTION("""COMPUTED_VALUE"""),163.35)</f>
        <v>163.35</v>
      </c>
      <c r="Q882" s="1">
        <f ca="1">IFERROR(__xludf.DUMMYFUNCTION("""COMPUTED_VALUE"""),477.88)</f>
        <v>477.88</v>
      </c>
      <c r="R882" s="1">
        <f ca="1">IFERROR(__xludf.DUMMYFUNCTION("""COMPUTED_VALUE"""),107.46)</f>
        <v>107.46</v>
      </c>
      <c r="S882" s="1">
        <f ca="1">IFERROR(__xludf.DUMMYFUNCTION("""COMPUTED_VALUE"""),74.38)</f>
        <v>74.38</v>
      </c>
      <c r="T882" s="1">
        <f ca="1">IFERROR(__xludf.DUMMYFUNCTION("""COMPUTED_VALUE"""),52.73)</f>
        <v>52.73</v>
      </c>
      <c r="U882" s="1">
        <f ca="1">IFERROR(__xludf.DUMMYFUNCTION("""COMPUTED_VALUE"""),109.11)</f>
        <v>109.11</v>
      </c>
      <c r="V882" s="1">
        <f ca="1">IFERROR(__xludf.DUMMYFUNCTION("""COMPUTED_VALUE"""),247.33)</f>
        <v>247.33</v>
      </c>
      <c r="W882" s="1">
        <f ca="1">IFERROR(__xludf.DUMMYFUNCTION("""COMPUTED_VALUE"""),462.58)</f>
        <v>462.58</v>
      </c>
      <c r="X882" s="1">
        <f ca="1">IFERROR(__xludf.DUMMYFUNCTION("""COMPUTED_VALUE"""),733.88)</f>
        <v>733.88</v>
      </c>
      <c r="Y882" s="1">
        <f ca="1">IFERROR(__xludf.DUMMYFUNCTION("""COMPUTED_VALUE"""),103.15)</f>
        <v>103.15</v>
      </c>
      <c r="Z882" s="1">
        <f ca="1">IFERROR(__xludf.DUMMYFUNCTION("""COMPUTED_VALUE"""),326.61)</f>
        <v>326.61</v>
      </c>
      <c r="AA882" s="1">
        <f ca="1">IFERROR(__xludf.DUMMYFUNCTION("""COMPUTED_VALUE"""),36.65)</f>
        <v>36.65</v>
      </c>
      <c r="AB882" s="1">
        <f ca="1">IFERROR(__xludf.DUMMYFUNCTION("""COMPUTED_VALUE"""),99.15)</f>
        <v>99.15</v>
      </c>
      <c r="AC882" s="1">
        <f ca="1">IFERROR(__xludf.DUMMYFUNCTION("""COMPUTED_VALUE"""),115.82)</f>
        <v>115.82</v>
      </c>
    </row>
    <row r="883" spans="1:29" x14ac:dyDescent="0.25">
      <c r="A883" s="2">
        <f ca="1">IFERROR(__xludf.DUMMYFUNCTION("""COMPUTED_VALUE"""),45112.6666666666)</f>
        <v>45112.666666666599</v>
      </c>
      <c r="B883" s="1">
        <f ca="1">IFERROR(__xludf.DUMMYFUNCTION("""COMPUTED_VALUE"""),191.33)</f>
        <v>191.33</v>
      </c>
      <c r="C883" s="1">
        <f ca="1">IFERROR(__xludf.DUMMYFUNCTION("""COMPUTED_VALUE"""),338.15)</f>
        <v>338.15</v>
      </c>
      <c r="D883" s="1">
        <f ca="1">IFERROR(__xludf.DUMMYFUNCTION("""COMPUTED_VALUE"""),130.38)</f>
        <v>130.38</v>
      </c>
      <c r="E883" s="1">
        <f ca="1">IFERROR(__xludf.DUMMYFUNCTION("""COMPUTED_VALUE"""),42.32)</f>
        <v>42.32</v>
      </c>
      <c r="F883" s="1">
        <f ca="1">IFERROR(__xludf.DUMMYFUNCTION("""COMPUTED_VALUE"""),294.37)</f>
        <v>294.37</v>
      </c>
      <c r="G883" s="1">
        <f ca="1">IFERROR(__xludf.DUMMYFUNCTION("""COMPUTED_VALUE"""),122.63)</f>
        <v>122.63</v>
      </c>
      <c r="H883" s="1">
        <f ca="1">IFERROR(__xludf.DUMMYFUNCTION("""COMPUTED_VALUE"""),282.48)</f>
        <v>282.48</v>
      </c>
      <c r="I883" s="1">
        <f ca="1">IFERROR(__xludf.DUMMYFUNCTION("""COMPUTED_VALUE"""),186.58)</f>
        <v>186.58</v>
      </c>
      <c r="J883" s="1">
        <f ca="1">IFERROR(__xludf.DUMMYFUNCTION("""COMPUTED_VALUE"""),541.13)</f>
        <v>541.13</v>
      </c>
      <c r="K883" s="1">
        <f ca="1">IFERROR(__xludf.DUMMYFUNCTION("""COMPUTED_VALUE"""),86.19)</f>
        <v>86.19</v>
      </c>
      <c r="L883" s="1">
        <f ca="1">IFERROR(__xludf.DUMMYFUNCTION("""COMPUTED_VALUE"""),487.26)</f>
        <v>487.26</v>
      </c>
      <c r="M883" s="1">
        <f ca="1">IFERROR(__xludf.DUMMYFUNCTION("""COMPUTED_VALUE"""),445.9)</f>
        <v>445.9</v>
      </c>
      <c r="N883" s="1">
        <f ca="1">IFERROR(__xludf.DUMMYFUNCTION("""COMPUTED_VALUE"""),144.64)</f>
        <v>144.63999999999999</v>
      </c>
      <c r="O883" s="1">
        <f ca="1">IFERROR(__xludf.DUMMYFUNCTION("""COMPUTED_VALUE"""),239.45)</f>
        <v>239.45</v>
      </c>
      <c r="P883" s="1">
        <f ca="1">IFERROR(__xludf.DUMMYFUNCTION("""COMPUTED_VALUE"""),162.81)</f>
        <v>162.81</v>
      </c>
      <c r="Q883" s="1">
        <f ca="1">IFERROR(__xludf.DUMMYFUNCTION("""COMPUTED_VALUE"""),471.22)</f>
        <v>471.22</v>
      </c>
      <c r="R883" s="1">
        <f ca="1">IFERROR(__xludf.DUMMYFUNCTION("""COMPUTED_VALUE"""),106.91)</f>
        <v>106.91</v>
      </c>
      <c r="S883" s="1">
        <f ca="1">IFERROR(__xludf.DUMMYFUNCTION("""COMPUTED_VALUE"""),74.95)</f>
        <v>74.95</v>
      </c>
      <c r="T883" s="1">
        <f ca="1">IFERROR(__xludf.DUMMYFUNCTION("""COMPUTED_VALUE"""),52.7)</f>
        <v>52.7</v>
      </c>
      <c r="U883" s="1">
        <f ca="1">IFERROR(__xludf.DUMMYFUNCTION("""COMPUTED_VALUE"""),107.1)</f>
        <v>107.1</v>
      </c>
      <c r="V883" s="1">
        <f ca="1">IFERROR(__xludf.DUMMYFUNCTION("""COMPUTED_VALUE"""),244.83)</f>
        <v>244.83</v>
      </c>
      <c r="W883" s="1">
        <f ca="1">IFERROR(__xludf.DUMMYFUNCTION("""COMPUTED_VALUE"""),462.76)</f>
        <v>462.76</v>
      </c>
      <c r="X883" s="1">
        <f ca="1">IFERROR(__xludf.DUMMYFUNCTION("""COMPUTED_VALUE"""),715.67)</f>
        <v>715.67</v>
      </c>
      <c r="Y883" s="1">
        <f ca="1">IFERROR(__xludf.DUMMYFUNCTION("""COMPUTED_VALUE"""),100.99)</f>
        <v>100.99</v>
      </c>
      <c r="Z883" s="1">
        <f ca="1">IFERROR(__xludf.DUMMYFUNCTION("""COMPUTED_VALUE"""),320.05)</f>
        <v>320.05</v>
      </c>
      <c r="AA883" s="1">
        <f ca="1">IFERROR(__xludf.DUMMYFUNCTION("""COMPUTED_VALUE"""),36.46)</f>
        <v>36.46</v>
      </c>
      <c r="AB883" s="1">
        <f ca="1">IFERROR(__xludf.DUMMYFUNCTION("""COMPUTED_VALUE"""),98.46)</f>
        <v>98.46</v>
      </c>
      <c r="AC883" s="1">
        <f ca="1">IFERROR(__xludf.DUMMYFUNCTION("""COMPUTED_VALUE"""),113.95)</f>
        <v>113.95</v>
      </c>
    </row>
    <row r="884" spans="1:29" x14ac:dyDescent="0.25">
      <c r="A884" s="2">
        <f ca="1">IFERROR(__xludf.DUMMYFUNCTION("""COMPUTED_VALUE"""),45113.6666666666)</f>
        <v>45113.666666666599</v>
      </c>
      <c r="B884" s="1">
        <f ca="1">IFERROR(__xludf.DUMMYFUNCTION("""COMPUTED_VALUE"""),191.81)</f>
        <v>191.81</v>
      </c>
      <c r="C884" s="1">
        <f ca="1">IFERROR(__xludf.DUMMYFUNCTION("""COMPUTED_VALUE"""),341.27)</f>
        <v>341.27</v>
      </c>
      <c r="D884" s="1">
        <f ca="1">IFERROR(__xludf.DUMMYFUNCTION("""COMPUTED_VALUE"""),128.36)</f>
        <v>128.36000000000001</v>
      </c>
      <c r="E884" s="1">
        <f ca="1">IFERROR(__xludf.DUMMYFUNCTION("""COMPUTED_VALUE"""),42.1)</f>
        <v>42.1</v>
      </c>
      <c r="F884" s="1">
        <f ca="1">IFERROR(__xludf.DUMMYFUNCTION("""COMPUTED_VALUE"""),291.99)</f>
        <v>291.99</v>
      </c>
      <c r="G884" s="1">
        <f ca="1">IFERROR(__xludf.DUMMYFUNCTION("""COMPUTED_VALUE"""),120.93)</f>
        <v>120.93</v>
      </c>
      <c r="H884" s="1">
        <f ca="1">IFERROR(__xludf.DUMMYFUNCTION("""COMPUTED_VALUE"""),276.54)</f>
        <v>276.54000000000002</v>
      </c>
      <c r="I884" s="1">
        <f ca="1">IFERROR(__xludf.DUMMYFUNCTION("""COMPUTED_VALUE"""),186.6)</f>
        <v>186.6</v>
      </c>
      <c r="J884" s="1">
        <f ca="1">IFERROR(__xludf.DUMMYFUNCTION("""COMPUTED_VALUE"""),537.37)</f>
        <v>537.37</v>
      </c>
      <c r="K884" s="1">
        <f ca="1">IFERROR(__xludf.DUMMYFUNCTION("""COMPUTED_VALUE"""),84.8)</f>
        <v>84.8</v>
      </c>
      <c r="L884" s="1">
        <f ca="1">IFERROR(__xludf.DUMMYFUNCTION("""COMPUTED_VALUE"""),481.29)</f>
        <v>481.29</v>
      </c>
      <c r="M884" s="1">
        <f ca="1">IFERROR(__xludf.DUMMYFUNCTION("""COMPUTED_VALUE"""),438.84)</f>
        <v>438.84</v>
      </c>
      <c r="N884" s="1">
        <f ca="1">IFERROR(__xludf.DUMMYFUNCTION("""COMPUTED_VALUE"""),143.21)</f>
        <v>143.21</v>
      </c>
      <c r="O884" s="1">
        <f ca="1">IFERROR(__xludf.DUMMYFUNCTION("""COMPUTED_VALUE"""),238.88)</f>
        <v>238.88</v>
      </c>
      <c r="P884" s="1">
        <f ca="1">IFERROR(__xludf.DUMMYFUNCTION("""COMPUTED_VALUE"""),161.6)</f>
        <v>161.6</v>
      </c>
      <c r="Q884" s="1">
        <f ca="1">IFERROR(__xludf.DUMMYFUNCTION("""COMPUTED_VALUE"""),469.36)</f>
        <v>469.36</v>
      </c>
      <c r="R884" s="1">
        <f ca="1">IFERROR(__xludf.DUMMYFUNCTION("""COMPUTED_VALUE"""),102.92)</f>
        <v>102.92</v>
      </c>
      <c r="S884" s="1">
        <f ca="1">IFERROR(__xludf.DUMMYFUNCTION("""COMPUTED_VALUE"""),73.02)</f>
        <v>73.02</v>
      </c>
      <c r="T884" s="1">
        <f ca="1">IFERROR(__xludf.DUMMYFUNCTION("""COMPUTED_VALUE"""),52.37)</f>
        <v>52.37</v>
      </c>
      <c r="U884" s="1">
        <f ca="1">IFERROR(__xludf.DUMMYFUNCTION("""COMPUTED_VALUE"""),105.1)</f>
        <v>105.1</v>
      </c>
      <c r="V884" s="1">
        <f ca="1">IFERROR(__xludf.DUMMYFUNCTION("""COMPUTED_VALUE"""),240.58)</f>
        <v>240.58</v>
      </c>
      <c r="W884" s="1">
        <f ca="1">IFERROR(__xludf.DUMMYFUNCTION("""COMPUTED_VALUE"""),461.64)</f>
        <v>461.64</v>
      </c>
      <c r="X884" s="1">
        <f ca="1">IFERROR(__xludf.DUMMYFUNCTION("""COMPUTED_VALUE"""),699.31)</f>
        <v>699.31</v>
      </c>
      <c r="Y884" s="1">
        <f ca="1">IFERROR(__xludf.DUMMYFUNCTION("""COMPUTED_VALUE"""),99.41)</f>
        <v>99.41</v>
      </c>
      <c r="Z884" s="1">
        <f ca="1">IFERROR(__xludf.DUMMYFUNCTION("""COMPUTED_VALUE"""),313)</f>
        <v>313</v>
      </c>
      <c r="AA884" s="1">
        <f ca="1">IFERROR(__xludf.DUMMYFUNCTION("""COMPUTED_VALUE"""),35.63)</f>
        <v>35.630000000000003</v>
      </c>
      <c r="AB884" s="1">
        <f ca="1">IFERROR(__xludf.DUMMYFUNCTION("""COMPUTED_VALUE"""),96.2)</f>
        <v>96.2</v>
      </c>
      <c r="AC884" s="1">
        <f ca="1">IFERROR(__xludf.DUMMYFUNCTION("""COMPUTED_VALUE"""),113.48)</f>
        <v>113.48</v>
      </c>
    </row>
    <row r="885" spans="1:29" x14ac:dyDescent="0.25">
      <c r="A885" s="2">
        <f ca="1">IFERROR(__xludf.DUMMYFUNCTION("""COMPUTED_VALUE"""),45114.6666666666)</f>
        <v>45114.666666666599</v>
      </c>
      <c r="B885" s="1">
        <f ca="1">IFERROR(__xludf.DUMMYFUNCTION("""COMPUTED_VALUE"""),190.68)</f>
        <v>190.68</v>
      </c>
      <c r="C885" s="1">
        <f ca="1">IFERROR(__xludf.DUMMYFUNCTION("""COMPUTED_VALUE"""),337.22)</f>
        <v>337.22</v>
      </c>
      <c r="D885" s="1">
        <f ca="1">IFERROR(__xludf.DUMMYFUNCTION("""COMPUTED_VALUE"""),129.78)</f>
        <v>129.78</v>
      </c>
      <c r="E885" s="1">
        <f ca="1">IFERROR(__xludf.DUMMYFUNCTION("""COMPUTED_VALUE"""),42.5)</f>
        <v>42.5</v>
      </c>
      <c r="F885" s="1">
        <f ca="1">IFERROR(__xludf.DUMMYFUNCTION("""COMPUTED_VALUE"""),290.53)</f>
        <v>290.52999999999997</v>
      </c>
      <c r="G885" s="1">
        <f ca="1">IFERROR(__xludf.DUMMYFUNCTION("""COMPUTED_VALUE"""),120.14)</f>
        <v>120.14</v>
      </c>
      <c r="H885" s="1">
        <f ca="1">IFERROR(__xludf.DUMMYFUNCTION("""COMPUTED_VALUE"""),274.43)</f>
        <v>274.43</v>
      </c>
      <c r="I885" s="1">
        <f ca="1">IFERROR(__xludf.DUMMYFUNCTION("""COMPUTED_VALUE"""),183.08)</f>
        <v>183.08</v>
      </c>
      <c r="J885" s="1">
        <f ca="1">IFERROR(__xludf.DUMMYFUNCTION("""COMPUTED_VALUE"""),525.05)</f>
        <v>525.04999999999995</v>
      </c>
      <c r="K885" s="1">
        <f ca="1">IFERROR(__xludf.DUMMYFUNCTION("""COMPUTED_VALUE"""),84.68)</f>
        <v>84.68</v>
      </c>
      <c r="L885" s="1">
        <f ca="1">IFERROR(__xludf.DUMMYFUNCTION("""COMPUTED_VALUE"""),485.27)</f>
        <v>485.27</v>
      </c>
      <c r="M885" s="1">
        <f ca="1">IFERROR(__xludf.DUMMYFUNCTION("""COMPUTED_VALUE"""),438.1)</f>
        <v>438.1</v>
      </c>
      <c r="N885" s="1">
        <f ca="1">IFERROR(__xludf.DUMMYFUNCTION("""COMPUTED_VALUE"""),144.34)</f>
        <v>144.34</v>
      </c>
      <c r="O885" s="1">
        <f ca="1">IFERROR(__xludf.DUMMYFUNCTION("""COMPUTED_VALUE"""),236.45)</f>
        <v>236.45</v>
      </c>
      <c r="P885" s="1">
        <f ca="1">IFERROR(__xludf.DUMMYFUNCTION("""COMPUTED_VALUE"""),159.25)</f>
        <v>159.25</v>
      </c>
      <c r="Q885" s="1">
        <f ca="1">IFERROR(__xludf.DUMMYFUNCTION("""COMPUTED_VALUE"""),461.58)</f>
        <v>461.58</v>
      </c>
      <c r="R885" s="1">
        <f ca="1">IFERROR(__xludf.DUMMYFUNCTION("""COMPUTED_VALUE"""),103.16)</f>
        <v>103.16</v>
      </c>
      <c r="S885" s="1">
        <f ca="1">IFERROR(__xludf.DUMMYFUNCTION("""COMPUTED_VALUE"""),72.05)</f>
        <v>72.05</v>
      </c>
      <c r="T885" s="1">
        <f ca="1">IFERROR(__xludf.DUMMYFUNCTION("""COMPUTED_VALUE"""),51.16)</f>
        <v>51.16</v>
      </c>
      <c r="U885" s="1">
        <f ca="1">IFERROR(__xludf.DUMMYFUNCTION("""COMPUTED_VALUE"""),104.46)</f>
        <v>104.46</v>
      </c>
      <c r="V885" s="1">
        <f ca="1">IFERROR(__xludf.DUMMYFUNCTION("""COMPUTED_VALUE"""),245.18)</f>
        <v>245.18</v>
      </c>
      <c r="W885" s="1">
        <f ca="1">IFERROR(__xludf.DUMMYFUNCTION("""COMPUTED_VALUE"""),458.71)</f>
        <v>458.71</v>
      </c>
      <c r="X885" s="1">
        <f ca="1">IFERROR(__xludf.DUMMYFUNCTION("""COMPUTED_VALUE"""),696.74)</f>
        <v>696.74</v>
      </c>
      <c r="Y885" s="1">
        <f ca="1">IFERROR(__xludf.DUMMYFUNCTION("""COMPUTED_VALUE"""),100.23)</f>
        <v>100.23</v>
      </c>
      <c r="Z885" s="1">
        <f ca="1">IFERROR(__xludf.DUMMYFUNCTION("""COMPUTED_VALUE"""),315.17)</f>
        <v>315.17</v>
      </c>
      <c r="AA885" s="1">
        <f ca="1">IFERROR(__xludf.DUMMYFUNCTION("""COMPUTED_VALUE"""),35.53)</f>
        <v>35.53</v>
      </c>
      <c r="AB885" s="1">
        <f ca="1">IFERROR(__xludf.DUMMYFUNCTION("""COMPUTED_VALUE"""),96.05)</f>
        <v>96.05</v>
      </c>
      <c r="AC885" s="1">
        <f ca="1">IFERROR(__xludf.DUMMYFUNCTION("""COMPUTED_VALUE"""),113.17)</f>
        <v>113.17</v>
      </c>
    </row>
    <row r="886" spans="1:29" x14ac:dyDescent="0.25">
      <c r="A886" s="2">
        <f ca="1">IFERROR(__xludf.DUMMYFUNCTION("""COMPUTED_VALUE"""),45117.6666666666)</f>
        <v>45117.666666666599</v>
      </c>
      <c r="B886" s="1">
        <f ca="1">IFERROR(__xludf.DUMMYFUNCTION("""COMPUTED_VALUE"""),188.61)</f>
        <v>188.61</v>
      </c>
      <c r="C886" s="1">
        <f ca="1">IFERROR(__xludf.DUMMYFUNCTION("""COMPUTED_VALUE"""),331.83)</f>
        <v>331.83</v>
      </c>
      <c r="D886" s="1">
        <f ca="1">IFERROR(__xludf.DUMMYFUNCTION("""COMPUTED_VALUE"""),127.13)</f>
        <v>127.13</v>
      </c>
      <c r="E886" s="1">
        <f ca="1">IFERROR(__xludf.DUMMYFUNCTION("""COMPUTED_VALUE"""),42.18)</f>
        <v>42.18</v>
      </c>
      <c r="F886" s="1">
        <f ca="1">IFERROR(__xludf.DUMMYFUNCTION("""COMPUTED_VALUE"""),294.1)</f>
        <v>294.10000000000002</v>
      </c>
      <c r="G886" s="1">
        <f ca="1">IFERROR(__xludf.DUMMYFUNCTION("""COMPUTED_VALUE"""),116.87)</f>
        <v>116.87</v>
      </c>
      <c r="H886" s="1">
        <f ca="1">IFERROR(__xludf.DUMMYFUNCTION("""COMPUTED_VALUE"""),269.61)</f>
        <v>269.61</v>
      </c>
      <c r="I886" s="1">
        <f ca="1">IFERROR(__xludf.DUMMYFUNCTION("""COMPUTED_VALUE"""),184.3)</f>
        <v>184.3</v>
      </c>
      <c r="J886" s="1">
        <f ca="1">IFERROR(__xludf.DUMMYFUNCTION("""COMPUTED_VALUE"""),527.01)</f>
        <v>527.01</v>
      </c>
      <c r="K886" s="1">
        <f ca="1">IFERROR(__xludf.DUMMYFUNCTION("""COMPUTED_VALUE"""),87.77)</f>
        <v>87.77</v>
      </c>
      <c r="L886" s="1">
        <f ca="1">IFERROR(__xludf.DUMMYFUNCTION("""COMPUTED_VALUE"""),496.35)</f>
        <v>496.35</v>
      </c>
      <c r="M886" s="1">
        <f ca="1">IFERROR(__xludf.DUMMYFUNCTION("""COMPUTED_VALUE"""),441.71)</f>
        <v>441.71</v>
      </c>
      <c r="N886" s="1">
        <f ca="1">IFERROR(__xludf.DUMMYFUNCTION("""COMPUTED_VALUE"""),145.15)</f>
        <v>145.15</v>
      </c>
      <c r="O886" s="1">
        <f ca="1">IFERROR(__xludf.DUMMYFUNCTION("""COMPUTED_VALUE"""),238.16)</f>
        <v>238.16</v>
      </c>
      <c r="P886" s="1">
        <f ca="1">IFERROR(__xludf.DUMMYFUNCTION("""COMPUTED_VALUE"""),159.51)</f>
        <v>159.51</v>
      </c>
      <c r="Q886" s="1">
        <f ca="1">IFERROR(__xludf.DUMMYFUNCTION("""COMPUTED_VALUE"""),463.05)</f>
        <v>463.05</v>
      </c>
      <c r="R886" s="1">
        <f ca="1">IFERROR(__xludf.DUMMYFUNCTION("""COMPUTED_VALUE"""),104.69)</f>
        <v>104.69</v>
      </c>
      <c r="S886" s="1">
        <f ca="1">IFERROR(__xludf.DUMMYFUNCTION("""COMPUTED_VALUE"""),71.71)</f>
        <v>71.709999999999994</v>
      </c>
      <c r="T886" s="1">
        <f ca="1">IFERROR(__xludf.DUMMYFUNCTION("""COMPUTED_VALUE"""),51.63)</f>
        <v>51.63</v>
      </c>
      <c r="U886" s="1">
        <f ca="1">IFERROR(__xludf.DUMMYFUNCTION("""COMPUTED_VALUE"""),105.78)</f>
        <v>105.78</v>
      </c>
      <c r="V886" s="1">
        <f ca="1">IFERROR(__xludf.DUMMYFUNCTION("""COMPUTED_VALUE"""),248.81)</f>
        <v>248.81</v>
      </c>
      <c r="W886" s="1">
        <f ca="1">IFERROR(__xludf.DUMMYFUNCTION("""COMPUTED_VALUE"""),460.38)</f>
        <v>460.38</v>
      </c>
      <c r="X886" s="1">
        <f ca="1">IFERROR(__xludf.DUMMYFUNCTION("""COMPUTED_VALUE"""),709.83)</f>
        <v>709.83</v>
      </c>
      <c r="Y886" s="1">
        <f ca="1">IFERROR(__xludf.DUMMYFUNCTION("""COMPUTED_VALUE"""),99.77)</f>
        <v>99.77</v>
      </c>
      <c r="Z886" s="1">
        <f ca="1">IFERROR(__xludf.DUMMYFUNCTION("""COMPUTED_VALUE"""),316.47)</f>
        <v>316.47000000000003</v>
      </c>
      <c r="AA886" s="1">
        <f ca="1">IFERROR(__xludf.DUMMYFUNCTION("""COMPUTED_VALUE"""),35.68)</f>
        <v>35.68</v>
      </c>
      <c r="AB886" s="1">
        <f ca="1">IFERROR(__xludf.DUMMYFUNCTION("""COMPUTED_VALUE"""),99.13)</f>
        <v>99.13</v>
      </c>
      <c r="AC886" s="1">
        <f ca="1">IFERROR(__xludf.DUMMYFUNCTION("""COMPUTED_VALUE"""),113.58)</f>
        <v>113.58</v>
      </c>
    </row>
    <row r="887" spans="1:29" x14ac:dyDescent="0.25">
      <c r="A887" s="2">
        <f ca="1">IFERROR(__xludf.DUMMYFUNCTION("""COMPUTED_VALUE"""),45118.6666666666)</f>
        <v>45118.666666666599</v>
      </c>
      <c r="B887" s="1">
        <f ca="1">IFERROR(__xludf.DUMMYFUNCTION("""COMPUTED_VALUE"""),188.08)</f>
        <v>188.08</v>
      </c>
      <c r="C887" s="1">
        <f ca="1">IFERROR(__xludf.DUMMYFUNCTION("""COMPUTED_VALUE"""),332.47)</f>
        <v>332.47</v>
      </c>
      <c r="D887" s="1">
        <f ca="1">IFERROR(__xludf.DUMMYFUNCTION("""COMPUTED_VALUE"""),128.78)</f>
        <v>128.78</v>
      </c>
      <c r="E887" s="1">
        <f ca="1">IFERROR(__xludf.DUMMYFUNCTION("""COMPUTED_VALUE"""),42.41)</f>
        <v>42.41</v>
      </c>
      <c r="F887" s="1">
        <f ca="1">IFERROR(__xludf.DUMMYFUNCTION("""COMPUTED_VALUE"""),298.29)</f>
        <v>298.29000000000002</v>
      </c>
      <c r="G887" s="1">
        <f ca="1">IFERROR(__xludf.DUMMYFUNCTION("""COMPUTED_VALUE"""),117.71)</f>
        <v>117.71</v>
      </c>
      <c r="H887" s="1">
        <f ca="1">IFERROR(__xludf.DUMMYFUNCTION("""COMPUTED_VALUE"""),269.79)</f>
        <v>269.79000000000002</v>
      </c>
      <c r="I887" s="1">
        <f ca="1">IFERROR(__xludf.DUMMYFUNCTION("""COMPUTED_VALUE"""),183.98)</f>
        <v>183.98</v>
      </c>
      <c r="J887" s="1">
        <f ca="1">IFERROR(__xludf.DUMMYFUNCTION("""COMPUTED_VALUE"""),529.64)</f>
        <v>529.64</v>
      </c>
      <c r="K887" s="1">
        <f ca="1">IFERROR(__xludf.DUMMYFUNCTION("""COMPUTED_VALUE"""),88.21)</f>
        <v>88.21</v>
      </c>
      <c r="L887" s="1">
        <f ca="1">IFERROR(__xludf.DUMMYFUNCTION("""COMPUTED_VALUE"""),504.74)</f>
        <v>504.74</v>
      </c>
      <c r="M887" s="1">
        <f ca="1">IFERROR(__xludf.DUMMYFUNCTION("""COMPUTED_VALUE"""),440.21)</f>
        <v>440.21</v>
      </c>
      <c r="N887" s="1">
        <f ca="1">IFERROR(__xludf.DUMMYFUNCTION("""COMPUTED_VALUE"""),147.42)</f>
        <v>147.41999999999999</v>
      </c>
      <c r="O887" s="1">
        <f ca="1">IFERROR(__xludf.DUMMYFUNCTION("""COMPUTED_VALUE"""),240.55)</f>
        <v>240.55</v>
      </c>
      <c r="P887" s="1">
        <f ca="1">IFERROR(__xludf.DUMMYFUNCTION("""COMPUTED_VALUE"""),158.63)</f>
        <v>158.63</v>
      </c>
      <c r="Q887" s="1">
        <f ca="1">IFERROR(__xludf.DUMMYFUNCTION("""COMPUTED_VALUE"""),462.89)</f>
        <v>462.89</v>
      </c>
      <c r="R887" s="1">
        <f ca="1">IFERROR(__xludf.DUMMYFUNCTION("""COMPUTED_VALUE"""),105.97)</f>
        <v>105.97</v>
      </c>
      <c r="S887" s="1">
        <f ca="1">IFERROR(__xludf.DUMMYFUNCTION("""COMPUTED_VALUE"""),72.19)</f>
        <v>72.19</v>
      </c>
      <c r="T887" s="1">
        <f ca="1">IFERROR(__xludf.DUMMYFUNCTION("""COMPUTED_VALUE"""),51.55)</f>
        <v>51.55</v>
      </c>
      <c r="U887" s="1">
        <f ca="1">IFERROR(__xludf.DUMMYFUNCTION("""COMPUTED_VALUE"""),107.39)</f>
        <v>107.39</v>
      </c>
      <c r="V887" s="1">
        <f ca="1">IFERROR(__xludf.DUMMYFUNCTION("""COMPUTED_VALUE"""),252.85)</f>
        <v>252.85</v>
      </c>
      <c r="W887" s="1">
        <f ca="1">IFERROR(__xludf.DUMMYFUNCTION("""COMPUTED_VALUE"""),466.29)</f>
        <v>466.29</v>
      </c>
      <c r="X887" s="1">
        <f ca="1">IFERROR(__xludf.DUMMYFUNCTION("""COMPUTED_VALUE"""),705)</f>
        <v>705</v>
      </c>
      <c r="Y887" s="1">
        <f ca="1">IFERROR(__xludf.DUMMYFUNCTION("""COMPUTED_VALUE"""),101.26)</f>
        <v>101.26</v>
      </c>
      <c r="Z887" s="1">
        <f ca="1">IFERROR(__xludf.DUMMYFUNCTION("""COMPUTED_VALUE"""),320.88)</f>
        <v>320.88</v>
      </c>
      <c r="AA887" s="1">
        <f ca="1">IFERROR(__xludf.DUMMYFUNCTION("""COMPUTED_VALUE"""),36.02)</f>
        <v>36.020000000000003</v>
      </c>
      <c r="AB887" s="1">
        <f ca="1">IFERROR(__xludf.DUMMYFUNCTION("""COMPUTED_VALUE"""),100.09)</f>
        <v>100.09</v>
      </c>
      <c r="AC887" s="1">
        <f ca="1">IFERROR(__xludf.DUMMYFUNCTION("""COMPUTED_VALUE"""),111.32)</f>
        <v>111.32</v>
      </c>
    </row>
    <row r="888" spans="1:29" x14ac:dyDescent="0.25">
      <c r="A888" s="2">
        <f ca="1">IFERROR(__xludf.DUMMYFUNCTION("""COMPUTED_VALUE"""),45119.6666666666)</f>
        <v>45119.666666666599</v>
      </c>
      <c r="B888" s="1">
        <f ca="1">IFERROR(__xludf.DUMMYFUNCTION("""COMPUTED_VALUE"""),189.77)</f>
        <v>189.77</v>
      </c>
      <c r="C888" s="1">
        <f ca="1">IFERROR(__xludf.DUMMYFUNCTION("""COMPUTED_VALUE"""),337.2)</f>
        <v>337.2</v>
      </c>
      <c r="D888" s="1">
        <f ca="1">IFERROR(__xludf.DUMMYFUNCTION("""COMPUTED_VALUE"""),130.8)</f>
        <v>130.80000000000001</v>
      </c>
      <c r="E888" s="1">
        <f ca="1">IFERROR(__xludf.DUMMYFUNCTION("""COMPUTED_VALUE"""),43.9)</f>
        <v>43.9</v>
      </c>
      <c r="F888" s="1">
        <f ca="1">IFERROR(__xludf.DUMMYFUNCTION("""COMPUTED_VALUE"""),309.34)</f>
        <v>309.33999999999997</v>
      </c>
      <c r="G888" s="1">
        <f ca="1">IFERROR(__xludf.DUMMYFUNCTION("""COMPUTED_VALUE"""),119.62)</f>
        <v>119.62</v>
      </c>
      <c r="H888" s="1">
        <f ca="1">IFERROR(__xludf.DUMMYFUNCTION("""COMPUTED_VALUE"""),271.99)</f>
        <v>271.99</v>
      </c>
      <c r="I888" s="1">
        <f ca="1">IFERROR(__xludf.DUMMYFUNCTION("""COMPUTED_VALUE"""),183.17)</f>
        <v>183.17</v>
      </c>
      <c r="J888" s="1">
        <f ca="1">IFERROR(__xludf.DUMMYFUNCTION("""COMPUTED_VALUE"""),538)</f>
        <v>538</v>
      </c>
      <c r="K888" s="1">
        <f ca="1">IFERROR(__xludf.DUMMYFUNCTION("""COMPUTED_VALUE"""),89)</f>
        <v>89</v>
      </c>
      <c r="L888" s="1">
        <f ca="1">IFERROR(__xludf.DUMMYFUNCTION("""COMPUTED_VALUE"""),507.36)</f>
        <v>507.36</v>
      </c>
      <c r="M888" s="1">
        <f ca="1">IFERROR(__xludf.DUMMYFUNCTION("""COMPUTED_VALUE"""),444.05)</f>
        <v>444.05</v>
      </c>
      <c r="N888" s="1">
        <f ca="1">IFERROR(__xludf.DUMMYFUNCTION("""COMPUTED_VALUE"""),148.15)</f>
        <v>148.15</v>
      </c>
      <c r="O888" s="1">
        <f ca="1">IFERROR(__xludf.DUMMYFUNCTION("""COMPUTED_VALUE"""),242.21)</f>
        <v>242.21</v>
      </c>
      <c r="P888" s="1">
        <f ca="1">IFERROR(__xludf.DUMMYFUNCTION("""COMPUTED_VALUE"""),158.08)</f>
        <v>158.08000000000001</v>
      </c>
      <c r="Q888" s="1">
        <f ca="1">IFERROR(__xludf.DUMMYFUNCTION("""COMPUTED_VALUE"""),451.7)</f>
        <v>451.7</v>
      </c>
      <c r="R888" s="1">
        <f ca="1">IFERROR(__xludf.DUMMYFUNCTION("""COMPUTED_VALUE"""),106.49)</f>
        <v>106.49</v>
      </c>
      <c r="S888" s="1">
        <f ca="1">IFERROR(__xludf.DUMMYFUNCTION("""COMPUTED_VALUE"""),73.47)</f>
        <v>73.47</v>
      </c>
      <c r="T888" s="1">
        <f ca="1">IFERROR(__xludf.DUMMYFUNCTION("""COMPUTED_VALUE"""),51.68)</f>
        <v>51.68</v>
      </c>
      <c r="U888" s="1">
        <f ca="1">IFERROR(__xludf.DUMMYFUNCTION("""COMPUTED_VALUE"""),107.76)</f>
        <v>107.76</v>
      </c>
      <c r="V888" s="1">
        <f ca="1">IFERROR(__xludf.DUMMYFUNCTION("""COMPUTED_VALUE"""),253.6)</f>
        <v>253.6</v>
      </c>
      <c r="W888" s="1">
        <f ca="1">IFERROR(__xludf.DUMMYFUNCTION("""COMPUTED_VALUE"""),461.96)</f>
        <v>461.96</v>
      </c>
      <c r="X888" s="1">
        <f ca="1">IFERROR(__xludf.DUMMYFUNCTION("""COMPUTED_VALUE"""),724.86)</f>
        <v>724.86</v>
      </c>
      <c r="Y888" s="1">
        <f ca="1">IFERROR(__xludf.DUMMYFUNCTION("""COMPUTED_VALUE"""),103.9)</f>
        <v>103.9</v>
      </c>
      <c r="Z888" s="1">
        <f ca="1">IFERROR(__xludf.DUMMYFUNCTION("""COMPUTED_VALUE"""),326.4)</f>
        <v>326.39999999999998</v>
      </c>
      <c r="AA888" s="1">
        <f ca="1">IFERROR(__xludf.DUMMYFUNCTION("""COMPUTED_VALUE"""),35.99)</f>
        <v>35.99</v>
      </c>
      <c r="AB888" s="1">
        <f ca="1">IFERROR(__xludf.DUMMYFUNCTION("""COMPUTED_VALUE"""),101.14)</f>
        <v>101.14</v>
      </c>
      <c r="AC888" s="1">
        <f ca="1">IFERROR(__xludf.DUMMYFUNCTION("""COMPUTED_VALUE"""),114.58)</f>
        <v>114.58</v>
      </c>
    </row>
    <row r="889" spans="1:29" x14ac:dyDescent="0.25">
      <c r="A889" s="2">
        <f ca="1">IFERROR(__xludf.DUMMYFUNCTION("""COMPUTED_VALUE"""),45120.6666666666)</f>
        <v>45120.666666666599</v>
      </c>
      <c r="B889" s="1">
        <f ca="1">IFERROR(__xludf.DUMMYFUNCTION("""COMPUTED_VALUE"""),190.54)</f>
        <v>190.54</v>
      </c>
      <c r="C889" s="1">
        <f ca="1">IFERROR(__xludf.DUMMYFUNCTION("""COMPUTED_VALUE"""),342.66)</f>
        <v>342.66</v>
      </c>
      <c r="D889" s="1">
        <f ca="1">IFERROR(__xludf.DUMMYFUNCTION("""COMPUTED_VALUE"""),134.3)</f>
        <v>134.30000000000001</v>
      </c>
      <c r="E889" s="1">
        <f ca="1">IFERROR(__xludf.DUMMYFUNCTION("""COMPUTED_VALUE"""),45.98)</f>
        <v>45.98</v>
      </c>
      <c r="F889" s="1">
        <f ca="1">IFERROR(__xludf.DUMMYFUNCTION("""COMPUTED_VALUE"""),313.41)</f>
        <v>313.41000000000003</v>
      </c>
      <c r="G889" s="1">
        <f ca="1">IFERROR(__xludf.DUMMYFUNCTION("""COMPUTED_VALUE"""),124.83)</f>
        <v>124.83</v>
      </c>
      <c r="H889" s="1">
        <f ca="1">IFERROR(__xludf.DUMMYFUNCTION("""COMPUTED_VALUE"""),277.9)</f>
        <v>277.89999999999998</v>
      </c>
      <c r="I889" s="1">
        <f ca="1">IFERROR(__xludf.DUMMYFUNCTION("""COMPUTED_VALUE"""),187.53)</f>
        <v>187.53</v>
      </c>
      <c r="J889" s="1">
        <f ca="1">IFERROR(__xludf.DUMMYFUNCTION("""COMPUTED_VALUE"""),538.45)</f>
        <v>538.45000000000005</v>
      </c>
      <c r="K889" s="1">
        <f ca="1">IFERROR(__xludf.DUMMYFUNCTION("""COMPUTED_VALUE"""),89.04)</f>
        <v>89.04</v>
      </c>
      <c r="L889" s="1">
        <f ca="1">IFERROR(__xludf.DUMMYFUNCTION("""COMPUTED_VALUE"""),517.28)</f>
        <v>517.28</v>
      </c>
      <c r="M889" s="1">
        <f ca="1">IFERROR(__xludf.DUMMYFUNCTION("""COMPUTED_VALUE"""),450.38)</f>
        <v>450.38</v>
      </c>
      <c r="N889" s="1">
        <f ca="1">IFERROR(__xludf.DUMMYFUNCTION("""COMPUTED_VALUE"""),148.87)</f>
        <v>148.87</v>
      </c>
      <c r="O889" s="1">
        <f ca="1">IFERROR(__xludf.DUMMYFUNCTION("""COMPUTED_VALUE"""),243.31)</f>
        <v>243.31</v>
      </c>
      <c r="P889" s="1">
        <f ca="1">IFERROR(__xludf.DUMMYFUNCTION("""COMPUTED_VALUE"""),158.81)</f>
        <v>158.81</v>
      </c>
      <c r="Q889" s="1">
        <f ca="1">IFERROR(__xludf.DUMMYFUNCTION("""COMPUTED_VALUE"""),447.75)</f>
        <v>447.75</v>
      </c>
      <c r="R889" s="1">
        <f ca="1">IFERROR(__xludf.DUMMYFUNCTION("""COMPUTED_VALUE"""),104.54)</f>
        <v>104.54</v>
      </c>
      <c r="S889" s="1">
        <f ca="1">IFERROR(__xludf.DUMMYFUNCTION("""COMPUTED_VALUE"""),73.71)</f>
        <v>73.709999999999994</v>
      </c>
      <c r="T889" s="1">
        <f ca="1">IFERROR(__xludf.DUMMYFUNCTION("""COMPUTED_VALUE"""),51.38)</f>
        <v>51.38</v>
      </c>
      <c r="U889" s="1">
        <f ca="1">IFERROR(__xludf.DUMMYFUNCTION("""COMPUTED_VALUE"""),107.84)</f>
        <v>107.84</v>
      </c>
      <c r="V889" s="1">
        <f ca="1">IFERROR(__xludf.DUMMYFUNCTION("""COMPUTED_VALUE"""),255.86)</f>
        <v>255.86</v>
      </c>
      <c r="W889" s="1">
        <f ca="1">IFERROR(__xludf.DUMMYFUNCTION("""COMPUTED_VALUE"""),466.38)</f>
        <v>466.38</v>
      </c>
      <c r="X889" s="1">
        <f ca="1">IFERROR(__xludf.DUMMYFUNCTION("""COMPUTED_VALUE"""),750.74)</f>
        <v>750.74</v>
      </c>
      <c r="Y889" s="1">
        <f ca="1">IFERROR(__xludf.DUMMYFUNCTION("""COMPUTED_VALUE"""),105.57)</f>
        <v>105.57</v>
      </c>
      <c r="Z889" s="1">
        <f ca="1">IFERROR(__xludf.DUMMYFUNCTION("""COMPUTED_VALUE"""),328.68)</f>
        <v>328.68</v>
      </c>
      <c r="AA889" s="1">
        <f ca="1">IFERROR(__xludf.DUMMYFUNCTION("""COMPUTED_VALUE"""),36.06)</f>
        <v>36.06</v>
      </c>
      <c r="AB889" s="1">
        <f ca="1">IFERROR(__xludf.DUMMYFUNCTION("""COMPUTED_VALUE"""),101.6)</f>
        <v>101.6</v>
      </c>
      <c r="AC889" s="1">
        <f ca="1">IFERROR(__xludf.DUMMYFUNCTION("""COMPUTED_VALUE"""),115.92)</f>
        <v>115.92</v>
      </c>
    </row>
    <row r="890" spans="1:29" x14ac:dyDescent="0.25">
      <c r="A890" s="2">
        <f ca="1">IFERROR(__xludf.DUMMYFUNCTION("""COMPUTED_VALUE"""),45121.6666666666)</f>
        <v>45121.666666666599</v>
      </c>
      <c r="B890" s="1">
        <f ca="1">IFERROR(__xludf.DUMMYFUNCTION("""COMPUTED_VALUE"""),190.69)</f>
        <v>190.69</v>
      </c>
      <c r="C890" s="1">
        <f ca="1">IFERROR(__xludf.DUMMYFUNCTION("""COMPUTED_VALUE"""),345.24)</f>
        <v>345.24</v>
      </c>
      <c r="D890" s="1">
        <f ca="1">IFERROR(__xludf.DUMMYFUNCTION("""COMPUTED_VALUE"""),134.68)</f>
        <v>134.68</v>
      </c>
      <c r="E890" s="1">
        <f ca="1">IFERROR(__xludf.DUMMYFUNCTION("""COMPUTED_VALUE"""),45.47)</f>
        <v>45.47</v>
      </c>
      <c r="F890" s="1">
        <f ca="1">IFERROR(__xludf.DUMMYFUNCTION("""COMPUTED_VALUE"""),308.87)</f>
        <v>308.87</v>
      </c>
      <c r="G890" s="1">
        <f ca="1">IFERROR(__xludf.DUMMYFUNCTION("""COMPUTED_VALUE"""),125.7)</f>
        <v>125.7</v>
      </c>
      <c r="H890" s="1">
        <f ca="1">IFERROR(__xludf.DUMMYFUNCTION("""COMPUTED_VALUE"""),281.38)</f>
        <v>281.38</v>
      </c>
      <c r="I890" s="1">
        <f ca="1">IFERROR(__xludf.DUMMYFUNCTION("""COMPUTED_VALUE"""),188.21)</f>
        <v>188.21</v>
      </c>
      <c r="J890" s="1">
        <f ca="1">IFERROR(__xludf.DUMMYFUNCTION("""COMPUTED_VALUE"""),546.7)</f>
        <v>546.70000000000005</v>
      </c>
      <c r="K890" s="1">
        <f ca="1">IFERROR(__xludf.DUMMYFUNCTION("""COMPUTED_VALUE"""),88.86)</f>
        <v>88.86</v>
      </c>
      <c r="L890" s="1">
        <f ca="1">IFERROR(__xludf.DUMMYFUNCTION("""COMPUTED_VALUE"""),514.83)</f>
        <v>514.83000000000004</v>
      </c>
      <c r="M890" s="1">
        <f ca="1">IFERROR(__xludf.DUMMYFUNCTION("""COMPUTED_VALUE"""),441.91)</f>
        <v>441.91</v>
      </c>
      <c r="N890" s="1">
        <f ca="1">IFERROR(__xludf.DUMMYFUNCTION("""COMPUTED_VALUE"""),149.77)</f>
        <v>149.77000000000001</v>
      </c>
      <c r="O890" s="1">
        <f ca="1">IFERROR(__xludf.DUMMYFUNCTION("""COMPUTED_VALUE"""),243.16)</f>
        <v>243.16</v>
      </c>
      <c r="P890" s="1">
        <f ca="1">IFERROR(__xludf.DUMMYFUNCTION("""COMPUTED_VALUE"""),159.87)</f>
        <v>159.87</v>
      </c>
      <c r="Q890" s="1">
        <f ca="1">IFERROR(__xludf.DUMMYFUNCTION("""COMPUTED_VALUE"""),480.17)</f>
        <v>480.17</v>
      </c>
      <c r="R890" s="1">
        <f ca="1">IFERROR(__xludf.DUMMYFUNCTION("""COMPUTED_VALUE"""),100.94)</f>
        <v>100.94</v>
      </c>
      <c r="S890" s="1">
        <f ca="1">IFERROR(__xludf.DUMMYFUNCTION("""COMPUTED_VALUE"""),73.2)</f>
        <v>73.2</v>
      </c>
      <c r="T890" s="1">
        <f ca="1">IFERROR(__xludf.DUMMYFUNCTION("""COMPUTED_VALUE"""),51.55)</f>
        <v>51.55</v>
      </c>
      <c r="U890" s="1">
        <f ca="1">IFERROR(__xludf.DUMMYFUNCTION("""COMPUTED_VALUE"""),107.95)</f>
        <v>107.95</v>
      </c>
      <c r="V890" s="1">
        <f ca="1">IFERROR(__xludf.DUMMYFUNCTION("""COMPUTED_VALUE"""),255.62)</f>
        <v>255.62</v>
      </c>
      <c r="W890" s="1">
        <f ca="1">IFERROR(__xludf.DUMMYFUNCTION("""COMPUTED_VALUE"""),464.31)</f>
        <v>464.31</v>
      </c>
      <c r="X890" s="1">
        <f ca="1">IFERROR(__xludf.DUMMYFUNCTION("""COMPUTED_VALUE"""),754.02)</f>
        <v>754.02</v>
      </c>
      <c r="Y890" s="1">
        <f ca="1">IFERROR(__xludf.DUMMYFUNCTION("""COMPUTED_VALUE"""),105.14)</f>
        <v>105.14</v>
      </c>
      <c r="Z890" s="1">
        <f ca="1">IFERROR(__xludf.DUMMYFUNCTION("""COMPUTED_VALUE"""),326.19)</f>
        <v>326.19</v>
      </c>
      <c r="AA890" s="1">
        <f ca="1">IFERROR(__xludf.DUMMYFUNCTION("""COMPUTED_VALUE"""),36.32)</f>
        <v>36.32</v>
      </c>
      <c r="AB890" s="1">
        <f ca="1">IFERROR(__xludf.DUMMYFUNCTION("""COMPUTED_VALUE"""),101.61)</f>
        <v>101.61</v>
      </c>
      <c r="AC890" s="1">
        <f ca="1">IFERROR(__xludf.DUMMYFUNCTION("""COMPUTED_VALUE"""),115.94)</f>
        <v>115.94</v>
      </c>
    </row>
    <row r="891" spans="1:29" x14ac:dyDescent="0.25">
      <c r="A891" s="2">
        <f ca="1">IFERROR(__xludf.DUMMYFUNCTION("""COMPUTED_VALUE"""),45124.6666666666)</f>
        <v>45124.666666666599</v>
      </c>
      <c r="B891" s="1">
        <f ca="1">IFERROR(__xludf.DUMMYFUNCTION("""COMPUTED_VALUE"""),193.99)</f>
        <v>193.99</v>
      </c>
      <c r="C891" s="1">
        <f ca="1">IFERROR(__xludf.DUMMYFUNCTION("""COMPUTED_VALUE"""),345.73)</f>
        <v>345.73</v>
      </c>
      <c r="D891" s="1">
        <f ca="1">IFERROR(__xludf.DUMMYFUNCTION("""COMPUTED_VALUE"""),133.56)</f>
        <v>133.56</v>
      </c>
      <c r="E891" s="1">
        <f ca="1">IFERROR(__xludf.DUMMYFUNCTION("""COMPUTED_VALUE"""),46.46)</f>
        <v>46.46</v>
      </c>
      <c r="F891" s="1">
        <f ca="1">IFERROR(__xludf.DUMMYFUNCTION("""COMPUTED_VALUE"""),310.62)</f>
        <v>310.62</v>
      </c>
      <c r="G891" s="1">
        <f ca="1">IFERROR(__xludf.DUMMYFUNCTION("""COMPUTED_VALUE"""),125.06)</f>
        <v>125.06</v>
      </c>
      <c r="H891" s="1">
        <f ca="1">IFERROR(__xludf.DUMMYFUNCTION("""COMPUTED_VALUE"""),290.38)</f>
        <v>290.38</v>
      </c>
      <c r="I891" s="1">
        <f ca="1">IFERROR(__xludf.DUMMYFUNCTION("""COMPUTED_VALUE"""),185.63)</f>
        <v>185.63</v>
      </c>
      <c r="J891" s="1">
        <f ca="1">IFERROR(__xludf.DUMMYFUNCTION("""COMPUTED_VALUE"""),552.96)</f>
        <v>552.96</v>
      </c>
      <c r="K891" s="1">
        <f ca="1">IFERROR(__xludf.DUMMYFUNCTION("""COMPUTED_VALUE"""),91.04)</f>
        <v>91.04</v>
      </c>
      <c r="L891" s="1">
        <f ca="1">IFERROR(__xludf.DUMMYFUNCTION("""COMPUTED_VALUE"""),522)</f>
        <v>522</v>
      </c>
      <c r="M891" s="1">
        <f ca="1">IFERROR(__xludf.DUMMYFUNCTION("""COMPUTED_VALUE"""),450.05)</f>
        <v>450.05</v>
      </c>
      <c r="N891" s="1">
        <f ca="1">IFERROR(__xludf.DUMMYFUNCTION("""COMPUTED_VALUE"""),153.38)</f>
        <v>153.38</v>
      </c>
      <c r="O891" s="1">
        <f ca="1">IFERROR(__xludf.DUMMYFUNCTION("""COMPUTED_VALUE"""),243.99)</f>
        <v>243.99</v>
      </c>
      <c r="P891" s="1">
        <f ca="1">IFERROR(__xludf.DUMMYFUNCTION("""COMPUTED_VALUE"""),159.07)</f>
        <v>159.07</v>
      </c>
      <c r="Q891" s="1">
        <f ca="1">IFERROR(__xludf.DUMMYFUNCTION("""COMPUTED_VALUE"""),484.08)</f>
        <v>484.08</v>
      </c>
      <c r="R891" s="1">
        <f ca="1">IFERROR(__xludf.DUMMYFUNCTION("""COMPUTED_VALUE"""),101.38)</f>
        <v>101.38</v>
      </c>
      <c r="S891" s="1">
        <f ca="1">IFERROR(__xludf.DUMMYFUNCTION("""COMPUTED_VALUE"""),72.66)</f>
        <v>72.66</v>
      </c>
      <c r="T891" s="1">
        <f ca="1">IFERROR(__xludf.DUMMYFUNCTION("""COMPUTED_VALUE"""),51.62)</f>
        <v>51.62</v>
      </c>
      <c r="U891" s="1">
        <f ca="1">IFERROR(__xludf.DUMMYFUNCTION("""COMPUTED_VALUE"""),108.71)</f>
        <v>108.71</v>
      </c>
      <c r="V891" s="1">
        <f ca="1">IFERROR(__xludf.DUMMYFUNCTION("""COMPUTED_VALUE"""),257.46)</f>
        <v>257.45999999999998</v>
      </c>
      <c r="W891" s="1">
        <f ca="1">IFERROR(__xludf.DUMMYFUNCTION("""COMPUTED_VALUE"""),469.97)</f>
        <v>469.97</v>
      </c>
      <c r="X891" s="1">
        <f ca="1">IFERROR(__xludf.DUMMYFUNCTION("""COMPUTED_VALUE"""),754.49)</f>
        <v>754.49</v>
      </c>
      <c r="Y891" s="1">
        <f ca="1">IFERROR(__xludf.DUMMYFUNCTION("""COMPUTED_VALUE"""),104.79)</f>
        <v>104.79</v>
      </c>
      <c r="Z891" s="1">
        <f ca="1">IFERROR(__xludf.DUMMYFUNCTION("""COMPUTED_VALUE"""),327.2)</f>
        <v>327.2</v>
      </c>
      <c r="AA891" s="1">
        <f ca="1">IFERROR(__xludf.DUMMYFUNCTION("""COMPUTED_VALUE"""),35.86)</f>
        <v>35.86</v>
      </c>
      <c r="AB891" s="1">
        <f ca="1">IFERROR(__xludf.DUMMYFUNCTION("""COMPUTED_VALUE"""),100.93)</f>
        <v>100.93</v>
      </c>
      <c r="AC891" s="1">
        <f ca="1">IFERROR(__xludf.DUMMYFUNCTION("""COMPUTED_VALUE"""),118.32)</f>
        <v>118.32</v>
      </c>
    </row>
    <row r="892" spans="1:29" x14ac:dyDescent="0.25">
      <c r="A892" s="2">
        <f ca="1">IFERROR(__xludf.DUMMYFUNCTION("""COMPUTED_VALUE"""),45125.6666666666)</f>
        <v>45125.666666666599</v>
      </c>
      <c r="B892" s="1">
        <f ca="1">IFERROR(__xludf.DUMMYFUNCTION("""COMPUTED_VALUE"""),193.73)</f>
        <v>193.73</v>
      </c>
      <c r="C892" s="1">
        <f ca="1">IFERROR(__xludf.DUMMYFUNCTION("""COMPUTED_VALUE"""),359.49)</f>
        <v>359.49</v>
      </c>
      <c r="D892" s="1">
        <f ca="1">IFERROR(__xludf.DUMMYFUNCTION("""COMPUTED_VALUE"""),132.83)</f>
        <v>132.83000000000001</v>
      </c>
      <c r="E892" s="1">
        <f ca="1">IFERROR(__xludf.DUMMYFUNCTION("""COMPUTED_VALUE"""),47.49)</f>
        <v>47.49</v>
      </c>
      <c r="F892" s="1">
        <f ca="1">IFERROR(__xludf.DUMMYFUNCTION("""COMPUTED_VALUE"""),312.05)</f>
        <v>312.05</v>
      </c>
      <c r="G892" s="1">
        <f ca="1">IFERROR(__xludf.DUMMYFUNCTION("""COMPUTED_VALUE"""),124.08)</f>
        <v>124.08</v>
      </c>
      <c r="H892" s="1">
        <f ca="1">IFERROR(__xludf.DUMMYFUNCTION("""COMPUTED_VALUE"""),293.34)</f>
        <v>293.33999999999997</v>
      </c>
      <c r="I892" s="1">
        <f ca="1">IFERROR(__xludf.DUMMYFUNCTION("""COMPUTED_VALUE"""),184.45)</f>
        <v>184.45</v>
      </c>
      <c r="J892" s="1">
        <f ca="1">IFERROR(__xludf.DUMMYFUNCTION("""COMPUTED_VALUE"""),553.59)</f>
        <v>553.59</v>
      </c>
      <c r="K892" s="1">
        <f ca="1">IFERROR(__xludf.DUMMYFUNCTION("""COMPUTED_VALUE"""),90.34)</f>
        <v>90.34</v>
      </c>
      <c r="L892" s="1">
        <f ca="1">IFERROR(__xludf.DUMMYFUNCTION("""COMPUTED_VALUE"""),532.23)</f>
        <v>532.23</v>
      </c>
      <c r="M892" s="1">
        <f ca="1">IFERROR(__xludf.DUMMYFUNCTION("""COMPUTED_VALUE"""),474.8)</f>
        <v>474.8</v>
      </c>
      <c r="N892" s="1">
        <f ca="1">IFERROR(__xludf.DUMMYFUNCTION("""COMPUTED_VALUE"""),153.66)</f>
        <v>153.66</v>
      </c>
      <c r="O892" s="1">
        <f ca="1">IFERROR(__xludf.DUMMYFUNCTION("""COMPUTED_VALUE"""),240.77)</f>
        <v>240.77</v>
      </c>
      <c r="P892" s="1">
        <f ca="1">IFERROR(__xludf.DUMMYFUNCTION("""COMPUTED_VALUE"""),159.06)</f>
        <v>159.06</v>
      </c>
      <c r="Q892" s="1">
        <f ca="1">IFERROR(__xludf.DUMMYFUNCTION("""COMPUTED_VALUE"""),500)</f>
        <v>500</v>
      </c>
      <c r="R892" s="1">
        <f ca="1">IFERROR(__xludf.DUMMYFUNCTION("""COMPUTED_VALUE"""),100.92)</f>
        <v>100.92</v>
      </c>
      <c r="S892" s="1">
        <f ca="1">IFERROR(__xludf.DUMMYFUNCTION("""COMPUTED_VALUE"""),72.05)</f>
        <v>72.05</v>
      </c>
      <c r="T892" s="1">
        <f ca="1">IFERROR(__xludf.DUMMYFUNCTION("""COMPUTED_VALUE"""),51.52)</f>
        <v>51.52</v>
      </c>
      <c r="U892" s="1">
        <f ca="1">IFERROR(__xludf.DUMMYFUNCTION("""COMPUTED_VALUE"""),109.72)</f>
        <v>109.72</v>
      </c>
      <c r="V892" s="1">
        <f ca="1">IFERROR(__xludf.DUMMYFUNCTION("""COMPUTED_VALUE"""),263.81)</f>
        <v>263.81</v>
      </c>
      <c r="W892" s="1">
        <f ca="1">IFERROR(__xludf.DUMMYFUNCTION("""COMPUTED_VALUE"""),455.7)</f>
        <v>455.7</v>
      </c>
      <c r="X892" s="1">
        <f ca="1">IFERROR(__xludf.DUMMYFUNCTION("""COMPUTED_VALUE"""),757.03)</f>
        <v>757.03</v>
      </c>
      <c r="Y892" s="1">
        <f ca="1">IFERROR(__xludf.DUMMYFUNCTION("""COMPUTED_VALUE"""),103.15)</f>
        <v>103.15</v>
      </c>
      <c r="Z892" s="1">
        <f ca="1">IFERROR(__xludf.DUMMYFUNCTION("""COMPUTED_VALUE"""),337.27)</f>
        <v>337.27</v>
      </c>
      <c r="AA892" s="1">
        <f ca="1">IFERROR(__xludf.DUMMYFUNCTION("""COMPUTED_VALUE"""),36.24)</f>
        <v>36.24</v>
      </c>
      <c r="AB892" s="1">
        <f ca="1">IFERROR(__xludf.DUMMYFUNCTION("""COMPUTED_VALUE"""),100.76)</f>
        <v>100.76</v>
      </c>
      <c r="AC892" s="1">
        <f ca="1">IFERROR(__xludf.DUMMYFUNCTION("""COMPUTED_VALUE"""),117.93)</f>
        <v>117.93</v>
      </c>
    </row>
    <row r="893" spans="1:29" x14ac:dyDescent="0.25">
      <c r="A893" s="2">
        <f ca="1">IFERROR(__xludf.DUMMYFUNCTION("""COMPUTED_VALUE"""),45126.6666666666)</f>
        <v>45126.666666666599</v>
      </c>
      <c r="B893" s="1">
        <f ca="1">IFERROR(__xludf.DUMMYFUNCTION("""COMPUTED_VALUE"""),195.1)</f>
        <v>195.1</v>
      </c>
      <c r="C893" s="1">
        <f ca="1">IFERROR(__xludf.DUMMYFUNCTION("""COMPUTED_VALUE"""),355.08)</f>
        <v>355.08</v>
      </c>
      <c r="D893" s="1">
        <f ca="1">IFERROR(__xludf.DUMMYFUNCTION("""COMPUTED_VALUE"""),135.36)</f>
        <v>135.36000000000001</v>
      </c>
      <c r="E893" s="1">
        <f ca="1">IFERROR(__xludf.DUMMYFUNCTION("""COMPUTED_VALUE"""),47.08)</f>
        <v>47.08</v>
      </c>
      <c r="F893" s="1">
        <f ca="1">IFERROR(__xludf.DUMMYFUNCTION("""COMPUTED_VALUE"""),316.01)</f>
        <v>316.01</v>
      </c>
      <c r="G893" s="1">
        <f ca="1">IFERROR(__xludf.DUMMYFUNCTION("""COMPUTED_VALUE"""),122.78)</f>
        <v>122.78</v>
      </c>
      <c r="H893" s="1">
        <f ca="1">IFERROR(__xludf.DUMMYFUNCTION("""COMPUTED_VALUE"""),291.26)</f>
        <v>291.26</v>
      </c>
      <c r="I893" s="1">
        <f ca="1">IFERROR(__xludf.DUMMYFUNCTION("""COMPUTED_VALUE"""),186.26)</f>
        <v>186.26</v>
      </c>
      <c r="J893" s="1">
        <f ca="1">IFERROR(__xludf.DUMMYFUNCTION("""COMPUTED_VALUE"""),554.11)</f>
        <v>554.11</v>
      </c>
      <c r="K893" s="1">
        <f ca="1">IFERROR(__xludf.DUMMYFUNCTION("""COMPUTED_VALUE"""),90.14)</f>
        <v>90.14</v>
      </c>
      <c r="L893" s="1">
        <f ca="1">IFERROR(__xludf.DUMMYFUNCTION("""COMPUTED_VALUE"""),527.17)</f>
        <v>527.16999999999996</v>
      </c>
      <c r="M893" s="1">
        <f ca="1">IFERROR(__xludf.DUMMYFUNCTION("""COMPUTED_VALUE"""),477.59)</f>
        <v>477.59</v>
      </c>
      <c r="N893" s="1">
        <f ca="1">IFERROR(__xludf.DUMMYFUNCTION("""COMPUTED_VALUE"""),154.25)</f>
        <v>154.25</v>
      </c>
      <c r="O893" s="1">
        <f ca="1">IFERROR(__xludf.DUMMYFUNCTION("""COMPUTED_VALUE"""),241.42)</f>
        <v>241.42</v>
      </c>
      <c r="P893" s="1">
        <f ca="1">IFERROR(__xludf.DUMMYFUNCTION("""COMPUTED_VALUE"""),158.74)</f>
        <v>158.74</v>
      </c>
      <c r="Q893" s="1">
        <f ca="1">IFERROR(__xludf.DUMMYFUNCTION("""COMPUTED_VALUE"""),503.7)</f>
        <v>503.7</v>
      </c>
      <c r="R893" s="1">
        <f ca="1">IFERROR(__xludf.DUMMYFUNCTION("""COMPUTED_VALUE"""),101.62)</f>
        <v>101.62</v>
      </c>
      <c r="S893" s="1">
        <f ca="1">IFERROR(__xludf.DUMMYFUNCTION("""COMPUTED_VALUE"""),72.1)</f>
        <v>72.099999999999994</v>
      </c>
      <c r="T893" s="1">
        <f ca="1">IFERROR(__xludf.DUMMYFUNCTION("""COMPUTED_VALUE"""),51.54)</f>
        <v>51.54</v>
      </c>
      <c r="U893" s="1">
        <f ca="1">IFERROR(__xludf.DUMMYFUNCTION("""COMPUTED_VALUE"""),109.88)</f>
        <v>109.88</v>
      </c>
      <c r="V893" s="1">
        <f ca="1">IFERROR(__xludf.DUMMYFUNCTION("""COMPUTED_VALUE"""),262.75)</f>
        <v>262.75</v>
      </c>
      <c r="W893" s="1">
        <f ca="1">IFERROR(__xludf.DUMMYFUNCTION("""COMPUTED_VALUE"""),451.51)</f>
        <v>451.51</v>
      </c>
      <c r="X893" s="1">
        <f ca="1">IFERROR(__xludf.DUMMYFUNCTION("""COMPUTED_VALUE"""),715.78)</f>
        <v>715.78</v>
      </c>
      <c r="Y893" s="1">
        <f ca="1">IFERROR(__xludf.DUMMYFUNCTION("""COMPUTED_VALUE"""),103.06)</f>
        <v>103.06</v>
      </c>
      <c r="Z893" s="1">
        <f ca="1">IFERROR(__xludf.DUMMYFUNCTION("""COMPUTED_VALUE"""),340.55)</f>
        <v>340.55</v>
      </c>
      <c r="AA893" s="1">
        <f ca="1">IFERROR(__xludf.DUMMYFUNCTION("""COMPUTED_VALUE"""),36.44)</f>
        <v>36.44</v>
      </c>
      <c r="AB893" s="1">
        <f ca="1">IFERROR(__xludf.DUMMYFUNCTION("""COMPUTED_VALUE"""),101.83)</f>
        <v>101.83</v>
      </c>
      <c r="AC893" s="1">
        <f ca="1">IFERROR(__xludf.DUMMYFUNCTION("""COMPUTED_VALUE"""),116.43)</f>
        <v>116.43</v>
      </c>
    </row>
    <row r="894" spans="1:29" x14ac:dyDescent="0.25">
      <c r="A894" s="2">
        <f ca="1">IFERROR(__xludf.DUMMYFUNCTION("""COMPUTED_VALUE"""),45127.6666666666)</f>
        <v>45127.666666666599</v>
      </c>
      <c r="B894" s="1">
        <f ca="1">IFERROR(__xludf.DUMMYFUNCTION("""COMPUTED_VALUE"""),193.13)</f>
        <v>193.13</v>
      </c>
      <c r="C894" s="1">
        <f ca="1">IFERROR(__xludf.DUMMYFUNCTION("""COMPUTED_VALUE"""),346.87)</f>
        <v>346.87</v>
      </c>
      <c r="D894" s="1">
        <f ca="1">IFERROR(__xludf.DUMMYFUNCTION("""COMPUTED_VALUE"""),129.96)</f>
        <v>129.96</v>
      </c>
      <c r="E894" s="1">
        <f ca="1">IFERROR(__xludf.DUMMYFUNCTION("""COMPUTED_VALUE"""),45.52)</f>
        <v>45.52</v>
      </c>
      <c r="F894" s="1">
        <f ca="1">IFERROR(__xludf.DUMMYFUNCTION("""COMPUTED_VALUE"""),302.52)</f>
        <v>302.52</v>
      </c>
      <c r="G894" s="1">
        <f ca="1">IFERROR(__xludf.DUMMYFUNCTION("""COMPUTED_VALUE"""),119.53)</f>
        <v>119.53</v>
      </c>
      <c r="H894" s="1">
        <f ca="1">IFERROR(__xludf.DUMMYFUNCTION("""COMPUTED_VALUE"""),262.9)</f>
        <v>262.89999999999998</v>
      </c>
      <c r="I894" s="1">
        <f ca="1">IFERROR(__xludf.DUMMYFUNCTION("""COMPUTED_VALUE"""),189.3)</f>
        <v>189.3</v>
      </c>
      <c r="J894" s="1">
        <f ca="1">IFERROR(__xludf.DUMMYFUNCTION("""COMPUTED_VALUE"""),556.96)</f>
        <v>556.96</v>
      </c>
      <c r="K894" s="1">
        <f ca="1">IFERROR(__xludf.DUMMYFUNCTION("""COMPUTED_VALUE"""),88.83)</f>
        <v>88.83</v>
      </c>
      <c r="L894" s="1">
        <f ca="1">IFERROR(__xludf.DUMMYFUNCTION("""COMPUTED_VALUE"""),516.88)</f>
        <v>516.88</v>
      </c>
      <c r="M894" s="1">
        <f ca="1">IFERROR(__xludf.DUMMYFUNCTION("""COMPUTED_VALUE"""),437.42)</f>
        <v>437.42</v>
      </c>
      <c r="N894" s="1">
        <f ca="1">IFERROR(__xludf.DUMMYFUNCTION("""COMPUTED_VALUE"""),156.15)</f>
        <v>156.15</v>
      </c>
      <c r="O894" s="1">
        <f ca="1">IFERROR(__xludf.DUMMYFUNCTION("""COMPUTED_VALUE"""),239.62)</f>
        <v>239.62</v>
      </c>
      <c r="P894" s="1">
        <f ca="1">IFERROR(__xludf.DUMMYFUNCTION("""COMPUTED_VALUE"""),168.38)</f>
        <v>168.38</v>
      </c>
      <c r="Q894" s="1">
        <f ca="1">IFERROR(__xludf.DUMMYFUNCTION("""COMPUTED_VALUE"""),504.24)</f>
        <v>504.24</v>
      </c>
      <c r="R894" s="1">
        <f ca="1">IFERROR(__xludf.DUMMYFUNCTION("""COMPUTED_VALUE"""),103.41)</f>
        <v>103.41</v>
      </c>
      <c r="S894" s="1">
        <f ca="1">IFERROR(__xludf.DUMMYFUNCTION("""COMPUTED_VALUE"""),74.1)</f>
        <v>74.099999999999994</v>
      </c>
      <c r="T894" s="1">
        <f ca="1">IFERROR(__xludf.DUMMYFUNCTION("""COMPUTED_VALUE"""),52.49)</f>
        <v>52.49</v>
      </c>
      <c r="U894" s="1">
        <f ca="1">IFERROR(__xludf.DUMMYFUNCTION("""COMPUTED_VALUE"""),107.53)</f>
        <v>107.53</v>
      </c>
      <c r="V894" s="1">
        <f ca="1">IFERROR(__xludf.DUMMYFUNCTION("""COMPUTED_VALUE"""),261.09)</f>
        <v>261.08999999999997</v>
      </c>
      <c r="W894" s="1">
        <f ca="1">IFERROR(__xludf.DUMMYFUNCTION("""COMPUTED_VALUE"""),456.01)</f>
        <v>456.01</v>
      </c>
      <c r="X894" s="1">
        <f ca="1">IFERROR(__xludf.DUMMYFUNCTION("""COMPUTED_VALUE"""),676.13)</f>
        <v>676.13</v>
      </c>
      <c r="Y894" s="1">
        <f ca="1">IFERROR(__xludf.DUMMYFUNCTION("""COMPUTED_VALUE"""),97.86)</f>
        <v>97.86</v>
      </c>
      <c r="Z894" s="1">
        <f ca="1">IFERROR(__xludf.DUMMYFUNCTION("""COMPUTED_VALUE"""),350.86)</f>
        <v>350.86</v>
      </c>
      <c r="AA894" s="1">
        <f ca="1">IFERROR(__xludf.DUMMYFUNCTION("""COMPUTED_VALUE"""),36.77)</f>
        <v>36.770000000000003</v>
      </c>
      <c r="AB894" s="1">
        <f ca="1">IFERROR(__xludf.DUMMYFUNCTION("""COMPUTED_VALUE"""),100.88)</f>
        <v>100.88</v>
      </c>
      <c r="AC894" s="1">
        <f ca="1">IFERROR(__xludf.DUMMYFUNCTION("""COMPUTED_VALUE"""),110.25)</f>
        <v>110.25</v>
      </c>
    </row>
    <row r="895" spans="1:29" x14ac:dyDescent="0.25">
      <c r="A895" s="2">
        <f ca="1">IFERROR(__xludf.DUMMYFUNCTION("""COMPUTED_VALUE"""),45128.6666666666)</f>
        <v>45128.666666666599</v>
      </c>
      <c r="B895" s="1">
        <f ca="1">IFERROR(__xludf.DUMMYFUNCTION("""COMPUTED_VALUE"""),191.94)</f>
        <v>191.94</v>
      </c>
      <c r="C895" s="1">
        <f ca="1">IFERROR(__xludf.DUMMYFUNCTION("""COMPUTED_VALUE"""),343.77)</f>
        <v>343.77</v>
      </c>
      <c r="D895" s="1">
        <f ca="1">IFERROR(__xludf.DUMMYFUNCTION("""COMPUTED_VALUE"""),130)</f>
        <v>130</v>
      </c>
      <c r="E895" s="1">
        <f ca="1">IFERROR(__xludf.DUMMYFUNCTION("""COMPUTED_VALUE"""),44.31)</f>
        <v>44.31</v>
      </c>
      <c r="F895" s="1">
        <f ca="1">IFERROR(__xludf.DUMMYFUNCTION("""COMPUTED_VALUE"""),294.26)</f>
        <v>294.26</v>
      </c>
      <c r="G895" s="1">
        <f ca="1">IFERROR(__xludf.DUMMYFUNCTION("""COMPUTED_VALUE"""),120.31)</f>
        <v>120.31</v>
      </c>
      <c r="H895" s="1">
        <f ca="1">IFERROR(__xludf.DUMMYFUNCTION("""COMPUTED_VALUE"""),260.02)</f>
        <v>260.02</v>
      </c>
      <c r="I895" s="1">
        <f ca="1">IFERROR(__xludf.DUMMYFUNCTION("""COMPUTED_VALUE"""),190.16)</f>
        <v>190.16</v>
      </c>
      <c r="J895" s="1">
        <f ca="1">IFERROR(__xludf.DUMMYFUNCTION("""COMPUTED_VALUE"""),557.86)</f>
        <v>557.86</v>
      </c>
      <c r="K895" s="1">
        <f ca="1">IFERROR(__xludf.DUMMYFUNCTION("""COMPUTED_VALUE"""),89.68)</f>
        <v>89.68</v>
      </c>
      <c r="L895" s="1">
        <f ca="1">IFERROR(__xludf.DUMMYFUNCTION("""COMPUTED_VALUE"""),520.23)</f>
        <v>520.23</v>
      </c>
      <c r="M895" s="1">
        <f ca="1">IFERROR(__xludf.DUMMYFUNCTION("""COMPUTED_VALUE"""),427.5)</f>
        <v>427.5</v>
      </c>
      <c r="N895" s="1">
        <f ca="1">IFERROR(__xludf.DUMMYFUNCTION("""COMPUTED_VALUE"""),154.95)</f>
        <v>154.94999999999999</v>
      </c>
      <c r="O895" s="1">
        <f ca="1">IFERROR(__xludf.DUMMYFUNCTION("""COMPUTED_VALUE"""),239.25)</f>
        <v>239.25</v>
      </c>
      <c r="P895" s="1">
        <f ca="1">IFERROR(__xludf.DUMMYFUNCTION("""COMPUTED_VALUE"""),170.19)</f>
        <v>170.19</v>
      </c>
      <c r="Q895" s="1">
        <f ca="1">IFERROR(__xludf.DUMMYFUNCTION("""COMPUTED_VALUE"""),506.53)</f>
        <v>506.53</v>
      </c>
      <c r="R895" s="1">
        <f ca="1">IFERROR(__xludf.DUMMYFUNCTION("""COMPUTED_VALUE"""),103.89)</f>
        <v>103.89</v>
      </c>
      <c r="S895" s="1">
        <f ca="1">IFERROR(__xludf.DUMMYFUNCTION("""COMPUTED_VALUE"""),75.9)</f>
        <v>75.900000000000006</v>
      </c>
      <c r="T895" s="1">
        <f ca="1">IFERROR(__xludf.DUMMYFUNCTION("""COMPUTED_VALUE"""),52.79)</f>
        <v>52.79</v>
      </c>
      <c r="U895" s="1">
        <f ca="1">IFERROR(__xludf.DUMMYFUNCTION("""COMPUTED_VALUE"""),109.06)</f>
        <v>109.06</v>
      </c>
      <c r="V895" s="1">
        <f ca="1">IFERROR(__xludf.DUMMYFUNCTION("""COMPUTED_VALUE"""),257.65)</f>
        <v>257.64999999999998</v>
      </c>
      <c r="W895" s="1">
        <f ca="1">IFERROR(__xludf.DUMMYFUNCTION("""COMPUTED_VALUE"""),454.76)</f>
        <v>454.76</v>
      </c>
      <c r="X895" s="1">
        <f ca="1">IFERROR(__xludf.DUMMYFUNCTION("""COMPUTED_VALUE"""),693.36)</f>
        <v>693.36</v>
      </c>
      <c r="Y895" s="1">
        <f ca="1">IFERROR(__xludf.DUMMYFUNCTION("""COMPUTED_VALUE"""),97.25)</f>
        <v>97.25</v>
      </c>
      <c r="Z895" s="1">
        <f ca="1">IFERROR(__xludf.DUMMYFUNCTION("""COMPUTED_VALUE"""),351.96)</f>
        <v>351.96</v>
      </c>
      <c r="AA895" s="1">
        <f ca="1">IFERROR(__xludf.DUMMYFUNCTION("""COMPUTED_VALUE"""),37.4)</f>
        <v>37.4</v>
      </c>
      <c r="AB895" s="1">
        <f ca="1">IFERROR(__xludf.DUMMYFUNCTION("""COMPUTED_VALUE"""),102.82)</f>
        <v>102.82</v>
      </c>
      <c r="AC895" s="1">
        <f ca="1">IFERROR(__xludf.DUMMYFUNCTION("""COMPUTED_VALUE"""),110.95)</f>
        <v>110.95</v>
      </c>
    </row>
    <row r="896" spans="1:29" x14ac:dyDescent="0.25">
      <c r="A896" s="2">
        <f ca="1">IFERROR(__xludf.DUMMYFUNCTION("""COMPUTED_VALUE"""),45131.6666666666)</f>
        <v>45131.666666666599</v>
      </c>
      <c r="B896" s="1">
        <f ca="1">IFERROR(__xludf.DUMMYFUNCTION("""COMPUTED_VALUE"""),192.75)</f>
        <v>192.75</v>
      </c>
      <c r="C896" s="1">
        <f ca="1">IFERROR(__xludf.DUMMYFUNCTION("""COMPUTED_VALUE"""),345.11)</f>
        <v>345.11</v>
      </c>
      <c r="D896" s="1">
        <f ca="1">IFERROR(__xludf.DUMMYFUNCTION("""COMPUTED_VALUE"""),128.8)</f>
        <v>128.80000000000001</v>
      </c>
      <c r="E896" s="1">
        <f ca="1">IFERROR(__xludf.DUMMYFUNCTION("""COMPUTED_VALUE"""),44.61)</f>
        <v>44.61</v>
      </c>
      <c r="F896" s="1">
        <f ca="1">IFERROR(__xludf.DUMMYFUNCTION("""COMPUTED_VALUE"""),291.61)</f>
        <v>291.61</v>
      </c>
      <c r="G896" s="1">
        <f ca="1">IFERROR(__xludf.DUMMYFUNCTION("""COMPUTED_VALUE"""),121.88)</f>
        <v>121.88</v>
      </c>
      <c r="H896" s="1">
        <f ca="1">IFERROR(__xludf.DUMMYFUNCTION("""COMPUTED_VALUE"""),269.06)</f>
        <v>269.06</v>
      </c>
      <c r="I896" s="1">
        <f ca="1">IFERROR(__xludf.DUMMYFUNCTION("""COMPUTED_VALUE"""),190.92)</f>
        <v>190.92</v>
      </c>
      <c r="J896" s="1">
        <f ca="1">IFERROR(__xludf.DUMMYFUNCTION("""COMPUTED_VALUE"""),563.93)</f>
        <v>563.92999999999995</v>
      </c>
      <c r="K896" s="1">
        <f ca="1">IFERROR(__xludf.DUMMYFUNCTION("""COMPUTED_VALUE"""),90.16)</f>
        <v>90.16</v>
      </c>
      <c r="L896" s="1">
        <f ca="1">IFERROR(__xludf.DUMMYFUNCTION("""COMPUTED_VALUE"""),523.86)</f>
        <v>523.86</v>
      </c>
      <c r="M896" s="1">
        <f ca="1">IFERROR(__xludf.DUMMYFUNCTION("""COMPUTED_VALUE"""),428.37)</f>
        <v>428.37</v>
      </c>
      <c r="N896" s="1">
        <f ca="1">IFERROR(__xludf.DUMMYFUNCTION("""COMPUTED_VALUE"""),158)</f>
        <v>158</v>
      </c>
      <c r="O896" s="1">
        <f ca="1">IFERROR(__xludf.DUMMYFUNCTION("""COMPUTED_VALUE"""),240.74)</f>
        <v>240.74</v>
      </c>
      <c r="P896" s="1">
        <f ca="1">IFERROR(__xludf.DUMMYFUNCTION("""COMPUTED_VALUE"""),171.08)</f>
        <v>171.08</v>
      </c>
      <c r="Q896" s="1">
        <f ca="1">IFERROR(__xludf.DUMMYFUNCTION("""COMPUTED_VALUE"""),508.68)</f>
        <v>508.68</v>
      </c>
      <c r="R896" s="1">
        <f ca="1">IFERROR(__xludf.DUMMYFUNCTION("""COMPUTED_VALUE"""),105.52)</f>
        <v>105.52</v>
      </c>
      <c r="S896" s="1">
        <f ca="1">IFERROR(__xludf.DUMMYFUNCTION("""COMPUTED_VALUE"""),75.5)</f>
        <v>75.5</v>
      </c>
      <c r="T896" s="1">
        <f ca="1">IFERROR(__xludf.DUMMYFUNCTION("""COMPUTED_VALUE"""),53.1)</f>
        <v>53.1</v>
      </c>
      <c r="U896" s="1">
        <f ca="1">IFERROR(__xludf.DUMMYFUNCTION("""COMPUTED_VALUE"""),108.77)</f>
        <v>108.77</v>
      </c>
      <c r="V896" s="1">
        <f ca="1">IFERROR(__xludf.DUMMYFUNCTION("""COMPUTED_VALUE"""),259.37)</f>
        <v>259.37</v>
      </c>
      <c r="W896" s="1">
        <f ca="1">IFERROR(__xludf.DUMMYFUNCTION("""COMPUTED_VALUE"""),456.8)</f>
        <v>456.8</v>
      </c>
      <c r="X896" s="1">
        <f ca="1">IFERROR(__xludf.DUMMYFUNCTION("""COMPUTED_VALUE"""),684.48)</f>
        <v>684.48</v>
      </c>
      <c r="Y896" s="1">
        <f ca="1">IFERROR(__xludf.DUMMYFUNCTION("""COMPUTED_VALUE"""),98.25)</f>
        <v>98.25</v>
      </c>
      <c r="Z896" s="1">
        <f ca="1">IFERROR(__xludf.DUMMYFUNCTION("""COMPUTED_VALUE"""),358.93)</f>
        <v>358.93</v>
      </c>
      <c r="AA896" s="1">
        <f ca="1">IFERROR(__xludf.DUMMYFUNCTION("""COMPUTED_VALUE"""),37.51)</f>
        <v>37.51</v>
      </c>
      <c r="AB896" s="1">
        <f ca="1">IFERROR(__xludf.DUMMYFUNCTION("""COMPUTED_VALUE"""),102.78)</f>
        <v>102.78</v>
      </c>
      <c r="AC896" s="1">
        <f ca="1">IFERROR(__xludf.DUMMYFUNCTION("""COMPUTED_VALUE"""),110.61)</f>
        <v>110.61</v>
      </c>
    </row>
    <row r="897" spans="1:29" x14ac:dyDescent="0.25">
      <c r="A897" s="2">
        <f ca="1">IFERROR(__xludf.DUMMYFUNCTION("""COMPUTED_VALUE"""),45132.6666666666)</f>
        <v>45132.666666666599</v>
      </c>
      <c r="B897" s="1">
        <f ca="1">IFERROR(__xludf.DUMMYFUNCTION("""COMPUTED_VALUE"""),193.62)</f>
        <v>193.62</v>
      </c>
      <c r="C897" s="1">
        <f ca="1">IFERROR(__xludf.DUMMYFUNCTION("""COMPUTED_VALUE"""),350.98)</f>
        <v>350.98</v>
      </c>
      <c r="D897" s="1">
        <f ca="1">IFERROR(__xludf.DUMMYFUNCTION("""COMPUTED_VALUE"""),129.13)</f>
        <v>129.13</v>
      </c>
      <c r="E897" s="1">
        <f ca="1">IFERROR(__xludf.DUMMYFUNCTION("""COMPUTED_VALUE"""),45.68)</f>
        <v>45.68</v>
      </c>
      <c r="F897" s="1">
        <f ca="1">IFERROR(__xludf.DUMMYFUNCTION("""COMPUTED_VALUE"""),294.47)</f>
        <v>294.47000000000003</v>
      </c>
      <c r="G897" s="1">
        <f ca="1">IFERROR(__xludf.DUMMYFUNCTION("""COMPUTED_VALUE"""),122.79)</f>
        <v>122.79</v>
      </c>
      <c r="H897" s="1">
        <f ca="1">IFERROR(__xludf.DUMMYFUNCTION("""COMPUTED_VALUE"""),265.28)</f>
        <v>265.27999999999997</v>
      </c>
      <c r="I897" s="1">
        <f ca="1">IFERROR(__xludf.DUMMYFUNCTION("""COMPUTED_VALUE"""),191.36)</f>
        <v>191.36</v>
      </c>
      <c r="J897" s="1">
        <f ca="1">IFERROR(__xludf.DUMMYFUNCTION("""COMPUTED_VALUE"""),565.19)</f>
        <v>565.19000000000005</v>
      </c>
      <c r="K897" s="1">
        <f ca="1">IFERROR(__xludf.DUMMYFUNCTION("""COMPUTED_VALUE"""),91.8)</f>
        <v>91.8</v>
      </c>
      <c r="L897" s="1">
        <f ca="1">IFERROR(__xludf.DUMMYFUNCTION("""COMPUTED_VALUE"""),525.34)</f>
        <v>525.34</v>
      </c>
      <c r="M897" s="1">
        <f ca="1">IFERROR(__xludf.DUMMYFUNCTION("""COMPUTED_VALUE"""),427.7)</f>
        <v>427.7</v>
      </c>
      <c r="N897" s="1">
        <f ca="1">IFERROR(__xludf.DUMMYFUNCTION("""COMPUTED_VALUE"""),156.82)</f>
        <v>156.82</v>
      </c>
      <c r="O897" s="1">
        <f ca="1">IFERROR(__xludf.DUMMYFUNCTION("""COMPUTED_VALUE"""),238.69)</f>
        <v>238.69</v>
      </c>
      <c r="P897" s="1">
        <f ca="1">IFERROR(__xludf.DUMMYFUNCTION("""COMPUTED_VALUE"""),172.39)</f>
        <v>172.39</v>
      </c>
      <c r="Q897" s="1">
        <f ca="1">IFERROR(__xludf.DUMMYFUNCTION("""COMPUTED_VALUE"""),510.93)</f>
        <v>510.93</v>
      </c>
      <c r="R897" s="1">
        <f ca="1">IFERROR(__xludf.DUMMYFUNCTION("""COMPUTED_VALUE"""),105.68)</f>
        <v>105.68</v>
      </c>
      <c r="S897" s="1">
        <f ca="1">IFERROR(__xludf.DUMMYFUNCTION("""COMPUTED_VALUE"""),75.44)</f>
        <v>75.44</v>
      </c>
      <c r="T897" s="1">
        <f ca="1">IFERROR(__xludf.DUMMYFUNCTION("""COMPUTED_VALUE"""),53.06)</f>
        <v>53.06</v>
      </c>
      <c r="U897" s="1">
        <f ca="1">IFERROR(__xludf.DUMMYFUNCTION("""COMPUTED_VALUE"""),108.3)</f>
        <v>108.3</v>
      </c>
      <c r="V897" s="1">
        <f ca="1">IFERROR(__xludf.DUMMYFUNCTION("""COMPUTED_VALUE"""),262.06)</f>
        <v>262.06</v>
      </c>
      <c r="W897" s="1">
        <f ca="1">IFERROR(__xludf.DUMMYFUNCTION("""COMPUTED_VALUE"""),454.15)</f>
        <v>454.15</v>
      </c>
      <c r="X897" s="1">
        <f ca="1">IFERROR(__xludf.DUMMYFUNCTION("""COMPUTED_VALUE"""),687.3)</f>
        <v>687.3</v>
      </c>
      <c r="Y897" s="1">
        <f ca="1">IFERROR(__xludf.DUMMYFUNCTION("""COMPUTED_VALUE"""),100.32)</f>
        <v>100.32</v>
      </c>
      <c r="Z897" s="1">
        <f ca="1">IFERROR(__xludf.DUMMYFUNCTION("""COMPUTED_VALUE"""),354.7)</f>
        <v>354.7</v>
      </c>
      <c r="AA897" s="1">
        <f ca="1">IFERROR(__xludf.DUMMYFUNCTION("""COMPUTED_VALUE"""),37.06)</f>
        <v>37.06</v>
      </c>
      <c r="AB897" s="1">
        <f ca="1">IFERROR(__xludf.DUMMYFUNCTION("""COMPUTED_VALUE"""),102.92)</f>
        <v>102.92</v>
      </c>
      <c r="AC897" s="1">
        <f ca="1">IFERROR(__xludf.DUMMYFUNCTION("""COMPUTED_VALUE"""),113)</f>
        <v>113</v>
      </c>
    </row>
    <row r="898" spans="1:29" x14ac:dyDescent="0.25">
      <c r="A898" s="2">
        <f ca="1">IFERROR(__xludf.DUMMYFUNCTION("""COMPUTED_VALUE"""),45133.6666666666)</f>
        <v>45133.666666666599</v>
      </c>
      <c r="B898" s="1">
        <f ca="1">IFERROR(__xludf.DUMMYFUNCTION("""COMPUTED_VALUE"""),194.5)</f>
        <v>194.5</v>
      </c>
      <c r="C898" s="1">
        <f ca="1">IFERROR(__xludf.DUMMYFUNCTION("""COMPUTED_VALUE"""),337.77)</f>
        <v>337.77</v>
      </c>
      <c r="D898" s="1">
        <f ca="1">IFERROR(__xludf.DUMMYFUNCTION("""COMPUTED_VALUE"""),128.15)</f>
        <v>128.15</v>
      </c>
      <c r="E898" s="1">
        <f ca="1">IFERROR(__xludf.DUMMYFUNCTION("""COMPUTED_VALUE"""),45.45)</f>
        <v>45.45</v>
      </c>
      <c r="F898" s="1">
        <f ca="1">IFERROR(__xludf.DUMMYFUNCTION("""COMPUTED_VALUE"""),298.57)</f>
        <v>298.57</v>
      </c>
      <c r="G898" s="1">
        <f ca="1">IFERROR(__xludf.DUMMYFUNCTION("""COMPUTED_VALUE"""),129.66)</f>
        <v>129.66</v>
      </c>
      <c r="H898" s="1">
        <f ca="1">IFERROR(__xludf.DUMMYFUNCTION("""COMPUTED_VALUE"""),264.35)</f>
        <v>264.35000000000002</v>
      </c>
      <c r="I898" s="1">
        <f ca="1">IFERROR(__xludf.DUMMYFUNCTION("""COMPUTED_VALUE"""),191.6)</f>
        <v>191.6</v>
      </c>
      <c r="J898" s="1">
        <f ca="1">IFERROR(__xludf.DUMMYFUNCTION("""COMPUTED_VALUE"""),566.17)</f>
        <v>566.16999999999996</v>
      </c>
      <c r="K898" s="1">
        <f ca="1">IFERROR(__xludf.DUMMYFUNCTION("""COMPUTED_VALUE"""),89.31)</f>
        <v>89.31</v>
      </c>
      <c r="L898" s="1">
        <f ca="1">IFERROR(__xludf.DUMMYFUNCTION("""COMPUTED_VALUE"""),514.55)</f>
        <v>514.54999999999995</v>
      </c>
      <c r="M898" s="1">
        <f ca="1">IFERROR(__xludf.DUMMYFUNCTION("""COMPUTED_VALUE"""),422.67)</f>
        <v>422.67</v>
      </c>
      <c r="N898" s="1">
        <f ca="1">IFERROR(__xludf.DUMMYFUNCTION("""COMPUTED_VALUE"""),157.76)</f>
        <v>157.76</v>
      </c>
      <c r="O898" s="1">
        <f ca="1">IFERROR(__xludf.DUMMYFUNCTION("""COMPUTED_VALUE"""),237.1)</f>
        <v>237.1</v>
      </c>
      <c r="P898" s="1">
        <f ca="1">IFERROR(__xludf.DUMMYFUNCTION("""COMPUTED_VALUE"""),172.72)</f>
        <v>172.72</v>
      </c>
      <c r="Q898" s="1">
        <f ca="1">IFERROR(__xludf.DUMMYFUNCTION("""COMPUTED_VALUE"""),508)</f>
        <v>508</v>
      </c>
      <c r="R898" s="1">
        <f ca="1">IFERROR(__xludf.DUMMYFUNCTION("""COMPUTED_VALUE"""),105.09)</f>
        <v>105.09</v>
      </c>
      <c r="S898" s="1">
        <f ca="1">IFERROR(__xludf.DUMMYFUNCTION("""COMPUTED_VALUE"""),74.37)</f>
        <v>74.37</v>
      </c>
      <c r="T898" s="1">
        <f ca="1">IFERROR(__xludf.DUMMYFUNCTION("""COMPUTED_VALUE"""),53.25)</f>
        <v>53.25</v>
      </c>
      <c r="U898" s="1">
        <f ca="1">IFERROR(__xludf.DUMMYFUNCTION("""COMPUTED_VALUE"""),109.3)</f>
        <v>109.3</v>
      </c>
      <c r="V898" s="1">
        <f ca="1">IFERROR(__xludf.DUMMYFUNCTION("""COMPUTED_VALUE"""),258.32)</f>
        <v>258.32</v>
      </c>
      <c r="W898" s="1">
        <f ca="1">IFERROR(__xludf.DUMMYFUNCTION("""COMPUTED_VALUE"""),452.81)</f>
        <v>452.81</v>
      </c>
      <c r="X898" s="1">
        <f ca="1">IFERROR(__xludf.DUMMYFUNCTION("""COMPUTED_VALUE"""),684.3)</f>
        <v>684.3</v>
      </c>
      <c r="Y898" s="1">
        <f ca="1">IFERROR(__xludf.DUMMYFUNCTION("""COMPUTED_VALUE"""),99.41)</f>
        <v>99.41</v>
      </c>
      <c r="Z898" s="1">
        <f ca="1">IFERROR(__xludf.DUMMYFUNCTION("""COMPUTED_VALUE"""),357.56)</f>
        <v>357.56</v>
      </c>
      <c r="AA898" s="1">
        <f ca="1">IFERROR(__xludf.DUMMYFUNCTION("""COMPUTED_VALUE"""),37.21)</f>
        <v>37.21</v>
      </c>
      <c r="AB898" s="1">
        <f ca="1">IFERROR(__xludf.DUMMYFUNCTION("""COMPUTED_VALUE"""),101.73)</f>
        <v>101.73</v>
      </c>
      <c r="AC898" s="1">
        <f ca="1">IFERROR(__xludf.DUMMYFUNCTION("""COMPUTED_VALUE"""),110.09)</f>
        <v>110.09</v>
      </c>
    </row>
    <row r="899" spans="1:29" x14ac:dyDescent="0.25">
      <c r="A899" s="2">
        <f ca="1">IFERROR(__xludf.DUMMYFUNCTION("""COMPUTED_VALUE"""),45134.6666666666)</f>
        <v>45134.666666666599</v>
      </c>
      <c r="B899" s="1">
        <f ca="1">IFERROR(__xludf.DUMMYFUNCTION("""COMPUTED_VALUE"""),193.22)</f>
        <v>193.22</v>
      </c>
      <c r="C899" s="1">
        <f ca="1">IFERROR(__xludf.DUMMYFUNCTION("""COMPUTED_VALUE"""),330.72)</f>
        <v>330.72</v>
      </c>
      <c r="D899" s="1">
        <f ca="1">IFERROR(__xludf.DUMMYFUNCTION("""COMPUTED_VALUE"""),128.25)</f>
        <v>128.25</v>
      </c>
      <c r="E899" s="1">
        <f ca="1">IFERROR(__xludf.DUMMYFUNCTION("""COMPUTED_VALUE"""),45.9)</f>
        <v>45.9</v>
      </c>
      <c r="F899" s="1">
        <f ca="1">IFERROR(__xludf.DUMMYFUNCTION("""COMPUTED_VALUE"""),311.71)</f>
        <v>311.70999999999998</v>
      </c>
      <c r="G899" s="1">
        <f ca="1">IFERROR(__xludf.DUMMYFUNCTION("""COMPUTED_VALUE"""),129.87)</f>
        <v>129.87</v>
      </c>
      <c r="H899" s="1">
        <f ca="1">IFERROR(__xludf.DUMMYFUNCTION("""COMPUTED_VALUE"""),255.71)</f>
        <v>255.71</v>
      </c>
      <c r="I899" s="1">
        <f ca="1">IFERROR(__xludf.DUMMYFUNCTION("""COMPUTED_VALUE"""),188.53)</f>
        <v>188.53</v>
      </c>
      <c r="J899" s="1">
        <f ca="1">IFERROR(__xludf.DUMMYFUNCTION("""COMPUTED_VALUE"""),561.83)</f>
        <v>561.83000000000004</v>
      </c>
      <c r="K899" s="1">
        <f ca="1">IFERROR(__xludf.DUMMYFUNCTION("""COMPUTED_VALUE"""),89.35)</f>
        <v>89.35</v>
      </c>
      <c r="L899" s="1">
        <f ca="1">IFERROR(__xludf.DUMMYFUNCTION("""COMPUTED_VALUE"""),513.97)</f>
        <v>513.97</v>
      </c>
      <c r="M899" s="1">
        <f ca="1">IFERROR(__xludf.DUMMYFUNCTION("""COMPUTED_VALUE"""),413.17)</f>
        <v>413.17</v>
      </c>
      <c r="N899" s="1">
        <f ca="1">IFERROR(__xludf.DUMMYFUNCTION("""COMPUTED_VALUE"""),156.02)</f>
        <v>156.02000000000001</v>
      </c>
      <c r="O899" s="1">
        <f ca="1">IFERROR(__xludf.DUMMYFUNCTION("""COMPUTED_VALUE"""),234.44)</f>
        <v>234.44</v>
      </c>
      <c r="P899" s="1">
        <f ca="1">IFERROR(__xludf.DUMMYFUNCTION("""COMPUTED_VALUE"""),173.69)</f>
        <v>173.69</v>
      </c>
      <c r="Q899" s="1">
        <f ca="1">IFERROR(__xludf.DUMMYFUNCTION("""COMPUTED_VALUE"""),505.23)</f>
        <v>505.23</v>
      </c>
      <c r="R899" s="1">
        <f ca="1">IFERROR(__xludf.DUMMYFUNCTION("""COMPUTED_VALUE"""),105.42)</f>
        <v>105.42</v>
      </c>
      <c r="S899" s="1">
        <f ca="1">IFERROR(__xludf.DUMMYFUNCTION("""COMPUTED_VALUE"""),73.27)</f>
        <v>73.27</v>
      </c>
      <c r="T899" s="1">
        <f ca="1">IFERROR(__xludf.DUMMYFUNCTION("""COMPUTED_VALUE"""),53.05)</f>
        <v>53.05</v>
      </c>
      <c r="U899" s="1">
        <f ca="1">IFERROR(__xludf.DUMMYFUNCTION("""COMPUTED_VALUE"""),107.67)</f>
        <v>107.67</v>
      </c>
      <c r="V899" s="1">
        <f ca="1">IFERROR(__xludf.DUMMYFUNCTION("""COMPUTED_VALUE"""),258.3)</f>
        <v>258.3</v>
      </c>
      <c r="W899" s="1">
        <f ca="1">IFERROR(__xludf.DUMMYFUNCTION("""COMPUTED_VALUE"""),448.64)</f>
        <v>448.64</v>
      </c>
      <c r="X899" s="1">
        <f ca="1">IFERROR(__xludf.DUMMYFUNCTION("""COMPUTED_VALUE"""),708.12)</f>
        <v>708.12</v>
      </c>
      <c r="Y899" s="1">
        <f ca="1">IFERROR(__xludf.DUMMYFUNCTION("""COMPUTED_VALUE"""),99.35)</f>
        <v>99.35</v>
      </c>
      <c r="Z899" s="1">
        <f ca="1">IFERROR(__xludf.DUMMYFUNCTION("""COMPUTED_VALUE"""),354.51)</f>
        <v>354.51</v>
      </c>
      <c r="AA899" s="1">
        <f ca="1">IFERROR(__xludf.DUMMYFUNCTION("""COMPUTED_VALUE"""),36.2)</f>
        <v>36.200000000000003</v>
      </c>
      <c r="AB899" s="1">
        <f ca="1">IFERROR(__xludf.DUMMYFUNCTION("""COMPUTED_VALUE"""),100.78)</f>
        <v>100.78</v>
      </c>
      <c r="AC899" s="1">
        <f ca="1">IFERROR(__xludf.DUMMYFUNCTION("""COMPUTED_VALUE"""),111.1)</f>
        <v>111.1</v>
      </c>
    </row>
    <row r="900" spans="1:29" x14ac:dyDescent="0.25">
      <c r="A900" s="2">
        <f ca="1">IFERROR(__xludf.DUMMYFUNCTION("""COMPUTED_VALUE"""),45135.6666666666)</f>
        <v>45135.666666666599</v>
      </c>
      <c r="B900" s="1">
        <f ca="1">IFERROR(__xludf.DUMMYFUNCTION("""COMPUTED_VALUE"""),195.83)</f>
        <v>195.83</v>
      </c>
      <c r="C900" s="1">
        <f ca="1">IFERROR(__xludf.DUMMYFUNCTION("""COMPUTED_VALUE"""),338.37)</f>
        <v>338.37</v>
      </c>
      <c r="D900" s="1">
        <f ca="1">IFERROR(__xludf.DUMMYFUNCTION("""COMPUTED_VALUE"""),132.21)</f>
        <v>132.21</v>
      </c>
      <c r="E900" s="1">
        <f ca="1">IFERROR(__xludf.DUMMYFUNCTION("""COMPUTED_VALUE"""),46.75)</f>
        <v>46.75</v>
      </c>
      <c r="F900" s="1">
        <f ca="1">IFERROR(__xludf.DUMMYFUNCTION("""COMPUTED_VALUE"""),325.48)</f>
        <v>325.48</v>
      </c>
      <c r="G900" s="1">
        <f ca="1">IFERROR(__xludf.DUMMYFUNCTION("""COMPUTED_VALUE"""),133.01)</f>
        <v>133.01</v>
      </c>
      <c r="H900" s="1">
        <f ca="1">IFERROR(__xludf.DUMMYFUNCTION("""COMPUTED_VALUE"""),266.44)</f>
        <v>266.44</v>
      </c>
      <c r="I900" s="1">
        <f ca="1">IFERROR(__xludf.DUMMYFUNCTION("""COMPUTED_VALUE"""),190.31)</f>
        <v>190.31</v>
      </c>
      <c r="J900" s="1">
        <f ca="1">IFERROR(__xludf.DUMMYFUNCTION("""COMPUTED_VALUE"""),563.32)</f>
        <v>563.32000000000005</v>
      </c>
      <c r="K900" s="1">
        <f ca="1">IFERROR(__xludf.DUMMYFUNCTION("""COMPUTED_VALUE"""),89.98)</f>
        <v>89.98</v>
      </c>
      <c r="L900" s="1">
        <f ca="1">IFERROR(__xludf.DUMMYFUNCTION("""COMPUTED_VALUE"""),528.87)</f>
        <v>528.87</v>
      </c>
      <c r="M900" s="1">
        <f ca="1">IFERROR(__xludf.DUMMYFUNCTION("""COMPUTED_VALUE"""),425.78)</f>
        <v>425.78</v>
      </c>
      <c r="N900" s="1">
        <f ca="1">IFERROR(__xludf.DUMMYFUNCTION("""COMPUTED_VALUE"""),156.91)</f>
        <v>156.91</v>
      </c>
      <c r="O900" s="1">
        <f ca="1">IFERROR(__xludf.DUMMYFUNCTION("""COMPUTED_VALUE"""),235.75)</f>
        <v>235.75</v>
      </c>
      <c r="P900" s="1">
        <f ca="1">IFERROR(__xludf.DUMMYFUNCTION("""COMPUTED_VALUE"""),174.48)</f>
        <v>174.48</v>
      </c>
      <c r="Q900" s="1">
        <f ca="1">IFERROR(__xludf.DUMMYFUNCTION("""COMPUTED_VALUE"""),502.91)</f>
        <v>502.91</v>
      </c>
      <c r="R900" s="1">
        <f ca="1">IFERROR(__xludf.DUMMYFUNCTION("""COMPUTED_VALUE"""),104.16)</f>
        <v>104.16</v>
      </c>
      <c r="S900" s="1">
        <f ca="1">IFERROR(__xludf.DUMMYFUNCTION("""COMPUTED_VALUE"""),72.85)</f>
        <v>72.849999999999994</v>
      </c>
      <c r="T900" s="1">
        <f ca="1">IFERROR(__xludf.DUMMYFUNCTION("""COMPUTED_VALUE"""),53.3)</f>
        <v>53.3</v>
      </c>
      <c r="U900" s="1">
        <f ca="1">IFERROR(__xludf.DUMMYFUNCTION("""COMPUTED_VALUE"""),108.62)</f>
        <v>108.62</v>
      </c>
      <c r="V900" s="1">
        <f ca="1">IFERROR(__xludf.DUMMYFUNCTION("""COMPUTED_VALUE"""),260.43)</f>
        <v>260.43</v>
      </c>
      <c r="W900" s="1">
        <f ca="1">IFERROR(__xludf.DUMMYFUNCTION("""COMPUTED_VALUE"""),449)</f>
        <v>449</v>
      </c>
      <c r="X900" s="1">
        <f ca="1">IFERROR(__xludf.DUMMYFUNCTION("""COMPUTED_VALUE"""),718.37)</f>
        <v>718.37</v>
      </c>
      <c r="Y900" s="1">
        <f ca="1">IFERROR(__xludf.DUMMYFUNCTION("""COMPUTED_VALUE"""),100.86)</f>
        <v>100.86</v>
      </c>
      <c r="Z900" s="1">
        <f ca="1">IFERROR(__xludf.DUMMYFUNCTION("""COMPUTED_VALUE"""),353.23)</f>
        <v>353.23</v>
      </c>
      <c r="AA900" s="1">
        <f ca="1">IFERROR(__xludf.DUMMYFUNCTION("""COMPUTED_VALUE"""),36.07)</f>
        <v>36.07</v>
      </c>
      <c r="AB900" s="1">
        <f ca="1">IFERROR(__xludf.DUMMYFUNCTION("""COMPUTED_VALUE"""),101.25)</f>
        <v>101.25</v>
      </c>
      <c r="AC900" s="1">
        <f ca="1">IFERROR(__xludf.DUMMYFUNCTION("""COMPUTED_VALUE"""),112.96)</f>
        <v>112.96</v>
      </c>
    </row>
    <row r="901" spans="1:29" x14ac:dyDescent="0.25">
      <c r="A901" s="2">
        <f ca="1">IFERROR(__xludf.DUMMYFUNCTION("""COMPUTED_VALUE"""),45138.6666666666)</f>
        <v>45138.666666666599</v>
      </c>
      <c r="B901" s="1">
        <f ca="1">IFERROR(__xludf.DUMMYFUNCTION("""COMPUTED_VALUE"""),196.45)</f>
        <v>196.45</v>
      </c>
      <c r="C901" s="1">
        <f ca="1">IFERROR(__xludf.DUMMYFUNCTION("""COMPUTED_VALUE"""),335.92)</f>
        <v>335.92</v>
      </c>
      <c r="D901" s="1">
        <f ca="1">IFERROR(__xludf.DUMMYFUNCTION("""COMPUTED_VALUE"""),133.68)</f>
        <v>133.68</v>
      </c>
      <c r="E901" s="1">
        <f ca="1">IFERROR(__xludf.DUMMYFUNCTION("""COMPUTED_VALUE"""),46.73)</f>
        <v>46.73</v>
      </c>
      <c r="F901" s="1">
        <f ca="1">IFERROR(__xludf.DUMMYFUNCTION("""COMPUTED_VALUE"""),318.6)</f>
        <v>318.60000000000002</v>
      </c>
      <c r="G901" s="1">
        <f ca="1">IFERROR(__xludf.DUMMYFUNCTION("""COMPUTED_VALUE"""),133.11)</f>
        <v>133.11000000000001</v>
      </c>
      <c r="H901" s="1">
        <f ca="1">IFERROR(__xludf.DUMMYFUNCTION("""COMPUTED_VALUE"""),267.43)</f>
        <v>267.43</v>
      </c>
      <c r="I901" s="1">
        <f ca="1">IFERROR(__xludf.DUMMYFUNCTION("""COMPUTED_VALUE"""),187.46)</f>
        <v>187.46</v>
      </c>
      <c r="J901" s="1">
        <f ca="1">IFERROR(__xludf.DUMMYFUNCTION("""COMPUTED_VALUE"""),560.67)</f>
        <v>560.66999999999996</v>
      </c>
      <c r="K901" s="1">
        <f ca="1">IFERROR(__xludf.DUMMYFUNCTION("""COMPUTED_VALUE"""),89.87)</f>
        <v>89.87</v>
      </c>
      <c r="L901" s="1">
        <f ca="1">IFERROR(__xludf.DUMMYFUNCTION("""COMPUTED_VALUE"""),546.17)</f>
        <v>546.16999999999996</v>
      </c>
      <c r="M901" s="1">
        <f ca="1">IFERROR(__xludf.DUMMYFUNCTION("""COMPUTED_VALUE"""),438.97)</f>
        <v>438.97</v>
      </c>
      <c r="N901" s="1">
        <f ca="1">IFERROR(__xludf.DUMMYFUNCTION("""COMPUTED_VALUE"""),157.96)</f>
        <v>157.96</v>
      </c>
      <c r="O901" s="1">
        <f ca="1">IFERROR(__xludf.DUMMYFUNCTION("""COMPUTED_VALUE"""),237.73)</f>
        <v>237.73</v>
      </c>
      <c r="P901" s="1">
        <f ca="1">IFERROR(__xludf.DUMMYFUNCTION("""COMPUTED_VALUE"""),167.53)</f>
        <v>167.53</v>
      </c>
      <c r="Q901" s="1">
        <f ca="1">IFERROR(__xludf.DUMMYFUNCTION("""COMPUTED_VALUE"""),506.37)</f>
        <v>506.37</v>
      </c>
      <c r="R901" s="1">
        <f ca="1">IFERROR(__xludf.DUMMYFUNCTION("""COMPUTED_VALUE"""),107.24)</f>
        <v>107.24</v>
      </c>
      <c r="S901" s="1">
        <f ca="1">IFERROR(__xludf.DUMMYFUNCTION("""COMPUTED_VALUE"""),73.3)</f>
        <v>73.3</v>
      </c>
      <c r="T901" s="1">
        <f ca="1">IFERROR(__xludf.DUMMYFUNCTION("""COMPUTED_VALUE"""),53.29)</f>
        <v>53.29</v>
      </c>
      <c r="U901" s="1">
        <f ca="1">IFERROR(__xludf.DUMMYFUNCTION("""COMPUTED_VALUE"""),110.39)</f>
        <v>110.39</v>
      </c>
      <c r="V901" s="1">
        <f ca="1">IFERROR(__xludf.DUMMYFUNCTION("""COMPUTED_VALUE"""),265.17)</f>
        <v>265.17</v>
      </c>
      <c r="W901" s="1">
        <f ca="1">IFERROR(__xludf.DUMMYFUNCTION("""COMPUTED_VALUE"""),446.37)</f>
        <v>446.37</v>
      </c>
      <c r="X901" s="1">
        <f ca="1">IFERROR(__xludf.DUMMYFUNCTION("""COMPUTED_VALUE"""),716.41)</f>
        <v>716.41</v>
      </c>
      <c r="Y901" s="1">
        <f ca="1">IFERROR(__xludf.DUMMYFUNCTION("""COMPUTED_VALUE"""),99.15)</f>
        <v>99.15</v>
      </c>
      <c r="Z901" s="1">
        <f ca="1">IFERROR(__xludf.DUMMYFUNCTION("""COMPUTED_VALUE"""),355.87)</f>
        <v>355.87</v>
      </c>
      <c r="AA901" s="1">
        <f ca="1">IFERROR(__xludf.DUMMYFUNCTION("""COMPUTED_VALUE"""),36.06)</f>
        <v>36.06</v>
      </c>
      <c r="AB901" s="1">
        <f ca="1">IFERROR(__xludf.DUMMYFUNCTION("""COMPUTED_VALUE"""),101.57)</f>
        <v>101.57</v>
      </c>
      <c r="AC901" s="1">
        <f ca="1">IFERROR(__xludf.DUMMYFUNCTION("""COMPUTED_VALUE"""),114.4)</f>
        <v>114.4</v>
      </c>
    </row>
    <row r="902" spans="1:29" x14ac:dyDescent="0.25">
      <c r="A902" s="2">
        <f ca="1">IFERROR(__xludf.DUMMYFUNCTION("""COMPUTED_VALUE"""),45139.6666666666)</f>
        <v>45139.666666666599</v>
      </c>
      <c r="B902" s="1">
        <f ca="1">IFERROR(__xludf.DUMMYFUNCTION("""COMPUTED_VALUE"""),195.61)</f>
        <v>195.61</v>
      </c>
      <c r="C902" s="1">
        <f ca="1">IFERROR(__xludf.DUMMYFUNCTION("""COMPUTED_VALUE"""),336.34)</f>
        <v>336.34</v>
      </c>
      <c r="D902" s="1">
        <f ca="1">IFERROR(__xludf.DUMMYFUNCTION("""COMPUTED_VALUE"""),131.69)</f>
        <v>131.69</v>
      </c>
      <c r="E902" s="1">
        <f ca="1">IFERROR(__xludf.DUMMYFUNCTION("""COMPUTED_VALUE"""),46.51)</f>
        <v>46.51</v>
      </c>
      <c r="F902" s="1">
        <f ca="1">IFERROR(__xludf.DUMMYFUNCTION("""COMPUTED_VALUE"""),322.71)</f>
        <v>322.70999999999998</v>
      </c>
      <c r="G902" s="1">
        <f ca="1">IFERROR(__xludf.DUMMYFUNCTION("""COMPUTED_VALUE"""),131.89)</f>
        <v>131.88999999999999</v>
      </c>
      <c r="H902" s="1">
        <f ca="1">IFERROR(__xludf.DUMMYFUNCTION("""COMPUTED_VALUE"""),261.07)</f>
        <v>261.07</v>
      </c>
      <c r="I902" s="1">
        <f ca="1">IFERROR(__xludf.DUMMYFUNCTION("""COMPUTED_VALUE"""),186.82)</f>
        <v>186.82</v>
      </c>
      <c r="J902" s="1">
        <f ca="1">IFERROR(__xludf.DUMMYFUNCTION("""COMPUTED_VALUE"""),555.47)</f>
        <v>555.47</v>
      </c>
      <c r="K902" s="1">
        <f ca="1">IFERROR(__xludf.DUMMYFUNCTION("""COMPUTED_VALUE"""),92)</f>
        <v>92</v>
      </c>
      <c r="L902" s="1">
        <f ca="1">IFERROR(__xludf.DUMMYFUNCTION("""COMPUTED_VALUE"""),549.1)</f>
        <v>549.1</v>
      </c>
      <c r="M902" s="1">
        <f ca="1">IFERROR(__xludf.DUMMYFUNCTION("""COMPUTED_VALUE"""),438.62)</f>
        <v>438.62</v>
      </c>
      <c r="N902" s="1">
        <f ca="1">IFERROR(__xludf.DUMMYFUNCTION("""COMPUTED_VALUE"""),157.18)</f>
        <v>157.18</v>
      </c>
      <c r="O902" s="1">
        <f ca="1">IFERROR(__xludf.DUMMYFUNCTION("""COMPUTED_VALUE"""),239.78)</f>
        <v>239.78</v>
      </c>
      <c r="P902" s="1">
        <f ca="1">IFERROR(__xludf.DUMMYFUNCTION("""COMPUTED_VALUE"""),168.89)</f>
        <v>168.89</v>
      </c>
      <c r="Q902" s="1">
        <f ca="1">IFERROR(__xludf.DUMMYFUNCTION("""COMPUTED_VALUE"""),504.74)</f>
        <v>504.74</v>
      </c>
      <c r="R902" s="1">
        <f ca="1">IFERROR(__xludf.DUMMYFUNCTION("""COMPUTED_VALUE"""),106.62)</f>
        <v>106.62</v>
      </c>
      <c r="S902" s="1">
        <f ca="1">IFERROR(__xludf.DUMMYFUNCTION("""COMPUTED_VALUE"""),72.17)</f>
        <v>72.17</v>
      </c>
      <c r="T902" s="1">
        <f ca="1">IFERROR(__xludf.DUMMYFUNCTION("""COMPUTED_VALUE"""),53.04)</f>
        <v>53.04</v>
      </c>
      <c r="U902" s="1">
        <f ca="1">IFERROR(__xludf.DUMMYFUNCTION("""COMPUTED_VALUE"""),109.4)</f>
        <v>109.4</v>
      </c>
      <c r="V902" s="1">
        <f ca="1">IFERROR(__xludf.DUMMYFUNCTION("""COMPUTED_VALUE"""),288.65)</f>
        <v>288.64999999999998</v>
      </c>
      <c r="W902" s="1">
        <f ca="1">IFERROR(__xludf.DUMMYFUNCTION("""COMPUTED_VALUE"""),451.28)</f>
        <v>451.28</v>
      </c>
      <c r="X902" s="1">
        <f ca="1">IFERROR(__xludf.DUMMYFUNCTION("""COMPUTED_VALUE"""),708.71)</f>
        <v>708.71</v>
      </c>
      <c r="Y902" s="1">
        <f ca="1">IFERROR(__xludf.DUMMYFUNCTION("""COMPUTED_VALUE"""),98.4)</f>
        <v>98.4</v>
      </c>
      <c r="Z902" s="1">
        <f ca="1">IFERROR(__xludf.DUMMYFUNCTION("""COMPUTED_VALUE"""),357.72)</f>
        <v>357.72</v>
      </c>
      <c r="AA902" s="1">
        <f ca="1">IFERROR(__xludf.DUMMYFUNCTION("""COMPUTED_VALUE"""),35.61)</f>
        <v>35.61</v>
      </c>
      <c r="AB902" s="1">
        <f ca="1">IFERROR(__xludf.DUMMYFUNCTION("""COMPUTED_VALUE"""),101.26)</f>
        <v>101.26</v>
      </c>
      <c r="AC902" s="1">
        <f ca="1">IFERROR(__xludf.DUMMYFUNCTION("""COMPUTED_VALUE"""),117.6)</f>
        <v>117.6</v>
      </c>
    </row>
    <row r="903" spans="1:29" x14ac:dyDescent="0.25">
      <c r="A903" s="2">
        <f ca="1">IFERROR(__xludf.DUMMYFUNCTION("""COMPUTED_VALUE"""),45140.6666666666)</f>
        <v>45140.666666666599</v>
      </c>
      <c r="B903" s="1">
        <f ca="1">IFERROR(__xludf.DUMMYFUNCTION("""COMPUTED_VALUE"""),192.58)</f>
        <v>192.58</v>
      </c>
      <c r="C903" s="1">
        <f ca="1">IFERROR(__xludf.DUMMYFUNCTION("""COMPUTED_VALUE"""),327.5)</f>
        <v>327.5</v>
      </c>
      <c r="D903" s="1">
        <f ca="1">IFERROR(__xludf.DUMMYFUNCTION("""COMPUTED_VALUE"""),128.21)</f>
        <v>128.21</v>
      </c>
      <c r="E903" s="1">
        <f ca="1">IFERROR(__xludf.DUMMYFUNCTION("""COMPUTED_VALUE"""),44.27)</f>
        <v>44.27</v>
      </c>
      <c r="F903" s="1">
        <f ca="1">IFERROR(__xludf.DUMMYFUNCTION("""COMPUTED_VALUE"""),314.31)</f>
        <v>314.31</v>
      </c>
      <c r="G903" s="1">
        <f ca="1">IFERROR(__xludf.DUMMYFUNCTION("""COMPUTED_VALUE"""),128.64)</f>
        <v>128.63999999999999</v>
      </c>
      <c r="H903" s="1">
        <f ca="1">IFERROR(__xludf.DUMMYFUNCTION("""COMPUTED_VALUE"""),254.11)</f>
        <v>254.11</v>
      </c>
      <c r="I903" s="1">
        <f ca="1">IFERROR(__xludf.DUMMYFUNCTION("""COMPUTED_VALUE"""),188.31)</f>
        <v>188.31</v>
      </c>
      <c r="J903" s="1">
        <f ca="1">IFERROR(__xludf.DUMMYFUNCTION("""COMPUTED_VALUE"""),552.35)</f>
        <v>552.35</v>
      </c>
      <c r="K903" s="1">
        <f ca="1">IFERROR(__xludf.DUMMYFUNCTION("""COMPUTED_VALUE"""),89.23)</f>
        <v>89.23</v>
      </c>
      <c r="L903" s="1">
        <f ca="1">IFERROR(__xludf.DUMMYFUNCTION("""COMPUTED_VALUE"""),530.3)</f>
        <v>530.29999999999995</v>
      </c>
      <c r="M903" s="1">
        <f ca="1">IFERROR(__xludf.DUMMYFUNCTION("""COMPUTED_VALUE"""),429.7)</f>
        <v>429.7</v>
      </c>
      <c r="N903" s="1">
        <f ca="1">IFERROR(__xludf.DUMMYFUNCTION("""COMPUTED_VALUE"""),155.4)</f>
        <v>155.4</v>
      </c>
      <c r="O903" s="1">
        <f ca="1">IFERROR(__xludf.DUMMYFUNCTION("""COMPUTED_VALUE"""),237.56)</f>
        <v>237.56</v>
      </c>
      <c r="P903" s="1">
        <f ca="1">IFERROR(__xludf.DUMMYFUNCTION("""COMPUTED_VALUE"""),169.91)</f>
        <v>169.91</v>
      </c>
      <c r="Q903" s="1">
        <f ca="1">IFERROR(__xludf.DUMMYFUNCTION("""COMPUTED_VALUE"""),504.8)</f>
        <v>504.8</v>
      </c>
      <c r="R903" s="1">
        <f ca="1">IFERROR(__xludf.DUMMYFUNCTION("""COMPUTED_VALUE"""),105.29)</f>
        <v>105.29</v>
      </c>
      <c r="S903" s="1">
        <f ca="1">IFERROR(__xludf.DUMMYFUNCTION("""COMPUTED_VALUE"""),71.91)</f>
        <v>71.91</v>
      </c>
      <c r="T903" s="1">
        <f ca="1">IFERROR(__xludf.DUMMYFUNCTION("""COMPUTED_VALUE"""),53.07)</f>
        <v>53.07</v>
      </c>
      <c r="U903" s="1">
        <f ca="1">IFERROR(__xludf.DUMMYFUNCTION("""COMPUTED_VALUE"""),107.51)</f>
        <v>107.51</v>
      </c>
      <c r="V903" s="1">
        <f ca="1">IFERROR(__xludf.DUMMYFUNCTION("""COMPUTED_VALUE"""),287.57)</f>
        <v>287.57</v>
      </c>
      <c r="W903" s="1">
        <f ca="1">IFERROR(__xludf.DUMMYFUNCTION("""COMPUTED_VALUE"""),448.56)</f>
        <v>448.56</v>
      </c>
      <c r="X903" s="1">
        <f ca="1">IFERROR(__xludf.DUMMYFUNCTION("""COMPUTED_VALUE"""),683.06)</f>
        <v>683.06</v>
      </c>
      <c r="Y903" s="1">
        <f ca="1">IFERROR(__xludf.DUMMYFUNCTION("""COMPUTED_VALUE"""),95.7)</f>
        <v>95.7</v>
      </c>
      <c r="Z903" s="1">
        <f ca="1">IFERROR(__xludf.DUMMYFUNCTION("""COMPUTED_VALUE"""),351.1)</f>
        <v>351.1</v>
      </c>
      <c r="AA903" s="1">
        <f ca="1">IFERROR(__xludf.DUMMYFUNCTION("""COMPUTED_VALUE"""),35.35)</f>
        <v>35.35</v>
      </c>
      <c r="AB903" s="1">
        <f ca="1">IFERROR(__xludf.DUMMYFUNCTION("""COMPUTED_VALUE"""),102.13)</f>
        <v>102.13</v>
      </c>
      <c r="AC903" s="1">
        <f ca="1">IFERROR(__xludf.DUMMYFUNCTION("""COMPUTED_VALUE"""),109.35)</f>
        <v>109.35</v>
      </c>
    </row>
    <row r="904" spans="1:29" x14ac:dyDescent="0.25">
      <c r="A904" s="2">
        <f ca="1">IFERROR(__xludf.DUMMYFUNCTION("""COMPUTED_VALUE"""),45141.6666666666)</f>
        <v>45141.666666666599</v>
      </c>
      <c r="B904" s="1">
        <f ca="1">IFERROR(__xludf.DUMMYFUNCTION("""COMPUTED_VALUE"""),191.17)</f>
        <v>191.17</v>
      </c>
      <c r="C904" s="1">
        <f ca="1">IFERROR(__xludf.DUMMYFUNCTION("""COMPUTED_VALUE"""),326.66)</f>
        <v>326.66000000000003</v>
      </c>
      <c r="D904" s="1">
        <f ca="1">IFERROR(__xludf.DUMMYFUNCTION("""COMPUTED_VALUE"""),128.91)</f>
        <v>128.91</v>
      </c>
      <c r="E904" s="1">
        <f ca="1">IFERROR(__xludf.DUMMYFUNCTION("""COMPUTED_VALUE"""),44.52)</f>
        <v>44.52</v>
      </c>
      <c r="F904" s="1">
        <f ca="1">IFERROR(__xludf.DUMMYFUNCTION("""COMPUTED_VALUE"""),313.19)</f>
        <v>313.19</v>
      </c>
      <c r="G904" s="1">
        <f ca="1">IFERROR(__xludf.DUMMYFUNCTION("""COMPUTED_VALUE"""),128.77)</f>
        <v>128.77000000000001</v>
      </c>
      <c r="H904" s="1">
        <f ca="1">IFERROR(__xludf.DUMMYFUNCTION("""COMPUTED_VALUE"""),259.32)</f>
        <v>259.32</v>
      </c>
      <c r="I904" s="1">
        <f ca="1">IFERROR(__xludf.DUMMYFUNCTION("""COMPUTED_VALUE"""),187.12)</f>
        <v>187.12</v>
      </c>
      <c r="J904" s="1">
        <f ca="1">IFERROR(__xludf.DUMMYFUNCTION("""COMPUTED_VALUE"""),557.69)</f>
        <v>557.69000000000005</v>
      </c>
      <c r="K904" s="1">
        <f ca="1">IFERROR(__xludf.DUMMYFUNCTION("""COMPUTED_VALUE"""),88.5)</f>
        <v>88.5</v>
      </c>
      <c r="L904" s="1">
        <f ca="1">IFERROR(__xludf.DUMMYFUNCTION("""COMPUTED_VALUE"""),523.76)</f>
        <v>523.76</v>
      </c>
      <c r="M904" s="1">
        <f ca="1">IFERROR(__xludf.DUMMYFUNCTION("""COMPUTED_VALUE"""),431)</f>
        <v>431</v>
      </c>
      <c r="N904" s="1">
        <f ca="1">IFERROR(__xludf.DUMMYFUNCTION("""COMPUTED_VALUE"""),156.35)</f>
        <v>156.35</v>
      </c>
      <c r="O904" s="1">
        <f ca="1">IFERROR(__xludf.DUMMYFUNCTION("""COMPUTED_VALUE"""),238.76)</f>
        <v>238.76</v>
      </c>
      <c r="P904" s="1">
        <f ca="1">IFERROR(__xludf.DUMMYFUNCTION("""COMPUTED_VALUE"""),170.64)</f>
        <v>170.64</v>
      </c>
      <c r="Q904" s="1">
        <f ca="1">IFERROR(__xludf.DUMMYFUNCTION("""COMPUTED_VALUE"""),504.86)</f>
        <v>504.86</v>
      </c>
      <c r="R904" s="1">
        <f ca="1">IFERROR(__xludf.DUMMYFUNCTION("""COMPUTED_VALUE"""),107.12)</f>
        <v>107.12</v>
      </c>
      <c r="S904" s="1">
        <f ca="1">IFERROR(__xludf.DUMMYFUNCTION("""COMPUTED_VALUE"""),70.1)</f>
        <v>70.099999999999994</v>
      </c>
      <c r="T904" s="1">
        <f ca="1">IFERROR(__xludf.DUMMYFUNCTION("""COMPUTED_VALUE"""),53.09)</f>
        <v>53.09</v>
      </c>
      <c r="U904" s="1">
        <f ca="1">IFERROR(__xludf.DUMMYFUNCTION("""COMPUTED_VALUE"""),108.64)</f>
        <v>108.64</v>
      </c>
      <c r="V904" s="1">
        <f ca="1">IFERROR(__xludf.DUMMYFUNCTION("""COMPUTED_VALUE"""),281.45)</f>
        <v>281.45</v>
      </c>
      <c r="W904" s="1">
        <f ca="1">IFERROR(__xludf.DUMMYFUNCTION("""COMPUTED_VALUE"""),447.92)</f>
        <v>447.92</v>
      </c>
      <c r="X904" s="1">
        <f ca="1">IFERROR(__xludf.DUMMYFUNCTION("""COMPUTED_VALUE"""),681.01)</f>
        <v>681.01</v>
      </c>
      <c r="Y904" s="1">
        <f ca="1">IFERROR(__xludf.DUMMYFUNCTION("""COMPUTED_VALUE"""),94.98)</f>
        <v>94.98</v>
      </c>
      <c r="Z904" s="1">
        <f ca="1">IFERROR(__xludf.DUMMYFUNCTION("""COMPUTED_VALUE"""),353.16)</f>
        <v>353.16</v>
      </c>
      <c r="AA904" s="1">
        <f ca="1">IFERROR(__xludf.DUMMYFUNCTION("""COMPUTED_VALUE"""),35)</f>
        <v>35</v>
      </c>
      <c r="AB904" s="1">
        <f ca="1">IFERROR(__xludf.DUMMYFUNCTION("""COMPUTED_VALUE"""),102.33)</f>
        <v>102.33</v>
      </c>
      <c r="AC904" s="1">
        <f ca="1">IFERROR(__xludf.DUMMYFUNCTION("""COMPUTED_VALUE"""),113.15)</f>
        <v>113.15</v>
      </c>
    </row>
    <row r="905" spans="1:29" x14ac:dyDescent="0.25">
      <c r="A905" s="2">
        <f ca="1">IFERROR(__xludf.DUMMYFUNCTION("""COMPUTED_VALUE"""),45142.6666666666)</f>
        <v>45142.666666666599</v>
      </c>
      <c r="B905" s="1">
        <f ca="1">IFERROR(__xludf.DUMMYFUNCTION("""COMPUTED_VALUE"""),181.99)</f>
        <v>181.99</v>
      </c>
      <c r="C905" s="1">
        <f ca="1">IFERROR(__xludf.DUMMYFUNCTION("""COMPUTED_VALUE"""),327.78)</f>
        <v>327.78</v>
      </c>
      <c r="D905" s="1">
        <f ca="1">IFERROR(__xludf.DUMMYFUNCTION("""COMPUTED_VALUE"""),139.57)</f>
        <v>139.57</v>
      </c>
      <c r="E905" s="1">
        <f ca="1">IFERROR(__xludf.DUMMYFUNCTION("""COMPUTED_VALUE"""),44.68)</f>
        <v>44.68</v>
      </c>
      <c r="F905" s="1">
        <f ca="1">IFERROR(__xludf.DUMMYFUNCTION("""COMPUTED_VALUE"""),310.73)</f>
        <v>310.73</v>
      </c>
      <c r="G905" s="1">
        <f ca="1">IFERROR(__xludf.DUMMYFUNCTION("""COMPUTED_VALUE"""),128.54)</f>
        <v>128.54</v>
      </c>
      <c r="H905" s="1">
        <f ca="1">IFERROR(__xludf.DUMMYFUNCTION("""COMPUTED_VALUE"""),253.86)</f>
        <v>253.86</v>
      </c>
      <c r="I905" s="1">
        <f ca="1">IFERROR(__xludf.DUMMYFUNCTION("""COMPUTED_VALUE"""),184.6)</f>
        <v>184.6</v>
      </c>
      <c r="J905" s="1">
        <f ca="1">IFERROR(__xludf.DUMMYFUNCTION("""COMPUTED_VALUE"""),552.04)</f>
        <v>552.04</v>
      </c>
      <c r="K905" s="1">
        <f ca="1">IFERROR(__xludf.DUMMYFUNCTION("""COMPUTED_VALUE"""),88.17)</f>
        <v>88.17</v>
      </c>
      <c r="L905" s="1">
        <f ca="1">IFERROR(__xludf.DUMMYFUNCTION("""COMPUTED_VALUE"""),526.88)</f>
        <v>526.88</v>
      </c>
      <c r="M905" s="1">
        <f ca="1">IFERROR(__xludf.DUMMYFUNCTION("""COMPUTED_VALUE"""),431.6)</f>
        <v>431.6</v>
      </c>
      <c r="N905" s="1">
        <f ca="1">IFERROR(__xludf.DUMMYFUNCTION("""COMPUTED_VALUE"""),156.02)</f>
        <v>156.02000000000001</v>
      </c>
      <c r="O905" s="1">
        <f ca="1">IFERROR(__xludf.DUMMYFUNCTION("""COMPUTED_VALUE"""),238.99)</f>
        <v>238.99</v>
      </c>
      <c r="P905" s="1">
        <f ca="1">IFERROR(__xludf.DUMMYFUNCTION("""COMPUTED_VALUE"""),169.04)</f>
        <v>169.04</v>
      </c>
      <c r="Q905" s="1">
        <f ca="1">IFERROR(__xludf.DUMMYFUNCTION("""COMPUTED_VALUE"""),502.73)</f>
        <v>502.73</v>
      </c>
      <c r="R905" s="1">
        <f ca="1">IFERROR(__xludf.DUMMYFUNCTION("""COMPUTED_VALUE"""),107.42)</f>
        <v>107.42</v>
      </c>
      <c r="S905" s="1">
        <f ca="1">IFERROR(__xludf.DUMMYFUNCTION("""COMPUTED_VALUE"""),69.17)</f>
        <v>69.17</v>
      </c>
      <c r="T905" s="1">
        <f ca="1">IFERROR(__xludf.DUMMYFUNCTION("""COMPUTED_VALUE"""),52.78)</f>
        <v>52.78</v>
      </c>
      <c r="U905" s="1">
        <f ca="1">IFERROR(__xludf.DUMMYFUNCTION("""COMPUTED_VALUE"""),108.81)</f>
        <v>108.81</v>
      </c>
      <c r="V905" s="1">
        <f ca="1">IFERROR(__xludf.DUMMYFUNCTION("""COMPUTED_VALUE"""),276.44)</f>
        <v>276.44</v>
      </c>
      <c r="W905" s="1">
        <f ca="1">IFERROR(__xludf.DUMMYFUNCTION("""COMPUTED_VALUE"""),445.72)</f>
        <v>445.72</v>
      </c>
      <c r="X905" s="1">
        <f ca="1">IFERROR(__xludf.DUMMYFUNCTION("""COMPUTED_VALUE"""),678.04)</f>
        <v>678.04</v>
      </c>
      <c r="Y905" s="1">
        <f ca="1">IFERROR(__xludf.DUMMYFUNCTION("""COMPUTED_VALUE"""),96.16)</f>
        <v>96.16</v>
      </c>
      <c r="Z905" s="1">
        <f ca="1">IFERROR(__xludf.DUMMYFUNCTION("""COMPUTED_VALUE"""),353.22)</f>
        <v>353.22</v>
      </c>
      <c r="AA905" s="1">
        <f ca="1">IFERROR(__xludf.DUMMYFUNCTION("""COMPUTED_VALUE"""),35.02)</f>
        <v>35.020000000000003</v>
      </c>
      <c r="AB905" s="1">
        <f ca="1">IFERROR(__xludf.DUMMYFUNCTION("""COMPUTED_VALUE"""),100.68)</f>
        <v>100.68</v>
      </c>
      <c r="AC905" s="1">
        <f ca="1">IFERROR(__xludf.DUMMYFUNCTION("""COMPUTED_VALUE"""),115.82)</f>
        <v>115.82</v>
      </c>
    </row>
    <row r="906" spans="1:29" x14ac:dyDescent="0.25">
      <c r="A906" s="2">
        <f ca="1">IFERROR(__xludf.DUMMYFUNCTION("""COMPUTED_VALUE"""),45145.6666666666)</f>
        <v>45145.666666666599</v>
      </c>
      <c r="B906" s="1">
        <f ca="1">IFERROR(__xludf.DUMMYFUNCTION("""COMPUTED_VALUE"""),178.85)</f>
        <v>178.85</v>
      </c>
      <c r="C906" s="1">
        <f ca="1">IFERROR(__xludf.DUMMYFUNCTION("""COMPUTED_VALUE"""),330.11)</f>
        <v>330.11</v>
      </c>
      <c r="D906" s="1">
        <f ca="1">IFERROR(__xludf.DUMMYFUNCTION("""COMPUTED_VALUE"""),142.22)</f>
        <v>142.22</v>
      </c>
      <c r="E906" s="1">
        <f ca="1">IFERROR(__xludf.DUMMYFUNCTION("""COMPUTED_VALUE"""),45.42)</f>
        <v>45.42</v>
      </c>
      <c r="F906" s="1">
        <f ca="1">IFERROR(__xludf.DUMMYFUNCTION("""COMPUTED_VALUE"""),316.56)</f>
        <v>316.56</v>
      </c>
      <c r="G906" s="1">
        <f ca="1">IFERROR(__xludf.DUMMYFUNCTION("""COMPUTED_VALUE"""),131.94)</f>
        <v>131.94</v>
      </c>
      <c r="H906" s="1">
        <f ca="1">IFERROR(__xludf.DUMMYFUNCTION("""COMPUTED_VALUE"""),251.45)</f>
        <v>251.45</v>
      </c>
      <c r="I906" s="1">
        <f ca="1">IFERROR(__xludf.DUMMYFUNCTION("""COMPUTED_VALUE"""),186.89)</f>
        <v>186.89</v>
      </c>
      <c r="J906" s="1">
        <f ca="1">IFERROR(__xludf.DUMMYFUNCTION("""COMPUTED_VALUE"""),558.41)</f>
        <v>558.41</v>
      </c>
      <c r="K906" s="1">
        <f ca="1">IFERROR(__xludf.DUMMYFUNCTION("""COMPUTED_VALUE"""),89.71)</f>
        <v>89.71</v>
      </c>
      <c r="L906" s="1">
        <f ca="1">IFERROR(__xludf.DUMMYFUNCTION("""COMPUTED_VALUE"""),529.73)</f>
        <v>529.73</v>
      </c>
      <c r="M906" s="1">
        <f ca="1">IFERROR(__xludf.DUMMYFUNCTION("""COMPUTED_VALUE"""),440.76)</f>
        <v>440.76</v>
      </c>
      <c r="N906" s="1">
        <f ca="1">IFERROR(__xludf.DUMMYFUNCTION("""COMPUTED_VALUE"""),156.76)</f>
        <v>156.76</v>
      </c>
      <c r="O906" s="1">
        <f ca="1">IFERROR(__xludf.DUMMYFUNCTION("""COMPUTED_VALUE"""),241.51)</f>
        <v>241.51</v>
      </c>
      <c r="P906" s="1">
        <f ca="1">IFERROR(__xludf.DUMMYFUNCTION("""COMPUTED_VALUE"""),173.1)</f>
        <v>173.1</v>
      </c>
      <c r="Q906" s="1">
        <f ca="1">IFERROR(__xludf.DUMMYFUNCTION("""COMPUTED_VALUE"""),510.74)</f>
        <v>510.74</v>
      </c>
      <c r="R906" s="1">
        <f ca="1">IFERROR(__xludf.DUMMYFUNCTION("""COMPUTED_VALUE"""),107.2)</f>
        <v>107.2</v>
      </c>
      <c r="S906" s="1">
        <f ca="1">IFERROR(__xludf.DUMMYFUNCTION("""COMPUTED_VALUE"""),68.64)</f>
        <v>68.64</v>
      </c>
      <c r="T906" s="1">
        <f ca="1">IFERROR(__xludf.DUMMYFUNCTION("""COMPUTED_VALUE"""),53.5)</f>
        <v>53.5</v>
      </c>
      <c r="U906" s="1">
        <f ca="1">IFERROR(__xludf.DUMMYFUNCTION("""COMPUTED_VALUE"""),110.48)</f>
        <v>110.48</v>
      </c>
      <c r="V906" s="1">
        <f ca="1">IFERROR(__xludf.DUMMYFUNCTION("""COMPUTED_VALUE"""),281.65)</f>
        <v>281.64999999999998</v>
      </c>
      <c r="W906" s="1">
        <f ca="1">IFERROR(__xludf.DUMMYFUNCTION("""COMPUTED_VALUE"""),449.78)</f>
        <v>449.78</v>
      </c>
      <c r="X906" s="1">
        <f ca="1">IFERROR(__xludf.DUMMYFUNCTION("""COMPUTED_VALUE"""),693.42)</f>
        <v>693.42</v>
      </c>
      <c r="Y906" s="1">
        <f ca="1">IFERROR(__xludf.DUMMYFUNCTION("""COMPUTED_VALUE"""),96.35)</f>
        <v>96.35</v>
      </c>
      <c r="Z906" s="1">
        <f ca="1">IFERROR(__xludf.DUMMYFUNCTION("""COMPUTED_VALUE"""),355.56)</f>
        <v>355.56</v>
      </c>
      <c r="AA906" s="1">
        <f ca="1">IFERROR(__xludf.DUMMYFUNCTION("""COMPUTED_VALUE"""),35.68)</f>
        <v>35.68</v>
      </c>
      <c r="AB906" s="1">
        <f ca="1">IFERROR(__xludf.DUMMYFUNCTION("""COMPUTED_VALUE"""),101.74)</f>
        <v>101.74</v>
      </c>
      <c r="AC906" s="1">
        <f ca="1">IFERROR(__xludf.DUMMYFUNCTION("""COMPUTED_VALUE"""),116.81)</f>
        <v>116.81</v>
      </c>
    </row>
    <row r="907" spans="1:29" x14ac:dyDescent="0.25">
      <c r="A907" s="2">
        <f ca="1">IFERROR(__xludf.DUMMYFUNCTION("""COMPUTED_VALUE"""),45146.6666666666)</f>
        <v>45146.666666666599</v>
      </c>
      <c r="B907" s="1">
        <f ca="1">IFERROR(__xludf.DUMMYFUNCTION("""COMPUTED_VALUE"""),179.8)</f>
        <v>179.8</v>
      </c>
      <c r="C907" s="1">
        <f ca="1">IFERROR(__xludf.DUMMYFUNCTION("""COMPUTED_VALUE"""),326.05)</f>
        <v>326.05</v>
      </c>
      <c r="D907" s="1">
        <f ca="1">IFERROR(__xludf.DUMMYFUNCTION("""COMPUTED_VALUE"""),139.94)</f>
        <v>139.94</v>
      </c>
      <c r="E907" s="1">
        <f ca="1">IFERROR(__xludf.DUMMYFUNCTION("""COMPUTED_VALUE"""),44.66)</f>
        <v>44.66</v>
      </c>
      <c r="F907" s="1">
        <f ca="1">IFERROR(__xludf.DUMMYFUNCTION("""COMPUTED_VALUE"""),312.64)</f>
        <v>312.64</v>
      </c>
      <c r="G907" s="1">
        <f ca="1">IFERROR(__xludf.DUMMYFUNCTION("""COMPUTED_VALUE"""),131.84)</f>
        <v>131.84</v>
      </c>
      <c r="H907" s="1">
        <f ca="1">IFERROR(__xludf.DUMMYFUNCTION("""COMPUTED_VALUE"""),249.7)</f>
        <v>249.7</v>
      </c>
      <c r="I907" s="1">
        <f ca="1">IFERROR(__xludf.DUMMYFUNCTION("""COMPUTED_VALUE"""),184.44)</f>
        <v>184.44</v>
      </c>
      <c r="J907" s="1">
        <f ca="1">IFERROR(__xludf.DUMMYFUNCTION("""COMPUTED_VALUE"""),556.12)</f>
        <v>556.12</v>
      </c>
      <c r="K907" s="1">
        <f ca="1">IFERROR(__xludf.DUMMYFUNCTION("""COMPUTED_VALUE"""),88.32)</f>
        <v>88.32</v>
      </c>
      <c r="L907" s="1">
        <f ca="1">IFERROR(__xludf.DUMMYFUNCTION("""COMPUTED_VALUE"""),520.6)</f>
        <v>520.6</v>
      </c>
      <c r="M907" s="1">
        <f ca="1">IFERROR(__xludf.DUMMYFUNCTION("""COMPUTED_VALUE"""),438.3)</f>
        <v>438.3</v>
      </c>
      <c r="N907" s="1">
        <f ca="1">IFERROR(__xludf.DUMMYFUNCTION("""COMPUTED_VALUE"""),155.88)</f>
        <v>155.88</v>
      </c>
      <c r="O907" s="1">
        <f ca="1">IFERROR(__xludf.DUMMYFUNCTION("""COMPUTED_VALUE"""),239.29)</f>
        <v>239.29</v>
      </c>
      <c r="P907" s="1">
        <f ca="1">IFERROR(__xludf.DUMMYFUNCTION("""COMPUTED_VALUE"""),173.18)</f>
        <v>173.18</v>
      </c>
      <c r="Q907" s="1">
        <f ca="1">IFERROR(__xludf.DUMMYFUNCTION("""COMPUTED_VALUE"""),505.86)</f>
        <v>505.86</v>
      </c>
      <c r="R907" s="1">
        <f ca="1">IFERROR(__xludf.DUMMYFUNCTION("""COMPUTED_VALUE"""),107.73)</f>
        <v>107.73</v>
      </c>
      <c r="S907" s="1">
        <f ca="1">IFERROR(__xludf.DUMMYFUNCTION("""COMPUTED_VALUE"""),68.71)</f>
        <v>68.709999999999994</v>
      </c>
      <c r="T907" s="1">
        <f ca="1">IFERROR(__xludf.DUMMYFUNCTION("""COMPUTED_VALUE"""),53.55)</f>
        <v>53.55</v>
      </c>
      <c r="U907" s="1">
        <f ca="1">IFERROR(__xludf.DUMMYFUNCTION("""COMPUTED_VALUE"""),109.69)</f>
        <v>109.69</v>
      </c>
      <c r="V907" s="1">
        <f ca="1">IFERROR(__xludf.DUMMYFUNCTION("""COMPUTED_VALUE"""),282.89)</f>
        <v>282.89</v>
      </c>
      <c r="W907" s="1">
        <f ca="1">IFERROR(__xludf.DUMMYFUNCTION("""COMPUTED_VALUE"""),449.47)</f>
        <v>449.47</v>
      </c>
      <c r="X907" s="1">
        <f ca="1">IFERROR(__xludf.DUMMYFUNCTION("""COMPUTED_VALUE"""),679.37)</f>
        <v>679.37</v>
      </c>
      <c r="Y907" s="1">
        <f ca="1">IFERROR(__xludf.DUMMYFUNCTION("""COMPUTED_VALUE"""),94.49)</f>
        <v>94.49</v>
      </c>
      <c r="Z907" s="1">
        <f ca="1">IFERROR(__xludf.DUMMYFUNCTION("""COMPUTED_VALUE"""),348.26)</f>
        <v>348.26</v>
      </c>
      <c r="AA907" s="1">
        <f ca="1">IFERROR(__xludf.DUMMYFUNCTION("""COMPUTED_VALUE"""),35.64)</f>
        <v>35.64</v>
      </c>
      <c r="AB907" s="1">
        <f ca="1">IFERROR(__xludf.DUMMYFUNCTION("""COMPUTED_VALUE"""),100.7)</f>
        <v>100.7</v>
      </c>
      <c r="AC907" s="1">
        <f ca="1">IFERROR(__xludf.DUMMYFUNCTION("""COMPUTED_VALUE"""),113.23)</f>
        <v>113.23</v>
      </c>
    </row>
    <row r="908" spans="1:29" x14ac:dyDescent="0.25">
      <c r="A908" s="2">
        <f ca="1">IFERROR(__xludf.DUMMYFUNCTION("""COMPUTED_VALUE"""),45147.6666666666)</f>
        <v>45147.666666666599</v>
      </c>
      <c r="B908" s="1">
        <f ca="1">IFERROR(__xludf.DUMMYFUNCTION("""COMPUTED_VALUE"""),178.19)</f>
        <v>178.19</v>
      </c>
      <c r="C908" s="1">
        <f ca="1">IFERROR(__xludf.DUMMYFUNCTION("""COMPUTED_VALUE"""),322.23)</f>
        <v>322.23</v>
      </c>
      <c r="D908" s="1">
        <f ca="1">IFERROR(__xludf.DUMMYFUNCTION("""COMPUTED_VALUE"""),137.85)</f>
        <v>137.85</v>
      </c>
      <c r="E908" s="1">
        <f ca="1">IFERROR(__xludf.DUMMYFUNCTION("""COMPUTED_VALUE"""),42.55)</f>
        <v>42.55</v>
      </c>
      <c r="F908" s="1">
        <f ca="1">IFERROR(__xludf.DUMMYFUNCTION("""COMPUTED_VALUE"""),305.21)</f>
        <v>305.20999999999998</v>
      </c>
      <c r="G908" s="1">
        <f ca="1">IFERROR(__xludf.DUMMYFUNCTION("""COMPUTED_VALUE"""),130.15)</f>
        <v>130.15</v>
      </c>
      <c r="H908" s="1">
        <f ca="1">IFERROR(__xludf.DUMMYFUNCTION("""COMPUTED_VALUE"""),242.19)</f>
        <v>242.19</v>
      </c>
      <c r="I908" s="1">
        <f ca="1">IFERROR(__xludf.DUMMYFUNCTION("""COMPUTED_VALUE"""),183.98)</f>
        <v>183.98</v>
      </c>
      <c r="J908" s="1">
        <f ca="1">IFERROR(__xludf.DUMMYFUNCTION("""COMPUTED_VALUE"""),559.7)</f>
        <v>559.70000000000005</v>
      </c>
      <c r="K908" s="1">
        <f ca="1">IFERROR(__xludf.DUMMYFUNCTION("""COMPUTED_VALUE"""),85.07)</f>
        <v>85.07</v>
      </c>
      <c r="L908" s="1">
        <f ca="1">IFERROR(__xludf.DUMMYFUNCTION("""COMPUTED_VALUE"""),513.78)</f>
        <v>513.78</v>
      </c>
      <c r="M908" s="1">
        <f ca="1">IFERROR(__xludf.DUMMYFUNCTION("""COMPUTED_VALUE"""),428.9)</f>
        <v>428.9</v>
      </c>
      <c r="N908" s="1">
        <f ca="1">IFERROR(__xludf.DUMMYFUNCTION("""COMPUTED_VALUE"""),153.79)</f>
        <v>153.79</v>
      </c>
      <c r="O908" s="1">
        <f ca="1">IFERROR(__xludf.DUMMYFUNCTION("""COMPUTED_VALUE"""),239.76)</f>
        <v>239.76</v>
      </c>
      <c r="P908" s="1">
        <f ca="1">IFERROR(__xludf.DUMMYFUNCTION("""COMPUTED_VALUE"""),173.07)</f>
        <v>173.07</v>
      </c>
      <c r="Q908" s="1">
        <f ca="1">IFERROR(__xludf.DUMMYFUNCTION("""COMPUTED_VALUE"""),502.11)</f>
        <v>502.11</v>
      </c>
      <c r="R908" s="1">
        <f ca="1">IFERROR(__xludf.DUMMYFUNCTION("""COMPUTED_VALUE"""),109.56)</f>
        <v>109.56</v>
      </c>
      <c r="S908" s="1">
        <f ca="1">IFERROR(__xludf.DUMMYFUNCTION("""COMPUTED_VALUE"""),68.92)</f>
        <v>68.92</v>
      </c>
      <c r="T908" s="1">
        <f ca="1">IFERROR(__xludf.DUMMYFUNCTION("""COMPUTED_VALUE"""),53.64)</f>
        <v>53.64</v>
      </c>
      <c r="U908" s="1">
        <f ca="1">IFERROR(__xludf.DUMMYFUNCTION("""COMPUTED_VALUE"""),109.69)</f>
        <v>109.69</v>
      </c>
      <c r="V908" s="1">
        <f ca="1">IFERROR(__xludf.DUMMYFUNCTION("""COMPUTED_VALUE"""),284.53)</f>
        <v>284.52999999999997</v>
      </c>
      <c r="W908" s="1">
        <f ca="1">IFERROR(__xludf.DUMMYFUNCTION("""COMPUTED_VALUE"""),452.81)</f>
        <v>452.81</v>
      </c>
      <c r="X908" s="1">
        <f ca="1">IFERROR(__xludf.DUMMYFUNCTION("""COMPUTED_VALUE"""),672.49)</f>
        <v>672.49</v>
      </c>
      <c r="Y908" s="1">
        <f ca="1">IFERROR(__xludf.DUMMYFUNCTION("""COMPUTED_VALUE"""),93.98)</f>
        <v>93.98</v>
      </c>
      <c r="Z908" s="1">
        <f ca="1">IFERROR(__xludf.DUMMYFUNCTION("""COMPUTED_VALUE"""),342.69)</f>
        <v>342.69</v>
      </c>
      <c r="AA908" s="1">
        <f ca="1">IFERROR(__xludf.DUMMYFUNCTION("""COMPUTED_VALUE"""),35.84)</f>
        <v>35.840000000000003</v>
      </c>
      <c r="AB908" s="1">
        <f ca="1">IFERROR(__xludf.DUMMYFUNCTION("""COMPUTED_VALUE"""),99.92)</f>
        <v>99.92</v>
      </c>
      <c r="AC908" s="1">
        <f ca="1">IFERROR(__xludf.DUMMYFUNCTION("""COMPUTED_VALUE"""),110.47)</f>
        <v>110.47</v>
      </c>
    </row>
    <row r="909" spans="1:29" x14ac:dyDescent="0.25">
      <c r="A909" s="2">
        <f ca="1">IFERROR(__xludf.DUMMYFUNCTION("""COMPUTED_VALUE"""),45148.6666666666)</f>
        <v>45148.666666666599</v>
      </c>
      <c r="B909" s="1">
        <f ca="1">IFERROR(__xludf.DUMMYFUNCTION("""COMPUTED_VALUE"""),177.97)</f>
        <v>177.97</v>
      </c>
      <c r="C909" s="1">
        <f ca="1">IFERROR(__xludf.DUMMYFUNCTION("""COMPUTED_VALUE"""),322.93)</f>
        <v>322.93</v>
      </c>
      <c r="D909" s="1">
        <f ca="1">IFERROR(__xludf.DUMMYFUNCTION("""COMPUTED_VALUE"""),138.56)</f>
        <v>138.56</v>
      </c>
      <c r="E909" s="1">
        <f ca="1">IFERROR(__xludf.DUMMYFUNCTION("""COMPUTED_VALUE"""),42.39)</f>
        <v>42.39</v>
      </c>
      <c r="F909" s="1">
        <f ca="1">IFERROR(__xludf.DUMMYFUNCTION("""COMPUTED_VALUE"""),305.74)</f>
        <v>305.74</v>
      </c>
      <c r="G909" s="1">
        <f ca="1">IFERROR(__xludf.DUMMYFUNCTION("""COMPUTED_VALUE"""),130.21)</f>
        <v>130.21</v>
      </c>
      <c r="H909" s="1">
        <f ca="1">IFERROR(__xludf.DUMMYFUNCTION("""COMPUTED_VALUE"""),245.34)</f>
        <v>245.34</v>
      </c>
      <c r="I909" s="1">
        <f ca="1">IFERROR(__xludf.DUMMYFUNCTION("""COMPUTED_VALUE"""),183.75)</f>
        <v>183.75</v>
      </c>
      <c r="J909" s="1">
        <f ca="1">IFERROR(__xludf.DUMMYFUNCTION("""COMPUTED_VALUE"""),561.49)</f>
        <v>561.49</v>
      </c>
      <c r="K909" s="1">
        <f ca="1">IFERROR(__xludf.DUMMYFUNCTION("""COMPUTED_VALUE"""),84.29)</f>
        <v>84.29</v>
      </c>
      <c r="L909" s="1">
        <f ca="1">IFERROR(__xludf.DUMMYFUNCTION("""COMPUTED_VALUE"""),515.83)</f>
        <v>515.83000000000004</v>
      </c>
      <c r="M909" s="1">
        <f ca="1">IFERROR(__xludf.DUMMYFUNCTION("""COMPUTED_VALUE"""),429.98)</f>
        <v>429.98</v>
      </c>
      <c r="N909" s="1">
        <f ca="1">IFERROR(__xludf.DUMMYFUNCTION("""COMPUTED_VALUE"""),153.56)</f>
        <v>153.56</v>
      </c>
      <c r="O909" s="1">
        <f ca="1">IFERROR(__xludf.DUMMYFUNCTION("""COMPUTED_VALUE"""),240.16)</f>
        <v>240.16</v>
      </c>
      <c r="P909" s="1">
        <f ca="1">IFERROR(__xludf.DUMMYFUNCTION("""COMPUTED_VALUE"""),172.17)</f>
        <v>172.17</v>
      </c>
      <c r="Q909" s="1">
        <f ca="1">IFERROR(__xludf.DUMMYFUNCTION("""COMPUTED_VALUE"""),503.48)</f>
        <v>503.48</v>
      </c>
      <c r="R909" s="1">
        <f ca="1">IFERROR(__xludf.DUMMYFUNCTION("""COMPUTED_VALUE"""),110.12)</f>
        <v>110.12</v>
      </c>
      <c r="S909" s="1">
        <f ca="1">IFERROR(__xludf.DUMMYFUNCTION("""COMPUTED_VALUE"""),68.29)</f>
        <v>68.290000000000006</v>
      </c>
      <c r="T909" s="1">
        <f ca="1">IFERROR(__xludf.DUMMYFUNCTION("""COMPUTED_VALUE"""),53.42)</f>
        <v>53.42</v>
      </c>
      <c r="U909" s="1">
        <f ca="1">IFERROR(__xludf.DUMMYFUNCTION("""COMPUTED_VALUE"""),109.03)</f>
        <v>109.03</v>
      </c>
      <c r="V909" s="1">
        <f ca="1">IFERROR(__xludf.DUMMYFUNCTION("""COMPUTED_VALUE"""),283.82)</f>
        <v>283.82</v>
      </c>
      <c r="W909" s="1">
        <f ca="1">IFERROR(__xludf.DUMMYFUNCTION("""COMPUTED_VALUE"""),450.05)</f>
        <v>450.05</v>
      </c>
      <c r="X909" s="1">
        <f ca="1">IFERROR(__xludf.DUMMYFUNCTION("""COMPUTED_VALUE"""),677.81)</f>
        <v>677.81</v>
      </c>
      <c r="Y909" s="1">
        <f ca="1">IFERROR(__xludf.DUMMYFUNCTION("""COMPUTED_VALUE"""),94.8)</f>
        <v>94.8</v>
      </c>
      <c r="Z909" s="1">
        <f ca="1">IFERROR(__xludf.DUMMYFUNCTION("""COMPUTED_VALUE"""),340.4)</f>
        <v>340.4</v>
      </c>
      <c r="AA909" s="1">
        <f ca="1">IFERROR(__xludf.DUMMYFUNCTION("""COMPUTED_VALUE"""),35.72)</f>
        <v>35.72</v>
      </c>
      <c r="AB909" s="1">
        <f ca="1">IFERROR(__xludf.DUMMYFUNCTION("""COMPUTED_VALUE"""),101.66)</f>
        <v>101.66</v>
      </c>
      <c r="AC909" s="1">
        <f ca="1">IFERROR(__xludf.DUMMYFUNCTION("""COMPUTED_VALUE"""),110.23)</f>
        <v>110.23</v>
      </c>
    </row>
    <row r="910" spans="1:29" x14ac:dyDescent="0.25">
      <c r="A910" s="2">
        <f ca="1">IFERROR(__xludf.DUMMYFUNCTION("""COMPUTED_VALUE"""),45149.6666666666)</f>
        <v>45149.666666666599</v>
      </c>
      <c r="B910" s="1">
        <f ca="1">IFERROR(__xludf.DUMMYFUNCTION("""COMPUTED_VALUE"""),177.79)</f>
        <v>177.79</v>
      </c>
      <c r="C910" s="1">
        <f ca="1">IFERROR(__xludf.DUMMYFUNCTION("""COMPUTED_VALUE"""),321.01)</f>
        <v>321.01</v>
      </c>
      <c r="D910" s="1">
        <f ca="1">IFERROR(__xludf.DUMMYFUNCTION("""COMPUTED_VALUE"""),138.41)</f>
        <v>138.41</v>
      </c>
      <c r="E910" s="1">
        <f ca="1">IFERROR(__xludf.DUMMYFUNCTION("""COMPUTED_VALUE"""),40.85)</f>
        <v>40.85</v>
      </c>
      <c r="F910" s="1">
        <f ca="1">IFERROR(__xludf.DUMMYFUNCTION("""COMPUTED_VALUE"""),301.64)</f>
        <v>301.64</v>
      </c>
      <c r="G910" s="1">
        <f ca="1">IFERROR(__xludf.DUMMYFUNCTION("""COMPUTED_VALUE"""),130.17)</f>
        <v>130.16999999999999</v>
      </c>
      <c r="H910" s="1">
        <f ca="1">IFERROR(__xludf.DUMMYFUNCTION("""COMPUTED_VALUE"""),242.65)</f>
        <v>242.65</v>
      </c>
      <c r="I910" s="1">
        <f ca="1">IFERROR(__xludf.DUMMYFUNCTION("""COMPUTED_VALUE"""),184.04)</f>
        <v>184.04</v>
      </c>
      <c r="J910" s="1">
        <f ca="1">IFERROR(__xludf.DUMMYFUNCTION("""COMPUTED_VALUE"""),562.96)</f>
        <v>562.96</v>
      </c>
      <c r="K910" s="1">
        <f ca="1">IFERROR(__xludf.DUMMYFUNCTION("""COMPUTED_VALUE"""),82.98)</f>
        <v>82.98</v>
      </c>
      <c r="L910" s="1">
        <f ca="1">IFERROR(__xludf.DUMMYFUNCTION("""COMPUTED_VALUE"""),508.45)</f>
        <v>508.45</v>
      </c>
      <c r="M910" s="1">
        <f ca="1">IFERROR(__xludf.DUMMYFUNCTION("""COMPUTED_VALUE"""),421.66)</f>
        <v>421.66</v>
      </c>
      <c r="N910" s="1">
        <f ca="1">IFERROR(__xludf.DUMMYFUNCTION("""COMPUTED_VALUE"""),154.45)</f>
        <v>154.44999999999999</v>
      </c>
      <c r="O910" s="1">
        <f ca="1">IFERROR(__xludf.DUMMYFUNCTION("""COMPUTED_VALUE"""),240.04)</f>
        <v>240.04</v>
      </c>
      <c r="P910" s="1">
        <f ca="1">IFERROR(__xludf.DUMMYFUNCTION("""COMPUTED_VALUE"""),173.85)</f>
        <v>173.85</v>
      </c>
      <c r="Q910" s="1">
        <f ca="1">IFERROR(__xludf.DUMMYFUNCTION("""COMPUTED_VALUE"""),508.01)</f>
        <v>508.01</v>
      </c>
      <c r="R910" s="1">
        <f ca="1">IFERROR(__xludf.DUMMYFUNCTION("""COMPUTED_VALUE"""),111.83)</f>
        <v>111.83</v>
      </c>
      <c r="S910" s="1">
        <f ca="1">IFERROR(__xludf.DUMMYFUNCTION("""COMPUTED_VALUE"""),68.92)</f>
        <v>68.92</v>
      </c>
      <c r="T910" s="1">
        <f ca="1">IFERROR(__xludf.DUMMYFUNCTION("""COMPUTED_VALUE"""),53.73)</f>
        <v>53.73</v>
      </c>
      <c r="U910" s="1">
        <f ca="1">IFERROR(__xludf.DUMMYFUNCTION("""COMPUTED_VALUE"""),108.09)</f>
        <v>108.09</v>
      </c>
      <c r="V910" s="1">
        <f ca="1">IFERROR(__xludf.DUMMYFUNCTION("""COMPUTED_VALUE"""),285.22)</f>
        <v>285.22000000000003</v>
      </c>
      <c r="W910" s="1">
        <f ca="1">IFERROR(__xludf.DUMMYFUNCTION("""COMPUTED_VALUE"""),454.05)</f>
        <v>454.05</v>
      </c>
      <c r="X910" s="1">
        <f ca="1">IFERROR(__xludf.DUMMYFUNCTION("""COMPUTED_VALUE"""),661.78)</f>
        <v>661.78</v>
      </c>
      <c r="Y910" s="1">
        <f ca="1">IFERROR(__xludf.DUMMYFUNCTION("""COMPUTED_VALUE"""),91.99)</f>
        <v>91.99</v>
      </c>
      <c r="Z910" s="1">
        <f ca="1">IFERROR(__xludf.DUMMYFUNCTION("""COMPUTED_VALUE"""),340.73)</f>
        <v>340.73</v>
      </c>
      <c r="AA910" s="1">
        <f ca="1">IFERROR(__xludf.DUMMYFUNCTION("""COMPUTED_VALUE"""),36.04)</f>
        <v>36.04</v>
      </c>
      <c r="AB910" s="1">
        <f ca="1">IFERROR(__xludf.DUMMYFUNCTION("""COMPUTED_VALUE"""),100.99)</f>
        <v>100.99</v>
      </c>
      <c r="AC910" s="1">
        <f ca="1">IFERROR(__xludf.DUMMYFUNCTION("""COMPUTED_VALUE"""),107.57)</f>
        <v>107.57</v>
      </c>
    </row>
    <row r="911" spans="1:29" x14ac:dyDescent="0.25">
      <c r="A911" s="2">
        <f ca="1">IFERROR(__xludf.DUMMYFUNCTION("""COMPUTED_VALUE"""),45152.6666666666)</f>
        <v>45152.666666666599</v>
      </c>
      <c r="B911" s="1">
        <f ca="1">IFERROR(__xludf.DUMMYFUNCTION("""COMPUTED_VALUE"""),179.46)</f>
        <v>179.46</v>
      </c>
      <c r="C911" s="1">
        <f ca="1">IFERROR(__xludf.DUMMYFUNCTION("""COMPUTED_VALUE"""),324.04)</f>
        <v>324.04000000000002</v>
      </c>
      <c r="D911" s="1">
        <f ca="1">IFERROR(__xludf.DUMMYFUNCTION("""COMPUTED_VALUE"""),140.57)</f>
        <v>140.57</v>
      </c>
      <c r="E911" s="1">
        <f ca="1">IFERROR(__xludf.DUMMYFUNCTION("""COMPUTED_VALUE"""),43.75)</f>
        <v>43.75</v>
      </c>
      <c r="F911" s="1">
        <f ca="1">IFERROR(__xludf.DUMMYFUNCTION("""COMPUTED_VALUE"""),306.19)</f>
        <v>306.19</v>
      </c>
      <c r="G911" s="1">
        <f ca="1">IFERROR(__xludf.DUMMYFUNCTION("""COMPUTED_VALUE"""),131.83)</f>
        <v>131.83000000000001</v>
      </c>
      <c r="H911" s="1">
        <f ca="1">IFERROR(__xludf.DUMMYFUNCTION("""COMPUTED_VALUE"""),239.76)</f>
        <v>239.76</v>
      </c>
      <c r="I911" s="1">
        <f ca="1">IFERROR(__xludf.DUMMYFUNCTION("""COMPUTED_VALUE"""),183.62)</f>
        <v>183.62</v>
      </c>
      <c r="J911" s="1">
        <f ca="1">IFERROR(__xludf.DUMMYFUNCTION("""COMPUTED_VALUE"""),561.47)</f>
        <v>561.47</v>
      </c>
      <c r="K911" s="1">
        <f ca="1">IFERROR(__xludf.DUMMYFUNCTION("""COMPUTED_VALUE"""),85.41)</f>
        <v>85.41</v>
      </c>
      <c r="L911" s="1">
        <f ca="1">IFERROR(__xludf.DUMMYFUNCTION("""COMPUTED_VALUE"""),522.25)</f>
        <v>522.25</v>
      </c>
      <c r="M911" s="1">
        <f ca="1">IFERROR(__xludf.DUMMYFUNCTION("""COMPUTED_VALUE"""),427.78)</f>
        <v>427.78</v>
      </c>
      <c r="N911" s="1">
        <f ca="1">IFERROR(__xludf.DUMMYFUNCTION("""COMPUTED_VALUE"""),154.77)</f>
        <v>154.77000000000001</v>
      </c>
      <c r="O911" s="1">
        <f ca="1">IFERROR(__xludf.DUMMYFUNCTION("""COMPUTED_VALUE"""),242.9)</f>
        <v>242.9</v>
      </c>
      <c r="P911" s="1">
        <f ca="1">IFERROR(__xludf.DUMMYFUNCTION("""COMPUTED_VALUE"""),173.44)</f>
        <v>173.44</v>
      </c>
      <c r="Q911" s="1">
        <f ca="1">IFERROR(__xludf.DUMMYFUNCTION("""COMPUTED_VALUE"""),510.93)</f>
        <v>510.93</v>
      </c>
      <c r="R911" s="1">
        <f ca="1">IFERROR(__xludf.DUMMYFUNCTION("""COMPUTED_VALUE"""),111.92)</f>
        <v>111.92</v>
      </c>
      <c r="S911" s="1">
        <f ca="1">IFERROR(__xludf.DUMMYFUNCTION("""COMPUTED_VALUE"""),68.56)</f>
        <v>68.56</v>
      </c>
      <c r="T911" s="1">
        <f ca="1">IFERROR(__xludf.DUMMYFUNCTION("""COMPUTED_VALUE"""),53.33)</f>
        <v>53.33</v>
      </c>
      <c r="U911" s="1">
        <f ca="1">IFERROR(__xludf.DUMMYFUNCTION("""COMPUTED_VALUE"""),107.64)</f>
        <v>107.64</v>
      </c>
      <c r="V911" s="1">
        <f ca="1">IFERROR(__xludf.DUMMYFUNCTION("""COMPUTED_VALUE"""),284.54)</f>
        <v>284.54000000000002</v>
      </c>
      <c r="W911" s="1">
        <f ca="1">IFERROR(__xludf.DUMMYFUNCTION("""COMPUTED_VALUE"""),450.08)</f>
        <v>450.08</v>
      </c>
      <c r="X911" s="1">
        <f ca="1">IFERROR(__xludf.DUMMYFUNCTION("""COMPUTED_VALUE"""),666.55)</f>
        <v>666.55</v>
      </c>
      <c r="Y911" s="1">
        <f ca="1">IFERROR(__xludf.DUMMYFUNCTION("""COMPUTED_VALUE"""),93.07)</f>
        <v>93.07</v>
      </c>
      <c r="Z911" s="1">
        <f ca="1">IFERROR(__xludf.DUMMYFUNCTION("""COMPUTED_VALUE"""),337.74)</f>
        <v>337.74</v>
      </c>
      <c r="AA911" s="1">
        <f ca="1">IFERROR(__xludf.DUMMYFUNCTION("""COMPUTED_VALUE"""),36.07)</f>
        <v>36.07</v>
      </c>
      <c r="AB911" s="1">
        <f ca="1">IFERROR(__xludf.DUMMYFUNCTION("""COMPUTED_VALUE"""),101.01)</f>
        <v>101.01</v>
      </c>
      <c r="AC911" s="1">
        <f ca="1">IFERROR(__xludf.DUMMYFUNCTION("""COMPUTED_VALUE"""),111.98)</f>
        <v>111.98</v>
      </c>
    </row>
    <row r="912" spans="1:29" x14ac:dyDescent="0.25">
      <c r="A912" s="2">
        <f ca="1">IFERROR(__xludf.DUMMYFUNCTION("""COMPUTED_VALUE"""),45153.6666666666)</f>
        <v>45153.666666666599</v>
      </c>
      <c r="B912" s="1">
        <f ca="1">IFERROR(__xludf.DUMMYFUNCTION("""COMPUTED_VALUE"""),177.45)</f>
        <v>177.45</v>
      </c>
      <c r="C912" s="1">
        <f ca="1">IFERROR(__xludf.DUMMYFUNCTION("""COMPUTED_VALUE"""),321.86)</f>
        <v>321.86</v>
      </c>
      <c r="D912" s="1">
        <f ca="1">IFERROR(__xludf.DUMMYFUNCTION("""COMPUTED_VALUE"""),137.67)</f>
        <v>137.66999999999999</v>
      </c>
      <c r="E912" s="1">
        <f ca="1">IFERROR(__xludf.DUMMYFUNCTION("""COMPUTED_VALUE"""),43.94)</f>
        <v>43.94</v>
      </c>
      <c r="F912" s="1">
        <f ca="1">IFERROR(__xludf.DUMMYFUNCTION("""COMPUTED_VALUE"""),301.95)</f>
        <v>301.95</v>
      </c>
      <c r="G912" s="1">
        <f ca="1">IFERROR(__xludf.DUMMYFUNCTION("""COMPUTED_VALUE"""),130.27)</f>
        <v>130.27000000000001</v>
      </c>
      <c r="H912" s="1">
        <f ca="1">IFERROR(__xludf.DUMMYFUNCTION("""COMPUTED_VALUE"""),232.96)</f>
        <v>232.96</v>
      </c>
      <c r="I912" s="1">
        <f ca="1">IFERROR(__xludf.DUMMYFUNCTION("""COMPUTED_VALUE"""),181.35)</f>
        <v>181.35</v>
      </c>
      <c r="J912" s="1">
        <f ca="1">IFERROR(__xludf.DUMMYFUNCTION("""COMPUTED_VALUE"""),558.51)</f>
        <v>558.51</v>
      </c>
      <c r="K912" s="1">
        <f ca="1">IFERROR(__xludf.DUMMYFUNCTION("""COMPUTED_VALUE"""),84.25)</f>
        <v>84.25</v>
      </c>
      <c r="L912" s="1">
        <f ca="1">IFERROR(__xludf.DUMMYFUNCTION("""COMPUTED_VALUE"""),518.7)</f>
        <v>518.70000000000005</v>
      </c>
      <c r="M912" s="1">
        <f ca="1">IFERROR(__xludf.DUMMYFUNCTION("""COMPUTED_VALUE"""),423.7)</f>
        <v>423.7</v>
      </c>
      <c r="N912" s="1">
        <f ca="1">IFERROR(__xludf.DUMMYFUNCTION("""COMPUTED_VALUE"""),150.83)</f>
        <v>150.83000000000001</v>
      </c>
      <c r="O912" s="1">
        <f ca="1">IFERROR(__xludf.DUMMYFUNCTION("""COMPUTED_VALUE"""),239.83)</f>
        <v>239.83</v>
      </c>
      <c r="P912" s="1">
        <f ca="1">IFERROR(__xludf.DUMMYFUNCTION("""COMPUTED_VALUE"""),172.94)</f>
        <v>172.94</v>
      </c>
      <c r="Q912" s="1">
        <f ca="1">IFERROR(__xludf.DUMMYFUNCTION("""COMPUTED_VALUE"""),506.69)</f>
        <v>506.69</v>
      </c>
      <c r="R912" s="1">
        <f ca="1">IFERROR(__xludf.DUMMYFUNCTION("""COMPUTED_VALUE"""),108.16)</f>
        <v>108.16</v>
      </c>
      <c r="S912" s="1">
        <f ca="1">IFERROR(__xludf.DUMMYFUNCTION("""COMPUTED_VALUE"""),67.35)</f>
        <v>67.349999999999994</v>
      </c>
      <c r="T912" s="1">
        <f ca="1">IFERROR(__xludf.DUMMYFUNCTION("""COMPUTED_VALUE"""),53.06)</f>
        <v>53.06</v>
      </c>
      <c r="U912" s="1">
        <f ca="1">IFERROR(__xludf.DUMMYFUNCTION("""COMPUTED_VALUE"""),106.55)</f>
        <v>106.55</v>
      </c>
      <c r="V912" s="1">
        <f ca="1">IFERROR(__xludf.DUMMYFUNCTION("""COMPUTED_VALUE"""),277.37)</f>
        <v>277.37</v>
      </c>
      <c r="W912" s="1">
        <f ca="1">IFERROR(__xludf.DUMMYFUNCTION("""COMPUTED_VALUE"""),443.58)</f>
        <v>443.58</v>
      </c>
      <c r="X912" s="1">
        <f ca="1">IFERROR(__xludf.DUMMYFUNCTION("""COMPUTED_VALUE"""),651.7)</f>
        <v>651.70000000000005</v>
      </c>
      <c r="Y912" s="1">
        <f ca="1">IFERROR(__xludf.DUMMYFUNCTION("""COMPUTED_VALUE"""),91.68)</f>
        <v>91.68</v>
      </c>
      <c r="Z912" s="1">
        <f ca="1">IFERROR(__xludf.DUMMYFUNCTION("""COMPUTED_VALUE"""),332.21)</f>
        <v>332.21</v>
      </c>
      <c r="AA912" s="1">
        <f ca="1">IFERROR(__xludf.DUMMYFUNCTION("""COMPUTED_VALUE"""),35.39)</f>
        <v>35.39</v>
      </c>
      <c r="AB912" s="1">
        <f ca="1">IFERROR(__xludf.DUMMYFUNCTION("""COMPUTED_VALUE"""),100.04)</f>
        <v>100.04</v>
      </c>
      <c r="AC912" s="1">
        <f ca="1">IFERROR(__xludf.DUMMYFUNCTION("""COMPUTED_VALUE"""),111.35)</f>
        <v>111.35</v>
      </c>
    </row>
    <row r="913" spans="1:29" x14ac:dyDescent="0.25">
      <c r="A913" s="2">
        <f ca="1">IFERROR(__xludf.DUMMYFUNCTION("""COMPUTED_VALUE"""),45154.6666666666)</f>
        <v>45154.666666666599</v>
      </c>
      <c r="B913" s="1">
        <f ca="1">IFERROR(__xludf.DUMMYFUNCTION("""COMPUTED_VALUE"""),176.57)</f>
        <v>176.57</v>
      </c>
      <c r="C913" s="1">
        <f ca="1">IFERROR(__xludf.DUMMYFUNCTION("""COMPUTED_VALUE"""),320.4)</f>
        <v>320.39999999999998</v>
      </c>
      <c r="D913" s="1">
        <f ca="1">IFERROR(__xludf.DUMMYFUNCTION("""COMPUTED_VALUE"""),135.07)</f>
        <v>135.07</v>
      </c>
      <c r="E913" s="1">
        <f ca="1">IFERROR(__xludf.DUMMYFUNCTION("""COMPUTED_VALUE"""),43.49)</f>
        <v>43.49</v>
      </c>
      <c r="F913" s="1">
        <f ca="1">IFERROR(__xludf.DUMMYFUNCTION("""COMPUTED_VALUE"""),294.29)</f>
        <v>294.29000000000002</v>
      </c>
      <c r="G913" s="1">
        <f ca="1">IFERROR(__xludf.DUMMYFUNCTION("""COMPUTED_VALUE"""),129.11)</f>
        <v>129.11000000000001</v>
      </c>
      <c r="H913" s="1">
        <f ca="1">IFERROR(__xludf.DUMMYFUNCTION("""COMPUTED_VALUE"""),225.6)</f>
        <v>225.6</v>
      </c>
      <c r="I913" s="1">
        <f ca="1">IFERROR(__xludf.DUMMYFUNCTION("""COMPUTED_VALUE"""),181.21)</f>
        <v>181.21</v>
      </c>
      <c r="J913" s="1">
        <f ca="1">IFERROR(__xludf.DUMMYFUNCTION("""COMPUTED_VALUE"""),559.05)</f>
        <v>559.04999999999995</v>
      </c>
      <c r="K913" s="1">
        <f ca="1">IFERROR(__xludf.DUMMYFUNCTION("""COMPUTED_VALUE"""),83.3)</f>
        <v>83.3</v>
      </c>
      <c r="L913" s="1">
        <f ca="1">IFERROR(__xludf.DUMMYFUNCTION("""COMPUTED_VALUE"""),514.49)</f>
        <v>514.49</v>
      </c>
      <c r="M913" s="1">
        <f ca="1">IFERROR(__xludf.DUMMYFUNCTION("""COMPUTED_VALUE"""),415.45)</f>
        <v>415.45</v>
      </c>
      <c r="N913" s="1">
        <f ca="1">IFERROR(__xludf.DUMMYFUNCTION("""COMPUTED_VALUE"""),150.19)</f>
        <v>150.19</v>
      </c>
      <c r="O913" s="1">
        <f ca="1">IFERROR(__xludf.DUMMYFUNCTION("""COMPUTED_VALUE"""),239.29)</f>
        <v>239.29</v>
      </c>
      <c r="P913" s="1">
        <f ca="1">IFERROR(__xludf.DUMMYFUNCTION("""COMPUTED_VALUE"""),172.39)</f>
        <v>172.39</v>
      </c>
      <c r="Q913" s="1">
        <f ca="1">IFERROR(__xludf.DUMMYFUNCTION("""COMPUTED_VALUE"""),503.56)</f>
        <v>503.56</v>
      </c>
      <c r="R913" s="1">
        <f ca="1">IFERROR(__xludf.DUMMYFUNCTION("""COMPUTED_VALUE"""),106.34)</f>
        <v>106.34</v>
      </c>
      <c r="S913" s="1">
        <f ca="1">IFERROR(__xludf.DUMMYFUNCTION("""COMPUTED_VALUE"""),67.56)</f>
        <v>67.56</v>
      </c>
      <c r="T913" s="1">
        <f ca="1">IFERROR(__xludf.DUMMYFUNCTION("""COMPUTED_VALUE"""),53.09)</f>
        <v>53.09</v>
      </c>
      <c r="U913" s="1">
        <f ca="1">IFERROR(__xludf.DUMMYFUNCTION("""COMPUTED_VALUE"""),106.53)</f>
        <v>106.53</v>
      </c>
      <c r="V913" s="1">
        <f ca="1">IFERROR(__xludf.DUMMYFUNCTION("""COMPUTED_VALUE"""),274.51)</f>
        <v>274.51</v>
      </c>
      <c r="W913" s="1">
        <f ca="1">IFERROR(__xludf.DUMMYFUNCTION("""COMPUTED_VALUE"""),445.13)</f>
        <v>445.13</v>
      </c>
      <c r="X913" s="1">
        <f ca="1">IFERROR(__xludf.DUMMYFUNCTION("""COMPUTED_VALUE"""),646.44)</f>
        <v>646.44000000000005</v>
      </c>
      <c r="Y913" s="1">
        <f ca="1">IFERROR(__xludf.DUMMYFUNCTION("""COMPUTED_VALUE"""),91.78)</f>
        <v>91.78</v>
      </c>
      <c r="Z913" s="1">
        <f ca="1">IFERROR(__xludf.DUMMYFUNCTION("""COMPUTED_VALUE"""),329.11)</f>
        <v>329.11</v>
      </c>
      <c r="AA913" s="1">
        <f ca="1">IFERROR(__xludf.DUMMYFUNCTION("""COMPUTED_VALUE"""),35.48)</f>
        <v>35.479999999999997</v>
      </c>
      <c r="AB913" s="1">
        <f ca="1">IFERROR(__xludf.DUMMYFUNCTION("""COMPUTED_VALUE"""),98.98)</f>
        <v>98.98</v>
      </c>
      <c r="AC913" s="1">
        <f ca="1">IFERROR(__xludf.DUMMYFUNCTION("""COMPUTED_VALUE"""),107.19)</f>
        <v>107.19</v>
      </c>
    </row>
    <row r="914" spans="1:29" x14ac:dyDescent="0.25">
      <c r="A914" s="2">
        <f ca="1">IFERROR(__xludf.DUMMYFUNCTION("""COMPUTED_VALUE"""),45155.6666666666)</f>
        <v>45155.666666666599</v>
      </c>
      <c r="B914" s="1">
        <f ca="1">IFERROR(__xludf.DUMMYFUNCTION("""COMPUTED_VALUE"""),174)</f>
        <v>174</v>
      </c>
      <c r="C914" s="1">
        <f ca="1">IFERROR(__xludf.DUMMYFUNCTION("""COMPUTED_VALUE"""),316.88)</f>
        <v>316.88</v>
      </c>
      <c r="D914" s="1">
        <f ca="1">IFERROR(__xludf.DUMMYFUNCTION("""COMPUTED_VALUE"""),133.98)</f>
        <v>133.97999999999999</v>
      </c>
      <c r="E914" s="1">
        <f ca="1">IFERROR(__xludf.DUMMYFUNCTION("""COMPUTED_VALUE"""),43.34)</f>
        <v>43.34</v>
      </c>
      <c r="F914" s="1">
        <f ca="1">IFERROR(__xludf.DUMMYFUNCTION("""COMPUTED_VALUE"""),285.09)</f>
        <v>285.08999999999997</v>
      </c>
      <c r="G914" s="1">
        <f ca="1">IFERROR(__xludf.DUMMYFUNCTION("""COMPUTED_VALUE"""),130.46)</f>
        <v>130.46</v>
      </c>
      <c r="H914" s="1">
        <f ca="1">IFERROR(__xludf.DUMMYFUNCTION("""COMPUTED_VALUE"""),219.22)</f>
        <v>219.22</v>
      </c>
      <c r="I914" s="1">
        <f ca="1">IFERROR(__xludf.DUMMYFUNCTION("""COMPUTED_VALUE"""),178.45)</f>
        <v>178.45</v>
      </c>
      <c r="J914" s="1">
        <f ca="1">IFERROR(__xludf.DUMMYFUNCTION("""COMPUTED_VALUE"""),547.11)</f>
        <v>547.11</v>
      </c>
      <c r="K914" s="1">
        <f ca="1">IFERROR(__xludf.DUMMYFUNCTION("""COMPUTED_VALUE"""),82.71)</f>
        <v>82.71</v>
      </c>
      <c r="L914" s="1">
        <f ca="1">IFERROR(__xludf.DUMMYFUNCTION("""COMPUTED_VALUE"""),511.67)</f>
        <v>511.67</v>
      </c>
      <c r="M914" s="1">
        <f ca="1">IFERROR(__xludf.DUMMYFUNCTION("""COMPUTED_VALUE"""),403)</f>
        <v>403</v>
      </c>
      <c r="N914" s="1">
        <f ca="1">IFERROR(__xludf.DUMMYFUNCTION("""COMPUTED_VALUE"""),148.63)</f>
        <v>148.63</v>
      </c>
      <c r="O914" s="1">
        <f ca="1">IFERROR(__xludf.DUMMYFUNCTION("""COMPUTED_VALUE"""),237.37)</f>
        <v>237.37</v>
      </c>
      <c r="P914" s="1">
        <f ca="1">IFERROR(__xludf.DUMMYFUNCTION("""COMPUTED_VALUE"""),174.01)</f>
        <v>174.01</v>
      </c>
      <c r="Q914" s="1">
        <f ca="1">IFERROR(__xludf.DUMMYFUNCTION("""COMPUTED_VALUE"""),493.96)</f>
        <v>493.96</v>
      </c>
      <c r="R914" s="1">
        <f ca="1">IFERROR(__xludf.DUMMYFUNCTION("""COMPUTED_VALUE"""),108.4)</f>
        <v>108.4</v>
      </c>
      <c r="S914" s="1">
        <f ca="1">IFERROR(__xludf.DUMMYFUNCTION("""COMPUTED_VALUE"""),67.51)</f>
        <v>67.510000000000005</v>
      </c>
      <c r="T914" s="1">
        <f ca="1">IFERROR(__xludf.DUMMYFUNCTION("""COMPUTED_VALUE"""),51.9)</f>
        <v>51.9</v>
      </c>
      <c r="U914" s="1">
        <f ca="1">IFERROR(__xludf.DUMMYFUNCTION("""COMPUTED_VALUE"""),105.05)</f>
        <v>105.05</v>
      </c>
      <c r="V914" s="1">
        <f ca="1">IFERROR(__xludf.DUMMYFUNCTION("""COMPUTED_VALUE"""),275.17)</f>
        <v>275.17</v>
      </c>
      <c r="W914" s="1">
        <f ca="1">IFERROR(__xludf.DUMMYFUNCTION("""COMPUTED_VALUE"""),446.68)</f>
        <v>446.68</v>
      </c>
      <c r="X914" s="1">
        <f ca="1">IFERROR(__xludf.DUMMYFUNCTION("""COMPUTED_VALUE"""),644.34)</f>
        <v>644.34</v>
      </c>
      <c r="Y914" s="1">
        <f ca="1">IFERROR(__xludf.DUMMYFUNCTION("""COMPUTED_VALUE"""),91.64)</f>
        <v>91.64</v>
      </c>
      <c r="Z914" s="1">
        <f ca="1">IFERROR(__xludf.DUMMYFUNCTION("""COMPUTED_VALUE"""),327.52)</f>
        <v>327.52</v>
      </c>
      <c r="AA914" s="1">
        <f ca="1">IFERROR(__xludf.DUMMYFUNCTION("""COMPUTED_VALUE"""),36.51)</f>
        <v>36.51</v>
      </c>
      <c r="AB914" s="1">
        <f ca="1">IFERROR(__xludf.DUMMYFUNCTION("""COMPUTED_VALUE"""),96.57)</f>
        <v>96.57</v>
      </c>
      <c r="AC914" s="1">
        <f ca="1">IFERROR(__xludf.DUMMYFUNCTION("""COMPUTED_VALUE"""),104.44)</f>
        <v>104.44</v>
      </c>
    </row>
    <row r="915" spans="1:29" x14ac:dyDescent="0.25">
      <c r="A915" s="2">
        <f ca="1">IFERROR(__xludf.DUMMYFUNCTION("""COMPUTED_VALUE"""),45156.6666666666)</f>
        <v>45156.666666666599</v>
      </c>
      <c r="B915" s="1">
        <f ca="1">IFERROR(__xludf.DUMMYFUNCTION("""COMPUTED_VALUE"""),174.49)</f>
        <v>174.49</v>
      </c>
      <c r="C915" s="1">
        <f ca="1">IFERROR(__xludf.DUMMYFUNCTION("""COMPUTED_VALUE"""),316.48)</f>
        <v>316.48</v>
      </c>
      <c r="D915" s="1">
        <f ca="1">IFERROR(__xludf.DUMMYFUNCTION("""COMPUTED_VALUE"""),133.22)</f>
        <v>133.22</v>
      </c>
      <c r="E915" s="1">
        <f ca="1">IFERROR(__xludf.DUMMYFUNCTION("""COMPUTED_VALUE"""),43.3)</f>
        <v>43.3</v>
      </c>
      <c r="F915" s="1">
        <f ca="1">IFERROR(__xludf.DUMMYFUNCTION("""COMPUTED_VALUE"""),283.25)</f>
        <v>283.25</v>
      </c>
      <c r="G915" s="1">
        <f ca="1">IFERROR(__xludf.DUMMYFUNCTION("""COMPUTED_VALUE"""),128.11)</f>
        <v>128.11000000000001</v>
      </c>
      <c r="H915" s="1">
        <f ca="1">IFERROR(__xludf.DUMMYFUNCTION("""COMPUTED_VALUE"""),215.49)</f>
        <v>215.49</v>
      </c>
      <c r="I915" s="1">
        <f ca="1">IFERROR(__xludf.DUMMYFUNCTION("""COMPUTED_VALUE"""),178.18)</f>
        <v>178.18</v>
      </c>
      <c r="J915" s="1">
        <f ca="1">IFERROR(__xludf.DUMMYFUNCTION("""COMPUTED_VALUE"""),544.94)</f>
        <v>544.94000000000005</v>
      </c>
      <c r="K915" s="1">
        <f ca="1">IFERROR(__xludf.DUMMYFUNCTION("""COMPUTED_VALUE"""),82.58)</f>
        <v>82.58</v>
      </c>
      <c r="L915" s="1">
        <f ca="1">IFERROR(__xludf.DUMMYFUNCTION("""COMPUTED_VALUE"""),508.13)</f>
        <v>508.13</v>
      </c>
      <c r="M915" s="1">
        <f ca="1">IFERROR(__xludf.DUMMYFUNCTION("""COMPUTED_VALUE"""),404.53)</f>
        <v>404.53</v>
      </c>
      <c r="N915" s="1">
        <f ca="1">IFERROR(__xludf.DUMMYFUNCTION("""COMPUTED_VALUE"""),148.97)</f>
        <v>148.97</v>
      </c>
      <c r="O915" s="1">
        <f ca="1">IFERROR(__xludf.DUMMYFUNCTION("""COMPUTED_VALUE"""),238.17)</f>
        <v>238.17</v>
      </c>
      <c r="P915" s="1">
        <f ca="1">IFERROR(__xludf.DUMMYFUNCTION("""COMPUTED_VALUE"""),172.49)</f>
        <v>172.49</v>
      </c>
      <c r="Q915" s="1">
        <f ca="1">IFERROR(__xludf.DUMMYFUNCTION("""COMPUTED_VALUE"""),498.44)</f>
        <v>498.44</v>
      </c>
      <c r="R915" s="1">
        <f ca="1">IFERROR(__xludf.DUMMYFUNCTION("""COMPUTED_VALUE"""),110.04)</f>
        <v>110.04</v>
      </c>
      <c r="S915" s="1">
        <f ca="1">IFERROR(__xludf.DUMMYFUNCTION("""COMPUTED_VALUE"""),67.83)</f>
        <v>67.83</v>
      </c>
      <c r="T915" s="1">
        <f ca="1">IFERROR(__xludf.DUMMYFUNCTION("""COMPUTED_VALUE"""),52.64)</f>
        <v>52.64</v>
      </c>
      <c r="U915" s="1">
        <f ca="1">IFERROR(__xludf.DUMMYFUNCTION("""COMPUTED_VALUE"""),104.81)</f>
        <v>104.81</v>
      </c>
      <c r="V915" s="1">
        <f ca="1">IFERROR(__xludf.DUMMYFUNCTION("""COMPUTED_VALUE"""),273.8)</f>
        <v>273.8</v>
      </c>
      <c r="W915" s="1">
        <f ca="1">IFERROR(__xludf.DUMMYFUNCTION("""COMPUTED_VALUE"""),450.06)</f>
        <v>450.06</v>
      </c>
      <c r="X915" s="1">
        <f ca="1">IFERROR(__xludf.DUMMYFUNCTION("""COMPUTED_VALUE"""),655.33)</f>
        <v>655.33000000000004</v>
      </c>
      <c r="Y915" s="1">
        <f ca="1">IFERROR(__xludf.DUMMYFUNCTION("""COMPUTED_VALUE"""),91.1)</f>
        <v>91.1</v>
      </c>
      <c r="Z915" s="1">
        <f ca="1">IFERROR(__xludf.DUMMYFUNCTION("""COMPUTED_VALUE"""),324.93)</f>
        <v>324.93</v>
      </c>
      <c r="AA915" s="1">
        <f ca="1">IFERROR(__xludf.DUMMYFUNCTION("""COMPUTED_VALUE"""),36.66)</f>
        <v>36.659999999999997</v>
      </c>
      <c r="AB915" s="1">
        <f ca="1">IFERROR(__xludf.DUMMYFUNCTION("""COMPUTED_VALUE"""),97.23)</f>
        <v>97.23</v>
      </c>
      <c r="AC915" s="1">
        <f ca="1">IFERROR(__xludf.DUMMYFUNCTION("""COMPUTED_VALUE"""),105.45)</f>
        <v>105.45</v>
      </c>
    </row>
    <row r="916" spans="1:29" x14ac:dyDescent="0.25">
      <c r="A916" s="2">
        <f ca="1">IFERROR(__xludf.DUMMYFUNCTION("""COMPUTED_VALUE"""),45159.6666666666)</f>
        <v>45159.666666666599</v>
      </c>
      <c r="B916" s="1">
        <f ca="1">IFERROR(__xludf.DUMMYFUNCTION("""COMPUTED_VALUE"""),175.84)</f>
        <v>175.84</v>
      </c>
      <c r="C916" s="1">
        <f ca="1">IFERROR(__xludf.DUMMYFUNCTION("""COMPUTED_VALUE"""),321.88)</f>
        <v>321.88</v>
      </c>
      <c r="D916" s="1">
        <f ca="1">IFERROR(__xludf.DUMMYFUNCTION("""COMPUTED_VALUE"""),134.68)</f>
        <v>134.68</v>
      </c>
      <c r="E916" s="1">
        <f ca="1">IFERROR(__xludf.DUMMYFUNCTION("""COMPUTED_VALUE"""),46.97)</f>
        <v>46.97</v>
      </c>
      <c r="F916" s="1">
        <f ca="1">IFERROR(__xludf.DUMMYFUNCTION("""COMPUTED_VALUE"""),289.9)</f>
        <v>289.89999999999998</v>
      </c>
      <c r="G916" s="1">
        <f ca="1">IFERROR(__xludf.DUMMYFUNCTION("""COMPUTED_VALUE"""),128.93)</f>
        <v>128.93</v>
      </c>
      <c r="H916" s="1">
        <f ca="1">IFERROR(__xludf.DUMMYFUNCTION("""COMPUTED_VALUE"""),231.28)</f>
        <v>231.28</v>
      </c>
      <c r="I916" s="1">
        <f ca="1">IFERROR(__xludf.DUMMYFUNCTION("""COMPUTED_VALUE"""),177.05)</f>
        <v>177.05</v>
      </c>
      <c r="J916" s="1">
        <f ca="1">IFERROR(__xludf.DUMMYFUNCTION("""COMPUTED_VALUE"""),543.21)</f>
        <v>543.21</v>
      </c>
      <c r="K916" s="1">
        <f ca="1">IFERROR(__xludf.DUMMYFUNCTION("""COMPUTED_VALUE"""),86.51)</f>
        <v>86.51</v>
      </c>
      <c r="L916" s="1">
        <f ca="1">IFERROR(__xludf.DUMMYFUNCTION("""COMPUTED_VALUE"""),520.47)</f>
        <v>520.47</v>
      </c>
      <c r="M916" s="1">
        <f ca="1">IFERROR(__xludf.DUMMYFUNCTION("""COMPUTED_VALUE"""),408.29)</f>
        <v>408.29</v>
      </c>
      <c r="N916" s="1">
        <f ca="1">IFERROR(__xludf.DUMMYFUNCTION("""COMPUTED_VALUE"""),149.48)</f>
        <v>149.47999999999999</v>
      </c>
      <c r="O916" s="1">
        <f ca="1">IFERROR(__xludf.DUMMYFUNCTION("""COMPUTED_VALUE"""),239.46)</f>
        <v>239.46</v>
      </c>
      <c r="P916" s="1">
        <f ca="1">IFERROR(__xludf.DUMMYFUNCTION("""COMPUTED_VALUE"""),167.35)</f>
        <v>167.35</v>
      </c>
      <c r="Q916" s="1">
        <f ca="1">IFERROR(__xludf.DUMMYFUNCTION("""COMPUTED_VALUE"""),497.68)</f>
        <v>497.68</v>
      </c>
      <c r="R916" s="1">
        <f ca="1">IFERROR(__xludf.DUMMYFUNCTION("""COMPUTED_VALUE"""),108.71)</f>
        <v>108.71</v>
      </c>
      <c r="S916" s="1">
        <f ca="1">IFERROR(__xludf.DUMMYFUNCTION("""COMPUTED_VALUE"""),67.08)</f>
        <v>67.08</v>
      </c>
      <c r="T916" s="1">
        <f ca="1">IFERROR(__xludf.DUMMYFUNCTION("""COMPUTED_VALUE"""),52.5)</f>
        <v>52.5</v>
      </c>
      <c r="U916" s="1">
        <f ca="1">IFERROR(__xludf.DUMMYFUNCTION("""COMPUTED_VALUE"""),102.86)</f>
        <v>102.86</v>
      </c>
      <c r="V916" s="1">
        <f ca="1">IFERROR(__xludf.DUMMYFUNCTION("""COMPUTED_VALUE"""),272.75)</f>
        <v>272.75</v>
      </c>
      <c r="W916" s="1">
        <f ca="1">IFERROR(__xludf.DUMMYFUNCTION("""COMPUTED_VALUE"""),451.49)</f>
        <v>451.49</v>
      </c>
      <c r="X916" s="1">
        <f ca="1">IFERROR(__xludf.DUMMYFUNCTION("""COMPUTED_VALUE"""),662.52)</f>
        <v>662.52</v>
      </c>
      <c r="Y916" s="1">
        <f ca="1">IFERROR(__xludf.DUMMYFUNCTION("""COMPUTED_VALUE"""),92.56)</f>
        <v>92.56</v>
      </c>
      <c r="Z916" s="1">
        <f ca="1">IFERROR(__xludf.DUMMYFUNCTION("""COMPUTED_VALUE"""),322.06)</f>
        <v>322.06</v>
      </c>
      <c r="AA916" s="1">
        <f ca="1">IFERROR(__xludf.DUMMYFUNCTION("""COMPUTED_VALUE"""),37.01)</f>
        <v>37.01</v>
      </c>
      <c r="AB916" s="1">
        <f ca="1">IFERROR(__xludf.DUMMYFUNCTION("""COMPUTED_VALUE"""),96.46)</f>
        <v>96.46</v>
      </c>
      <c r="AC916" s="1">
        <f ca="1">IFERROR(__xludf.DUMMYFUNCTION("""COMPUTED_VALUE"""),108.22)</f>
        <v>108.22</v>
      </c>
    </row>
    <row r="917" spans="1:29" x14ac:dyDescent="0.25">
      <c r="A917" s="2">
        <f ca="1">IFERROR(__xludf.DUMMYFUNCTION("""COMPUTED_VALUE"""),45160.6666666666)</f>
        <v>45160.666666666599</v>
      </c>
      <c r="B917" s="1">
        <f ca="1">IFERROR(__xludf.DUMMYFUNCTION("""COMPUTED_VALUE"""),177.23)</f>
        <v>177.23</v>
      </c>
      <c r="C917" s="1">
        <f ca="1">IFERROR(__xludf.DUMMYFUNCTION("""COMPUTED_VALUE"""),322.46)</f>
        <v>322.45999999999998</v>
      </c>
      <c r="D917" s="1">
        <f ca="1">IFERROR(__xludf.DUMMYFUNCTION("""COMPUTED_VALUE"""),134.25)</f>
        <v>134.25</v>
      </c>
      <c r="E917" s="1">
        <f ca="1">IFERROR(__xludf.DUMMYFUNCTION("""COMPUTED_VALUE"""),45.67)</f>
        <v>45.67</v>
      </c>
      <c r="F917" s="1">
        <f ca="1">IFERROR(__xludf.DUMMYFUNCTION("""COMPUTED_VALUE"""),287.6)</f>
        <v>287.60000000000002</v>
      </c>
      <c r="G917" s="1">
        <f ca="1">IFERROR(__xludf.DUMMYFUNCTION("""COMPUTED_VALUE"""),129.69)</f>
        <v>129.69</v>
      </c>
      <c r="H917" s="1">
        <f ca="1">IFERROR(__xludf.DUMMYFUNCTION("""COMPUTED_VALUE"""),233.19)</f>
        <v>233.19</v>
      </c>
      <c r="I917" s="1">
        <f ca="1">IFERROR(__xludf.DUMMYFUNCTION("""COMPUTED_VALUE"""),175.7)</f>
        <v>175.7</v>
      </c>
      <c r="J917" s="1">
        <f ca="1">IFERROR(__xludf.DUMMYFUNCTION("""COMPUTED_VALUE"""),538.37)</f>
        <v>538.37</v>
      </c>
      <c r="K917" s="1">
        <f ca="1">IFERROR(__xludf.DUMMYFUNCTION("""COMPUTED_VALUE"""),85.58)</f>
        <v>85.58</v>
      </c>
      <c r="L917" s="1">
        <f ca="1">IFERROR(__xludf.DUMMYFUNCTION("""COMPUTED_VALUE"""),519.48)</f>
        <v>519.48</v>
      </c>
      <c r="M917" s="1">
        <f ca="1">IFERROR(__xludf.DUMMYFUNCTION("""COMPUTED_VALUE"""),413.17)</f>
        <v>413.17</v>
      </c>
      <c r="N917" s="1">
        <f ca="1">IFERROR(__xludf.DUMMYFUNCTION("""COMPUTED_VALUE"""),146.38)</f>
        <v>146.38</v>
      </c>
      <c r="O917" s="1">
        <f ca="1">IFERROR(__xludf.DUMMYFUNCTION("""COMPUTED_VALUE"""),240.57)</f>
        <v>240.57</v>
      </c>
      <c r="P917" s="1">
        <f ca="1">IFERROR(__xludf.DUMMYFUNCTION("""COMPUTED_VALUE"""),166.02)</f>
        <v>166.02</v>
      </c>
      <c r="Q917" s="1">
        <f ca="1">IFERROR(__xludf.DUMMYFUNCTION("""COMPUTED_VALUE"""),492.34)</f>
        <v>492.34</v>
      </c>
      <c r="R917" s="1">
        <f ca="1">IFERROR(__xludf.DUMMYFUNCTION("""COMPUTED_VALUE"""),108.1)</f>
        <v>108.1</v>
      </c>
      <c r="S917" s="1">
        <f ca="1">IFERROR(__xludf.DUMMYFUNCTION("""COMPUTED_VALUE"""),67.52)</f>
        <v>67.52</v>
      </c>
      <c r="T917" s="1">
        <f ca="1">IFERROR(__xludf.DUMMYFUNCTION("""COMPUTED_VALUE"""),52.34)</f>
        <v>52.34</v>
      </c>
      <c r="U917" s="1">
        <f ca="1">IFERROR(__xludf.DUMMYFUNCTION("""COMPUTED_VALUE"""),101.46)</f>
        <v>101.46</v>
      </c>
      <c r="V917" s="1">
        <f ca="1">IFERROR(__xludf.DUMMYFUNCTION("""COMPUTED_VALUE"""),270.2)</f>
        <v>270.2</v>
      </c>
      <c r="W917" s="1">
        <f ca="1">IFERROR(__xludf.DUMMYFUNCTION("""COMPUTED_VALUE"""),452.94)</f>
        <v>452.94</v>
      </c>
      <c r="X917" s="1">
        <f ca="1">IFERROR(__xludf.DUMMYFUNCTION("""COMPUTED_VALUE"""),667.52)</f>
        <v>667.52</v>
      </c>
      <c r="Y917" s="1">
        <f ca="1">IFERROR(__xludf.DUMMYFUNCTION("""COMPUTED_VALUE"""),92.24)</f>
        <v>92.24</v>
      </c>
      <c r="Z917" s="1">
        <f ca="1">IFERROR(__xludf.DUMMYFUNCTION("""COMPUTED_VALUE"""),318.79)</f>
        <v>318.79000000000002</v>
      </c>
      <c r="AA917" s="1">
        <f ca="1">IFERROR(__xludf.DUMMYFUNCTION("""COMPUTED_VALUE"""),36.84)</f>
        <v>36.840000000000003</v>
      </c>
      <c r="AB917" s="1">
        <f ca="1">IFERROR(__xludf.DUMMYFUNCTION("""COMPUTED_VALUE"""),96.07)</f>
        <v>96.07</v>
      </c>
      <c r="AC917" s="1">
        <f ca="1">IFERROR(__xludf.DUMMYFUNCTION("""COMPUTED_VALUE"""),105.66)</f>
        <v>105.66</v>
      </c>
    </row>
    <row r="918" spans="1:29" x14ac:dyDescent="0.25">
      <c r="A918" s="2">
        <f ca="1">IFERROR(__xludf.DUMMYFUNCTION("""COMPUTED_VALUE"""),45161.6666666666)</f>
        <v>45161.666666666599</v>
      </c>
      <c r="B918" s="1">
        <f ca="1">IFERROR(__xludf.DUMMYFUNCTION("""COMPUTED_VALUE"""),181.12)</f>
        <v>181.12</v>
      </c>
      <c r="C918" s="1">
        <f ca="1">IFERROR(__xludf.DUMMYFUNCTION("""COMPUTED_VALUE"""),327)</f>
        <v>327</v>
      </c>
      <c r="D918" s="1">
        <f ca="1">IFERROR(__xludf.DUMMYFUNCTION("""COMPUTED_VALUE"""),135.52)</f>
        <v>135.52000000000001</v>
      </c>
      <c r="E918" s="1">
        <f ca="1">IFERROR(__xludf.DUMMYFUNCTION("""COMPUTED_VALUE"""),47.12)</f>
        <v>47.12</v>
      </c>
      <c r="F918" s="1">
        <f ca="1">IFERROR(__xludf.DUMMYFUNCTION("""COMPUTED_VALUE"""),294.24)</f>
        <v>294.24</v>
      </c>
      <c r="G918" s="1">
        <f ca="1">IFERROR(__xludf.DUMMYFUNCTION("""COMPUTED_VALUE"""),133.21)</f>
        <v>133.21</v>
      </c>
      <c r="H918" s="1">
        <f ca="1">IFERROR(__xludf.DUMMYFUNCTION("""COMPUTED_VALUE"""),236.86)</f>
        <v>236.86</v>
      </c>
      <c r="I918" s="1">
        <f ca="1">IFERROR(__xludf.DUMMYFUNCTION("""COMPUTED_VALUE"""),178.12)</f>
        <v>178.12</v>
      </c>
      <c r="J918" s="1">
        <f ca="1">IFERROR(__xludf.DUMMYFUNCTION("""COMPUTED_VALUE"""),540.86)</f>
        <v>540.86</v>
      </c>
      <c r="K918" s="1">
        <f ca="1">IFERROR(__xludf.DUMMYFUNCTION("""COMPUTED_VALUE"""),87.66)</f>
        <v>87.66</v>
      </c>
      <c r="L918" s="1">
        <f ca="1">IFERROR(__xludf.DUMMYFUNCTION("""COMPUTED_VALUE"""),530.71)</f>
        <v>530.71</v>
      </c>
      <c r="M918" s="1">
        <f ca="1">IFERROR(__xludf.DUMMYFUNCTION("""COMPUTED_VALUE"""),427.55)</f>
        <v>427.55</v>
      </c>
      <c r="N918" s="1">
        <f ca="1">IFERROR(__xludf.DUMMYFUNCTION("""COMPUTED_VALUE"""),147.37)</f>
        <v>147.37</v>
      </c>
      <c r="O918" s="1">
        <f ca="1">IFERROR(__xludf.DUMMYFUNCTION("""COMPUTED_VALUE"""),242.3)</f>
        <v>242.3</v>
      </c>
      <c r="P918" s="1">
        <f ca="1">IFERROR(__xludf.DUMMYFUNCTION("""COMPUTED_VALUE"""),164.53)</f>
        <v>164.53</v>
      </c>
      <c r="Q918" s="1">
        <f ca="1">IFERROR(__xludf.DUMMYFUNCTION("""COMPUTED_VALUE"""),489.44)</f>
        <v>489.44</v>
      </c>
      <c r="R918" s="1">
        <f ca="1">IFERROR(__xludf.DUMMYFUNCTION("""COMPUTED_VALUE"""),107.15)</f>
        <v>107.15</v>
      </c>
      <c r="S918" s="1">
        <f ca="1">IFERROR(__xludf.DUMMYFUNCTION("""COMPUTED_VALUE"""),67.89)</f>
        <v>67.89</v>
      </c>
      <c r="T918" s="1">
        <f ca="1">IFERROR(__xludf.DUMMYFUNCTION("""COMPUTED_VALUE"""),52.7)</f>
        <v>52.7</v>
      </c>
      <c r="U918" s="1">
        <f ca="1">IFERROR(__xludf.DUMMYFUNCTION("""COMPUTED_VALUE"""),98.75)</f>
        <v>98.75</v>
      </c>
      <c r="V918" s="1">
        <f ca="1">IFERROR(__xludf.DUMMYFUNCTION("""COMPUTED_VALUE"""),273.03)</f>
        <v>273.02999999999997</v>
      </c>
      <c r="W918" s="1">
        <f ca="1">IFERROR(__xludf.DUMMYFUNCTION("""COMPUTED_VALUE"""),454.57)</f>
        <v>454.57</v>
      </c>
      <c r="X918" s="1">
        <f ca="1">IFERROR(__xludf.DUMMYFUNCTION("""COMPUTED_VALUE"""),677.12)</f>
        <v>677.12</v>
      </c>
      <c r="Y918" s="1">
        <f ca="1">IFERROR(__xludf.DUMMYFUNCTION("""COMPUTED_VALUE"""),94.22)</f>
        <v>94.22</v>
      </c>
      <c r="Z918" s="1">
        <f ca="1">IFERROR(__xludf.DUMMYFUNCTION("""COMPUTED_VALUE"""),322.33)</f>
        <v>322.33</v>
      </c>
      <c r="AA918" s="1">
        <f ca="1">IFERROR(__xludf.DUMMYFUNCTION("""COMPUTED_VALUE"""),36.66)</f>
        <v>36.659999999999997</v>
      </c>
      <c r="AB918" s="1">
        <f ca="1">IFERROR(__xludf.DUMMYFUNCTION("""COMPUTED_VALUE"""),95.18)</f>
        <v>95.18</v>
      </c>
      <c r="AC918" s="1">
        <f ca="1">IFERROR(__xludf.DUMMYFUNCTION("""COMPUTED_VALUE"""),109.43)</f>
        <v>109.43</v>
      </c>
    </row>
    <row r="919" spans="1:29" x14ac:dyDescent="0.25">
      <c r="A919" s="2">
        <f ca="1">IFERROR(__xludf.DUMMYFUNCTION("""COMPUTED_VALUE"""),45162.6666666666)</f>
        <v>45162.666666666599</v>
      </c>
      <c r="B919" s="1">
        <f ca="1">IFERROR(__xludf.DUMMYFUNCTION("""COMPUTED_VALUE"""),176.38)</f>
        <v>176.38</v>
      </c>
      <c r="C919" s="1">
        <f ca="1">IFERROR(__xludf.DUMMYFUNCTION("""COMPUTED_VALUE"""),319.97)</f>
        <v>319.97000000000003</v>
      </c>
      <c r="D919" s="1">
        <f ca="1">IFERROR(__xludf.DUMMYFUNCTION("""COMPUTED_VALUE"""),131.84)</f>
        <v>131.84</v>
      </c>
      <c r="E919" s="1">
        <f ca="1">IFERROR(__xludf.DUMMYFUNCTION("""COMPUTED_VALUE"""),47.16)</f>
        <v>47.16</v>
      </c>
      <c r="F919" s="1">
        <f ca="1">IFERROR(__xludf.DUMMYFUNCTION("""COMPUTED_VALUE"""),286.75)</f>
        <v>286.75</v>
      </c>
      <c r="G919" s="1">
        <f ca="1">IFERROR(__xludf.DUMMYFUNCTION("""COMPUTED_VALUE"""),130.42)</f>
        <v>130.41999999999999</v>
      </c>
      <c r="H919" s="1">
        <f ca="1">IFERROR(__xludf.DUMMYFUNCTION("""COMPUTED_VALUE"""),230.04)</f>
        <v>230.04</v>
      </c>
      <c r="I919" s="1">
        <f ca="1">IFERROR(__xludf.DUMMYFUNCTION("""COMPUTED_VALUE"""),177.18)</f>
        <v>177.18</v>
      </c>
      <c r="J919" s="1">
        <f ca="1">IFERROR(__xludf.DUMMYFUNCTION("""COMPUTED_VALUE"""),531.71)</f>
        <v>531.71</v>
      </c>
      <c r="K919" s="1">
        <f ca="1">IFERROR(__xludf.DUMMYFUNCTION("""COMPUTED_VALUE"""),85.45)</f>
        <v>85.45</v>
      </c>
      <c r="L919" s="1">
        <f ca="1">IFERROR(__xludf.DUMMYFUNCTION("""COMPUTED_VALUE"""),512.43)</f>
        <v>512.42999999999995</v>
      </c>
      <c r="M919" s="1">
        <f ca="1">IFERROR(__xludf.DUMMYFUNCTION("""COMPUTED_VALUE"""),406.93)</f>
        <v>406.93</v>
      </c>
      <c r="N919" s="1">
        <f ca="1">IFERROR(__xludf.DUMMYFUNCTION("""COMPUTED_VALUE"""),147.23)</f>
        <v>147.22999999999999</v>
      </c>
      <c r="O919" s="1">
        <f ca="1">IFERROR(__xludf.DUMMYFUNCTION("""COMPUTED_VALUE"""),239.47)</f>
        <v>239.47</v>
      </c>
      <c r="P919" s="1">
        <f ca="1">IFERROR(__xludf.DUMMYFUNCTION("""COMPUTED_VALUE"""),165.09)</f>
        <v>165.09</v>
      </c>
      <c r="Q919" s="1">
        <f ca="1">IFERROR(__xludf.DUMMYFUNCTION("""COMPUTED_VALUE"""),488.1)</f>
        <v>488.1</v>
      </c>
      <c r="R919" s="1">
        <f ca="1">IFERROR(__xludf.DUMMYFUNCTION("""COMPUTED_VALUE"""),106.35)</f>
        <v>106.35</v>
      </c>
      <c r="S919" s="1">
        <f ca="1">IFERROR(__xludf.DUMMYFUNCTION("""COMPUTED_VALUE"""),67.22)</f>
        <v>67.22</v>
      </c>
      <c r="T919" s="1">
        <f ca="1">IFERROR(__xludf.DUMMYFUNCTION("""COMPUTED_VALUE"""),52.3)</f>
        <v>52.3</v>
      </c>
      <c r="U919" s="1">
        <f ca="1">IFERROR(__xludf.DUMMYFUNCTION("""COMPUTED_VALUE"""),97.63)</f>
        <v>97.63</v>
      </c>
      <c r="V919" s="1">
        <f ca="1">IFERROR(__xludf.DUMMYFUNCTION("""COMPUTED_VALUE"""),269.3)</f>
        <v>269.3</v>
      </c>
      <c r="W919" s="1">
        <f ca="1">IFERROR(__xludf.DUMMYFUNCTION("""COMPUTED_VALUE"""),452.55)</f>
        <v>452.55</v>
      </c>
      <c r="X919" s="1">
        <f ca="1">IFERROR(__xludf.DUMMYFUNCTION("""COMPUTED_VALUE"""),647.82)</f>
        <v>647.82000000000005</v>
      </c>
      <c r="Y919" s="1">
        <f ca="1">IFERROR(__xludf.DUMMYFUNCTION("""COMPUTED_VALUE"""),92.53)</f>
        <v>92.53</v>
      </c>
      <c r="Z919" s="1">
        <f ca="1">IFERROR(__xludf.DUMMYFUNCTION("""COMPUTED_VALUE"""),319.96)</f>
        <v>319.95999999999998</v>
      </c>
      <c r="AA919" s="1">
        <f ca="1">IFERROR(__xludf.DUMMYFUNCTION("""COMPUTED_VALUE"""),36.16)</f>
        <v>36.159999999999997</v>
      </c>
      <c r="AB919" s="1">
        <f ca="1">IFERROR(__xludf.DUMMYFUNCTION("""COMPUTED_VALUE"""),94.83)</f>
        <v>94.83</v>
      </c>
      <c r="AC919" s="1">
        <f ca="1">IFERROR(__xludf.DUMMYFUNCTION("""COMPUTED_VALUE"""),101.8)</f>
        <v>101.8</v>
      </c>
    </row>
    <row r="920" spans="1:29" x14ac:dyDescent="0.25">
      <c r="A920" s="2">
        <f ca="1">IFERROR(__xludf.DUMMYFUNCTION("""COMPUTED_VALUE"""),45163.6666666666)</f>
        <v>45163.666666666599</v>
      </c>
      <c r="B920" s="1">
        <f ca="1">IFERROR(__xludf.DUMMYFUNCTION("""COMPUTED_VALUE"""),178.61)</f>
        <v>178.61</v>
      </c>
      <c r="C920" s="1">
        <f ca="1">IFERROR(__xludf.DUMMYFUNCTION("""COMPUTED_VALUE"""),322.98)</f>
        <v>322.98</v>
      </c>
      <c r="D920" s="1">
        <f ca="1">IFERROR(__xludf.DUMMYFUNCTION("""COMPUTED_VALUE"""),133.26)</f>
        <v>133.26</v>
      </c>
      <c r="E920" s="1">
        <f ca="1">IFERROR(__xludf.DUMMYFUNCTION("""COMPUTED_VALUE"""),46.02)</f>
        <v>46.02</v>
      </c>
      <c r="F920" s="1">
        <f ca="1">IFERROR(__xludf.DUMMYFUNCTION("""COMPUTED_VALUE"""),285.5)</f>
        <v>285.5</v>
      </c>
      <c r="G920" s="1">
        <f ca="1">IFERROR(__xludf.DUMMYFUNCTION("""COMPUTED_VALUE"""),130.69)</f>
        <v>130.69</v>
      </c>
      <c r="H920" s="1">
        <f ca="1">IFERROR(__xludf.DUMMYFUNCTION("""COMPUTED_VALUE"""),238.59)</f>
        <v>238.59</v>
      </c>
      <c r="I920" s="1">
        <f ca="1">IFERROR(__xludf.DUMMYFUNCTION("""COMPUTED_VALUE"""),179.42)</f>
        <v>179.42</v>
      </c>
      <c r="J920" s="1">
        <f ca="1">IFERROR(__xludf.DUMMYFUNCTION("""COMPUTED_VALUE"""),534.01)</f>
        <v>534.01</v>
      </c>
      <c r="K920" s="1">
        <f ca="1">IFERROR(__xludf.DUMMYFUNCTION("""COMPUTED_VALUE"""),85.18)</f>
        <v>85.18</v>
      </c>
      <c r="L920" s="1">
        <f ca="1">IFERROR(__xludf.DUMMYFUNCTION("""COMPUTED_VALUE"""),525.06)</f>
        <v>525.05999999999995</v>
      </c>
      <c r="M920" s="1">
        <f ca="1">IFERROR(__xludf.DUMMYFUNCTION("""COMPUTED_VALUE"""),416.03)</f>
        <v>416.03</v>
      </c>
      <c r="N920" s="1">
        <f ca="1">IFERROR(__xludf.DUMMYFUNCTION("""COMPUTED_VALUE"""),147.05)</f>
        <v>147.05000000000001</v>
      </c>
      <c r="O920" s="1">
        <f ca="1">IFERROR(__xludf.DUMMYFUNCTION("""COMPUTED_VALUE"""),242.57)</f>
        <v>242.57</v>
      </c>
      <c r="P920" s="1">
        <f ca="1">IFERROR(__xludf.DUMMYFUNCTION("""COMPUTED_VALUE"""),166.25)</f>
        <v>166.25</v>
      </c>
      <c r="Q920" s="1">
        <f ca="1">IFERROR(__xludf.DUMMYFUNCTION("""COMPUTED_VALUE"""),489.12)</f>
        <v>489.12</v>
      </c>
      <c r="R920" s="1">
        <f ca="1">IFERROR(__xludf.DUMMYFUNCTION("""COMPUTED_VALUE"""),108.25)</f>
        <v>108.25</v>
      </c>
      <c r="S920" s="1">
        <f ca="1">IFERROR(__xludf.DUMMYFUNCTION("""COMPUTED_VALUE"""),67.96)</f>
        <v>67.959999999999994</v>
      </c>
      <c r="T920" s="1">
        <f ca="1">IFERROR(__xludf.DUMMYFUNCTION("""COMPUTED_VALUE"""),52.61)</f>
        <v>52.61</v>
      </c>
      <c r="U920" s="1">
        <f ca="1">IFERROR(__xludf.DUMMYFUNCTION("""COMPUTED_VALUE"""),98.84)</f>
        <v>98.84</v>
      </c>
      <c r="V920" s="1">
        <f ca="1">IFERROR(__xludf.DUMMYFUNCTION("""COMPUTED_VALUE"""),272.56)</f>
        <v>272.56</v>
      </c>
      <c r="W920" s="1">
        <f ca="1">IFERROR(__xludf.DUMMYFUNCTION("""COMPUTED_VALUE"""),451.09)</f>
        <v>451.09</v>
      </c>
      <c r="X920" s="1">
        <f ca="1">IFERROR(__xludf.DUMMYFUNCTION("""COMPUTED_VALUE"""),651.01)</f>
        <v>651.01</v>
      </c>
      <c r="Y920" s="1">
        <f ca="1">IFERROR(__xludf.DUMMYFUNCTION("""COMPUTED_VALUE"""),93.1)</f>
        <v>93.1</v>
      </c>
      <c r="Z920" s="1">
        <f ca="1">IFERROR(__xludf.DUMMYFUNCTION("""COMPUTED_VALUE"""),320.15)</f>
        <v>320.14999999999998</v>
      </c>
      <c r="AA920" s="1">
        <f ca="1">IFERROR(__xludf.DUMMYFUNCTION("""COMPUTED_VALUE"""),36.38)</f>
        <v>36.380000000000003</v>
      </c>
      <c r="AB920" s="1">
        <f ca="1">IFERROR(__xludf.DUMMYFUNCTION("""COMPUTED_VALUE"""),95.48)</f>
        <v>95.48</v>
      </c>
      <c r="AC920" s="1">
        <f ca="1">IFERROR(__xludf.DUMMYFUNCTION("""COMPUTED_VALUE"""),102.25)</f>
        <v>102.25</v>
      </c>
    </row>
    <row r="921" spans="1:29" x14ac:dyDescent="0.25">
      <c r="A921" s="2">
        <f ca="1">IFERROR(__xludf.DUMMYFUNCTION("""COMPUTED_VALUE"""),45166.6666666666)</f>
        <v>45166.666666666599</v>
      </c>
      <c r="B921" s="1">
        <f ca="1">IFERROR(__xludf.DUMMYFUNCTION("""COMPUTED_VALUE"""),180.19)</f>
        <v>180.19</v>
      </c>
      <c r="C921" s="1">
        <f ca="1">IFERROR(__xludf.DUMMYFUNCTION("""COMPUTED_VALUE"""),323.7)</f>
        <v>323.7</v>
      </c>
      <c r="D921" s="1">
        <f ca="1">IFERROR(__xludf.DUMMYFUNCTION("""COMPUTED_VALUE"""),133.14)</f>
        <v>133.13999999999999</v>
      </c>
      <c r="E921" s="1">
        <f ca="1">IFERROR(__xludf.DUMMYFUNCTION("""COMPUTED_VALUE"""),46.84)</f>
        <v>46.84</v>
      </c>
      <c r="F921" s="1">
        <f ca="1">IFERROR(__xludf.DUMMYFUNCTION("""COMPUTED_VALUE"""),290.26)</f>
        <v>290.26</v>
      </c>
      <c r="G921" s="1">
        <f ca="1">IFERROR(__xludf.DUMMYFUNCTION("""COMPUTED_VALUE"""),131.79)</f>
        <v>131.79</v>
      </c>
      <c r="H921" s="1">
        <f ca="1">IFERROR(__xludf.DUMMYFUNCTION("""COMPUTED_VALUE"""),238.82)</f>
        <v>238.82</v>
      </c>
      <c r="I921" s="1">
        <f ca="1">IFERROR(__xludf.DUMMYFUNCTION("""COMPUTED_VALUE"""),180.25)</f>
        <v>180.25</v>
      </c>
      <c r="J921" s="1">
        <f ca="1">IFERROR(__xludf.DUMMYFUNCTION("""COMPUTED_VALUE"""),536.19)</f>
        <v>536.19000000000005</v>
      </c>
      <c r="K921" s="1">
        <f ca="1">IFERROR(__xludf.DUMMYFUNCTION("""COMPUTED_VALUE"""),86.11)</f>
        <v>86.11</v>
      </c>
      <c r="L921" s="1">
        <f ca="1">IFERROR(__xludf.DUMMYFUNCTION("""COMPUTED_VALUE"""),529.92)</f>
        <v>529.91999999999996</v>
      </c>
      <c r="M921" s="1">
        <f ca="1">IFERROR(__xludf.DUMMYFUNCTION("""COMPUTED_VALUE"""),418.06)</f>
        <v>418.06</v>
      </c>
      <c r="N921" s="1">
        <f ca="1">IFERROR(__xludf.DUMMYFUNCTION("""COMPUTED_VALUE"""),147.56)</f>
        <v>147.56</v>
      </c>
      <c r="O921" s="1">
        <f ca="1">IFERROR(__xludf.DUMMYFUNCTION("""COMPUTED_VALUE"""),243.83)</f>
        <v>243.83</v>
      </c>
      <c r="P921" s="1">
        <f ca="1">IFERROR(__xludf.DUMMYFUNCTION("""COMPUTED_VALUE"""),164.29)</f>
        <v>164.29</v>
      </c>
      <c r="Q921" s="1">
        <f ca="1">IFERROR(__xludf.DUMMYFUNCTION("""COMPUTED_VALUE"""),491.28)</f>
        <v>491.28</v>
      </c>
      <c r="R921" s="1">
        <f ca="1">IFERROR(__xludf.DUMMYFUNCTION("""COMPUTED_VALUE"""),109.16)</f>
        <v>109.16</v>
      </c>
      <c r="S921" s="1">
        <f ca="1">IFERROR(__xludf.DUMMYFUNCTION("""COMPUTED_VALUE"""),68.02)</f>
        <v>68.02</v>
      </c>
      <c r="T921" s="1">
        <f ca="1">IFERROR(__xludf.DUMMYFUNCTION("""COMPUTED_VALUE"""),52.91)</f>
        <v>52.91</v>
      </c>
      <c r="U921" s="1">
        <f ca="1">IFERROR(__xludf.DUMMYFUNCTION("""COMPUTED_VALUE"""),99.63)</f>
        <v>99.63</v>
      </c>
      <c r="V921" s="1">
        <f ca="1">IFERROR(__xludf.DUMMYFUNCTION("""COMPUTED_VALUE"""),274.79)</f>
        <v>274.79000000000002</v>
      </c>
      <c r="W921" s="1">
        <f ca="1">IFERROR(__xludf.DUMMYFUNCTION("""COMPUTED_VALUE"""),452.32)</f>
        <v>452.32</v>
      </c>
      <c r="X921" s="1">
        <f ca="1">IFERROR(__xludf.DUMMYFUNCTION("""COMPUTED_VALUE"""),658.99)</f>
        <v>658.99</v>
      </c>
      <c r="Y921" s="1">
        <f ca="1">IFERROR(__xludf.DUMMYFUNCTION("""COMPUTED_VALUE"""),94)</f>
        <v>94</v>
      </c>
      <c r="Z921" s="1">
        <f ca="1">IFERROR(__xludf.DUMMYFUNCTION("""COMPUTED_VALUE"""),325.97)</f>
        <v>325.97000000000003</v>
      </c>
      <c r="AA921" s="1">
        <f ca="1">IFERROR(__xludf.DUMMYFUNCTION("""COMPUTED_VALUE"""),36.21)</f>
        <v>36.21</v>
      </c>
      <c r="AB921" s="1">
        <f ca="1">IFERROR(__xludf.DUMMYFUNCTION("""COMPUTED_VALUE"""),97.04)</f>
        <v>97.04</v>
      </c>
      <c r="AC921" s="1">
        <f ca="1">IFERROR(__xludf.DUMMYFUNCTION("""COMPUTED_VALUE"""),102.61)</f>
        <v>102.61</v>
      </c>
    </row>
    <row r="922" spans="1:29" x14ac:dyDescent="0.25">
      <c r="A922" s="2">
        <f ca="1">IFERROR(__xludf.DUMMYFUNCTION("""COMPUTED_VALUE"""),45167.6666666666)</f>
        <v>45167.666666666599</v>
      </c>
      <c r="B922" s="1">
        <f ca="1">IFERROR(__xludf.DUMMYFUNCTION("""COMPUTED_VALUE"""),184.12)</f>
        <v>184.12</v>
      </c>
      <c r="C922" s="1">
        <f ca="1">IFERROR(__xludf.DUMMYFUNCTION("""COMPUTED_VALUE"""),328.41)</f>
        <v>328.41</v>
      </c>
      <c r="D922" s="1">
        <f ca="1">IFERROR(__xludf.DUMMYFUNCTION("""COMPUTED_VALUE"""),134.91)</f>
        <v>134.91</v>
      </c>
      <c r="E922" s="1">
        <f ca="1">IFERROR(__xludf.DUMMYFUNCTION("""COMPUTED_VALUE"""),48.78)</f>
        <v>48.78</v>
      </c>
      <c r="F922" s="1">
        <f ca="1">IFERROR(__xludf.DUMMYFUNCTION("""COMPUTED_VALUE"""),297.99)</f>
        <v>297.99</v>
      </c>
      <c r="G922" s="1">
        <f ca="1">IFERROR(__xludf.DUMMYFUNCTION("""COMPUTED_VALUE"""),135.49)</f>
        <v>135.49</v>
      </c>
      <c r="H922" s="1">
        <f ca="1">IFERROR(__xludf.DUMMYFUNCTION("""COMPUTED_VALUE"""),257.18)</f>
        <v>257.18</v>
      </c>
      <c r="I922" s="1">
        <f ca="1">IFERROR(__xludf.DUMMYFUNCTION("""COMPUTED_VALUE"""),180.93)</f>
        <v>180.93</v>
      </c>
      <c r="J922" s="1">
        <f ca="1">IFERROR(__xludf.DUMMYFUNCTION("""COMPUTED_VALUE"""),542.77)</f>
        <v>542.77</v>
      </c>
      <c r="K922" s="1">
        <f ca="1">IFERROR(__xludf.DUMMYFUNCTION("""COMPUTED_VALUE"""),88.99)</f>
        <v>88.99</v>
      </c>
      <c r="L922" s="1">
        <f ca="1">IFERROR(__xludf.DUMMYFUNCTION("""COMPUTED_VALUE"""),540.57)</f>
        <v>540.57000000000005</v>
      </c>
      <c r="M922" s="1">
        <f ca="1">IFERROR(__xludf.DUMMYFUNCTION("""COMPUTED_VALUE"""),429.99)</f>
        <v>429.99</v>
      </c>
      <c r="N922" s="1">
        <f ca="1">IFERROR(__xludf.DUMMYFUNCTION("""COMPUTED_VALUE"""),148.76)</f>
        <v>148.76</v>
      </c>
      <c r="O922" s="1">
        <f ca="1">IFERROR(__xludf.DUMMYFUNCTION("""COMPUTED_VALUE"""),245.34)</f>
        <v>245.34</v>
      </c>
      <c r="P922" s="1">
        <f ca="1">IFERROR(__xludf.DUMMYFUNCTION("""COMPUTED_VALUE"""),164.31)</f>
        <v>164.31</v>
      </c>
      <c r="Q922" s="1">
        <f ca="1">IFERROR(__xludf.DUMMYFUNCTION("""COMPUTED_VALUE"""),492.83)</f>
        <v>492.83</v>
      </c>
      <c r="R922" s="1">
        <f ca="1">IFERROR(__xludf.DUMMYFUNCTION("""COMPUTED_VALUE"""),109.81)</f>
        <v>109.81</v>
      </c>
      <c r="S922" s="1">
        <f ca="1">IFERROR(__xludf.DUMMYFUNCTION("""COMPUTED_VALUE"""),67.51)</f>
        <v>67.510000000000005</v>
      </c>
      <c r="T922" s="1">
        <f ca="1">IFERROR(__xludf.DUMMYFUNCTION("""COMPUTED_VALUE"""),53.35)</f>
        <v>53.35</v>
      </c>
      <c r="U922" s="1">
        <f ca="1">IFERROR(__xludf.DUMMYFUNCTION("""COMPUTED_VALUE"""),101.77)</f>
        <v>101.77</v>
      </c>
      <c r="V922" s="1">
        <f ca="1">IFERROR(__xludf.DUMMYFUNCTION("""COMPUTED_VALUE"""),280.03)</f>
        <v>280.02999999999997</v>
      </c>
      <c r="W922" s="1">
        <f ca="1">IFERROR(__xludf.DUMMYFUNCTION("""COMPUTED_VALUE"""),448.4)</f>
        <v>448.4</v>
      </c>
      <c r="X922" s="1">
        <f ca="1">IFERROR(__xludf.DUMMYFUNCTION("""COMPUTED_VALUE"""),667.51)</f>
        <v>667.51</v>
      </c>
      <c r="Y922" s="1">
        <f ca="1">IFERROR(__xludf.DUMMYFUNCTION("""COMPUTED_VALUE"""),95.08)</f>
        <v>95.08</v>
      </c>
      <c r="Z922" s="1">
        <f ca="1">IFERROR(__xludf.DUMMYFUNCTION("""COMPUTED_VALUE"""),332.55)</f>
        <v>332.55</v>
      </c>
      <c r="AA922" s="1">
        <f ca="1">IFERROR(__xludf.DUMMYFUNCTION("""COMPUTED_VALUE"""),36.15)</f>
        <v>36.15</v>
      </c>
      <c r="AB922" s="1">
        <f ca="1">IFERROR(__xludf.DUMMYFUNCTION("""COMPUTED_VALUE"""),99.15)</f>
        <v>99.15</v>
      </c>
      <c r="AC922" s="1">
        <f ca="1">IFERROR(__xludf.DUMMYFUNCTION("""COMPUTED_VALUE"""),105.92)</f>
        <v>105.92</v>
      </c>
    </row>
    <row r="923" spans="1:29" x14ac:dyDescent="0.25">
      <c r="A923" s="2">
        <f ca="1">IFERROR(__xludf.DUMMYFUNCTION("""COMPUTED_VALUE"""),45168.6666666666)</f>
        <v>45168.666666666599</v>
      </c>
      <c r="B923" s="1">
        <f ca="1">IFERROR(__xludf.DUMMYFUNCTION("""COMPUTED_VALUE"""),187.65)</f>
        <v>187.65</v>
      </c>
      <c r="C923" s="1">
        <f ca="1">IFERROR(__xludf.DUMMYFUNCTION("""COMPUTED_VALUE"""),328.79)</f>
        <v>328.79</v>
      </c>
      <c r="D923" s="1">
        <f ca="1">IFERROR(__xludf.DUMMYFUNCTION("""COMPUTED_VALUE"""),135.07)</f>
        <v>135.07</v>
      </c>
      <c r="E923" s="1">
        <f ca="1">IFERROR(__xludf.DUMMYFUNCTION("""COMPUTED_VALUE"""),49.26)</f>
        <v>49.26</v>
      </c>
      <c r="F923" s="1">
        <f ca="1">IFERROR(__xludf.DUMMYFUNCTION("""COMPUTED_VALUE"""),295.1)</f>
        <v>295.10000000000002</v>
      </c>
      <c r="G923" s="1">
        <f ca="1">IFERROR(__xludf.DUMMYFUNCTION("""COMPUTED_VALUE"""),136.93)</f>
        <v>136.93</v>
      </c>
      <c r="H923" s="1">
        <f ca="1">IFERROR(__xludf.DUMMYFUNCTION("""COMPUTED_VALUE"""),256.9)</f>
        <v>256.89999999999998</v>
      </c>
      <c r="I923" s="1">
        <f ca="1">IFERROR(__xludf.DUMMYFUNCTION("""COMPUTED_VALUE"""),181.08)</f>
        <v>181.08</v>
      </c>
      <c r="J923" s="1">
        <f ca="1">IFERROR(__xludf.DUMMYFUNCTION("""COMPUTED_VALUE"""),542.26)</f>
        <v>542.26</v>
      </c>
      <c r="K923" s="1">
        <f ca="1">IFERROR(__xludf.DUMMYFUNCTION("""COMPUTED_VALUE"""),89.23)</f>
        <v>89.23</v>
      </c>
      <c r="L923" s="1">
        <f ca="1">IFERROR(__xludf.DUMMYFUNCTION("""COMPUTED_VALUE"""),545.36)</f>
        <v>545.36</v>
      </c>
      <c r="M923" s="1">
        <f ca="1">IFERROR(__xludf.DUMMYFUNCTION("""COMPUTED_VALUE"""),434.67)</f>
        <v>434.67</v>
      </c>
      <c r="N923" s="1">
        <f ca="1">IFERROR(__xludf.DUMMYFUNCTION("""COMPUTED_VALUE"""),148.16)</f>
        <v>148.16</v>
      </c>
      <c r="O923" s="1">
        <f ca="1">IFERROR(__xludf.DUMMYFUNCTION("""COMPUTED_VALUE"""),246.23)</f>
        <v>246.23</v>
      </c>
      <c r="P923" s="1">
        <f ca="1">IFERROR(__xludf.DUMMYFUNCTION("""COMPUTED_VALUE"""),163.73)</f>
        <v>163.72999999999999</v>
      </c>
      <c r="Q923" s="1">
        <f ca="1">IFERROR(__xludf.DUMMYFUNCTION("""COMPUTED_VALUE"""),491.53)</f>
        <v>491.53</v>
      </c>
      <c r="R923" s="1">
        <f ca="1">IFERROR(__xludf.DUMMYFUNCTION("""COMPUTED_VALUE"""),110.88)</f>
        <v>110.88</v>
      </c>
      <c r="S923" s="1">
        <f ca="1">IFERROR(__xludf.DUMMYFUNCTION("""COMPUTED_VALUE"""),67.09)</f>
        <v>67.09</v>
      </c>
      <c r="T923" s="1">
        <f ca="1">IFERROR(__xludf.DUMMYFUNCTION("""COMPUTED_VALUE"""),53.73)</f>
        <v>53.73</v>
      </c>
      <c r="U923" s="1">
        <f ca="1">IFERROR(__xludf.DUMMYFUNCTION("""COMPUTED_VALUE"""),102.1)</f>
        <v>102.1</v>
      </c>
      <c r="V923" s="1">
        <f ca="1">IFERROR(__xludf.DUMMYFUNCTION("""COMPUTED_VALUE"""),282.33)</f>
        <v>282.33</v>
      </c>
      <c r="W923" s="1">
        <f ca="1">IFERROR(__xludf.DUMMYFUNCTION("""COMPUTED_VALUE"""),452.41)</f>
        <v>452.41</v>
      </c>
      <c r="X923" s="1">
        <f ca="1">IFERROR(__xludf.DUMMYFUNCTION("""COMPUTED_VALUE"""),669.56)</f>
        <v>669.56</v>
      </c>
      <c r="Y923" s="1">
        <f ca="1">IFERROR(__xludf.DUMMYFUNCTION("""COMPUTED_VALUE"""),94.78)</f>
        <v>94.78</v>
      </c>
      <c r="Z923" s="1">
        <f ca="1">IFERROR(__xludf.DUMMYFUNCTION("""COMPUTED_VALUE"""),328.58)</f>
        <v>328.58</v>
      </c>
      <c r="AA923" s="1">
        <f ca="1">IFERROR(__xludf.DUMMYFUNCTION("""COMPUTED_VALUE"""),35.9)</f>
        <v>35.9</v>
      </c>
      <c r="AB923" s="1">
        <f ca="1">IFERROR(__xludf.DUMMYFUNCTION("""COMPUTED_VALUE"""),99.24)</f>
        <v>99.24</v>
      </c>
      <c r="AC923" s="1">
        <f ca="1">IFERROR(__xludf.DUMMYFUNCTION("""COMPUTED_VALUE"""),106.59)</f>
        <v>106.59</v>
      </c>
    </row>
    <row r="924" spans="1:29" x14ac:dyDescent="0.25">
      <c r="A924" s="2">
        <f ca="1">IFERROR(__xludf.DUMMYFUNCTION("""COMPUTED_VALUE"""),45169.6666666666)</f>
        <v>45169.666666666599</v>
      </c>
      <c r="B924" s="1">
        <f ca="1">IFERROR(__xludf.DUMMYFUNCTION("""COMPUTED_VALUE"""),187.87)</f>
        <v>187.87</v>
      </c>
      <c r="C924" s="1">
        <f ca="1">IFERROR(__xludf.DUMMYFUNCTION("""COMPUTED_VALUE"""),327.76)</f>
        <v>327.76</v>
      </c>
      <c r="D924" s="1">
        <f ca="1">IFERROR(__xludf.DUMMYFUNCTION("""COMPUTED_VALUE"""),138.01)</f>
        <v>138.01</v>
      </c>
      <c r="E924" s="1">
        <f ca="1">IFERROR(__xludf.DUMMYFUNCTION("""COMPUTED_VALUE"""),49.36)</f>
        <v>49.36</v>
      </c>
      <c r="F924" s="1">
        <f ca="1">IFERROR(__xludf.DUMMYFUNCTION("""COMPUTED_VALUE"""),295.89)</f>
        <v>295.89</v>
      </c>
      <c r="G924" s="1">
        <f ca="1">IFERROR(__xludf.DUMMYFUNCTION("""COMPUTED_VALUE"""),137.35)</f>
        <v>137.35</v>
      </c>
      <c r="H924" s="1">
        <f ca="1">IFERROR(__xludf.DUMMYFUNCTION("""COMPUTED_VALUE"""),258.08)</f>
        <v>258.08</v>
      </c>
      <c r="I924" s="1">
        <f ca="1">IFERROR(__xludf.DUMMYFUNCTION("""COMPUTED_VALUE"""),177.92)</f>
        <v>177.92</v>
      </c>
      <c r="J924" s="1">
        <f ca="1">IFERROR(__xludf.DUMMYFUNCTION("""COMPUTED_VALUE"""),549.28)</f>
        <v>549.28</v>
      </c>
      <c r="K924" s="1">
        <f ca="1">IFERROR(__xludf.DUMMYFUNCTION("""COMPUTED_VALUE"""),92.29)</f>
        <v>92.29</v>
      </c>
      <c r="L924" s="1">
        <f ca="1">IFERROR(__xludf.DUMMYFUNCTION("""COMPUTED_VALUE"""),559.34)</f>
        <v>559.34</v>
      </c>
      <c r="M924" s="1">
        <f ca="1">IFERROR(__xludf.DUMMYFUNCTION("""COMPUTED_VALUE"""),433.68)</f>
        <v>433.68</v>
      </c>
      <c r="N924" s="1">
        <f ca="1">IFERROR(__xludf.DUMMYFUNCTION("""COMPUTED_VALUE"""),146.33)</f>
        <v>146.33000000000001</v>
      </c>
      <c r="O924" s="1">
        <f ca="1">IFERROR(__xludf.DUMMYFUNCTION("""COMPUTED_VALUE"""),245.68)</f>
        <v>245.68</v>
      </c>
      <c r="P924" s="1">
        <f ca="1">IFERROR(__xludf.DUMMYFUNCTION("""COMPUTED_VALUE"""),161.68)</f>
        <v>161.68</v>
      </c>
      <c r="Q924" s="1">
        <f ca="1">IFERROR(__xludf.DUMMYFUNCTION("""COMPUTED_VALUE"""),476.58)</f>
        <v>476.58</v>
      </c>
      <c r="R924" s="1">
        <f ca="1">IFERROR(__xludf.DUMMYFUNCTION("""COMPUTED_VALUE"""),111.19)</f>
        <v>111.19</v>
      </c>
      <c r="S924" s="1">
        <f ca="1">IFERROR(__xludf.DUMMYFUNCTION("""COMPUTED_VALUE"""),66.8)</f>
        <v>66.8</v>
      </c>
      <c r="T924" s="1">
        <f ca="1">IFERROR(__xludf.DUMMYFUNCTION("""COMPUTED_VALUE"""),54.2)</f>
        <v>54.2</v>
      </c>
      <c r="U924" s="1">
        <f ca="1">IFERROR(__xludf.DUMMYFUNCTION("""COMPUTED_VALUE"""),101.71)</f>
        <v>101.71</v>
      </c>
      <c r="V924" s="1">
        <f ca="1">IFERROR(__xludf.DUMMYFUNCTION("""COMPUTED_VALUE"""),281.13)</f>
        <v>281.13</v>
      </c>
      <c r="W924" s="1">
        <f ca="1">IFERROR(__xludf.DUMMYFUNCTION("""COMPUTED_VALUE"""),448.35)</f>
        <v>448.35</v>
      </c>
      <c r="X924" s="1">
        <f ca="1">IFERROR(__xludf.DUMMYFUNCTION("""COMPUTED_VALUE"""),660.53)</f>
        <v>660.53</v>
      </c>
      <c r="Y924" s="1">
        <f ca="1">IFERROR(__xludf.DUMMYFUNCTION("""COMPUTED_VALUE"""),93.57)</f>
        <v>93.57</v>
      </c>
      <c r="Z924" s="1">
        <f ca="1">IFERROR(__xludf.DUMMYFUNCTION("""COMPUTED_VALUE"""),327.71)</f>
        <v>327.71</v>
      </c>
      <c r="AA924" s="1">
        <f ca="1">IFERROR(__xludf.DUMMYFUNCTION("""COMPUTED_VALUE"""),35.38)</f>
        <v>35.380000000000003</v>
      </c>
      <c r="AB924" s="1">
        <f ca="1">IFERROR(__xludf.DUMMYFUNCTION("""COMPUTED_VALUE"""),97.44)</f>
        <v>97.44</v>
      </c>
      <c r="AC924" s="1">
        <f ca="1">IFERROR(__xludf.DUMMYFUNCTION("""COMPUTED_VALUE"""),105.72)</f>
        <v>105.72</v>
      </c>
    </row>
    <row r="925" spans="1:29" x14ac:dyDescent="0.25">
      <c r="A925" s="2">
        <f ca="1">IFERROR(__xludf.DUMMYFUNCTION("""COMPUTED_VALUE"""),45170.6666666666)</f>
        <v>45170.666666666599</v>
      </c>
      <c r="B925" s="1">
        <f ca="1">IFERROR(__xludf.DUMMYFUNCTION("""COMPUTED_VALUE"""),189.46)</f>
        <v>189.46</v>
      </c>
      <c r="C925" s="1">
        <f ca="1">IFERROR(__xludf.DUMMYFUNCTION("""COMPUTED_VALUE"""),328.66)</f>
        <v>328.66</v>
      </c>
      <c r="D925" s="1">
        <f ca="1">IFERROR(__xludf.DUMMYFUNCTION("""COMPUTED_VALUE"""),138.12)</f>
        <v>138.12</v>
      </c>
      <c r="E925" s="1">
        <f ca="1">IFERROR(__xludf.DUMMYFUNCTION("""COMPUTED_VALUE"""),48.51)</f>
        <v>48.51</v>
      </c>
      <c r="F925" s="1">
        <f ca="1">IFERROR(__xludf.DUMMYFUNCTION("""COMPUTED_VALUE"""),296.38)</f>
        <v>296.38</v>
      </c>
      <c r="G925" s="1">
        <f ca="1">IFERROR(__xludf.DUMMYFUNCTION("""COMPUTED_VALUE"""),136.8)</f>
        <v>136.80000000000001</v>
      </c>
      <c r="H925" s="1">
        <f ca="1">IFERROR(__xludf.DUMMYFUNCTION("""COMPUTED_VALUE"""),245.01)</f>
        <v>245.01</v>
      </c>
      <c r="I925" s="1">
        <f ca="1">IFERROR(__xludf.DUMMYFUNCTION("""COMPUTED_VALUE"""),175.32)</f>
        <v>175.32</v>
      </c>
      <c r="J925" s="1">
        <f ca="1">IFERROR(__xludf.DUMMYFUNCTION("""COMPUTED_VALUE"""),544.25)</f>
        <v>544.25</v>
      </c>
      <c r="K925" s="1">
        <f ca="1">IFERROR(__xludf.DUMMYFUNCTION("""COMPUTED_VALUE"""),87.25)</f>
        <v>87.25</v>
      </c>
      <c r="L925" s="1">
        <f ca="1">IFERROR(__xludf.DUMMYFUNCTION("""COMPUTED_VALUE"""),563.21)</f>
        <v>563.21</v>
      </c>
      <c r="M925" s="1">
        <f ca="1">IFERROR(__xludf.DUMMYFUNCTION("""COMPUTED_VALUE"""),439.88)</f>
        <v>439.88</v>
      </c>
      <c r="N925" s="1">
        <f ca="1">IFERROR(__xludf.DUMMYFUNCTION("""COMPUTED_VALUE"""),146.82)</f>
        <v>146.82</v>
      </c>
      <c r="O925" s="1">
        <f ca="1">IFERROR(__xludf.DUMMYFUNCTION("""COMPUTED_VALUE"""),248.11)</f>
        <v>248.11</v>
      </c>
      <c r="P925" s="1">
        <f ca="1">IFERROR(__xludf.DUMMYFUNCTION("""COMPUTED_VALUE"""),160.48)</f>
        <v>160.47999999999999</v>
      </c>
      <c r="Q925" s="1">
        <f ca="1">IFERROR(__xludf.DUMMYFUNCTION("""COMPUTED_VALUE"""),476.24)</f>
        <v>476.24</v>
      </c>
      <c r="R925" s="1">
        <f ca="1">IFERROR(__xludf.DUMMYFUNCTION("""COMPUTED_VALUE"""),113.52)</f>
        <v>113.52</v>
      </c>
      <c r="S925" s="1">
        <f ca="1">IFERROR(__xludf.DUMMYFUNCTION("""COMPUTED_VALUE"""),66.87)</f>
        <v>66.87</v>
      </c>
      <c r="T925" s="1">
        <f ca="1">IFERROR(__xludf.DUMMYFUNCTION("""COMPUTED_VALUE"""),53.86)</f>
        <v>53.86</v>
      </c>
      <c r="U925" s="1">
        <f ca="1">IFERROR(__xludf.DUMMYFUNCTION("""COMPUTED_VALUE"""),102.36)</f>
        <v>102.36</v>
      </c>
      <c r="V925" s="1">
        <f ca="1">IFERROR(__xludf.DUMMYFUNCTION("""COMPUTED_VALUE"""),286.25)</f>
        <v>286.25</v>
      </c>
      <c r="W925" s="1">
        <f ca="1">IFERROR(__xludf.DUMMYFUNCTION("""COMPUTED_VALUE"""),448.18)</f>
        <v>448.18</v>
      </c>
      <c r="X925" s="1">
        <f ca="1">IFERROR(__xludf.DUMMYFUNCTION("""COMPUTED_VALUE"""),662.52)</f>
        <v>662.52</v>
      </c>
      <c r="Y925" s="1">
        <f ca="1">IFERROR(__xludf.DUMMYFUNCTION("""COMPUTED_VALUE"""),93.19)</f>
        <v>93.19</v>
      </c>
      <c r="Z925" s="1">
        <f ca="1">IFERROR(__xludf.DUMMYFUNCTION("""COMPUTED_VALUE"""),327.4)</f>
        <v>327.39999999999998</v>
      </c>
      <c r="AA925" s="1">
        <f ca="1">IFERROR(__xludf.DUMMYFUNCTION("""COMPUTED_VALUE"""),35.78)</f>
        <v>35.78</v>
      </c>
      <c r="AB925" s="1">
        <f ca="1">IFERROR(__xludf.DUMMYFUNCTION("""COMPUTED_VALUE"""),98)</f>
        <v>98</v>
      </c>
      <c r="AC925" s="1">
        <f ca="1">IFERROR(__xludf.DUMMYFUNCTION("""COMPUTED_VALUE"""),109.45)</f>
        <v>109.45</v>
      </c>
    </row>
    <row r="926" spans="1:29" x14ac:dyDescent="0.25">
      <c r="A926" s="2">
        <f ca="1">IFERROR(__xludf.DUMMYFUNCTION("""COMPUTED_VALUE"""),45174.6666666666)</f>
        <v>45174.666666666599</v>
      </c>
      <c r="B926" s="1">
        <f ca="1">IFERROR(__xludf.DUMMYFUNCTION("""COMPUTED_VALUE"""),189.7)</f>
        <v>189.7</v>
      </c>
      <c r="C926" s="1">
        <f ca="1">IFERROR(__xludf.DUMMYFUNCTION("""COMPUTED_VALUE"""),333.55)</f>
        <v>333.55</v>
      </c>
      <c r="D926" s="1">
        <f ca="1">IFERROR(__xludf.DUMMYFUNCTION("""COMPUTED_VALUE"""),137.27)</f>
        <v>137.27000000000001</v>
      </c>
      <c r="E926" s="1">
        <f ca="1">IFERROR(__xludf.DUMMYFUNCTION("""COMPUTED_VALUE"""),48.55)</f>
        <v>48.55</v>
      </c>
      <c r="F926" s="1">
        <f ca="1">IFERROR(__xludf.DUMMYFUNCTION("""COMPUTED_VALUE"""),300.15)</f>
        <v>300.14999999999998</v>
      </c>
      <c r="G926" s="1">
        <f ca="1">IFERROR(__xludf.DUMMYFUNCTION("""COMPUTED_VALUE"""),136.71)</f>
        <v>136.71</v>
      </c>
      <c r="H926" s="1">
        <f ca="1">IFERROR(__xludf.DUMMYFUNCTION("""COMPUTED_VALUE"""),256.49)</f>
        <v>256.49</v>
      </c>
      <c r="I926" s="1">
        <f ca="1">IFERROR(__xludf.DUMMYFUNCTION("""COMPUTED_VALUE"""),174.16)</f>
        <v>174.16</v>
      </c>
      <c r="J926" s="1">
        <f ca="1">IFERROR(__xludf.DUMMYFUNCTION("""COMPUTED_VALUE"""),544.73)</f>
        <v>544.73</v>
      </c>
      <c r="K926" s="1">
        <f ca="1">IFERROR(__xludf.DUMMYFUNCTION("""COMPUTED_VALUE"""),87.22)</f>
        <v>87.22</v>
      </c>
      <c r="L926" s="1">
        <f ca="1">IFERROR(__xludf.DUMMYFUNCTION("""COMPUTED_VALUE"""),564.88)</f>
        <v>564.88</v>
      </c>
      <c r="M926" s="1">
        <f ca="1">IFERROR(__xludf.DUMMYFUNCTION("""COMPUTED_VALUE"""),448.68)</f>
        <v>448.68</v>
      </c>
      <c r="N926" s="1">
        <f ca="1">IFERROR(__xludf.DUMMYFUNCTION("""COMPUTED_VALUE"""),145.2)</f>
        <v>145.19999999999999</v>
      </c>
      <c r="O926" s="1">
        <f ca="1">IFERROR(__xludf.DUMMYFUNCTION("""COMPUTED_VALUE"""),245.34)</f>
        <v>245.34</v>
      </c>
      <c r="P926" s="1">
        <f ca="1">IFERROR(__xludf.DUMMYFUNCTION("""COMPUTED_VALUE"""),160.68)</f>
        <v>160.68</v>
      </c>
      <c r="Q926" s="1">
        <f ca="1">IFERROR(__xludf.DUMMYFUNCTION("""COMPUTED_VALUE"""),480.81)</f>
        <v>480.81</v>
      </c>
      <c r="R926" s="1">
        <f ca="1">IFERROR(__xludf.DUMMYFUNCTION("""COMPUTED_VALUE"""),113.53)</f>
        <v>113.53</v>
      </c>
      <c r="S926" s="1">
        <f ca="1">IFERROR(__xludf.DUMMYFUNCTION("""COMPUTED_VALUE"""),66.2)</f>
        <v>66.2</v>
      </c>
      <c r="T926" s="1">
        <f ca="1">IFERROR(__xludf.DUMMYFUNCTION("""COMPUTED_VALUE"""),53.42)</f>
        <v>53.42</v>
      </c>
      <c r="U926" s="1">
        <f ca="1">IFERROR(__xludf.DUMMYFUNCTION("""COMPUTED_VALUE"""),100.32)</f>
        <v>100.32</v>
      </c>
      <c r="V926" s="1">
        <f ca="1">IFERROR(__xludf.DUMMYFUNCTION("""COMPUTED_VALUE"""),281.63)</f>
        <v>281.63</v>
      </c>
      <c r="W926" s="1">
        <f ca="1">IFERROR(__xludf.DUMMYFUNCTION("""COMPUTED_VALUE"""),445.19)</f>
        <v>445.19</v>
      </c>
      <c r="X926" s="1">
        <f ca="1">IFERROR(__xludf.DUMMYFUNCTION("""COMPUTED_VALUE"""),663.56)</f>
        <v>663.56</v>
      </c>
      <c r="Y926" s="1">
        <f ca="1">IFERROR(__xludf.DUMMYFUNCTION("""COMPUTED_VALUE"""),94.6)</f>
        <v>94.6</v>
      </c>
      <c r="Z926" s="1">
        <f ca="1">IFERROR(__xludf.DUMMYFUNCTION("""COMPUTED_VALUE"""),323.75)</f>
        <v>323.75</v>
      </c>
      <c r="AA926" s="1">
        <f ca="1">IFERROR(__xludf.DUMMYFUNCTION("""COMPUTED_VALUE"""),35.38)</f>
        <v>35.380000000000003</v>
      </c>
      <c r="AB926" s="1">
        <f ca="1">IFERROR(__xludf.DUMMYFUNCTION("""COMPUTED_VALUE"""),96.84)</f>
        <v>96.84</v>
      </c>
      <c r="AC926" s="1">
        <f ca="1">IFERROR(__xludf.DUMMYFUNCTION("""COMPUTED_VALUE"""),110.78)</f>
        <v>110.78</v>
      </c>
    </row>
    <row r="927" spans="1:29" x14ac:dyDescent="0.25">
      <c r="A927" s="2">
        <f ca="1">IFERROR(__xludf.DUMMYFUNCTION("""COMPUTED_VALUE"""),45175.6666666666)</f>
        <v>45175.666666666599</v>
      </c>
      <c r="B927" s="1">
        <f ca="1">IFERROR(__xludf.DUMMYFUNCTION("""COMPUTED_VALUE"""),182.91)</f>
        <v>182.91</v>
      </c>
      <c r="C927" s="1">
        <f ca="1">IFERROR(__xludf.DUMMYFUNCTION("""COMPUTED_VALUE"""),332.88)</f>
        <v>332.88</v>
      </c>
      <c r="D927" s="1">
        <f ca="1">IFERROR(__xludf.DUMMYFUNCTION("""COMPUTED_VALUE"""),135.36)</f>
        <v>135.36000000000001</v>
      </c>
      <c r="E927" s="1">
        <f ca="1">IFERROR(__xludf.DUMMYFUNCTION("""COMPUTED_VALUE"""),47.06)</f>
        <v>47.06</v>
      </c>
      <c r="F927" s="1">
        <f ca="1">IFERROR(__xludf.DUMMYFUNCTION("""COMPUTED_VALUE"""),299.17)</f>
        <v>299.17</v>
      </c>
      <c r="G927" s="1">
        <f ca="1">IFERROR(__xludf.DUMMYFUNCTION("""COMPUTED_VALUE"""),135.37)</f>
        <v>135.37</v>
      </c>
      <c r="H927" s="1">
        <f ca="1">IFERROR(__xludf.DUMMYFUNCTION("""COMPUTED_VALUE"""),251.92)</f>
        <v>251.92</v>
      </c>
      <c r="I927" s="1">
        <f ca="1">IFERROR(__xludf.DUMMYFUNCTION("""COMPUTED_VALUE"""),174.73)</f>
        <v>174.73</v>
      </c>
      <c r="J927" s="1">
        <f ca="1">IFERROR(__xludf.DUMMYFUNCTION("""COMPUTED_VALUE"""),546.69)</f>
        <v>546.69000000000005</v>
      </c>
      <c r="K927" s="1">
        <f ca="1">IFERROR(__xludf.DUMMYFUNCTION("""COMPUTED_VALUE"""),87.23)</f>
        <v>87.23</v>
      </c>
      <c r="L927" s="1">
        <f ca="1">IFERROR(__xludf.DUMMYFUNCTION("""COMPUTED_VALUE"""),561.94)</f>
        <v>561.94000000000005</v>
      </c>
      <c r="M927" s="1">
        <f ca="1">IFERROR(__xludf.DUMMYFUNCTION("""COMPUTED_VALUE"""),445.76)</f>
        <v>445.76</v>
      </c>
      <c r="N927" s="1">
        <f ca="1">IFERROR(__xludf.DUMMYFUNCTION("""COMPUTED_VALUE"""),144.96)</f>
        <v>144.96</v>
      </c>
      <c r="O927" s="1">
        <f ca="1">IFERROR(__xludf.DUMMYFUNCTION("""COMPUTED_VALUE"""),246.16)</f>
        <v>246.16</v>
      </c>
      <c r="P927" s="1">
        <f ca="1">IFERROR(__xludf.DUMMYFUNCTION("""COMPUTED_VALUE"""),158.01)</f>
        <v>158.01</v>
      </c>
      <c r="Q927" s="1">
        <f ca="1">IFERROR(__xludf.DUMMYFUNCTION("""COMPUTED_VALUE"""),476.94)</f>
        <v>476.94</v>
      </c>
      <c r="R927" s="1">
        <f ca="1">IFERROR(__xludf.DUMMYFUNCTION("""COMPUTED_VALUE"""),114.51)</f>
        <v>114.51</v>
      </c>
      <c r="S927" s="1">
        <f ca="1">IFERROR(__xludf.DUMMYFUNCTION("""COMPUTED_VALUE"""),65.69)</f>
        <v>65.69</v>
      </c>
      <c r="T927" s="1">
        <f ca="1">IFERROR(__xludf.DUMMYFUNCTION("""COMPUTED_VALUE"""),53.82)</f>
        <v>53.82</v>
      </c>
      <c r="U927" s="1">
        <f ca="1">IFERROR(__xludf.DUMMYFUNCTION("""COMPUTED_VALUE"""),100.18)</f>
        <v>100.18</v>
      </c>
      <c r="V927" s="1">
        <f ca="1">IFERROR(__xludf.DUMMYFUNCTION("""COMPUTED_VALUE"""),282.9)</f>
        <v>282.89999999999998</v>
      </c>
      <c r="W927" s="1">
        <f ca="1">IFERROR(__xludf.DUMMYFUNCTION("""COMPUTED_VALUE"""),423.94)</f>
        <v>423.94</v>
      </c>
      <c r="X927" s="1">
        <f ca="1">IFERROR(__xludf.DUMMYFUNCTION("""COMPUTED_VALUE"""),666.04)</f>
        <v>666.04</v>
      </c>
      <c r="Y927" s="1">
        <f ca="1">IFERROR(__xludf.DUMMYFUNCTION("""COMPUTED_VALUE"""),92.26)</f>
        <v>92.26</v>
      </c>
      <c r="Z927" s="1">
        <f ca="1">IFERROR(__xludf.DUMMYFUNCTION("""COMPUTED_VALUE"""),321.13)</f>
        <v>321.13</v>
      </c>
      <c r="AA927" s="1">
        <f ca="1">IFERROR(__xludf.DUMMYFUNCTION("""COMPUTED_VALUE"""),34.37)</f>
        <v>34.369999999999997</v>
      </c>
      <c r="AB927" s="1">
        <f ca="1">IFERROR(__xludf.DUMMYFUNCTION("""COMPUTED_VALUE"""),95.95)</f>
        <v>95.95</v>
      </c>
      <c r="AC927" s="1">
        <f ca="1">IFERROR(__xludf.DUMMYFUNCTION("""COMPUTED_VALUE"""),109.28)</f>
        <v>109.28</v>
      </c>
    </row>
    <row r="928" spans="1:29" x14ac:dyDescent="0.25">
      <c r="A928" s="2">
        <f ca="1">IFERROR(__xludf.DUMMYFUNCTION("""COMPUTED_VALUE"""),45176.6666666666)</f>
        <v>45176.666666666599</v>
      </c>
      <c r="B928" s="1">
        <f ca="1">IFERROR(__xludf.DUMMYFUNCTION("""COMPUTED_VALUE"""),177.56)</f>
        <v>177.56</v>
      </c>
      <c r="C928" s="1">
        <f ca="1">IFERROR(__xludf.DUMMYFUNCTION("""COMPUTED_VALUE"""),329.91)</f>
        <v>329.91</v>
      </c>
      <c r="D928" s="1">
        <f ca="1">IFERROR(__xludf.DUMMYFUNCTION("""COMPUTED_VALUE"""),137.85)</f>
        <v>137.85</v>
      </c>
      <c r="E928" s="1">
        <f ca="1">IFERROR(__xludf.DUMMYFUNCTION("""COMPUTED_VALUE"""),46.24)</f>
        <v>46.24</v>
      </c>
      <c r="F928" s="1">
        <f ca="1">IFERROR(__xludf.DUMMYFUNCTION("""COMPUTED_VALUE"""),298.67)</f>
        <v>298.67</v>
      </c>
      <c r="G928" s="1">
        <f ca="1">IFERROR(__xludf.DUMMYFUNCTION("""COMPUTED_VALUE"""),136.2)</f>
        <v>136.19999999999999</v>
      </c>
      <c r="H928" s="1">
        <f ca="1">IFERROR(__xludf.DUMMYFUNCTION("""COMPUTED_VALUE"""),251.49)</f>
        <v>251.49</v>
      </c>
      <c r="I928" s="1">
        <f ca="1">IFERROR(__xludf.DUMMYFUNCTION("""COMPUTED_VALUE"""),176.4)</f>
        <v>176.4</v>
      </c>
      <c r="J928" s="1">
        <f ca="1">IFERROR(__xludf.DUMMYFUNCTION("""COMPUTED_VALUE"""),548.62)</f>
        <v>548.62</v>
      </c>
      <c r="K928" s="1">
        <f ca="1">IFERROR(__xludf.DUMMYFUNCTION("""COMPUTED_VALUE"""),85.7)</f>
        <v>85.7</v>
      </c>
      <c r="L928" s="1">
        <f ca="1">IFERROR(__xludf.DUMMYFUNCTION("""COMPUTED_VALUE"""),560.46)</f>
        <v>560.46</v>
      </c>
      <c r="M928" s="1">
        <f ca="1">IFERROR(__xludf.DUMMYFUNCTION("""COMPUTED_VALUE"""),443.14)</f>
        <v>443.14</v>
      </c>
      <c r="N928" s="1">
        <f ca="1">IFERROR(__xludf.DUMMYFUNCTION("""COMPUTED_VALUE"""),143.72)</f>
        <v>143.72</v>
      </c>
      <c r="O928" s="1">
        <f ca="1">IFERROR(__xludf.DUMMYFUNCTION("""COMPUTED_VALUE"""),247.14)</f>
        <v>247.14</v>
      </c>
      <c r="P928" s="1">
        <f ca="1">IFERROR(__xludf.DUMMYFUNCTION("""COMPUTED_VALUE"""),160.03)</f>
        <v>160.03</v>
      </c>
      <c r="Q928" s="1">
        <f ca="1">IFERROR(__xludf.DUMMYFUNCTION("""COMPUTED_VALUE"""),484.81)</f>
        <v>484.81</v>
      </c>
      <c r="R928" s="1">
        <f ca="1">IFERROR(__xludf.DUMMYFUNCTION("""COMPUTED_VALUE"""),113.95)</f>
        <v>113.95</v>
      </c>
      <c r="S928" s="1">
        <f ca="1">IFERROR(__xludf.DUMMYFUNCTION("""COMPUTED_VALUE"""),66.25)</f>
        <v>66.25</v>
      </c>
      <c r="T928" s="1">
        <f ca="1">IFERROR(__xludf.DUMMYFUNCTION("""COMPUTED_VALUE"""),54.49)</f>
        <v>54.49</v>
      </c>
      <c r="U928" s="1">
        <f ca="1">IFERROR(__xludf.DUMMYFUNCTION("""COMPUTED_VALUE"""),97.93)</f>
        <v>97.93</v>
      </c>
      <c r="V928" s="1">
        <f ca="1">IFERROR(__xludf.DUMMYFUNCTION("""COMPUTED_VALUE"""),281.43)</f>
        <v>281.43</v>
      </c>
      <c r="W928" s="1">
        <f ca="1">IFERROR(__xludf.DUMMYFUNCTION("""COMPUTED_VALUE"""),425.94)</f>
        <v>425.94</v>
      </c>
      <c r="X928" s="1">
        <f ca="1">IFERROR(__xludf.DUMMYFUNCTION("""COMPUTED_VALUE"""),637.79)</f>
        <v>637.79</v>
      </c>
      <c r="Y928" s="1">
        <f ca="1">IFERROR(__xludf.DUMMYFUNCTION("""COMPUTED_VALUE"""),90.05)</f>
        <v>90.05</v>
      </c>
      <c r="Z928" s="1">
        <f ca="1">IFERROR(__xludf.DUMMYFUNCTION("""COMPUTED_VALUE"""),321.96)</f>
        <v>321.95999999999998</v>
      </c>
      <c r="AA928" s="1">
        <f ca="1">IFERROR(__xludf.DUMMYFUNCTION("""COMPUTED_VALUE"""),34.28)</f>
        <v>34.28</v>
      </c>
      <c r="AB928" s="1">
        <f ca="1">IFERROR(__xludf.DUMMYFUNCTION("""COMPUTED_VALUE"""),95.1)</f>
        <v>95.1</v>
      </c>
      <c r="AC928" s="1">
        <f ca="1">IFERROR(__xludf.DUMMYFUNCTION("""COMPUTED_VALUE"""),106.59)</f>
        <v>106.59</v>
      </c>
    </row>
    <row r="929" spans="1:29" x14ac:dyDescent="0.25">
      <c r="A929" s="2">
        <f ca="1">IFERROR(__xludf.DUMMYFUNCTION("""COMPUTED_VALUE"""),45177.6666666666)</f>
        <v>45177.666666666599</v>
      </c>
      <c r="B929" s="1">
        <f ca="1">IFERROR(__xludf.DUMMYFUNCTION("""COMPUTED_VALUE"""),178.18)</f>
        <v>178.18</v>
      </c>
      <c r="C929" s="1">
        <f ca="1">IFERROR(__xludf.DUMMYFUNCTION("""COMPUTED_VALUE"""),334.27)</f>
        <v>334.27</v>
      </c>
      <c r="D929" s="1">
        <f ca="1">IFERROR(__xludf.DUMMYFUNCTION("""COMPUTED_VALUE"""),138.23)</f>
        <v>138.22999999999999</v>
      </c>
      <c r="E929" s="1">
        <f ca="1">IFERROR(__xludf.DUMMYFUNCTION("""COMPUTED_VALUE"""),45.57)</f>
        <v>45.57</v>
      </c>
      <c r="F929" s="1">
        <f ca="1">IFERROR(__xludf.DUMMYFUNCTION("""COMPUTED_VALUE"""),297.89)</f>
        <v>297.89</v>
      </c>
      <c r="G929" s="1">
        <f ca="1">IFERROR(__xludf.DUMMYFUNCTION("""COMPUTED_VALUE"""),137.2)</f>
        <v>137.19999999999999</v>
      </c>
      <c r="H929" s="1">
        <f ca="1">IFERROR(__xludf.DUMMYFUNCTION("""COMPUTED_VALUE"""),248.5)</f>
        <v>248.5</v>
      </c>
      <c r="I929" s="1">
        <f ca="1">IFERROR(__xludf.DUMMYFUNCTION("""COMPUTED_VALUE"""),176.27)</f>
        <v>176.27</v>
      </c>
      <c r="J929" s="1">
        <f ca="1">IFERROR(__xludf.DUMMYFUNCTION("""COMPUTED_VALUE"""),551.19)</f>
        <v>551.19000000000005</v>
      </c>
      <c r="K929" s="1">
        <f ca="1">IFERROR(__xludf.DUMMYFUNCTION("""COMPUTED_VALUE"""),85.76)</f>
        <v>85.76</v>
      </c>
      <c r="L929" s="1">
        <f ca="1">IFERROR(__xludf.DUMMYFUNCTION("""COMPUTED_VALUE"""),560.36)</f>
        <v>560.36</v>
      </c>
      <c r="M929" s="1">
        <f ca="1">IFERROR(__xludf.DUMMYFUNCTION("""COMPUTED_VALUE"""),442.8)</f>
        <v>442.8</v>
      </c>
      <c r="N929" s="1">
        <f ca="1">IFERROR(__xludf.DUMMYFUNCTION("""COMPUTED_VALUE"""),143.83)</f>
        <v>143.83000000000001</v>
      </c>
      <c r="O929" s="1">
        <f ca="1">IFERROR(__xludf.DUMMYFUNCTION("""COMPUTED_VALUE"""),247.29)</f>
        <v>247.29</v>
      </c>
      <c r="P929" s="1">
        <f ca="1">IFERROR(__xludf.DUMMYFUNCTION("""COMPUTED_VALUE"""),160.56)</f>
        <v>160.56</v>
      </c>
      <c r="Q929" s="1">
        <f ca="1">IFERROR(__xludf.DUMMYFUNCTION("""COMPUTED_VALUE"""),480.77)</f>
        <v>480.77</v>
      </c>
      <c r="R929" s="1">
        <f ca="1">IFERROR(__xludf.DUMMYFUNCTION("""COMPUTED_VALUE"""),115.61)</f>
        <v>115.61</v>
      </c>
      <c r="S929" s="1">
        <f ca="1">IFERROR(__xludf.DUMMYFUNCTION("""COMPUTED_VALUE"""),66.83)</f>
        <v>66.83</v>
      </c>
      <c r="T929" s="1">
        <f ca="1">IFERROR(__xludf.DUMMYFUNCTION("""COMPUTED_VALUE"""),54.59)</f>
        <v>54.59</v>
      </c>
      <c r="U929" s="1">
        <f ca="1">IFERROR(__xludf.DUMMYFUNCTION("""COMPUTED_VALUE"""),97.67)</f>
        <v>97.67</v>
      </c>
      <c r="V929" s="1">
        <f ca="1">IFERROR(__xludf.DUMMYFUNCTION("""COMPUTED_VALUE"""),282.28)</f>
        <v>282.27999999999997</v>
      </c>
      <c r="W929" s="1">
        <f ca="1">IFERROR(__xludf.DUMMYFUNCTION("""COMPUTED_VALUE"""),423.09)</f>
        <v>423.09</v>
      </c>
      <c r="X929" s="1">
        <f ca="1">IFERROR(__xludf.DUMMYFUNCTION("""COMPUTED_VALUE"""),627.86)</f>
        <v>627.86</v>
      </c>
      <c r="Y929" s="1">
        <f ca="1">IFERROR(__xludf.DUMMYFUNCTION("""COMPUTED_VALUE"""),89.64)</f>
        <v>89.64</v>
      </c>
      <c r="Z929" s="1">
        <f ca="1">IFERROR(__xludf.DUMMYFUNCTION("""COMPUTED_VALUE"""),325.52)</f>
        <v>325.52</v>
      </c>
      <c r="AA929" s="1">
        <f ca="1">IFERROR(__xludf.DUMMYFUNCTION("""COMPUTED_VALUE"""),34.25)</f>
        <v>34.25</v>
      </c>
      <c r="AB929" s="1">
        <f ca="1">IFERROR(__xludf.DUMMYFUNCTION("""COMPUTED_VALUE"""),95.28)</f>
        <v>95.28</v>
      </c>
      <c r="AC929" s="1">
        <f ca="1">IFERROR(__xludf.DUMMYFUNCTION("""COMPUTED_VALUE"""),106.09)</f>
        <v>106.09</v>
      </c>
    </row>
    <row r="930" spans="1:29" x14ac:dyDescent="0.25">
      <c r="A930" s="2">
        <f ca="1">IFERROR(__xludf.DUMMYFUNCTION("""COMPUTED_VALUE"""),45180.6666666666)</f>
        <v>45180.666666666599</v>
      </c>
      <c r="B930" s="1">
        <f ca="1">IFERROR(__xludf.DUMMYFUNCTION("""COMPUTED_VALUE"""),179.36)</f>
        <v>179.36</v>
      </c>
      <c r="C930" s="1">
        <f ca="1">IFERROR(__xludf.DUMMYFUNCTION("""COMPUTED_VALUE"""),337.94)</f>
        <v>337.94</v>
      </c>
      <c r="D930" s="1">
        <f ca="1">IFERROR(__xludf.DUMMYFUNCTION("""COMPUTED_VALUE"""),143.1)</f>
        <v>143.1</v>
      </c>
      <c r="E930" s="1">
        <f ca="1">IFERROR(__xludf.DUMMYFUNCTION("""COMPUTED_VALUE"""),45.18)</f>
        <v>45.18</v>
      </c>
      <c r="F930" s="1">
        <f ca="1">IFERROR(__xludf.DUMMYFUNCTION("""COMPUTED_VALUE"""),307.56)</f>
        <v>307.56</v>
      </c>
      <c r="G930" s="1">
        <f ca="1">IFERROR(__xludf.DUMMYFUNCTION("""COMPUTED_VALUE"""),137.74)</f>
        <v>137.74</v>
      </c>
      <c r="H930" s="1">
        <f ca="1">IFERROR(__xludf.DUMMYFUNCTION("""COMPUTED_VALUE"""),273.58)</f>
        <v>273.58</v>
      </c>
      <c r="I930" s="1">
        <f ca="1">IFERROR(__xludf.DUMMYFUNCTION("""COMPUTED_VALUE"""),178.93)</f>
        <v>178.93</v>
      </c>
      <c r="J930" s="1">
        <f ca="1">IFERROR(__xludf.DUMMYFUNCTION("""COMPUTED_VALUE"""),558.78)</f>
        <v>558.78</v>
      </c>
      <c r="K930" s="1">
        <f ca="1">IFERROR(__xludf.DUMMYFUNCTION("""COMPUTED_VALUE"""),85.91)</f>
        <v>85.91</v>
      </c>
      <c r="L930" s="1">
        <f ca="1">IFERROR(__xludf.DUMMYFUNCTION("""COMPUTED_VALUE"""),564.5)</f>
        <v>564.5</v>
      </c>
      <c r="M930" s="1">
        <f ca="1">IFERROR(__xludf.DUMMYFUNCTION("""COMPUTED_VALUE"""),445.36)</f>
        <v>445.36</v>
      </c>
      <c r="N930" s="1">
        <f ca="1">IFERROR(__xludf.DUMMYFUNCTION("""COMPUTED_VALUE"""),144.46)</f>
        <v>144.46</v>
      </c>
      <c r="O930" s="1">
        <f ca="1">IFERROR(__xludf.DUMMYFUNCTION("""COMPUTED_VALUE"""),247.22)</f>
        <v>247.22</v>
      </c>
      <c r="P930" s="1">
        <f ca="1">IFERROR(__xludf.DUMMYFUNCTION("""COMPUTED_VALUE"""),162.66)</f>
        <v>162.66</v>
      </c>
      <c r="Q930" s="1">
        <f ca="1">IFERROR(__xludf.DUMMYFUNCTION("""COMPUTED_VALUE"""),479.38)</f>
        <v>479.38</v>
      </c>
      <c r="R930" s="1">
        <f ca="1">IFERROR(__xludf.DUMMYFUNCTION("""COMPUTED_VALUE"""),114.16)</f>
        <v>114.16</v>
      </c>
      <c r="S930" s="1">
        <f ca="1">IFERROR(__xludf.DUMMYFUNCTION("""COMPUTED_VALUE"""),67.53)</f>
        <v>67.53</v>
      </c>
      <c r="T930" s="1">
        <f ca="1">IFERROR(__xludf.DUMMYFUNCTION("""COMPUTED_VALUE"""),54.78)</f>
        <v>54.78</v>
      </c>
      <c r="U930" s="1">
        <f ca="1">IFERROR(__xludf.DUMMYFUNCTION("""COMPUTED_VALUE"""),96.79)</f>
        <v>96.79</v>
      </c>
      <c r="V930" s="1">
        <f ca="1">IFERROR(__xludf.DUMMYFUNCTION("""COMPUTED_VALUE"""),282.05)</f>
        <v>282.05</v>
      </c>
      <c r="W930" s="1">
        <f ca="1">IFERROR(__xludf.DUMMYFUNCTION("""COMPUTED_VALUE"""),420.66)</f>
        <v>420.66</v>
      </c>
      <c r="X930" s="1">
        <f ca="1">IFERROR(__xludf.DUMMYFUNCTION("""COMPUTED_VALUE"""),627.71)</f>
        <v>627.71</v>
      </c>
      <c r="Y930" s="1">
        <f ca="1">IFERROR(__xludf.DUMMYFUNCTION("""COMPUTED_VALUE"""),89.6)</f>
        <v>89.6</v>
      </c>
      <c r="Z930" s="1">
        <f ca="1">IFERROR(__xludf.DUMMYFUNCTION("""COMPUTED_VALUE"""),324.65)</f>
        <v>324.64999999999998</v>
      </c>
      <c r="AA930" s="1">
        <f ca="1">IFERROR(__xludf.DUMMYFUNCTION("""COMPUTED_VALUE"""),33.94)</f>
        <v>33.94</v>
      </c>
      <c r="AB930" s="1">
        <f ca="1">IFERROR(__xludf.DUMMYFUNCTION("""COMPUTED_VALUE"""),95.67)</f>
        <v>95.67</v>
      </c>
      <c r="AC930" s="1">
        <f ca="1">IFERROR(__xludf.DUMMYFUNCTION("""COMPUTED_VALUE"""),105.32)</f>
        <v>105.32</v>
      </c>
    </row>
    <row r="931" spans="1:29" x14ac:dyDescent="0.25">
      <c r="A931" s="2">
        <f ca="1">IFERROR(__xludf.DUMMYFUNCTION("""COMPUTED_VALUE"""),45181.6666666666)</f>
        <v>45181.666666666599</v>
      </c>
      <c r="B931" s="1">
        <f ca="1">IFERROR(__xludf.DUMMYFUNCTION("""COMPUTED_VALUE"""),176.3)</f>
        <v>176.3</v>
      </c>
      <c r="C931" s="1">
        <f ca="1">IFERROR(__xludf.DUMMYFUNCTION("""COMPUTED_VALUE"""),331.77)</f>
        <v>331.77</v>
      </c>
      <c r="D931" s="1">
        <f ca="1">IFERROR(__xludf.DUMMYFUNCTION("""COMPUTED_VALUE"""),141.23)</f>
        <v>141.22999999999999</v>
      </c>
      <c r="E931" s="1">
        <f ca="1">IFERROR(__xludf.DUMMYFUNCTION("""COMPUTED_VALUE"""),44.87)</f>
        <v>44.87</v>
      </c>
      <c r="F931" s="1">
        <f ca="1">IFERROR(__xludf.DUMMYFUNCTION("""COMPUTED_VALUE"""),301.66)</f>
        <v>301.66000000000003</v>
      </c>
      <c r="G931" s="1">
        <f ca="1">IFERROR(__xludf.DUMMYFUNCTION("""COMPUTED_VALUE"""),136.07)</f>
        <v>136.07</v>
      </c>
      <c r="H931" s="1">
        <f ca="1">IFERROR(__xludf.DUMMYFUNCTION("""COMPUTED_VALUE"""),267.48)</f>
        <v>267.48</v>
      </c>
      <c r="I931" s="1">
        <f ca="1">IFERROR(__xludf.DUMMYFUNCTION("""COMPUTED_VALUE"""),178.27)</f>
        <v>178.27</v>
      </c>
      <c r="J931" s="1">
        <f ca="1">IFERROR(__xludf.DUMMYFUNCTION("""COMPUTED_VALUE"""),558.79)</f>
        <v>558.79</v>
      </c>
      <c r="K931" s="1">
        <f ca="1">IFERROR(__xludf.DUMMYFUNCTION("""COMPUTED_VALUE"""),84.45)</f>
        <v>84.45</v>
      </c>
      <c r="L931" s="1">
        <f ca="1">IFERROR(__xludf.DUMMYFUNCTION("""COMPUTED_VALUE"""),542.21)</f>
        <v>542.21</v>
      </c>
      <c r="M931" s="1">
        <f ca="1">IFERROR(__xludf.DUMMYFUNCTION("""COMPUTED_VALUE"""),434.69)</f>
        <v>434.69</v>
      </c>
      <c r="N931" s="1">
        <f ca="1">IFERROR(__xludf.DUMMYFUNCTION("""COMPUTED_VALUE"""),146.34)</f>
        <v>146.34</v>
      </c>
      <c r="O931" s="1">
        <f ca="1">IFERROR(__xludf.DUMMYFUNCTION("""COMPUTED_VALUE"""),247.3)</f>
        <v>247.3</v>
      </c>
      <c r="P931" s="1">
        <f ca="1">IFERROR(__xludf.DUMMYFUNCTION("""COMPUTED_VALUE"""),163.58)</f>
        <v>163.58000000000001</v>
      </c>
      <c r="Q931" s="1">
        <f ca="1">IFERROR(__xludf.DUMMYFUNCTION("""COMPUTED_VALUE"""),479.9)</f>
        <v>479.9</v>
      </c>
      <c r="R931" s="1">
        <f ca="1">IFERROR(__xludf.DUMMYFUNCTION("""COMPUTED_VALUE"""),117.49)</f>
        <v>117.49</v>
      </c>
      <c r="S931" s="1">
        <f ca="1">IFERROR(__xludf.DUMMYFUNCTION("""COMPUTED_VALUE"""),67.73)</f>
        <v>67.73</v>
      </c>
      <c r="T931" s="1">
        <f ca="1">IFERROR(__xludf.DUMMYFUNCTION("""COMPUTED_VALUE"""),54.84)</f>
        <v>54.84</v>
      </c>
      <c r="U931" s="1">
        <f ca="1">IFERROR(__xludf.DUMMYFUNCTION("""COMPUTED_VALUE"""),96.3)</f>
        <v>96.3</v>
      </c>
      <c r="V931" s="1">
        <f ca="1">IFERROR(__xludf.DUMMYFUNCTION("""COMPUTED_VALUE"""),281.81)</f>
        <v>281.81</v>
      </c>
      <c r="W931" s="1">
        <f ca="1">IFERROR(__xludf.DUMMYFUNCTION("""COMPUTED_VALUE"""),417.83)</f>
        <v>417.83</v>
      </c>
      <c r="X931" s="1">
        <f ca="1">IFERROR(__xludf.DUMMYFUNCTION("""COMPUTED_VALUE"""),618.8)</f>
        <v>618.79999999999995</v>
      </c>
      <c r="Y931" s="1">
        <f ca="1">IFERROR(__xludf.DUMMYFUNCTION("""COMPUTED_VALUE"""),90.48)</f>
        <v>90.48</v>
      </c>
      <c r="Z931" s="1">
        <f ca="1">IFERROR(__xludf.DUMMYFUNCTION("""COMPUTED_VALUE"""),330.9)</f>
        <v>330.9</v>
      </c>
      <c r="AA931" s="1">
        <f ca="1">IFERROR(__xludf.DUMMYFUNCTION("""COMPUTED_VALUE"""),34.15)</f>
        <v>34.15</v>
      </c>
      <c r="AB931" s="1">
        <f ca="1">IFERROR(__xludf.DUMMYFUNCTION("""COMPUTED_VALUE"""),96.24)</f>
        <v>96.24</v>
      </c>
      <c r="AC931" s="1">
        <f ca="1">IFERROR(__xludf.DUMMYFUNCTION("""COMPUTED_VALUE"""),105.31)</f>
        <v>105.31</v>
      </c>
    </row>
    <row r="932" spans="1:29" x14ac:dyDescent="0.25">
      <c r="A932" s="2">
        <f ca="1">IFERROR(__xludf.DUMMYFUNCTION("""COMPUTED_VALUE"""),45182.6666666666)</f>
        <v>45182.666666666599</v>
      </c>
      <c r="B932" s="1">
        <f ca="1">IFERROR(__xludf.DUMMYFUNCTION("""COMPUTED_VALUE"""),174.21)</f>
        <v>174.21</v>
      </c>
      <c r="C932" s="1">
        <f ca="1">IFERROR(__xludf.DUMMYFUNCTION("""COMPUTED_VALUE"""),336.06)</f>
        <v>336.06</v>
      </c>
      <c r="D932" s="1">
        <f ca="1">IFERROR(__xludf.DUMMYFUNCTION("""COMPUTED_VALUE"""),144.85)</f>
        <v>144.85</v>
      </c>
      <c r="E932" s="1">
        <f ca="1">IFERROR(__xludf.DUMMYFUNCTION("""COMPUTED_VALUE"""),45.49)</f>
        <v>45.49</v>
      </c>
      <c r="F932" s="1">
        <f ca="1">IFERROR(__xludf.DUMMYFUNCTION("""COMPUTED_VALUE"""),305.06)</f>
        <v>305.06</v>
      </c>
      <c r="G932" s="1">
        <f ca="1">IFERROR(__xludf.DUMMYFUNCTION("""COMPUTED_VALUE"""),137.5)</f>
        <v>137.5</v>
      </c>
      <c r="H932" s="1">
        <f ca="1">IFERROR(__xludf.DUMMYFUNCTION("""COMPUTED_VALUE"""),271.3)</f>
        <v>271.3</v>
      </c>
      <c r="I932" s="1">
        <f ca="1">IFERROR(__xludf.DUMMYFUNCTION("""COMPUTED_VALUE"""),179.68)</f>
        <v>179.68</v>
      </c>
      <c r="J932" s="1">
        <f ca="1">IFERROR(__xludf.DUMMYFUNCTION("""COMPUTED_VALUE"""),559.76)</f>
        <v>559.76</v>
      </c>
      <c r="K932" s="1">
        <f ca="1">IFERROR(__xludf.DUMMYFUNCTION("""COMPUTED_VALUE"""),85.29)</f>
        <v>85.29</v>
      </c>
      <c r="L932" s="1">
        <f ca="1">IFERROR(__xludf.DUMMYFUNCTION("""COMPUTED_VALUE"""),553.56)</f>
        <v>553.55999999999995</v>
      </c>
      <c r="M932" s="1">
        <f ca="1">IFERROR(__xludf.DUMMYFUNCTION("""COMPUTED_VALUE"""),412.24)</f>
        <v>412.24</v>
      </c>
      <c r="N932" s="1">
        <f ca="1">IFERROR(__xludf.DUMMYFUNCTION("""COMPUTED_VALUE"""),146.41)</f>
        <v>146.41</v>
      </c>
      <c r="O932" s="1">
        <f ca="1">IFERROR(__xludf.DUMMYFUNCTION("""COMPUTED_VALUE"""),247.83)</f>
        <v>247.83</v>
      </c>
      <c r="P932" s="1">
        <f ca="1">IFERROR(__xludf.DUMMYFUNCTION("""COMPUTED_VALUE"""),163.99)</f>
        <v>163.99</v>
      </c>
      <c r="Q932" s="1">
        <f ca="1">IFERROR(__xludf.DUMMYFUNCTION("""COMPUTED_VALUE"""),479.84)</f>
        <v>479.84</v>
      </c>
      <c r="R932" s="1">
        <f ca="1">IFERROR(__xludf.DUMMYFUNCTION("""COMPUTED_VALUE"""),116.44)</f>
        <v>116.44</v>
      </c>
      <c r="S932" s="1">
        <f ca="1">IFERROR(__xludf.DUMMYFUNCTION("""COMPUTED_VALUE"""),68.43)</f>
        <v>68.430000000000007</v>
      </c>
      <c r="T932" s="1">
        <f ca="1">IFERROR(__xludf.DUMMYFUNCTION("""COMPUTED_VALUE"""),54.85)</f>
        <v>54.85</v>
      </c>
      <c r="U932" s="1">
        <f ca="1">IFERROR(__xludf.DUMMYFUNCTION("""COMPUTED_VALUE"""),96.13)</f>
        <v>96.13</v>
      </c>
      <c r="V932" s="1">
        <f ca="1">IFERROR(__xludf.DUMMYFUNCTION("""COMPUTED_VALUE"""),275.92)</f>
        <v>275.92</v>
      </c>
      <c r="W932" s="1">
        <f ca="1">IFERROR(__xludf.DUMMYFUNCTION("""COMPUTED_VALUE"""),420.99)</f>
        <v>420.99</v>
      </c>
      <c r="X932" s="1">
        <f ca="1">IFERROR(__xludf.DUMMYFUNCTION("""COMPUTED_VALUE"""),617.05)</f>
        <v>617.04999999999995</v>
      </c>
      <c r="Y932" s="1">
        <f ca="1">IFERROR(__xludf.DUMMYFUNCTION("""COMPUTED_VALUE"""),91.22)</f>
        <v>91.22</v>
      </c>
      <c r="Z932" s="1">
        <f ca="1">IFERROR(__xludf.DUMMYFUNCTION("""COMPUTED_VALUE"""),334.98)</f>
        <v>334.98</v>
      </c>
      <c r="AA932" s="1">
        <f ca="1">IFERROR(__xludf.DUMMYFUNCTION("""COMPUTED_VALUE"""),34.08)</f>
        <v>34.08</v>
      </c>
      <c r="AB932" s="1">
        <f ca="1">IFERROR(__xludf.DUMMYFUNCTION("""COMPUTED_VALUE"""),96.93)</f>
        <v>96.93</v>
      </c>
      <c r="AC932" s="1">
        <f ca="1">IFERROR(__xludf.DUMMYFUNCTION("""COMPUTED_VALUE"""),107.71)</f>
        <v>107.71</v>
      </c>
    </row>
    <row r="933" spans="1:29" x14ac:dyDescent="0.25">
      <c r="A933" s="2">
        <f ca="1">IFERROR(__xludf.DUMMYFUNCTION("""COMPUTED_VALUE"""),45183.6666666666)</f>
        <v>45183.666666666599</v>
      </c>
      <c r="B933" s="1">
        <f ca="1">IFERROR(__xludf.DUMMYFUNCTION("""COMPUTED_VALUE"""),175.74)</f>
        <v>175.74</v>
      </c>
      <c r="C933" s="1">
        <f ca="1">IFERROR(__xludf.DUMMYFUNCTION("""COMPUTED_VALUE"""),338.7)</f>
        <v>338.7</v>
      </c>
      <c r="D933" s="1">
        <f ca="1">IFERROR(__xludf.DUMMYFUNCTION("""COMPUTED_VALUE"""),144.72)</f>
        <v>144.72</v>
      </c>
      <c r="E933" s="1">
        <f ca="1">IFERROR(__xludf.DUMMYFUNCTION("""COMPUTED_VALUE"""),45.58)</f>
        <v>45.58</v>
      </c>
      <c r="F933" s="1">
        <f ca="1">IFERROR(__xludf.DUMMYFUNCTION("""COMPUTED_VALUE"""),311.72)</f>
        <v>311.72000000000003</v>
      </c>
      <c r="G933" s="1">
        <f ca="1">IFERROR(__xludf.DUMMYFUNCTION("""COMPUTED_VALUE"""),138.99)</f>
        <v>138.99</v>
      </c>
      <c r="H933" s="1">
        <f ca="1">IFERROR(__xludf.DUMMYFUNCTION("""COMPUTED_VALUE"""),276.04)</f>
        <v>276.04000000000002</v>
      </c>
      <c r="I933" s="1">
        <f ca="1">IFERROR(__xludf.DUMMYFUNCTION("""COMPUTED_VALUE"""),181.23)</f>
        <v>181.23</v>
      </c>
      <c r="J933" s="1">
        <f ca="1">IFERROR(__xludf.DUMMYFUNCTION("""COMPUTED_VALUE"""),564.77)</f>
        <v>564.77</v>
      </c>
      <c r="K933" s="1">
        <f ca="1">IFERROR(__xludf.DUMMYFUNCTION("""COMPUTED_VALUE"""),87.16)</f>
        <v>87.16</v>
      </c>
      <c r="L933" s="1">
        <f ca="1">IFERROR(__xludf.DUMMYFUNCTION("""COMPUTED_VALUE"""),552.16)</f>
        <v>552.16</v>
      </c>
      <c r="M933" s="1">
        <f ca="1">IFERROR(__xludf.DUMMYFUNCTION("""COMPUTED_VALUE"""),400.49)</f>
        <v>400.49</v>
      </c>
      <c r="N933" s="1">
        <f ca="1">IFERROR(__xludf.DUMMYFUNCTION("""COMPUTED_VALUE"""),149.25)</f>
        <v>149.25</v>
      </c>
      <c r="O933" s="1">
        <f ca="1">IFERROR(__xludf.DUMMYFUNCTION("""COMPUTED_VALUE"""),241.5)</f>
        <v>241.5</v>
      </c>
      <c r="P933" s="1">
        <f ca="1">IFERROR(__xludf.DUMMYFUNCTION("""COMPUTED_VALUE"""),163.74)</f>
        <v>163.74</v>
      </c>
      <c r="Q933" s="1">
        <f ca="1">IFERROR(__xludf.DUMMYFUNCTION("""COMPUTED_VALUE"""),483.6)</f>
        <v>483.6</v>
      </c>
      <c r="R933" s="1">
        <f ca="1">IFERROR(__xludf.DUMMYFUNCTION("""COMPUTED_VALUE"""),118.52)</f>
        <v>118.52</v>
      </c>
      <c r="S933" s="1">
        <f ca="1">IFERROR(__xludf.DUMMYFUNCTION("""COMPUTED_VALUE"""),69.28)</f>
        <v>69.28</v>
      </c>
      <c r="T933" s="1">
        <f ca="1">IFERROR(__xludf.DUMMYFUNCTION("""COMPUTED_VALUE"""),55.08)</f>
        <v>55.08</v>
      </c>
      <c r="U933" s="1">
        <f ca="1">IFERROR(__xludf.DUMMYFUNCTION("""COMPUTED_VALUE"""),97.19)</f>
        <v>97.19</v>
      </c>
      <c r="V933" s="1">
        <f ca="1">IFERROR(__xludf.DUMMYFUNCTION("""COMPUTED_VALUE"""),282.56)</f>
        <v>282.56</v>
      </c>
      <c r="W933" s="1">
        <f ca="1">IFERROR(__xludf.DUMMYFUNCTION("""COMPUTED_VALUE"""),425.89)</f>
        <v>425.89</v>
      </c>
      <c r="X933" s="1">
        <f ca="1">IFERROR(__xludf.DUMMYFUNCTION("""COMPUTED_VALUE"""),621.9)</f>
        <v>621.9</v>
      </c>
      <c r="Y933" s="1">
        <f ca="1">IFERROR(__xludf.DUMMYFUNCTION("""COMPUTED_VALUE"""),91.47)</f>
        <v>91.47</v>
      </c>
      <c r="Z933" s="1">
        <f ca="1">IFERROR(__xludf.DUMMYFUNCTION("""COMPUTED_VALUE"""),344.57)</f>
        <v>344.57</v>
      </c>
      <c r="AA933" s="1">
        <f ca="1">IFERROR(__xludf.DUMMYFUNCTION("""COMPUTED_VALUE"""),34.15)</f>
        <v>34.15</v>
      </c>
      <c r="AB933" s="1">
        <f ca="1">IFERROR(__xludf.DUMMYFUNCTION("""COMPUTED_VALUE"""),97.16)</f>
        <v>97.16</v>
      </c>
      <c r="AC933" s="1">
        <f ca="1">IFERROR(__xludf.DUMMYFUNCTION("""COMPUTED_VALUE"""),106.63)</f>
        <v>106.63</v>
      </c>
    </row>
    <row r="934" spans="1:29" x14ac:dyDescent="0.25">
      <c r="A934" s="2">
        <f ca="1">IFERROR(__xludf.DUMMYFUNCTION("""COMPUTED_VALUE"""),45184.6666666666)</f>
        <v>45184.666666666599</v>
      </c>
      <c r="B934" s="1">
        <f ca="1">IFERROR(__xludf.DUMMYFUNCTION("""COMPUTED_VALUE"""),175.01)</f>
        <v>175.01</v>
      </c>
      <c r="C934" s="1">
        <f ca="1">IFERROR(__xludf.DUMMYFUNCTION("""COMPUTED_VALUE"""),330.22)</f>
        <v>330.22</v>
      </c>
      <c r="D934" s="1">
        <f ca="1">IFERROR(__xludf.DUMMYFUNCTION("""COMPUTED_VALUE"""),140.39)</f>
        <v>140.38999999999999</v>
      </c>
      <c r="E934" s="1">
        <f ca="1">IFERROR(__xludf.DUMMYFUNCTION("""COMPUTED_VALUE"""),43.9)</f>
        <v>43.9</v>
      </c>
      <c r="F934" s="1">
        <f ca="1">IFERROR(__xludf.DUMMYFUNCTION("""COMPUTED_VALUE"""),300.31)</f>
        <v>300.31</v>
      </c>
      <c r="G934" s="1">
        <f ca="1">IFERROR(__xludf.DUMMYFUNCTION("""COMPUTED_VALUE"""),138.3)</f>
        <v>138.30000000000001</v>
      </c>
      <c r="H934" s="1">
        <f ca="1">IFERROR(__xludf.DUMMYFUNCTION("""COMPUTED_VALUE"""),274.39)</f>
        <v>274.39</v>
      </c>
      <c r="I934" s="1">
        <f ca="1">IFERROR(__xludf.DUMMYFUNCTION("""COMPUTED_VALUE"""),179.84)</f>
        <v>179.84</v>
      </c>
      <c r="J934" s="1">
        <f ca="1">IFERROR(__xludf.DUMMYFUNCTION("""COMPUTED_VALUE"""),556.36)</f>
        <v>556.36</v>
      </c>
      <c r="K934" s="1">
        <f ca="1">IFERROR(__xludf.DUMMYFUNCTION("""COMPUTED_VALUE"""),85.17)</f>
        <v>85.17</v>
      </c>
      <c r="L934" s="1">
        <f ca="1">IFERROR(__xludf.DUMMYFUNCTION("""COMPUTED_VALUE"""),528.89)</f>
        <v>528.89</v>
      </c>
      <c r="M934" s="1">
        <f ca="1">IFERROR(__xludf.DUMMYFUNCTION("""COMPUTED_VALUE"""),396.94)</f>
        <v>396.94</v>
      </c>
      <c r="N934" s="1">
        <f ca="1">IFERROR(__xludf.DUMMYFUNCTION("""COMPUTED_VALUE"""),148.81)</f>
        <v>148.81</v>
      </c>
      <c r="O934" s="1">
        <f ca="1">IFERROR(__xludf.DUMMYFUNCTION("""COMPUTED_VALUE"""),241.07)</f>
        <v>241.07</v>
      </c>
      <c r="P934" s="1">
        <f ca="1">IFERROR(__xludf.DUMMYFUNCTION("""COMPUTED_VALUE"""),161.45)</f>
        <v>161.44999999999999</v>
      </c>
      <c r="Q934" s="1">
        <f ca="1">IFERROR(__xludf.DUMMYFUNCTION("""COMPUTED_VALUE"""),486.7)</f>
        <v>486.7</v>
      </c>
      <c r="R934" s="1">
        <f ca="1">IFERROR(__xludf.DUMMYFUNCTION("""COMPUTED_VALUE"""),116.7)</f>
        <v>116.7</v>
      </c>
      <c r="S934" s="1">
        <f ca="1">IFERROR(__xludf.DUMMYFUNCTION("""COMPUTED_VALUE"""),68.64)</f>
        <v>68.64</v>
      </c>
      <c r="T934" s="1">
        <f ca="1">IFERROR(__xludf.DUMMYFUNCTION("""COMPUTED_VALUE"""),54.88)</f>
        <v>54.88</v>
      </c>
      <c r="U934" s="1">
        <f ca="1">IFERROR(__xludf.DUMMYFUNCTION("""COMPUTED_VALUE"""),96.26)</f>
        <v>96.26</v>
      </c>
      <c r="V934" s="1">
        <f ca="1">IFERROR(__xludf.DUMMYFUNCTION("""COMPUTED_VALUE"""),279.15)</f>
        <v>279.14999999999998</v>
      </c>
      <c r="W934" s="1">
        <f ca="1">IFERROR(__xludf.DUMMYFUNCTION("""COMPUTED_VALUE"""),424.05)</f>
        <v>424.05</v>
      </c>
      <c r="X934" s="1">
        <f ca="1">IFERROR(__xludf.DUMMYFUNCTION("""COMPUTED_VALUE"""),596.66)</f>
        <v>596.66</v>
      </c>
      <c r="Y934" s="1">
        <f ca="1">IFERROR(__xludf.DUMMYFUNCTION("""COMPUTED_VALUE"""),89.25)</f>
        <v>89.25</v>
      </c>
      <c r="Z934" s="1">
        <f ca="1">IFERROR(__xludf.DUMMYFUNCTION("""COMPUTED_VALUE"""),342.54)</f>
        <v>342.54</v>
      </c>
      <c r="AA934" s="1">
        <f ca="1">IFERROR(__xludf.DUMMYFUNCTION("""COMPUTED_VALUE"""),34.07)</f>
        <v>34.07</v>
      </c>
      <c r="AB934" s="1">
        <f ca="1">IFERROR(__xludf.DUMMYFUNCTION("""COMPUTED_VALUE"""),96.23)</f>
        <v>96.23</v>
      </c>
      <c r="AC934" s="1">
        <f ca="1">IFERROR(__xludf.DUMMYFUNCTION("""COMPUTED_VALUE"""),101.49)</f>
        <v>101.49</v>
      </c>
    </row>
    <row r="935" spans="1:29" x14ac:dyDescent="0.25">
      <c r="A935" s="2">
        <f ca="1">IFERROR(__xludf.DUMMYFUNCTION("""COMPUTED_VALUE"""),45187.6666666666)</f>
        <v>45187.666666666599</v>
      </c>
      <c r="B935" s="1">
        <f ca="1">IFERROR(__xludf.DUMMYFUNCTION("""COMPUTED_VALUE"""),177.97)</f>
        <v>177.97</v>
      </c>
      <c r="C935" s="1">
        <f ca="1">IFERROR(__xludf.DUMMYFUNCTION("""COMPUTED_VALUE"""),329.06)</f>
        <v>329.06</v>
      </c>
      <c r="D935" s="1">
        <f ca="1">IFERROR(__xludf.DUMMYFUNCTION("""COMPUTED_VALUE"""),139.98)</f>
        <v>139.97999999999999</v>
      </c>
      <c r="E935" s="1">
        <f ca="1">IFERROR(__xludf.DUMMYFUNCTION("""COMPUTED_VALUE"""),43.97)</f>
        <v>43.97</v>
      </c>
      <c r="F935" s="1">
        <f ca="1">IFERROR(__xludf.DUMMYFUNCTION("""COMPUTED_VALUE"""),302.55)</f>
        <v>302.55</v>
      </c>
      <c r="G935" s="1">
        <f ca="1">IFERROR(__xludf.DUMMYFUNCTION("""COMPUTED_VALUE"""),138.96)</f>
        <v>138.96</v>
      </c>
      <c r="H935" s="1">
        <f ca="1">IFERROR(__xludf.DUMMYFUNCTION("""COMPUTED_VALUE"""),265.28)</f>
        <v>265.27999999999997</v>
      </c>
      <c r="I935" s="1">
        <f ca="1">IFERROR(__xludf.DUMMYFUNCTION("""COMPUTED_VALUE"""),179.38)</f>
        <v>179.38</v>
      </c>
      <c r="J935" s="1">
        <f ca="1">IFERROR(__xludf.DUMMYFUNCTION("""COMPUTED_VALUE"""),562.72)</f>
        <v>562.72</v>
      </c>
      <c r="K935" s="1">
        <f ca="1">IFERROR(__xludf.DUMMYFUNCTION("""COMPUTED_VALUE"""),85)</f>
        <v>85</v>
      </c>
      <c r="L935" s="1">
        <f ca="1">IFERROR(__xludf.DUMMYFUNCTION("""COMPUTED_VALUE"""),532.42)</f>
        <v>532.41999999999996</v>
      </c>
      <c r="M935" s="1">
        <f ca="1">IFERROR(__xludf.DUMMYFUNCTION("""COMPUTED_VALUE"""),394.4)</f>
        <v>394.4</v>
      </c>
      <c r="N935" s="1">
        <f ca="1">IFERROR(__xludf.DUMMYFUNCTION("""COMPUTED_VALUE"""),149.12)</f>
        <v>149.12</v>
      </c>
      <c r="O935" s="1">
        <f ca="1">IFERROR(__xludf.DUMMYFUNCTION("""COMPUTED_VALUE"""),244.66)</f>
        <v>244.66</v>
      </c>
      <c r="P935" s="1">
        <f ca="1">IFERROR(__xludf.DUMMYFUNCTION("""COMPUTED_VALUE"""),162.47)</f>
        <v>162.47</v>
      </c>
      <c r="Q935" s="1">
        <f ca="1">IFERROR(__xludf.DUMMYFUNCTION("""COMPUTED_VALUE"""),486.06)</f>
        <v>486.06</v>
      </c>
      <c r="R935" s="1">
        <f ca="1">IFERROR(__xludf.DUMMYFUNCTION("""COMPUTED_VALUE"""),117.64)</f>
        <v>117.64</v>
      </c>
      <c r="S935" s="1">
        <f ca="1">IFERROR(__xludf.DUMMYFUNCTION("""COMPUTED_VALUE"""),68.24)</f>
        <v>68.239999999999995</v>
      </c>
      <c r="T935" s="1">
        <f ca="1">IFERROR(__xludf.DUMMYFUNCTION("""COMPUTED_VALUE"""),54.47)</f>
        <v>54.47</v>
      </c>
      <c r="U935" s="1">
        <f ca="1">IFERROR(__xludf.DUMMYFUNCTION("""COMPUTED_VALUE"""),95.51)</f>
        <v>95.51</v>
      </c>
      <c r="V935" s="1">
        <f ca="1">IFERROR(__xludf.DUMMYFUNCTION("""COMPUTED_VALUE"""),280.94)</f>
        <v>280.94</v>
      </c>
      <c r="W935" s="1">
        <f ca="1">IFERROR(__xludf.DUMMYFUNCTION("""COMPUTED_VALUE"""),429.86)</f>
        <v>429.86</v>
      </c>
      <c r="X935" s="1">
        <f ca="1">IFERROR(__xludf.DUMMYFUNCTION("""COMPUTED_VALUE"""),597.73)</f>
        <v>597.73</v>
      </c>
      <c r="Y935" s="1">
        <f ca="1">IFERROR(__xludf.DUMMYFUNCTION("""COMPUTED_VALUE"""),88.83)</f>
        <v>88.83</v>
      </c>
      <c r="Z935" s="1">
        <f ca="1">IFERROR(__xludf.DUMMYFUNCTION("""COMPUTED_VALUE"""),343.32)</f>
        <v>343.32</v>
      </c>
      <c r="AA935" s="1">
        <f ca="1">IFERROR(__xludf.DUMMYFUNCTION("""COMPUTED_VALUE"""),33.64)</f>
        <v>33.64</v>
      </c>
      <c r="AB935" s="1">
        <f ca="1">IFERROR(__xludf.DUMMYFUNCTION("""COMPUTED_VALUE"""),96.76)</f>
        <v>96.76</v>
      </c>
      <c r="AC935" s="1">
        <f ca="1">IFERROR(__xludf.DUMMYFUNCTION("""COMPUTED_VALUE"""),102.37)</f>
        <v>102.37</v>
      </c>
    </row>
    <row r="936" spans="1:29" x14ac:dyDescent="0.25">
      <c r="A936" s="2">
        <f ca="1">IFERROR(__xludf.DUMMYFUNCTION("""COMPUTED_VALUE"""),45188.6666666666)</f>
        <v>45188.666666666599</v>
      </c>
      <c r="B936" s="1">
        <f ca="1">IFERROR(__xludf.DUMMYFUNCTION("""COMPUTED_VALUE"""),179.07)</f>
        <v>179.07</v>
      </c>
      <c r="C936" s="1">
        <f ca="1">IFERROR(__xludf.DUMMYFUNCTION("""COMPUTED_VALUE"""),328.65)</f>
        <v>328.65</v>
      </c>
      <c r="D936" s="1">
        <f ca="1">IFERROR(__xludf.DUMMYFUNCTION("""COMPUTED_VALUE"""),137.63)</f>
        <v>137.63</v>
      </c>
      <c r="E936" s="1">
        <f ca="1">IFERROR(__xludf.DUMMYFUNCTION("""COMPUTED_VALUE"""),43.52)</f>
        <v>43.52</v>
      </c>
      <c r="F936" s="1">
        <f ca="1">IFERROR(__xludf.DUMMYFUNCTION("""COMPUTED_VALUE"""),305.07)</f>
        <v>305.07</v>
      </c>
      <c r="G936" s="1">
        <f ca="1">IFERROR(__xludf.DUMMYFUNCTION("""COMPUTED_VALUE"""),138.83)</f>
        <v>138.83000000000001</v>
      </c>
      <c r="H936" s="1">
        <f ca="1">IFERROR(__xludf.DUMMYFUNCTION("""COMPUTED_VALUE"""),266.5)</f>
        <v>266.5</v>
      </c>
      <c r="I936" s="1">
        <f ca="1">IFERROR(__xludf.DUMMYFUNCTION("""COMPUTED_VALUE"""),178.32)</f>
        <v>178.32</v>
      </c>
      <c r="J936" s="1">
        <f ca="1">IFERROR(__xludf.DUMMYFUNCTION("""COMPUTED_VALUE"""),564.35)</f>
        <v>564.35</v>
      </c>
      <c r="K936" s="1">
        <f ca="1">IFERROR(__xludf.DUMMYFUNCTION("""COMPUTED_VALUE"""),84.92)</f>
        <v>84.92</v>
      </c>
      <c r="L936" s="1">
        <f ca="1">IFERROR(__xludf.DUMMYFUNCTION("""COMPUTED_VALUE"""),541.69)</f>
        <v>541.69000000000005</v>
      </c>
      <c r="M936" s="1">
        <f ca="1">IFERROR(__xludf.DUMMYFUNCTION("""COMPUTED_VALUE"""),396.2)</f>
        <v>396.2</v>
      </c>
      <c r="N936" s="1">
        <f ca="1">IFERROR(__xludf.DUMMYFUNCTION("""COMPUTED_VALUE"""),148.93)</f>
        <v>148.93</v>
      </c>
      <c r="O936" s="1">
        <f ca="1">IFERROR(__xludf.DUMMYFUNCTION("""COMPUTED_VALUE"""),243.56)</f>
        <v>243.56</v>
      </c>
      <c r="P936" s="1">
        <f ca="1">IFERROR(__xludf.DUMMYFUNCTION("""COMPUTED_VALUE"""),162.2)</f>
        <v>162.19999999999999</v>
      </c>
      <c r="Q936" s="1">
        <f ca="1">IFERROR(__xludf.DUMMYFUNCTION("""COMPUTED_VALUE"""),480.66)</f>
        <v>480.66</v>
      </c>
      <c r="R936" s="1">
        <f ca="1">IFERROR(__xludf.DUMMYFUNCTION("""COMPUTED_VALUE"""),117.33)</f>
        <v>117.33</v>
      </c>
      <c r="S936" s="1">
        <f ca="1">IFERROR(__xludf.DUMMYFUNCTION("""COMPUTED_VALUE"""),67.59)</f>
        <v>67.59</v>
      </c>
      <c r="T936" s="1">
        <f ca="1">IFERROR(__xludf.DUMMYFUNCTION("""COMPUTED_VALUE"""),54.46)</f>
        <v>54.46</v>
      </c>
      <c r="U936" s="1">
        <f ca="1">IFERROR(__xludf.DUMMYFUNCTION("""COMPUTED_VALUE"""),94.62)</f>
        <v>94.62</v>
      </c>
      <c r="V936" s="1">
        <f ca="1">IFERROR(__xludf.DUMMYFUNCTION("""COMPUTED_VALUE"""),279.67)</f>
        <v>279.67</v>
      </c>
      <c r="W936" s="1">
        <f ca="1">IFERROR(__xludf.DUMMYFUNCTION("""COMPUTED_VALUE"""),425.31)</f>
        <v>425.31</v>
      </c>
      <c r="X936" s="1">
        <f ca="1">IFERROR(__xludf.DUMMYFUNCTION("""COMPUTED_VALUE"""),593.77)</f>
        <v>593.77</v>
      </c>
      <c r="Y936" s="1">
        <f ca="1">IFERROR(__xludf.DUMMYFUNCTION("""COMPUTED_VALUE"""),88.17)</f>
        <v>88.17</v>
      </c>
      <c r="Z936" s="1">
        <f ca="1">IFERROR(__xludf.DUMMYFUNCTION("""COMPUTED_VALUE"""),341.89)</f>
        <v>341.89</v>
      </c>
      <c r="AA936" s="1">
        <f ca="1">IFERROR(__xludf.DUMMYFUNCTION("""COMPUTED_VALUE"""),33.99)</f>
        <v>33.99</v>
      </c>
      <c r="AB936" s="1">
        <f ca="1">IFERROR(__xludf.DUMMYFUNCTION("""COMPUTED_VALUE"""),95.29)</f>
        <v>95.29</v>
      </c>
      <c r="AC936" s="1">
        <f ca="1">IFERROR(__xludf.DUMMYFUNCTION("""COMPUTED_VALUE"""),101.61)</f>
        <v>101.61</v>
      </c>
    </row>
    <row r="937" spans="1:29" x14ac:dyDescent="0.25">
      <c r="A937" s="2">
        <f ca="1">IFERROR(__xludf.DUMMYFUNCTION("""COMPUTED_VALUE"""),45189.6666666666)</f>
        <v>45189.666666666599</v>
      </c>
      <c r="B937" s="1">
        <f ca="1">IFERROR(__xludf.DUMMYFUNCTION("""COMPUTED_VALUE"""),175.49)</f>
        <v>175.49</v>
      </c>
      <c r="C937" s="1">
        <f ca="1">IFERROR(__xludf.DUMMYFUNCTION("""COMPUTED_VALUE"""),320.77)</f>
        <v>320.77</v>
      </c>
      <c r="D937" s="1">
        <f ca="1">IFERROR(__xludf.DUMMYFUNCTION("""COMPUTED_VALUE"""),135.29)</f>
        <v>135.29</v>
      </c>
      <c r="E937" s="1">
        <f ca="1">IFERROR(__xludf.DUMMYFUNCTION("""COMPUTED_VALUE"""),42.24)</f>
        <v>42.24</v>
      </c>
      <c r="F937" s="1">
        <f ca="1">IFERROR(__xludf.DUMMYFUNCTION("""COMPUTED_VALUE"""),299.67)</f>
        <v>299.67</v>
      </c>
      <c r="G937" s="1">
        <f ca="1">IFERROR(__xludf.DUMMYFUNCTION("""COMPUTED_VALUE"""),134.59)</f>
        <v>134.59</v>
      </c>
      <c r="H937" s="1">
        <f ca="1">IFERROR(__xludf.DUMMYFUNCTION("""COMPUTED_VALUE"""),262.59)</f>
        <v>262.58999999999997</v>
      </c>
      <c r="I937" s="1">
        <f ca="1">IFERROR(__xludf.DUMMYFUNCTION("""COMPUTED_VALUE"""),178.38)</f>
        <v>178.38</v>
      </c>
      <c r="J937" s="1">
        <f ca="1">IFERROR(__xludf.DUMMYFUNCTION("""COMPUTED_VALUE"""),563.83)</f>
        <v>563.83000000000004</v>
      </c>
      <c r="K937" s="1">
        <f ca="1">IFERROR(__xludf.DUMMYFUNCTION("""COMPUTED_VALUE"""),83.06)</f>
        <v>83.06</v>
      </c>
      <c r="L937" s="1">
        <f ca="1">IFERROR(__xludf.DUMMYFUNCTION("""COMPUTED_VALUE"""),535.78)</f>
        <v>535.78</v>
      </c>
      <c r="M937" s="1">
        <f ca="1">IFERROR(__xludf.DUMMYFUNCTION("""COMPUTED_VALUE"""),386.3)</f>
        <v>386.3</v>
      </c>
      <c r="N937" s="1">
        <f ca="1">IFERROR(__xludf.DUMMYFUNCTION("""COMPUTED_VALUE"""),148.3)</f>
        <v>148.30000000000001</v>
      </c>
      <c r="O937" s="1">
        <f ca="1">IFERROR(__xludf.DUMMYFUNCTION("""COMPUTED_VALUE"""),241.86)</f>
        <v>241.86</v>
      </c>
      <c r="P937" s="1">
        <f ca="1">IFERROR(__xludf.DUMMYFUNCTION("""COMPUTED_VALUE"""),162.91)</f>
        <v>162.91</v>
      </c>
      <c r="Q937" s="1">
        <f ca="1">IFERROR(__xludf.DUMMYFUNCTION("""COMPUTED_VALUE"""),492.13)</f>
        <v>492.13</v>
      </c>
      <c r="R937" s="1">
        <f ca="1">IFERROR(__xludf.DUMMYFUNCTION("""COMPUTED_VALUE"""),116.4)</f>
        <v>116.4</v>
      </c>
      <c r="S937" s="1">
        <f ca="1">IFERROR(__xludf.DUMMYFUNCTION("""COMPUTED_VALUE"""),67.35)</f>
        <v>67.349999999999994</v>
      </c>
      <c r="T937" s="1">
        <f ca="1">IFERROR(__xludf.DUMMYFUNCTION("""COMPUTED_VALUE"""),54.64)</f>
        <v>54.64</v>
      </c>
      <c r="U937" s="1">
        <f ca="1">IFERROR(__xludf.DUMMYFUNCTION("""COMPUTED_VALUE"""),94.04)</f>
        <v>94.04</v>
      </c>
      <c r="V937" s="1">
        <f ca="1">IFERROR(__xludf.DUMMYFUNCTION("""COMPUTED_VALUE"""),278.61)</f>
        <v>278.61</v>
      </c>
      <c r="W937" s="1">
        <f ca="1">IFERROR(__xludf.DUMMYFUNCTION("""COMPUTED_VALUE"""),426.95)</f>
        <v>426.95</v>
      </c>
      <c r="X937" s="1">
        <f ca="1">IFERROR(__xludf.DUMMYFUNCTION("""COMPUTED_VALUE"""),589.88)</f>
        <v>589.88</v>
      </c>
      <c r="Y937" s="1">
        <f ca="1">IFERROR(__xludf.DUMMYFUNCTION("""COMPUTED_VALUE"""),87.29)</f>
        <v>87.29</v>
      </c>
      <c r="Z937" s="1">
        <f ca="1">IFERROR(__xludf.DUMMYFUNCTION("""COMPUTED_VALUE"""),336.7)</f>
        <v>336.7</v>
      </c>
      <c r="AA937" s="1">
        <f ca="1">IFERROR(__xludf.DUMMYFUNCTION("""COMPUTED_VALUE"""),33.62)</f>
        <v>33.619999999999997</v>
      </c>
      <c r="AB937" s="1">
        <f ca="1">IFERROR(__xludf.DUMMYFUNCTION("""COMPUTED_VALUE"""),95.16)</f>
        <v>95.16</v>
      </c>
      <c r="AC937" s="1">
        <f ca="1">IFERROR(__xludf.DUMMYFUNCTION("""COMPUTED_VALUE"""),100.34)</f>
        <v>100.34</v>
      </c>
    </row>
    <row r="938" spans="1:29" x14ac:dyDescent="0.25">
      <c r="A938" s="2">
        <f ca="1">IFERROR(__xludf.DUMMYFUNCTION("""COMPUTED_VALUE"""),45190.6666666666)</f>
        <v>45190.666666666599</v>
      </c>
      <c r="B938" s="1">
        <f ca="1">IFERROR(__xludf.DUMMYFUNCTION("""COMPUTED_VALUE"""),173.93)</f>
        <v>173.93</v>
      </c>
      <c r="C938" s="1">
        <f ca="1">IFERROR(__xludf.DUMMYFUNCTION("""COMPUTED_VALUE"""),319.53)</f>
        <v>319.52999999999997</v>
      </c>
      <c r="D938" s="1">
        <f ca="1">IFERROR(__xludf.DUMMYFUNCTION("""COMPUTED_VALUE"""),129.33)</f>
        <v>129.33000000000001</v>
      </c>
      <c r="E938" s="1">
        <f ca="1">IFERROR(__xludf.DUMMYFUNCTION("""COMPUTED_VALUE"""),41.02)</f>
        <v>41.02</v>
      </c>
      <c r="F938" s="1">
        <f ca="1">IFERROR(__xludf.DUMMYFUNCTION("""COMPUTED_VALUE"""),295.73)</f>
        <v>295.73</v>
      </c>
      <c r="G938" s="1">
        <f ca="1">IFERROR(__xludf.DUMMYFUNCTION("""COMPUTED_VALUE"""),131.36)</f>
        <v>131.36000000000001</v>
      </c>
      <c r="H938" s="1">
        <f ca="1">IFERROR(__xludf.DUMMYFUNCTION("""COMPUTED_VALUE"""),255.7)</f>
        <v>255.7</v>
      </c>
      <c r="I938" s="1">
        <f ca="1">IFERROR(__xludf.DUMMYFUNCTION("""COMPUTED_VALUE"""),175.38)</f>
        <v>175.38</v>
      </c>
      <c r="J938" s="1">
        <f ca="1">IFERROR(__xludf.DUMMYFUNCTION("""COMPUTED_VALUE"""),555.08)</f>
        <v>555.08000000000004</v>
      </c>
      <c r="K938" s="1">
        <f ca="1">IFERROR(__xludf.DUMMYFUNCTION("""COMPUTED_VALUE"""),80.84)</f>
        <v>80.84</v>
      </c>
      <c r="L938" s="1">
        <f ca="1">IFERROR(__xludf.DUMMYFUNCTION("""COMPUTED_VALUE"""),513.88)</f>
        <v>513.88</v>
      </c>
      <c r="M938" s="1">
        <f ca="1">IFERROR(__xludf.DUMMYFUNCTION("""COMPUTED_VALUE"""),384.15)</f>
        <v>384.15</v>
      </c>
      <c r="N938" s="1">
        <f ca="1">IFERROR(__xludf.DUMMYFUNCTION("""COMPUTED_VALUE"""),147.14)</f>
        <v>147.13999999999999</v>
      </c>
      <c r="O938" s="1">
        <f ca="1">IFERROR(__xludf.DUMMYFUNCTION("""COMPUTED_VALUE"""),236.61)</f>
        <v>236.61</v>
      </c>
      <c r="P938" s="1">
        <f ca="1">IFERROR(__xludf.DUMMYFUNCTION("""COMPUTED_VALUE"""),161.66)</f>
        <v>161.66</v>
      </c>
      <c r="Q938" s="1">
        <f ca="1">IFERROR(__xludf.DUMMYFUNCTION("""COMPUTED_VALUE"""),501.14)</f>
        <v>501.14</v>
      </c>
      <c r="R938" s="1">
        <f ca="1">IFERROR(__xludf.DUMMYFUNCTION("""COMPUTED_VALUE"""),114.76)</f>
        <v>114.76</v>
      </c>
      <c r="S938" s="1">
        <f ca="1">IFERROR(__xludf.DUMMYFUNCTION("""COMPUTED_VALUE"""),66.91)</f>
        <v>66.91</v>
      </c>
      <c r="T938" s="1">
        <f ca="1">IFERROR(__xludf.DUMMYFUNCTION("""COMPUTED_VALUE"""),53.97)</f>
        <v>53.97</v>
      </c>
      <c r="U938" s="1">
        <f ca="1">IFERROR(__xludf.DUMMYFUNCTION("""COMPUTED_VALUE"""),91.59)</f>
        <v>91.59</v>
      </c>
      <c r="V938" s="1">
        <f ca="1">IFERROR(__xludf.DUMMYFUNCTION("""COMPUTED_VALUE"""),272.03)</f>
        <v>272.02999999999997</v>
      </c>
      <c r="W938" s="1">
        <f ca="1">IFERROR(__xludf.DUMMYFUNCTION("""COMPUTED_VALUE"""),417.54)</f>
        <v>417.54</v>
      </c>
      <c r="X938" s="1">
        <f ca="1">IFERROR(__xludf.DUMMYFUNCTION("""COMPUTED_VALUE"""),582.12)</f>
        <v>582.12</v>
      </c>
      <c r="Y938" s="1">
        <f ca="1">IFERROR(__xludf.DUMMYFUNCTION("""COMPUTED_VALUE"""),85.36)</f>
        <v>85.36</v>
      </c>
      <c r="Z938" s="1">
        <f ca="1">IFERROR(__xludf.DUMMYFUNCTION("""COMPUTED_VALUE"""),330.24)</f>
        <v>330.24</v>
      </c>
      <c r="AA938" s="1">
        <f ca="1">IFERROR(__xludf.DUMMYFUNCTION("""COMPUTED_VALUE"""),32.85)</f>
        <v>32.85</v>
      </c>
      <c r="AB938" s="1">
        <f ca="1">IFERROR(__xludf.DUMMYFUNCTION("""COMPUTED_VALUE"""),93.1)</f>
        <v>93.1</v>
      </c>
      <c r="AC938" s="1">
        <f ca="1">IFERROR(__xludf.DUMMYFUNCTION("""COMPUTED_VALUE"""),96.11)</f>
        <v>96.11</v>
      </c>
    </row>
    <row r="939" spans="1:29" x14ac:dyDescent="0.25">
      <c r="A939" s="2">
        <f ca="1">IFERROR(__xludf.DUMMYFUNCTION("""COMPUTED_VALUE"""),45191.6666666666)</f>
        <v>45191.666666666599</v>
      </c>
      <c r="B939" s="1">
        <f ca="1">IFERROR(__xludf.DUMMYFUNCTION("""COMPUTED_VALUE"""),174.79)</f>
        <v>174.79</v>
      </c>
      <c r="C939" s="1">
        <f ca="1">IFERROR(__xludf.DUMMYFUNCTION("""COMPUTED_VALUE"""),317.01)</f>
        <v>317.01</v>
      </c>
      <c r="D939" s="1">
        <f ca="1">IFERROR(__xludf.DUMMYFUNCTION("""COMPUTED_VALUE"""),129.12)</f>
        <v>129.12</v>
      </c>
      <c r="E939" s="1">
        <f ca="1">IFERROR(__xludf.DUMMYFUNCTION("""COMPUTED_VALUE"""),41.61)</f>
        <v>41.61</v>
      </c>
      <c r="F939" s="1">
        <f ca="1">IFERROR(__xludf.DUMMYFUNCTION("""COMPUTED_VALUE"""),299.08)</f>
        <v>299.08</v>
      </c>
      <c r="G939" s="1">
        <f ca="1">IFERROR(__xludf.DUMMYFUNCTION("""COMPUTED_VALUE"""),131.25)</f>
        <v>131.25</v>
      </c>
      <c r="H939" s="1">
        <f ca="1">IFERROR(__xludf.DUMMYFUNCTION("""COMPUTED_VALUE"""),244.88)</f>
        <v>244.88</v>
      </c>
      <c r="I939" s="1">
        <f ca="1">IFERROR(__xludf.DUMMYFUNCTION("""COMPUTED_VALUE"""),175.27)</f>
        <v>175.27</v>
      </c>
      <c r="J939" s="1">
        <f ca="1">IFERROR(__xludf.DUMMYFUNCTION("""COMPUTED_VALUE"""),558.59)</f>
        <v>558.59</v>
      </c>
      <c r="K939" s="1">
        <f ca="1">IFERROR(__xludf.DUMMYFUNCTION("""COMPUTED_VALUE"""),82.91)</f>
        <v>82.91</v>
      </c>
      <c r="L939" s="1">
        <f ca="1">IFERROR(__xludf.DUMMYFUNCTION("""COMPUTED_VALUE"""),512.9)</f>
        <v>512.9</v>
      </c>
      <c r="M939" s="1">
        <f ca="1">IFERROR(__xludf.DUMMYFUNCTION("""COMPUTED_VALUE"""),379.81)</f>
        <v>379.81</v>
      </c>
      <c r="N939" s="1">
        <f ca="1">IFERROR(__xludf.DUMMYFUNCTION("""COMPUTED_VALUE"""),145.73)</f>
        <v>145.72999999999999</v>
      </c>
      <c r="O939" s="1">
        <f ca="1">IFERROR(__xludf.DUMMYFUNCTION("""COMPUTED_VALUE"""),235.08)</f>
        <v>235.08</v>
      </c>
      <c r="P939" s="1">
        <f ca="1">IFERROR(__xludf.DUMMYFUNCTION("""COMPUTED_VALUE"""),160.5)</f>
        <v>160.5</v>
      </c>
      <c r="Q939" s="1">
        <f ca="1">IFERROR(__xludf.DUMMYFUNCTION("""COMPUTED_VALUE"""),506.1)</f>
        <v>506.1</v>
      </c>
      <c r="R939" s="1">
        <f ca="1">IFERROR(__xludf.DUMMYFUNCTION("""COMPUTED_VALUE"""),114.94)</f>
        <v>114.94</v>
      </c>
      <c r="S939" s="1">
        <f ca="1">IFERROR(__xludf.DUMMYFUNCTION("""COMPUTED_VALUE"""),67.7)</f>
        <v>67.7</v>
      </c>
      <c r="T939" s="1">
        <f ca="1">IFERROR(__xludf.DUMMYFUNCTION("""COMPUTED_VALUE"""),54.12)</f>
        <v>54.12</v>
      </c>
      <c r="U939" s="1">
        <f ca="1">IFERROR(__xludf.DUMMYFUNCTION("""COMPUTED_VALUE"""),90.85)</f>
        <v>90.85</v>
      </c>
      <c r="V939" s="1">
        <f ca="1">IFERROR(__xludf.DUMMYFUNCTION("""COMPUTED_VALUE"""),273.06)</f>
        <v>273.06</v>
      </c>
      <c r="W939" s="1">
        <f ca="1">IFERROR(__xludf.DUMMYFUNCTION("""COMPUTED_VALUE"""),413.65)</f>
        <v>413.65</v>
      </c>
      <c r="X939" s="1">
        <f ca="1">IFERROR(__xludf.DUMMYFUNCTION("""COMPUTED_VALUE"""),587.1)</f>
        <v>587.1</v>
      </c>
      <c r="Y939" s="1">
        <f ca="1">IFERROR(__xludf.DUMMYFUNCTION("""COMPUTED_VALUE"""),85.64)</f>
        <v>85.64</v>
      </c>
      <c r="Z939" s="1">
        <f ca="1">IFERROR(__xludf.DUMMYFUNCTION("""COMPUTED_VALUE"""),327.89)</f>
        <v>327.89</v>
      </c>
      <c r="AA939" s="1">
        <f ca="1">IFERROR(__xludf.DUMMYFUNCTION("""COMPUTED_VALUE"""),32.69)</f>
        <v>32.69</v>
      </c>
      <c r="AB939" s="1">
        <f ca="1">IFERROR(__xludf.DUMMYFUNCTION("""COMPUTED_VALUE"""),93.68)</f>
        <v>93.68</v>
      </c>
      <c r="AC939" s="1">
        <f ca="1">IFERROR(__xludf.DUMMYFUNCTION("""COMPUTED_VALUE"""),96.2)</f>
        <v>96.2</v>
      </c>
    </row>
    <row r="940" spans="1:29" x14ac:dyDescent="0.25">
      <c r="A940" s="2">
        <f ca="1">IFERROR(__xludf.DUMMYFUNCTION("""COMPUTED_VALUE"""),45194.6666666666)</f>
        <v>45194.666666666599</v>
      </c>
      <c r="B940" s="1">
        <f ca="1">IFERROR(__xludf.DUMMYFUNCTION("""COMPUTED_VALUE"""),176.08)</f>
        <v>176.08</v>
      </c>
      <c r="C940" s="1">
        <f ca="1">IFERROR(__xludf.DUMMYFUNCTION("""COMPUTED_VALUE"""),317.54)</f>
        <v>317.54000000000002</v>
      </c>
      <c r="D940" s="1">
        <f ca="1">IFERROR(__xludf.DUMMYFUNCTION("""COMPUTED_VALUE"""),131.27)</f>
        <v>131.27000000000001</v>
      </c>
      <c r="E940" s="1">
        <f ca="1">IFERROR(__xludf.DUMMYFUNCTION("""COMPUTED_VALUE"""),42.22)</f>
        <v>42.22</v>
      </c>
      <c r="F940" s="1">
        <f ca="1">IFERROR(__xludf.DUMMYFUNCTION("""COMPUTED_VALUE"""),300.83)</f>
        <v>300.83</v>
      </c>
      <c r="G940" s="1">
        <f ca="1">IFERROR(__xludf.DUMMYFUNCTION("""COMPUTED_VALUE"""),132.17)</f>
        <v>132.16999999999999</v>
      </c>
      <c r="H940" s="1">
        <f ca="1">IFERROR(__xludf.DUMMYFUNCTION("""COMPUTED_VALUE"""),246.99)</f>
        <v>246.99</v>
      </c>
      <c r="I940" s="1">
        <f ca="1">IFERROR(__xludf.DUMMYFUNCTION("""COMPUTED_VALUE"""),174.33)</f>
        <v>174.33</v>
      </c>
      <c r="J940" s="1">
        <f ca="1">IFERROR(__xludf.DUMMYFUNCTION("""COMPUTED_VALUE"""),558.62)</f>
        <v>558.62</v>
      </c>
      <c r="K940" s="1">
        <f ca="1">IFERROR(__xludf.DUMMYFUNCTION("""COMPUTED_VALUE"""),83.39)</f>
        <v>83.39</v>
      </c>
      <c r="L940" s="1">
        <f ca="1">IFERROR(__xludf.DUMMYFUNCTION("""COMPUTED_VALUE"""),511.6)</f>
        <v>511.6</v>
      </c>
      <c r="M940" s="1">
        <f ca="1">IFERROR(__xludf.DUMMYFUNCTION("""COMPUTED_VALUE"""),384.8)</f>
        <v>384.8</v>
      </c>
      <c r="N940" s="1">
        <f ca="1">IFERROR(__xludf.DUMMYFUNCTION("""COMPUTED_VALUE"""),146.45)</f>
        <v>146.44999999999999</v>
      </c>
      <c r="O940" s="1">
        <f ca="1">IFERROR(__xludf.DUMMYFUNCTION("""COMPUTED_VALUE"""),233.36)</f>
        <v>233.36</v>
      </c>
      <c r="P940" s="1">
        <f ca="1">IFERROR(__xludf.DUMMYFUNCTION("""COMPUTED_VALUE"""),160.26)</f>
        <v>160.26</v>
      </c>
      <c r="Q940" s="1">
        <f ca="1">IFERROR(__xludf.DUMMYFUNCTION("""COMPUTED_VALUE"""),510.28)</f>
        <v>510.28</v>
      </c>
      <c r="R940" s="1">
        <f ca="1">IFERROR(__xludf.DUMMYFUNCTION("""COMPUTED_VALUE"""),116.23)</f>
        <v>116.23</v>
      </c>
      <c r="S940" s="1">
        <f ca="1">IFERROR(__xludf.DUMMYFUNCTION("""COMPUTED_VALUE"""),67.47)</f>
        <v>67.47</v>
      </c>
      <c r="T940" s="1">
        <f ca="1">IFERROR(__xludf.DUMMYFUNCTION("""COMPUTED_VALUE"""),54.36)</f>
        <v>54.36</v>
      </c>
      <c r="U940" s="1">
        <f ca="1">IFERROR(__xludf.DUMMYFUNCTION("""COMPUTED_VALUE"""),90.6)</f>
        <v>90.6</v>
      </c>
      <c r="V940" s="1">
        <f ca="1">IFERROR(__xludf.DUMMYFUNCTION("""COMPUTED_VALUE"""),274.27)</f>
        <v>274.27</v>
      </c>
      <c r="W940" s="1">
        <f ca="1">IFERROR(__xludf.DUMMYFUNCTION("""COMPUTED_VALUE"""),412.9)</f>
        <v>412.9</v>
      </c>
      <c r="X940" s="1">
        <f ca="1">IFERROR(__xludf.DUMMYFUNCTION("""COMPUTED_VALUE"""),586.13)</f>
        <v>586.13</v>
      </c>
      <c r="Y940" s="1">
        <f ca="1">IFERROR(__xludf.DUMMYFUNCTION("""COMPUTED_VALUE"""),86.24)</f>
        <v>86.24</v>
      </c>
      <c r="Z940" s="1">
        <f ca="1">IFERROR(__xludf.DUMMYFUNCTION("""COMPUTED_VALUE"""),328.84)</f>
        <v>328.84</v>
      </c>
      <c r="AA940" s="1">
        <f ca="1">IFERROR(__xludf.DUMMYFUNCTION("""COMPUTED_VALUE"""),32.98)</f>
        <v>32.979999999999997</v>
      </c>
      <c r="AB940" s="1">
        <f ca="1">IFERROR(__xludf.DUMMYFUNCTION("""COMPUTED_VALUE"""),92.74)</f>
        <v>92.74</v>
      </c>
      <c r="AC940" s="1">
        <f ca="1">IFERROR(__xludf.DUMMYFUNCTION("""COMPUTED_VALUE"""),97.38)</f>
        <v>97.38</v>
      </c>
    </row>
    <row r="941" spans="1:29" x14ac:dyDescent="0.25">
      <c r="A941" s="2">
        <f ca="1">IFERROR(__xludf.DUMMYFUNCTION("""COMPUTED_VALUE"""),45195.6666666666)</f>
        <v>45195.666666666599</v>
      </c>
      <c r="B941" s="1">
        <f ca="1">IFERROR(__xludf.DUMMYFUNCTION("""COMPUTED_VALUE"""),171.96)</f>
        <v>171.96</v>
      </c>
      <c r="C941" s="1">
        <f ca="1">IFERROR(__xludf.DUMMYFUNCTION("""COMPUTED_VALUE"""),312.14)</f>
        <v>312.14</v>
      </c>
      <c r="D941" s="1">
        <f ca="1">IFERROR(__xludf.DUMMYFUNCTION("""COMPUTED_VALUE"""),125.98)</f>
        <v>125.98</v>
      </c>
      <c r="E941" s="1">
        <f ca="1">IFERROR(__xludf.DUMMYFUNCTION("""COMPUTED_VALUE"""),41.91)</f>
        <v>41.91</v>
      </c>
      <c r="F941" s="1">
        <f ca="1">IFERROR(__xludf.DUMMYFUNCTION("""COMPUTED_VALUE"""),298.96)</f>
        <v>298.95999999999998</v>
      </c>
      <c r="G941" s="1">
        <f ca="1">IFERROR(__xludf.DUMMYFUNCTION("""COMPUTED_VALUE"""),129.45)</f>
        <v>129.44999999999999</v>
      </c>
      <c r="H941" s="1">
        <f ca="1">IFERROR(__xludf.DUMMYFUNCTION("""COMPUTED_VALUE"""),244.12)</f>
        <v>244.12</v>
      </c>
      <c r="I941" s="1">
        <f ca="1">IFERROR(__xludf.DUMMYFUNCTION("""COMPUTED_VALUE"""),172.52)</f>
        <v>172.52</v>
      </c>
      <c r="J941" s="1">
        <f ca="1">IFERROR(__xludf.DUMMYFUNCTION("""COMPUTED_VALUE"""),552.96)</f>
        <v>552.96</v>
      </c>
      <c r="K941" s="1">
        <f ca="1">IFERROR(__xludf.DUMMYFUNCTION("""COMPUTED_VALUE"""),81.62)</f>
        <v>81.62</v>
      </c>
      <c r="L941" s="1">
        <f ca="1">IFERROR(__xludf.DUMMYFUNCTION("""COMPUTED_VALUE"""),506.3)</f>
        <v>506.3</v>
      </c>
      <c r="M941" s="1">
        <f ca="1">IFERROR(__xludf.DUMMYFUNCTION("""COMPUTED_VALUE"""),379.25)</f>
        <v>379.25</v>
      </c>
      <c r="N941" s="1">
        <f ca="1">IFERROR(__xludf.DUMMYFUNCTION("""COMPUTED_VALUE"""),144.93)</f>
        <v>144.93</v>
      </c>
      <c r="O941" s="1">
        <f ca="1">IFERROR(__xludf.DUMMYFUNCTION("""COMPUTED_VALUE"""),229.65)</f>
        <v>229.65</v>
      </c>
      <c r="P941" s="1">
        <f ca="1">IFERROR(__xludf.DUMMYFUNCTION("""COMPUTED_VALUE"""),159.02)</f>
        <v>159.02000000000001</v>
      </c>
      <c r="Q941" s="1">
        <f ca="1">IFERROR(__xludf.DUMMYFUNCTION("""COMPUTED_VALUE"""),505.45)</f>
        <v>505.45</v>
      </c>
      <c r="R941" s="1">
        <f ca="1">IFERROR(__xludf.DUMMYFUNCTION("""COMPUTED_VALUE"""),116.41)</f>
        <v>116.41</v>
      </c>
      <c r="S941" s="1">
        <f ca="1">IFERROR(__xludf.DUMMYFUNCTION("""COMPUTED_VALUE"""),65.34)</f>
        <v>65.34</v>
      </c>
      <c r="T941" s="1">
        <f ca="1">IFERROR(__xludf.DUMMYFUNCTION("""COMPUTED_VALUE"""),54.17)</f>
        <v>54.17</v>
      </c>
      <c r="U941" s="1">
        <f ca="1">IFERROR(__xludf.DUMMYFUNCTION("""COMPUTED_VALUE"""),90.17)</f>
        <v>90.17</v>
      </c>
      <c r="V941" s="1">
        <f ca="1">IFERROR(__xludf.DUMMYFUNCTION("""COMPUTED_VALUE"""),269.52)</f>
        <v>269.52</v>
      </c>
      <c r="W941" s="1">
        <f ca="1">IFERROR(__xludf.DUMMYFUNCTION("""COMPUTED_VALUE"""),408.75)</f>
        <v>408.75</v>
      </c>
      <c r="X941" s="1">
        <f ca="1">IFERROR(__xludf.DUMMYFUNCTION("""COMPUTED_VALUE"""),572.71)</f>
        <v>572.71</v>
      </c>
      <c r="Y941" s="1">
        <f ca="1">IFERROR(__xludf.DUMMYFUNCTION("""COMPUTED_VALUE"""),84.29)</f>
        <v>84.29</v>
      </c>
      <c r="Z941" s="1">
        <f ca="1">IFERROR(__xludf.DUMMYFUNCTION("""COMPUTED_VALUE"""),323.82)</f>
        <v>323.82</v>
      </c>
      <c r="AA941" s="1">
        <f ca="1">IFERROR(__xludf.DUMMYFUNCTION("""COMPUTED_VALUE"""),32.4)</f>
        <v>32.4</v>
      </c>
      <c r="AB941" s="1">
        <f ca="1">IFERROR(__xludf.DUMMYFUNCTION("""COMPUTED_VALUE"""),92)</f>
        <v>92</v>
      </c>
      <c r="AC941" s="1">
        <f ca="1">IFERROR(__xludf.DUMMYFUNCTION("""COMPUTED_VALUE"""),95.96)</f>
        <v>95.96</v>
      </c>
    </row>
    <row r="942" spans="1:29" x14ac:dyDescent="0.25">
      <c r="A942" s="2">
        <f ca="1">IFERROR(__xludf.DUMMYFUNCTION("""COMPUTED_VALUE"""),45196.6666666666)</f>
        <v>45196.666666666599</v>
      </c>
      <c r="B942" s="1">
        <f ca="1">IFERROR(__xludf.DUMMYFUNCTION("""COMPUTED_VALUE"""),170.43)</f>
        <v>170.43</v>
      </c>
      <c r="C942" s="1">
        <f ca="1">IFERROR(__xludf.DUMMYFUNCTION("""COMPUTED_VALUE"""),312.79)</f>
        <v>312.79000000000002</v>
      </c>
      <c r="D942" s="1">
        <f ca="1">IFERROR(__xludf.DUMMYFUNCTION("""COMPUTED_VALUE"""),125.98)</f>
        <v>125.98</v>
      </c>
      <c r="E942" s="1">
        <f ca="1">IFERROR(__xludf.DUMMYFUNCTION("""COMPUTED_VALUE"""),42.47)</f>
        <v>42.47</v>
      </c>
      <c r="F942" s="1">
        <f ca="1">IFERROR(__xludf.DUMMYFUNCTION("""COMPUTED_VALUE"""),297.74)</f>
        <v>297.74</v>
      </c>
      <c r="G942" s="1">
        <f ca="1">IFERROR(__xludf.DUMMYFUNCTION("""COMPUTED_VALUE"""),131.46)</f>
        <v>131.46</v>
      </c>
      <c r="H942" s="1">
        <f ca="1">IFERROR(__xludf.DUMMYFUNCTION("""COMPUTED_VALUE"""),240.5)</f>
        <v>240.5</v>
      </c>
      <c r="I942" s="1">
        <f ca="1">IFERROR(__xludf.DUMMYFUNCTION("""COMPUTED_VALUE"""),169.57)</f>
        <v>169.57</v>
      </c>
      <c r="J942" s="1">
        <f ca="1">IFERROR(__xludf.DUMMYFUNCTION("""COMPUTED_VALUE"""),563.53)</f>
        <v>563.53</v>
      </c>
      <c r="K942" s="1">
        <f ca="1">IFERROR(__xludf.DUMMYFUNCTION("""COMPUTED_VALUE"""),81.68)</f>
        <v>81.680000000000007</v>
      </c>
      <c r="L942" s="1">
        <f ca="1">IFERROR(__xludf.DUMMYFUNCTION("""COMPUTED_VALUE"""),502.6)</f>
        <v>502.6</v>
      </c>
      <c r="M942" s="1">
        <f ca="1">IFERROR(__xludf.DUMMYFUNCTION("""COMPUTED_VALUE"""),377.59)</f>
        <v>377.59</v>
      </c>
      <c r="N942" s="1">
        <f ca="1">IFERROR(__xludf.DUMMYFUNCTION("""COMPUTED_VALUE"""),145.78)</f>
        <v>145.78</v>
      </c>
      <c r="O942" s="1">
        <f ca="1">IFERROR(__xludf.DUMMYFUNCTION("""COMPUTED_VALUE"""),229.5)</f>
        <v>229.5</v>
      </c>
      <c r="P942" s="1">
        <f ca="1">IFERROR(__xludf.DUMMYFUNCTION("""COMPUTED_VALUE"""),157.11)</f>
        <v>157.11000000000001</v>
      </c>
      <c r="Q942" s="1">
        <f ca="1">IFERROR(__xludf.DUMMYFUNCTION("""COMPUTED_VALUE"""),503.73)</f>
        <v>503.73</v>
      </c>
      <c r="R942" s="1">
        <f ca="1">IFERROR(__xludf.DUMMYFUNCTION("""COMPUTED_VALUE"""),120.2)</f>
        <v>120.2</v>
      </c>
      <c r="S942" s="1">
        <f ca="1">IFERROR(__xludf.DUMMYFUNCTION("""COMPUTED_VALUE"""),59.96)</f>
        <v>59.96</v>
      </c>
      <c r="T942" s="1">
        <f ca="1">IFERROR(__xludf.DUMMYFUNCTION("""COMPUTED_VALUE"""),53.91)</f>
        <v>53.91</v>
      </c>
      <c r="U942" s="1">
        <f ca="1">IFERROR(__xludf.DUMMYFUNCTION("""COMPUTED_VALUE"""),89.42)</f>
        <v>89.42</v>
      </c>
      <c r="V942" s="1">
        <f ca="1">IFERROR(__xludf.DUMMYFUNCTION("""COMPUTED_VALUE"""),272.71)</f>
        <v>272.70999999999998</v>
      </c>
      <c r="W942" s="1">
        <f ca="1">IFERROR(__xludf.DUMMYFUNCTION("""COMPUTED_VALUE"""),408.72)</f>
        <v>408.72</v>
      </c>
      <c r="X942" s="1">
        <f ca="1">IFERROR(__xludf.DUMMYFUNCTION("""COMPUTED_VALUE"""),574.53)</f>
        <v>574.53</v>
      </c>
      <c r="Y942" s="1">
        <f ca="1">IFERROR(__xludf.DUMMYFUNCTION("""COMPUTED_VALUE"""),85.44)</f>
        <v>85.44</v>
      </c>
      <c r="Z942" s="1">
        <f ca="1">IFERROR(__xludf.DUMMYFUNCTION("""COMPUTED_VALUE"""),321.95)</f>
        <v>321.95</v>
      </c>
      <c r="AA942" s="1">
        <f ca="1">IFERROR(__xludf.DUMMYFUNCTION("""COMPUTED_VALUE"""),32.1)</f>
        <v>32.1</v>
      </c>
      <c r="AB942" s="1">
        <f ca="1">IFERROR(__xludf.DUMMYFUNCTION("""COMPUTED_VALUE"""),91.17)</f>
        <v>91.17</v>
      </c>
      <c r="AC942" s="1">
        <f ca="1">IFERROR(__xludf.DUMMYFUNCTION("""COMPUTED_VALUE"""),98.07)</f>
        <v>98.07</v>
      </c>
    </row>
    <row r="943" spans="1:29" x14ac:dyDescent="0.25">
      <c r="A943" s="2">
        <f ca="1">IFERROR(__xludf.DUMMYFUNCTION("""COMPUTED_VALUE"""),45197.6666666666)</f>
        <v>45197.666666666599</v>
      </c>
      <c r="B943" s="1">
        <f ca="1">IFERROR(__xludf.DUMMYFUNCTION("""COMPUTED_VALUE"""),170.69)</f>
        <v>170.69</v>
      </c>
      <c r="C943" s="1">
        <f ca="1">IFERROR(__xludf.DUMMYFUNCTION("""COMPUTED_VALUE"""),313.64)</f>
        <v>313.64</v>
      </c>
      <c r="D943" s="1">
        <f ca="1">IFERROR(__xludf.DUMMYFUNCTION("""COMPUTED_VALUE"""),125.98)</f>
        <v>125.98</v>
      </c>
      <c r="E943" s="1">
        <f ca="1">IFERROR(__xludf.DUMMYFUNCTION("""COMPUTED_VALUE"""),43.09)</f>
        <v>43.09</v>
      </c>
      <c r="F943" s="1">
        <f ca="1">IFERROR(__xludf.DUMMYFUNCTION("""COMPUTED_VALUE"""),303.96)</f>
        <v>303.95999999999998</v>
      </c>
      <c r="G943" s="1">
        <f ca="1">IFERROR(__xludf.DUMMYFUNCTION("""COMPUTED_VALUE"""),133.13)</f>
        <v>133.13</v>
      </c>
      <c r="H943" s="1">
        <f ca="1">IFERROR(__xludf.DUMMYFUNCTION("""COMPUTED_VALUE"""),246.38)</f>
        <v>246.38</v>
      </c>
      <c r="I943" s="1">
        <f ca="1">IFERROR(__xludf.DUMMYFUNCTION("""COMPUTED_VALUE"""),169.5)</f>
        <v>169.5</v>
      </c>
      <c r="J943" s="1">
        <f ca="1">IFERROR(__xludf.DUMMYFUNCTION("""COMPUTED_VALUE"""),568.63)</f>
        <v>568.63</v>
      </c>
      <c r="K943" s="1">
        <f ca="1">IFERROR(__xludf.DUMMYFUNCTION("""COMPUTED_VALUE"""),83.2)</f>
        <v>83.2</v>
      </c>
      <c r="L943" s="1">
        <f ca="1">IFERROR(__xludf.DUMMYFUNCTION("""COMPUTED_VALUE"""),504.67)</f>
        <v>504.67</v>
      </c>
      <c r="M943" s="1">
        <f ca="1">IFERROR(__xludf.DUMMYFUNCTION("""COMPUTED_VALUE"""),376.36)</f>
        <v>376.36</v>
      </c>
      <c r="N943" s="1">
        <f ca="1">IFERROR(__xludf.DUMMYFUNCTION("""COMPUTED_VALUE"""),147.59)</f>
        <v>147.59</v>
      </c>
      <c r="O943" s="1">
        <f ca="1">IFERROR(__xludf.DUMMYFUNCTION("""COMPUTED_VALUE"""),231.66)</f>
        <v>231.66</v>
      </c>
      <c r="P943" s="1">
        <f ca="1">IFERROR(__xludf.DUMMYFUNCTION("""COMPUTED_VALUE"""),156.88)</f>
        <v>156.88</v>
      </c>
      <c r="Q943" s="1">
        <f ca="1">IFERROR(__xludf.DUMMYFUNCTION("""COMPUTED_VALUE"""),510.1)</f>
        <v>510.1</v>
      </c>
      <c r="R943" s="1">
        <f ca="1">IFERROR(__xludf.DUMMYFUNCTION("""COMPUTED_VALUE"""),119.47)</f>
        <v>119.47</v>
      </c>
      <c r="S943" s="1">
        <f ca="1">IFERROR(__xludf.DUMMYFUNCTION("""COMPUTED_VALUE"""),57.08)</f>
        <v>57.08</v>
      </c>
      <c r="T943" s="1">
        <f ca="1">IFERROR(__xludf.DUMMYFUNCTION("""COMPUTED_VALUE"""),54.18)</f>
        <v>54.18</v>
      </c>
      <c r="U943" s="1">
        <f ca="1">IFERROR(__xludf.DUMMYFUNCTION("""COMPUTED_VALUE"""),89.63)</f>
        <v>89.63</v>
      </c>
      <c r="V943" s="1">
        <f ca="1">IFERROR(__xludf.DUMMYFUNCTION("""COMPUTED_VALUE"""),276.24)</f>
        <v>276.24</v>
      </c>
      <c r="W943" s="1">
        <f ca="1">IFERROR(__xludf.DUMMYFUNCTION("""COMPUTED_VALUE"""),410.96)</f>
        <v>410.96</v>
      </c>
      <c r="X943" s="1">
        <f ca="1">IFERROR(__xludf.DUMMYFUNCTION("""COMPUTED_VALUE"""),580.65)</f>
        <v>580.65</v>
      </c>
      <c r="Y943" s="1">
        <f ca="1">IFERROR(__xludf.DUMMYFUNCTION("""COMPUTED_VALUE"""),86.41)</f>
        <v>86.41</v>
      </c>
      <c r="Z943" s="1">
        <f ca="1">IFERROR(__xludf.DUMMYFUNCTION("""COMPUTED_VALUE"""),325.2)</f>
        <v>325.2</v>
      </c>
      <c r="AA943" s="1">
        <f ca="1">IFERROR(__xludf.DUMMYFUNCTION("""COMPUTED_VALUE"""),32.09)</f>
        <v>32.090000000000003</v>
      </c>
      <c r="AB943" s="1">
        <f ca="1">IFERROR(__xludf.DUMMYFUNCTION("""COMPUTED_VALUE"""),91.08)</f>
        <v>91.08</v>
      </c>
      <c r="AC943" s="1">
        <f ca="1">IFERROR(__xludf.DUMMYFUNCTION("""COMPUTED_VALUE"""),102.76)</f>
        <v>102.76</v>
      </c>
    </row>
    <row r="944" spans="1:29" x14ac:dyDescent="0.25">
      <c r="A944" s="2">
        <f ca="1">IFERROR(__xludf.DUMMYFUNCTION("""COMPUTED_VALUE"""),45198.6666666666)</f>
        <v>45198.666666666599</v>
      </c>
      <c r="B944" s="1">
        <f ca="1">IFERROR(__xludf.DUMMYFUNCTION("""COMPUTED_VALUE"""),171.21)</f>
        <v>171.21</v>
      </c>
      <c r="C944" s="1">
        <f ca="1">IFERROR(__xludf.DUMMYFUNCTION("""COMPUTED_VALUE"""),315.75)</f>
        <v>315.75</v>
      </c>
      <c r="D944" s="1">
        <f ca="1">IFERROR(__xludf.DUMMYFUNCTION("""COMPUTED_VALUE"""),127.12)</f>
        <v>127.12</v>
      </c>
      <c r="E944" s="1">
        <f ca="1">IFERROR(__xludf.DUMMYFUNCTION("""COMPUTED_VALUE"""),43.5)</f>
        <v>43.5</v>
      </c>
      <c r="F944" s="1">
        <f ca="1">IFERROR(__xludf.DUMMYFUNCTION("""COMPUTED_VALUE"""),300.21)</f>
        <v>300.20999999999998</v>
      </c>
      <c r="G944" s="1">
        <f ca="1">IFERROR(__xludf.DUMMYFUNCTION("""COMPUTED_VALUE"""),131.85)</f>
        <v>131.85</v>
      </c>
      <c r="H944" s="1">
        <f ca="1">IFERROR(__xludf.DUMMYFUNCTION("""COMPUTED_VALUE"""),250.22)</f>
        <v>250.22</v>
      </c>
      <c r="I944" s="1">
        <f ca="1">IFERROR(__xludf.DUMMYFUNCTION("""COMPUTED_VALUE"""),169.44)</f>
        <v>169.44</v>
      </c>
      <c r="J944" s="1">
        <f ca="1">IFERROR(__xludf.DUMMYFUNCTION("""COMPUTED_VALUE"""),564.96)</f>
        <v>564.96</v>
      </c>
      <c r="K944" s="1">
        <f ca="1">IFERROR(__xludf.DUMMYFUNCTION("""COMPUTED_VALUE"""),83.06)</f>
        <v>83.06</v>
      </c>
      <c r="L944" s="1">
        <f ca="1">IFERROR(__xludf.DUMMYFUNCTION("""COMPUTED_VALUE"""),509.9)</f>
        <v>509.9</v>
      </c>
      <c r="M944" s="1">
        <f ca="1">IFERROR(__xludf.DUMMYFUNCTION("""COMPUTED_VALUE"""),377.6)</f>
        <v>377.6</v>
      </c>
      <c r="N944" s="1">
        <f ca="1">IFERROR(__xludf.DUMMYFUNCTION("""COMPUTED_VALUE"""),145.02)</f>
        <v>145.02000000000001</v>
      </c>
      <c r="O944" s="1">
        <f ca="1">IFERROR(__xludf.DUMMYFUNCTION("""COMPUTED_VALUE"""),230.01)</f>
        <v>230.01</v>
      </c>
      <c r="P944" s="1">
        <f ca="1">IFERROR(__xludf.DUMMYFUNCTION("""COMPUTED_VALUE"""),155.75)</f>
        <v>155.75</v>
      </c>
      <c r="Q944" s="1">
        <f ca="1">IFERROR(__xludf.DUMMYFUNCTION("""COMPUTED_VALUE"""),504.19)</f>
        <v>504.19</v>
      </c>
      <c r="R944" s="1">
        <f ca="1">IFERROR(__xludf.DUMMYFUNCTION("""COMPUTED_VALUE"""),117.58)</f>
        <v>117.58</v>
      </c>
      <c r="S944" s="1">
        <f ca="1">IFERROR(__xludf.DUMMYFUNCTION("""COMPUTED_VALUE"""),57.29)</f>
        <v>57.29</v>
      </c>
      <c r="T944" s="1">
        <f ca="1">IFERROR(__xludf.DUMMYFUNCTION("""COMPUTED_VALUE"""),53.31)</f>
        <v>53.31</v>
      </c>
      <c r="U944" s="1">
        <f ca="1">IFERROR(__xludf.DUMMYFUNCTION("""COMPUTED_VALUE"""),95.62)</f>
        <v>95.62</v>
      </c>
      <c r="V944" s="1">
        <f ca="1">IFERROR(__xludf.DUMMYFUNCTION("""COMPUTED_VALUE"""),273)</f>
        <v>273</v>
      </c>
      <c r="W944" s="1">
        <f ca="1">IFERROR(__xludf.DUMMYFUNCTION("""COMPUTED_VALUE"""),408.96)</f>
        <v>408.96</v>
      </c>
      <c r="X944" s="1">
        <f ca="1">IFERROR(__xludf.DUMMYFUNCTION("""COMPUTED_VALUE"""),588.66)</f>
        <v>588.66</v>
      </c>
      <c r="Y944" s="1">
        <f ca="1">IFERROR(__xludf.DUMMYFUNCTION("""COMPUTED_VALUE"""),86.9)</f>
        <v>86.9</v>
      </c>
      <c r="Z944" s="1">
        <f ca="1">IFERROR(__xludf.DUMMYFUNCTION("""COMPUTED_VALUE"""),323.57)</f>
        <v>323.57</v>
      </c>
      <c r="AA944" s="1">
        <f ca="1">IFERROR(__xludf.DUMMYFUNCTION("""COMPUTED_VALUE"""),33.17)</f>
        <v>33.17</v>
      </c>
      <c r="AB944" s="1">
        <f ca="1">IFERROR(__xludf.DUMMYFUNCTION("""COMPUTED_VALUE"""),91.27)</f>
        <v>91.27</v>
      </c>
      <c r="AC944" s="1">
        <f ca="1">IFERROR(__xludf.DUMMYFUNCTION("""COMPUTED_VALUE"""),102.82)</f>
        <v>102.82</v>
      </c>
    </row>
    <row r="945" spans="1:29" x14ac:dyDescent="0.25">
      <c r="A945" s="2">
        <f ca="1">IFERROR(__xludf.DUMMYFUNCTION("""COMPUTED_VALUE"""),45201.6666666666)</f>
        <v>45201.666666666599</v>
      </c>
      <c r="B945" s="1">
        <f ca="1">IFERROR(__xludf.DUMMYFUNCTION("""COMPUTED_VALUE"""),173.75)</f>
        <v>173.75</v>
      </c>
      <c r="C945" s="1">
        <f ca="1">IFERROR(__xludf.DUMMYFUNCTION("""COMPUTED_VALUE"""),321.8)</f>
        <v>321.8</v>
      </c>
      <c r="D945" s="1">
        <f ca="1">IFERROR(__xludf.DUMMYFUNCTION("""COMPUTED_VALUE"""),129.46)</f>
        <v>129.46</v>
      </c>
      <c r="E945" s="1">
        <f ca="1">IFERROR(__xludf.DUMMYFUNCTION("""COMPUTED_VALUE"""),44.78)</f>
        <v>44.78</v>
      </c>
      <c r="F945" s="1">
        <f ca="1">IFERROR(__xludf.DUMMYFUNCTION("""COMPUTED_VALUE"""),306.82)</f>
        <v>306.82</v>
      </c>
      <c r="G945" s="1">
        <f ca="1">IFERROR(__xludf.DUMMYFUNCTION("""COMPUTED_VALUE"""),135.17)</f>
        <v>135.16999999999999</v>
      </c>
      <c r="H945" s="1">
        <f ca="1">IFERROR(__xludf.DUMMYFUNCTION("""COMPUTED_VALUE"""),251.6)</f>
        <v>251.6</v>
      </c>
      <c r="I945" s="1">
        <f ca="1">IFERROR(__xludf.DUMMYFUNCTION("""COMPUTED_VALUE"""),169.17)</f>
        <v>169.17</v>
      </c>
      <c r="J945" s="1">
        <f ca="1">IFERROR(__xludf.DUMMYFUNCTION("""COMPUTED_VALUE"""),571.31)</f>
        <v>571.30999999999995</v>
      </c>
      <c r="K945" s="1">
        <f ca="1">IFERROR(__xludf.DUMMYFUNCTION("""COMPUTED_VALUE"""),83.5)</f>
        <v>83.5</v>
      </c>
      <c r="L945" s="1">
        <f ca="1">IFERROR(__xludf.DUMMYFUNCTION("""COMPUTED_VALUE"""),521.13)</f>
        <v>521.13</v>
      </c>
      <c r="M945" s="1">
        <f ca="1">IFERROR(__xludf.DUMMYFUNCTION("""COMPUTED_VALUE"""),380.33)</f>
        <v>380.33</v>
      </c>
      <c r="N945" s="1">
        <f ca="1">IFERROR(__xludf.DUMMYFUNCTION("""COMPUTED_VALUE"""),143.77)</f>
        <v>143.77000000000001</v>
      </c>
      <c r="O945" s="1">
        <f ca="1">IFERROR(__xludf.DUMMYFUNCTION("""COMPUTED_VALUE"""),231.27)</f>
        <v>231.27</v>
      </c>
      <c r="P945" s="1">
        <f ca="1">IFERROR(__xludf.DUMMYFUNCTION("""COMPUTED_VALUE"""),155.15)</f>
        <v>155.15</v>
      </c>
      <c r="Q945" s="1">
        <f ca="1">IFERROR(__xludf.DUMMYFUNCTION("""COMPUTED_VALUE"""),514.57)</f>
        <v>514.57000000000005</v>
      </c>
      <c r="R945" s="1">
        <f ca="1">IFERROR(__xludf.DUMMYFUNCTION("""COMPUTED_VALUE"""),115.63)</f>
        <v>115.63</v>
      </c>
      <c r="S945" s="1">
        <f ca="1">IFERROR(__xludf.DUMMYFUNCTION("""COMPUTED_VALUE"""),52.15)</f>
        <v>52.15</v>
      </c>
      <c r="T945" s="1">
        <f ca="1">IFERROR(__xludf.DUMMYFUNCTION("""COMPUTED_VALUE"""),53.37)</f>
        <v>53.37</v>
      </c>
      <c r="U945" s="1">
        <f ca="1">IFERROR(__xludf.DUMMYFUNCTION("""COMPUTED_VALUE"""),94.56)</f>
        <v>94.56</v>
      </c>
      <c r="V945" s="1">
        <f ca="1">IFERROR(__xludf.DUMMYFUNCTION("""COMPUTED_VALUE"""),271.72)</f>
        <v>271.72000000000003</v>
      </c>
      <c r="W945" s="1">
        <f ca="1">IFERROR(__xludf.DUMMYFUNCTION("""COMPUTED_VALUE"""),407.82)</f>
        <v>407.82</v>
      </c>
      <c r="X945" s="1">
        <f ca="1">IFERROR(__xludf.DUMMYFUNCTION("""COMPUTED_VALUE"""),582.18)</f>
        <v>582.17999999999995</v>
      </c>
      <c r="Y945" s="1">
        <f ca="1">IFERROR(__xludf.DUMMYFUNCTION("""COMPUTED_VALUE"""),87.65)</f>
        <v>87.65</v>
      </c>
      <c r="Z945" s="1">
        <f ca="1">IFERROR(__xludf.DUMMYFUNCTION("""COMPUTED_VALUE"""),318.5)</f>
        <v>318.5</v>
      </c>
      <c r="AA945" s="1">
        <f ca="1">IFERROR(__xludf.DUMMYFUNCTION("""COMPUTED_VALUE"""),33.94)</f>
        <v>33.94</v>
      </c>
      <c r="AB945" s="1">
        <f ca="1">IFERROR(__xludf.DUMMYFUNCTION("""COMPUTED_VALUE"""),91.13)</f>
        <v>91.13</v>
      </c>
      <c r="AC945" s="1">
        <f ca="1">IFERROR(__xludf.DUMMYFUNCTION("""COMPUTED_VALUE"""),103.27)</f>
        <v>103.27</v>
      </c>
    </row>
    <row r="946" spans="1:29" x14ac:dyDescent="0.25">
      <c r="A946" s="2">
        <f ca="1">IFERROR(__xludf.DUMMYFUNCTION("""COMPUTED_VALUE"""),45202.6666666666)</f>
        <v>45202.666666666599</v>
      </c>
      <c r="B946" s="1">
        <f ca="1">IFERROR(__xludf.DUMMYFUNCTION("""COMPUTED_VALUE"""),172.4)</f>
        <v>172.4</v>
      </c>
      <c r="C946" s="1">
        <f ca="1">IFERROR(__xludf.DUMMYFUNCTION("""COMPUTED_VALUE"""),313.39)</f>
        <v>313.39</v>
      </c>
      <c r="D946" s="1">
        <f ca="1">IFERROR(__xludf.DUMMYFUNCTION("""COMPUTED_VALUE"""),124.72)</f>
        <v>124.72</v>
      </c>
      <c r="E946" s="1">
        <f ca="1">IFERROR(__xludf.DUMMYFUNCTION("""COMPUTED_VALUE"""),43.52)</f>
        <v>43.52</v>
      </c>
      <c r="F946" s="1">
        <f ca="1">IFERROR(__xludf.DUMMYFUNCTION("""COMPUTED_VALUE"""),300.94)</f>
        <v>300.94</v>
      </c>
      <c r="G946" s="1">
        <f ca="1">IFERROR(__xludf.DUMMYFUNCTION("""COMPUTED_VALUE"""),133.3)</f>
        <v>133.30000000000001</v>
      </c>
      <c r="H946" s="1">
        <f ca="1">IFERROR(__xludf.DUMMYFUNCTION("""COMPUTED_VALUE"""),246.53)</f>
        <v>246.53</v>
      </c>
      <c r="I946" s="1">
        <f ca="1">IFERROR(__xludf.DUMMYFUNCTION("""COMPUTED_VALUE"""),167.7)</f>
        <v>167.7</v>
      </c>
      <c r="J946" s="1">
        <f ca="1">IFERROR(__xludf.DUMMYFUNCTION("""COMPUTED_VALUE"""),565.04)</f>
        <v>565.04</v>
      </c>
      <c r="K946" s="1">
        <f ca="1">IFERROR(__xludf.DUMMYFUNCTION("""COMPUTED_VALUE"""),81.48)</f>
        <v>81.48</v>
      </c>
      <c r="L946" s="1">
        <f ca="1">IFERROR(__xludf.DUMMYFUNCTION("""COMPUTED_VALUE"""),507.03)</f>
        <v>507.03</v>
      </c>
      <c r="M946" s="1">
        <f ca="1">IFERROR(__xludf.DUMMYFUNCTION("""COMPUTED_VALUE"""),376.75)</f>
        <v>376.75</v>
      </c>
      <c r="N946" s="1">
        <f ca="1">IFERROR(__xludf.DUMMYFUNCTION("""COMPUTED_VALUE"""),142.71)</f>
        <v>142.71</v>
      </c>
      <c r="O946" s="1">
        <f ca="1">IFERROR(__xludf.DUMMYFUNCTION("""COMPUTED_VALUE"""),228.81)</f>
        <v>228.81</v>
      </c>
      <c r="P946" s="1">
        <f ca="1">IFERROR(__xludf.DUMMYFUNCTION("""COMPUTED_VALUE"""),155.34)</f>
        <v>155.34</v>
      </c>
      <c r="Q946" s="1">
        <f ca="1">IFERROR(__xludf.DUMMYFUNCTION("""COMPUTED_VALUE"""),509.47)</f>
        <v>509.47</v>
      </c>
      <c r="R946" s="1">
        <f ca="1">IFERROR(__xludf.DUMMYFUNCTION("""COMPUTED_VALUE"""),115.83)</f>
        <v>115.83</v>
      </c>
      <c r="S946" s="1">
        <f ca="1">IFERROR(__xludf.DUMMYFUNCTION("""COMPUTED_VALUE"""),52.78)</f>
        <v>52.78</v>
      </c>
      <c r="T946" s="1">
        <f ca="1">IFERROR(__xludf.DUMMYFUNCTION("""COMPUTED_VALUE"""),53.03)</f>
        <v>53.03</v>
      </c>
      <c r="U946" s="1">
        <f ca="1">IFERROR(__xludf.DUMMYFUNCTION("""COMPUTED_VALUE"""),95.09)</f>
        <v>95.09</v>
      </c>
      <c r="V946" s="1">
        <f ca="1">IFERROR(__xludf.DUMMYFUNCTION("""COMPUTED_VALUE"""),268.97)</f>
        <v>268.97000000000003</v>
      </c>
      <c r="W946" s="1">
        <f ca="1">IFERROR(__xludf.DUMMYFUNCTION("""COMPUTED_VALUE"""),403.83)</f>
        <v>403.83</v>
      </c>
      <c r="X946" s="1">
        <f ca="1">IFERROR(__xludf.DUMMYFUNCTION("""COMPUTED_VALUE"""),570.6)</f>
        <v>570.6</v>
      </c>
      <c r="Y946" s="1">
        <f ca="1">IFERROR(__xludf.DUMMYFUNCTION("""COMPUTED_VALUE"""),85.41)</f>
        <v>85.41</v>
      </c>
      <c r="Z946" s="1">
        <f ca="1">IFERROR(__xludf.DUMMYFUNCTION("""COMPUTED_VALUE"""),306.12)</f>
        <v>306.12</v>
      </c>
      <c r="AA946" s="1">
        <f ca="1">IFERROR(__xludf.DUMMYFUNCTION("""COMPUTED_VALUE"""),33.9)</f>
        <v>33.9</v>
      </c>
      <c r="AB946" s="1">
        <f ca="1">IFERROR(__xludf.DUMMYFUNCTION("""COMPUTED_VALUE"""),89.48)</f>
        <v>89.48</v>
      </c>
      <c r="AC946" s="1">
        <f ca="1">IFERROR(__xludf.DUMMYFUNCTION("""COMPUTED_VALUE"""),100.08)</f>
        <v>100.08</v>
      </c>
    </row>
    <row r="947" spans="1:29" x14ac:dyDescent="0.25">
      <c r="A947" s="2">
        <f ca="1">IFERROR(__xludf.DUMMYFUNCTION("""COMPUTED_VALUE"""),45203.6666666666)</f>
        <v>45203.666666666599</v>
      </c>
      <c r="B947" s="1">
        <f ca="1">IFERROR(__xludf.DUMMYFUNCTION("""COMPUTED_VALUE"""),173.66)</f>
        <v>173.66</v>
      </c>
      <c r="C947" s="1">
        <f ca="1">IFERROR(__xludf.DUMMYFUNCTION("""COMPUTED_VALUE"""),318.96)</f>
        <v>318.95999999999998</v>
      </c>
      <c r="D947" s="1">
        <f ca="1">IFERROR(__xludf.DUMMYFUNCTION("""COMPUTED_VALUE"""),127)</f>
        <v>127</v>
      </c>
      <c r="E947" s="1">
        <f ca="1">IFERROR(__xludf.DUMMYFUNCTION("""COMPUTED_VALUE"""),44.04)</f>
        <v>44.04</v>
      </c>
      <c r="F947" s="1">
        <f ca="1">IFERROR(__xludf.DUMMYFUNCTION("""COMPUTED_VALUE"""),305.58)</f>
        <v>305.58</v>
      </c>
      <c r="G947" s="1">
        <f ca="1">IFERROR(__xludf.DUMMYFUNCTION("""COMPUTED_VALUE"""),136.27)</f>
        <v>136.27000000000001</v>
      </c>
      <c r="H947" s="1">
        <f ca="1">IFERROR(__xludf.DUMMYFUNCTION("""COMPUTED_VALUE"""),261.16)</f>
        <v>261.16000000000003</v>
      </c>
      <c r="I947" s="1">
        <f ca="1">IFERROR(__xludf.DUMMYFUNCTION("""COMPUTED_VALUE"""),168.91)</f>
        <v>168.91</v>
      </c>
      <c r="J947" s="1">
        <f ca="1">IFERROR(__xludf.DUMMYFUNCTION("""COMPUTED_VALUE"""),571.8)</f>
        <v>571.79999999999995</v>
      </c>
      <c r="K947" s="1">
        <f ca="1">IFERROR(__xludf.DUMMYFUNCTION("""COMPUTED_VALUE"""),82.38)</f>
        <v>82.38</v>
      </c>
      <c r="L947" s="1">
        <f ca="1">IFERROR(__xludf.DUMMYFUNCTION("""COMPUTED_VALUE"""),518.42)</f>
        <v>518.41999999999996</v>
      </c>
      <c r="M947" s="1">
        <f ca="1">IFERROR(__xludf.DUMMYFUNCTION("""COMPUTED_VALUE"""),376.9)</f>
        <v>376.9</v>
      </c>
      <c r="N947" s="1">
        <f ca="1">IFERROR(__xludf.DUMMYFUNCTION("""COMPUTED_VALUE"""),143.35)</f>
        <v>143.35</v>
      </c>
      <c r="O947" s="1">
        <f ca="1">IFERROR(__xludf.DUMMYFUNCTION("""COMPUTED_VALUE"""),231.22)</f>
        <v>231.22</v>
      </c>
      <c r="P947" s="1">
        <f ca="1">IFERROR(__xludf.DUMMYFUNCTION("""COMPUTED_VALUE"""),155.52)</f>
        <v>155.52000000000001</v>
      </c>
      <c r="Q947" s="1">
        <f ca="1">IFERROR(__xludf.DUMMYFUNCTION("""COMPUTED_VALUE"""),510.62)</f>
        <v>510.62</v>
      </c>
      <c r="R947" s="1">
        <f ca="1">IFERROR(__xludf.DUMMYFUNCTION("""COMPUTED_VALUE"""),111.5)</f>
        <v>111.5</v>
      </c>
      <c r="S947" s="1">
        <f ca="1">IFERROR(__xludf.DUMMYFUNCTION("""COMPUTED_VALUE"""),50.62)</f>
        <v>50.62</v>
      </c>
      <c r="T947" s="1">
        <f ca="1">IFERROR(__xludf.DUMMYFUNCTION("""COMPUTED_VALUE"""),53.67)</f>
        <v>53.67</v>
      </c>
      <c r="U947" s="1">
        <f ca="1">IFERROR(__xludf.DUMMYFUNCTION("""COMPUTED_VALUE"""),95.89)</f>
        <v>95.89</v>
      </c>
      <c r="V947" s="1">
        <f ca="1">IFERROR(__xludf.DUMMYFUNCTION("""COMPUTED_VALUE"""),265.03)</f>
        <v>265.02999999999997</v>
      </c>
      <c r="W947" s="1">
        <f ca="1">IFERROR(__xludf.DUMMYFUNCTION("""COMPUTED_VALUE"""),401.33)</f>
        <v>401.33</v>
      </c>
      <c r="X947" s="1">
        <f ca="1">IFERROR(__xludf.DUMMYFUNCTION("""COMPUTED_VALUE"""),590.86)</f>
        <v>590.86</v>
      </c>
      <c r="Y947" s="1">
        <f ca="1">IFERROR(__xludf.DUMMYFUNCTION("""COMPUTED_VALUE"""),86.67)</f>
        <v>86.67</v>
      </c>
      <c r="Z947" s="1">
        <f ca="1">IFERROR(__xludf.DUMMYFUNCTION("""COMPUTED_VALUE"""),308.6)</f>
        <v>308.60000000000002</v>
      </c>
      <c r="AA947" s="1">
        <f ca="1">IFERROR(__xludf.DUMMYFUNCTION("""COMPUTED_VALUE"""),33.31)</f>
        <v>33.31</v>
      </c>
      <c r="AB947" s="1">
        <f ca="1">IFERROR(__xludf.DUMMYFUNCTION("""COMPUTED_VALUE"""),91.15)</f>
        <v>91.15</v>
      </c>
      <c r="AC947" s="1">
        <f ca="1">IFERROR(__xludf.DUMMYFUNCTION("""COMPUTED_VALUE"""),104.07)</f>
        <v>104.07</v>
      </c>
    </row>
    <row r="948" spans="1:29" x14ac:dyDescent="0.25">
      <c r="A948" s="2">
        <f ca="1">IFERROR(__xludf.DUMMYFUNCTION("""COMPUTED_VALUE"""),45204.6666666666)</f>
        <v>45204.666666666599</v>
      </c>
      <c r="B948" s="1">
        <f ca="1">IFERROR(__xludf.DUMMYFUNCTION("""COMPUTED_VALUE"""),174.91)</f>
        <v>174.91</v>
      </c>
      <c r="C948" s="1">
        <f ca="1">IFERROR(__xludf.DUMMYFUNCTION("""COMPUTED_VALUE"""),319.36)</f>
        <v>319.36</v>
      </c>
      <c r="D948" s="1">
        <f ca="1">IFERROR(__xludf.DUMMYFUNCTION("""COMPUTED_VALUE"""),125.96)</f>
        <v>125.96</v>
      </c>
      <c r="E948" s="1">
        <f ca="1">IFERROR(__xludf.DUMMYFUNCTION("""COMPUTED_VALUE"""),44.69)</f>
        <v>44.69</v>
      </c>
      <c r="F948" s="1">
        <f ca="1">IFERROR(__xludf.DUMMYFUNCTION("""COMPUTED_VALUE"""),304.79)</f>
        <v>304.79000000000002</v>
      </c>
      <c r="G948" s="1">
        <f ca="1">IFERROR(__xludf.DUMMYFUNCTION("""COMPUTED_VALUE"""),135.99)</f>
        <v>135.99</v>
      </c>
      <c r="H948" s="1">
        <f ca="1">IFERROR(__xludf.DUMMYFUNCTION("""COMPUTED_VALUE"""),260.05)</f>
        <v>260.05</v>
      </c>
      <c r="I948" s="1">
        <f ca="1">IFERROR(__xludf.DUMMYFUNCTION("""COMPUTED_VALUE"""),160.1)</f>
        <v>160.1</v>
      </c>
      <c r="J948" s="1">
        <f ca="1">IFERROR(__xludf.DUMMYFUNCTION("""COMPUTED_VALUE"""),569.52)</f>
        <v>569.52</v>
      </c>
      <c r="K948" s="1">
        <f ca="1">IFERROR(__xludf.DUMMYFUNCTION("""COMPUTED_VALUE"""),82.39)</f>
        <v>82.39</v>
      </c>
      <c r="L948" s="1">
        <f ca="1">IFERROR(__xludf.DUMMYFUNCTION("""COMPUTED_VALUE"""),516.44)</f>
        <v>516.44000000000005</v>
      </c>
      <c r="M948" s="1">
        <f ca="1">IFERROR(__xludf.DUMMYFUNCTION("""COMPUTED_VALUE"""),372.59)</f>
        <v>372.59</v>
      </c>
      <c r="N948" s="1">
        <f ca="1">IFERROR(__xludf.DUMMYFUNCTION("""COMPUTED_VALUE"""),142.9)</f>
        <v>142.9</v>
      </c>
      <c r="O948" s="1">
        <f ca="1">IFERROR(__xludf.DUMMYFUNCTION("""COMPUTED_VALUE"""),233.48)</f>
        <v>233.48</v>
      </c>
      <c r="P948" s="1">
        <f ca="1">IFERROR(__xludf.DUMMYFUNCTION("""COMPUTED_VALUE"""),157.14)</f>
        <v>157.13999999999999</v>
      </c>
      <c r="Q948" s="1">
        <f ca="1">IFERROR(__xludf.DUMMYFUNCTION("""COMPUTED_VALUE"""),516.23)</f>
        <v>516.23</v>
      </c>
      <c r="R948" s="1">
        <f ca="1">IFERROR(__xludf.DUMMYFUNCTION("""COMPUTED_VALUE"""),108.99)</f>
        <v>108.99</v>
      </c>
      <c r="S948" s="1">
        <f ca="1">IFERROR(__xludf.DUMMYFUNCTION("""COMPUTED_VALUE"""),49.45)</f>
        <v>49.45</v>
      </c>
      <c r="T948" s="1">
        <f ca="1">IFERROR(__xludf.DUMMYFUNCTION("""COMPUTED_VALUE"""),53.03)</f>
        <v>53.03</v>
      </c>
      <c r="U948" s="1">
        <f ca="1">IFERROR(__xludf.DUMMYFUNCTION("""COMPUTED_VALUE"""),95.79)</f>
        <v>95.79</v>
      </c>
      <c r="V948" s="1">
        <f ca="1">IFERROR(__xludf.DUMMYFUNCTION("""COMPUTED_VALUE"""),260.8)</f>
        <v>260.8</v>
      </c>
      <c r="W948" s="1">
        <f ca="1">IFERROR(__xludf.DUMMYFUNCTION("""COMPUTED_VALUE"""),397.35)</f>
        <v>397.35</v>
      </c>
      <c r="X948" s="1">
        <f ca="1">IFERROR(__xludf.DUMMYFUNCTION("""COMPUTED_VALUE"""),581.69)</f>
        <v>581.69000000000005</v>
      </c>
      <c r="Y948" s="1">
        <f ca="1">IFERROR(__xludf.DUMMYFUNCTION("""COMPUTED_VALUE"""),87.03)</f>
        <v>87.03</v>
      </c>
      <c r="Z948" s="1">
        <f ca="1">IFERROR(__xludf.DUMMYFUNCTION("""COMPUTED_VALUE"""),310.5)</f>
        <v>310.5</v>
      </c>
      <c r="AA948" s="1">
        <f ca="1">IFERROR(__xludf.DUMMYFUNCTION("""COMPUTED_VALUE"""),33.47)</f>
        <v>33.47</v>
      </c>
      <c r="AB948" s="1">
        <f ca="1">IFERROR(__xludf.DUMMYFUNCTION("""COMPUTED_VALUE"""),92.37)</f>
        <v>92.37</v>
      </c>
      <c r="AC948" s="1">
        <f ca="1">IFERROR(__xludf.DUMMYFUNCTION("""COMPUTED_VALUE"""),102.91)</f>
        <v>102.91</v>
      </c>
    </row>
    <row r="949" spans="1:29" x14ac:dyDescent="0.25">
      <c r="A949" s="2">
        <f ca="1">IFERROR(__xludf.DUMMYFUNCTION("""COMPUTED_VALUE"""),45205.6666666666)</f>
        <v>45205.666666666599</v>
      </c>
      <c r="B949" s="1">
        <f ca="1">IFERROR(__xludf.DUMMYFUNCTION("""COMPUTED_VALUE"""),177.49)</f>
        <v>177.49</v>
      </c>
      <c r="C949" s="1">
        <f ca="1">IFERROR(__xludf.DUMMYFUNCTION("""COMPUTED_VALUE"""),327.26)</f>
        <v>327.26</v>
      </c>
      <c r="D949" s="1">
        <f ca="1">IFERROR(__xludf.DUMMYFUNCTION("""COMPUTED_VALUE"""),127.96)</f>
        <v>127.96</v>
      </c>
      <c r="E949" s="1">
        <f ca="1">IFERROR(__xludf.DUMMYFUNCTION("""COMPUTED_VALUE"""),45.76)</f>
        <v>45.76</v>
      </c>
      <c r="F949" s="1">
        <f ca="1">IFERROR(__xludf.DUMMYFUNCTION("""COMPUTED_VALUE"""),315.43)</f>
        <v>315.43</v>
      </c>
      <c r="G949" s="1">
        <f ca="1">IFERROR(__xludf.DUMMYFUNCTION("""COMPUTED_VALUE"""),138.73)</f>
        <v>138.72999999999999</v>
      </c>
      <c r="H949" s="1">
        <f ca="1">IFERROR(__xludf.DUMMYFUNCTION("""COMPUTED_VALUE"""),260.53)</f>
        <v>260.52999999999997</v>
      </c>
      <c r="I949" s="1">
        <f ca="1">IFERROR(__xludf.DUMMYFUNCTION("""COMPUTED_VALUE"""),160.29)</f>
        <v>160.29</v>
      </c>
      <c r="J949" s="1">
        <f ca="1">IFERROR(__xludf.DUMMYFUNCTION("""COMPUTED_VALUE"""),557.53)</f>
        <v>557.53</v>
      </c>
      <c r="K949" s="1">
        <f ca="1">IFERROR(__xludf.DUMMYFUNCTION("""COMPUTED_VALUE"""),84.53)</f>
        <v>84.53</v>
      </c>
      <c r="L949" s="1">
        <f ca="1">IFERROR(__xludf.DUMMYFUNCTION("""COMPUTED_VALUE"""),526.68)</f>
        <v>526.67999999999995</v>
      </c>
      <c r="M949" s="1">
        <f ca="1">IFERROR(__xludf.DUMMYFUNCTION("""COMPUTED_VALUE"""),381.51)</f>
        <v>381.51</v>
      </c>
      <c r="N949" s="1">
        <f ca="1">IFERROR(__xludf.DUMMYFUNCTION("""COMPUTED_VALUE"""),145.1)</f>
        <v>145.1</v>
      </c>
      <c r="O949" s="1">
        <f ca="1">IFERROR(__xludf.DUMMYFUNCTION("""COMPUTED_VALUE"""),235.04)</f>
        <v>235.04</v>
      </c>
      <c r="P949" s="1">
        <f ca="1">IFERROR(__xludf.DUMMYFUNCTION("""COMPUTED_VALUE"""),157.64)</f>
        <v>157.63999999999999</v>
      </c>
      <c r="Q949" s="1">
        <f ca="1">IFERROR(__xludf.DUMMYFUNCTION("""COMPUTED_VALUE"""),524.81)</f>
        <v>524.80999999999995</v>
      </c>
      <c r="R949" s="1">
        <f ca="1">IFERROR(__xludf.DUMMYFUNCTION("""COMPUTED_VALUE"""),107.17)</f>
        <v>107.17</v>
      </c>
      <c r="S949" s="1">
        <f ca="1">IFERROR(__xludf.DUMMYFUNCTION("""COMPUTED_VALUE"""),50.24)</f>
        <v>50.24</v>
      </c>
      <c r="T949" s="1">
        <f ca="1">IFERROR(__xludf.DUMMYFUNCTION("""COMPUTED_VALUE"""),52.14)</f>
        <v>52.14</v>
      </c>
      <c r="U949" s="1">
        <f ca="1">IFERROR(__xludf.DUMMYFUNCTION("""COMPUTED_VALUE"""),97.11)</f>
        <v>97.11</v>
      </c>
      <c r="V949" s="1">
        <f ca="1">IFERROR(__xludf.DUMMYFUNCTION("""COMPUTED_VALUE"""),266.04)</f>
        <v>266.04000000000002</v>
      </c>
      <c r="W949" s="1">
        <f ca="1">IFERROR(__xludf.DUMMYFUNCTION("""COMPUTED_VALUE"""),400.73)</f>
        <v>400.73</v>
      </c>
      <c r="X949" s="1">
        <f ca="1">IFERROR(__xludf.DUMMYFUNCTION("""COMPUTED_VALUE"""),597.36)</f>
        <v>597.36</v>
      </c>
      <c r="Y949" s="1">
        <f ca="1">IFERROR(__xludf.DUMMYFUNCTION("""COMPUTED_VALUE"""),89.29)</f>
        <v>89.29</v>
      </c>
      <c r="Z949" s="1">
        <f ca="1">IFERROR(__xludf.DUMMYFUNCTION("""COMPUTED_VALUE"""),312.48)</f>
        <v>312.48</v>
      </c>
      <c r="AA949" s="1">
        <f ca="1">IFERROR(__xludf.DUMMYFUNCTION("""COMPUTED_VALUE"""),33.13)</f>
        <v>33.130000000000003</v>
      </c>
      <c r="AB949" s="1">
        <f ca="1">IFERROR(__xludf.DUMMYFUNCTION("""COMPUTED_VALUE"""),92.85)</f>
        <v>92.85</v>
      </c>
      <c r="AC949" s="1">
        <f ca="1">IFERROR(__xludf.DUMMYFUNCTION("""COMPUTED_VALUE"""),107.24)</f>
        <v>107.24</v>
      </c>
    </row>
    <row r="950" spans="1:29" x14ac:dyDescent="0.25">
      <c r="A950" s="2">
        <f ca="1">IFERROR(__xludf.DUMMYFUNCTION("""COMPUTED_VALUE"""),45208.6666666666)</f>
        <v>45208.666666666599</v>
      </c>
      <c r="B950" s="1">
        <f ca="1">IFERROR(__xludf.DUMMYFUNCTION("""COMPUTED_VALUE"""),178.99)</f>
        <v>178.99</v>
      </c>
      <c r="C950" s="1">
        <f ca="1">IFERROR(__xludf.DUMMYFUNCTION("""COMPUTED_VALUE"""),329.82)</f>
        <v>329.82</v>
      </c>
      <c r="D950" s="1">
        <f ca="1">IFERROR(__xludf.DUMMYFUNCTION("""COMPUTED_VALUE"""),128.26)</f>
        <v>128.26</v>
      </c>
      <c r="E950" s="1">
        <f ca="1">IFERROR(__xludf.DUMMYFUNCTION("""COMPUTED_VALUE"""),45.27)</f>
        <v>45.27</v>
      </c>
      <c r="F950" s="1">
        <f ca="1">IFERROR(__xludf.DUMMYFUNCTION("""COMPUTED_VALUE"""),318.36)</f>
        <v>318.36</v>
      </c>
      <c r="G950" s="1">
        <f ca="1">IFERROR(__xludf.DUMMYFUNCTION("""COMPUTED_VALUE"""),139.5)</f>
        <v>139.5</v>
      </c>
      <c r="H950" s="1">
        <f ca="1">IFERROR(__xludf.DUMMYFUNCTION("""COMPUTED_VALUE"""),259.67)</f>
        <v>259.67</v>
      </c>
      <c r="I950" s="1">
        <f ca="1">IFERROR(__xludf.DUMMYFUNCTION("""COMPUTED_VALUE"""),161.36)</f>
        <v>161.36000000000001</v>
      </c>
      <c r="J950" s="1">
        <f ca="1">IFERROR(__xludf.DUMMYFUNCTION("""COMPUTED_VALUE"""),558.97)</f>
        <v>558.97</v>
      </c>
      <c r="K950" s="1">
        <f ca="1">IFERROR(__xludf.DUMMYFUNCTION("""COMPUTED_VALUE"""),85.59)</f>
        <v>85.59</v>
      </c>
      <c r="L950" s="1">
        <f ca="1">IFERROR(__xludf.DUMMYFUNCTION("""COMPUTED_VALUE"""),529.29)</f>
        <v>529.29</v>
      </c>
      <c r="M950" s="1">
        <f ca="1">IFERROR(__xludf.DUMMYFUNCTION("""COMPUTED_VALUE"""),385.95)</f>
        <v>385.95</v>
      </c>
      <c r="N950" s="1">
        <f ca="1">IFERROR(__xludf.DUMMYFUNCTION("""COMPUTED_VALUE"""),144.77)</f>
        <v>144.77000000000001</v>
      </c>
      <c r="O950" s="1">
        <f ca="1">IFERROR(__xludf.DUMMYFUNCTION("""COMPUTED_VALUE"""),234.44)</f>
        <v>234.44</v>
      </c>
      <c r="P950" s="1">
        <f ca="1">IFERROR(__xludf.DUMMYFUNCTION("""COMPUTED_VALUE"""),158.54)</f>
        <v>158.54</v>
      </c>
      <c r="Q950" s="1">
        <f ca="1">IFERROR(__xludf.DUMMYFUNCTION("""COMPUTED_VALUE"""),526.51)</f>
        <v>526.51</v>
      </c>
      <c r="R950" s="1">
        <f ca="1">IFERROR(__xludf.DUMMYFUNCTION("""COMPUTED_VALUE"""),110.92)</f>
        <v>110.92</v>
      </c>
      <c r="S950" s="1">
        <f ca="1">IFERROR(__xludf.DUMMYFUNCTION("""COMPUTED_VALUE"""),49.32)</f>
        <v>49.32</v>
      </c>
      <c r="T950" s="1">
        <f ca="1">IFERROR(__xludf.DUMMYFUNCTION("""COMPUTED_VALUE"""),51.95)</f>
        <v>51.95</v>
      </c>
      <c r="U950" s="1">
        <f ca="1">IFERROR(__xludf.DUMMYFUNCTION("""COMPUTED_VALUE"""),96.88)</f>
        <v>96.88</v>
      </c>
      <c r="V950" s="1">
        <f ca="1">IFERROR(__xludf.DUMMYFUNCTION("""COMPUTED_VALUE"""),271.3)</f>
        <v>271.3</v>
      </c>
      <c r="W950" s="1">
        <f ca="1">IFERROR(__xludf.DUMMYFUNCTION("""COMPUTED_VALUE"""),436.53)</f>
        <v>436.53</v>
      </c>
      <c r="X950" s="1">
        <f ca="1">IFERROR(__xludf.DUMMYFUNCTION("""COMPUTED_VALUE"""),591.37)</f>
        <v>591.37</v>
      </c>
      <c r="Y950" s="1">
        <f ca="1">IFERROR(__xludf.DUMMYFUNCTION("""COMPUTED_VALUE"""),88.99)</f>
        <v>88.99</v>
      </c>
      <c r="Z950" s="1">
        <f ca="1">IFERROR(__xludf.DUMMYFUNCTION("""COMPUTED_VALUE"""),312.61)</f>
        <v>312.61</v>
      </c>
      <c r="AA950" s="1">
        <f ca="1">IFERROR(__xludf.DUMMYFUNCTION("""COMPUTED_VALUE"""),33.2)</f>
        <v>33.200000000000003</v>
      </c>
      <c r="AB950" s="1">
        <f ca="1">IFERROR(__xludf.DUMMYFUNCTION("""COMPUTED_VALUE"""),92.68)</f>
        <v>92.68</v>
      </c>
      <c r="AC950" s="1">
        <f ca="1">IFERROR(__xludf.DUMMYFUNCTION("""COMPUTED_VALUE"""),106.97)</f>
        <v>106.97</v>
      </c>
    </row>
    <row r="951" spans="1:29" x14ac:dyDescent="0.25">
      <c r="A951" s="2">
        <f ca="1">IFERROR(__xludf.DUMMYFUNCTION("""COMPUTED_VALUE"""),45209.6666666666)</f>
        <v>45209.666666666599</v>
      </c>
      <c r="B951" s="1">
        <f ca="1">IFERROR(__xludf.DUMMYFUNCTION("""COMPUTED_VALUE"""),178.39)</f>
        <v>178.39</v>
      </c>
      <c r="C951" s="1">
        <f ca="1">IFERROR(__xludf.DUMMYFUNCTION("""COMPUTED_VALUE"""),328.39)</f>
        <v>328.39</v>
      </c>
      <c r="D951" s="1">
        <f ca="1">IFERROR(__xludf.DUMMYFUNCTION("""COMPUTED_VALUE"""),129.48)</f>
        <v>129.47999999999999</v>
      </c>
      <c r="E951" s="1">
        <f ca="1">IFERROR(__xludf.DUMMYFUNCTION("""COMPUTED_VALUE"""),45.8)</f>
        <v>45.8</v>
      </c>
      <c r="F951" s="1">
        <f ca="1">IFERROR(__xludf.DUMMYFUNCTION("""COMPUTED_VALUE"""),321.84)</f>
        <v>321.83999999999997</v>
      </c>
      <c r="G951" s="1">
        <f ca="1">IFERROR(__xludf.DUMMYFUNCTION("""COMPUTED_VALUE"""),139.2)</f>
        <v>139.19999999999999</v>
      </c>
      <c r="H951" s="1">
        <f ca="1">IFERROR(__xludf.DUMMYFUNCTION("""COMPUTED_VALUE"""),263.62)</f>
        <v>263.62</v>
      </c>
      <c r="I951" s="1">
        <f ca="1">IFERROR(__xludf.DUMMYFUNCTION("""COMPUTED_VALUE"""),164.4)</f>
        <v>164.4</v>
      </c>
      <c r="J951" s="1">
        <f ca="1">IFERROR(__xludf.DUMMYFUNCTION("""COMPUTED_VALUE"""),562.09)</f>
        <v>562.09</v>
      </c>
      <c r="K951" s="1">
        <f ca="1">IFERROR(__xludf.DUMMYFUNCTION("""COMPUTED_VALUE"""),85.84)</f>
        <v>85.84</v>
      </c>
      <c r="L951" s="1">
        <f ca="1">IFERROR(__xludf.DUMMYFUNCTION("""COMPUTED_VALUE"""),532.72)</f>
        <v>532.72</v>
      </c>
      <c r="M951" s="1">
        <f ca="1">IFERROR(__xludf.DUMMYFUNCTION("""COMPUTED_VALUE"""),373.32)</f>
        <v>373.32</v>
      </c>
      <c r="N951" s="1">
        <f ca="1">IFERROR(__xludf.DUMMYFUNCTION("""COMPUTED_VALUE"""),145.65)</f>
        <v>145.65</v>
      </c>
      <c r="O951" s="1">
        <f ca="1">IFERROR(__xludf.DUMMYFUNCTION("""COMPUTED_VALUE"""),236.6)</f>
        <v>236.6</v>
      </c>
      <c r="P951" s="1">
        <f ca="1">IFERROR(__xludf.DUMMYFUNCTION("""COMPUTED_VALUE"""),158.36)</f>
        <v>158.36000000000001</v>
      </c>
      <c r="Q951" s="1">
        <f ca="1">IFERROR(__xludf.DUMMYFUNCTION("""COMPUTED_VALUE"""),524.24)</f>
        <v>524.24</v>
      </c>
      <c r="R951" s="1">
        <f ca="1">IFERROR(__xludf.DUMMYFUNCTION("""COMPUTED_VALUE"""),110.45)</f>
        <v>110.45</v>
      </c>
      <c r="S951" s="1">
        <f ca="1">IFERROR(__xludf.DUMMYFUNCTION("""COMPUTED_VALUE"""),51.58)</f>
        <v>51.58</v>
      </c>
      <c r="T951" s="1">
        <f ca="1">IFERROR(__xludf.DUMMYFUNCTION("""COMPUTED_VALUE"""),52.53)</f>
        <v>52.53</v>
      </c>
      <c r="U951" s="1">
        <f ca="1">IFERROR(__xludf.DUMMYFUNCTION("""COMPUTED_VALUE"""),97.62)</f>
        <v>97.62</v>
      </c>
      <c r="V951" s="1">
        <f ca="1">IFERROR(__xludf.DUMMYFUNCTION("""COMPUTED_VALUE"""),273.21)</f>
        <v>273.20999999999998</v>
      </c>
      <c r="W951" s="1">
        <f ca="1">IFERROR(__xludf.DUMMYFUNCTION("""COMPUTED_VALUE"""),435.1)</f>
        <v>435.1</v>
      </c>
      <c r="X951" s="1">
        <f ca="1">IFERROR(__xludf.DUMMYFUNCTION("""COMPUTED_VALUE"""),602.15)</f>
        <v>602.15</v>
      </c>
      <c r="Y951" s="1">
        <f ca="1">IFERROR(__xludf.DUMMYFUNCTION("""COMPUTED_VALUE"""),90.61)</f>
        <v>90.61</v>
      </c>
      <c r="Z951" s="1">
        <f ca="1">IFERROR(__xludf.DUMMYFUNCTION("""COMPUTED_VALUE"""),314.77)</f>
        <v>314.77</v>
      </c>
      <c r="AA951" s="1">
        <f ca="1">IFERROR(__xludf.DUMMYFUNCTION("""COMPUTED_VALUE"""),33.17)</f>
        <v>33.17</v>
      </c>
      <c r="AB951" s="1">
        <f ca="1">IFERROR(__xludf.DUMMYFUNCTION("""COMPUTED_VALUE"""),93.18)</f>
        <v>93.18</v>
      </c>
      <c r="AC951" s="1">
        <f ca="1">IFERROR(__xludf.DUMMYFUNCTION("""COMPUTED_VALUE"""),109.01)</f>
        <v>109.01</v>
      </c>
    </row>
    <row r="952" spans="1:29" x14ac:dyDescent="0.25">
      <c r="A952" s="2">
        <f ca="1">IFERROR(__xludf.DUMMYFUNCTION("""COMPUTED_VALUE"""),45210.6666666666)</f>
        <v>45210.666666666599</v>
      </c>
      <c r="B952" s="1">
        <f ca="1">IFERROR(__xludf.DUMMYFUNCTION("""COMPUTED_VALUE"""),179.8)</f>
        <v>179.8</v>
      </c>
      <c r="C952" s="1">
        <f ca="1">IFERROR(__xludf.DUMMYFUNCTION("""COMPUTED_VALUE"""),332.42)</f>
        <v>332.42</v>
      </c>
      <c r="D952" s="1">
        <f ca="1">IFERROR(__xludf.DUMMYFUNCTION("""COMPUTED_VALUE"""),131.83)</f>
        <v>131.83000000000001</v>
      </c>
      <c r="E952" s="1">
        <f ca="1">IFERROR(__xludf.DUMMYFUNCTION("""COMPUTED_VALUE"""),46.81)</f>
        <v>46.81</v>
      </c>
      <c r="F952" s="1">
        <f ca="1">IFERROR(__xludf.DUMMYFUNCTION("""COMPUTED_VALUE"""),327.82)</f>
        <v>327.82</v>
      </c>
      <c r="G952" s="1">
        <f ca="1">IFERROR(__xludf.DUMMYFUNCTION("""COMPUTED_VALUE"""),141.7)</f>
        <v>141.69999999999999</v>
      </c>
      <c r="H952" s="1">
        <f ca="1">IFERROR(__xludf.DUMMYFUNCTION("""COMPUTED_VALUE"""),262.99)</f>
        <v>262.99</v>
      </c>
      <c r="I952" s="1">
        <f ca="1">IFERROR(__xludf.DUMMYFUNCTION("""COMPUTED_VALUE"""),162.62)</f>
        <v>162.62</v>
      </c>
      <c r="J952" s="1">
        <f ca="1">IFERROR(__xludf.DUMMYFUNCTION("""COMPUTED_VALUE"""),565.52)</f>
        <v>565.52</v>
      </c>
      <c r="K952" s="1">
        <f ca="1">IFERROR(__xludf.DUMMYFUNCTION("""COMPUTED_VALUE"""),87.46)</f>
        <v>87.46</v>
      </c>
      <c r="L952" s="1">
        <f ca="1">IFERROR(__xludf.DUMMYFUNCTION("""COMPUTED_VALUE"""),549.91)</f>
        <v>549.91</v>
      </c>
      <c r="M952" s="1">
        <f ca="1">IFERROR(__xludf.DUMMYFUNCTION("""COMPUTED_VALUE"""),365.93)</f>
        <v>365.93</v>
      </c>
      <c r="N952" s="1">
        <f ca="1">IFERROR(__xludf.DUMMYFUNCTION("""COMPUTED_VALUE"""),146.15)</f>
        <v>146.15</v>
      </c>
      <c r="O952" s="1">
        <f ca="1">IFERROR(__xludf.DUMMYFUNCTION("""COMPUTED_VALUE"""),235.68)</f>
        <v>235.68</v>
      </c>
      <c r="P952" s="1">
        <f ca="1">IFERROR(__xludf.DUMMYFUNCTION("""COMPUTED_VALUE"""),156.18)</f>
        <v>156.18</v>
      </c>
      <c r="Q952" s="1">
        <f ca="1">IFERROR(__xludf.DUMMYFUNCTION("""COMPUTED_VALUE"""),524.13)</f>
        <v>524.13</v>
      </c>
      <c r="R952" s="1">
        <f ca="1">IFERROR(__xludf.DUMMYFUNCTION("""COMPUTED_VALUE"""),106.49)</f>
        <v>106.49</v>
      </c>
      <c r="S952" s="1">
        <f ca="1">IFERROR(__xludf.DUMMYFUNCTION("""COMPUTED_VALUE"""),53.54)</f>
        <v>53.54</v>
      </c>
      <c r="T952" s="1">
        <f ca="1">IFERROR(__xludf.DUMMYFUNCTION("""COMPUTED_VALUE"""),52.74)</f>
        <v>52.74</v>
      </c>
      <c r="U952" s="1">
        <f ca="1">IFERROR(__xludf.DUMMYFUNCTION("""COMPUTED_VALUE"""),98.65)</f>
        <v>98.65</v>
      </c>
      <c r="V952" s="1">
        <f ca="1">IFERROR(__xludf.DUMMYFUNCTION("""COMPUTED_VALUE"""),272.83)</f>
        <v>272.83</v>
      </c>
      <c r="W952" s="1">
        <f ca="1">IFERROR(__xludf.DUMMYFUNCTION("""COMPUTED_VALUE"""),436.65)</f>
        <v>436.65</v>
      </c>
      <c r="X952" s="1">
        <f ca="1">IFERROR(__xludf.DUMMYFUNCTION("""COMPUTED_VALUE"""),606.19)</f>
        <v>606.19000000000005</v>
      </c>
      <c r="Y952" s="1">
        <f ca="1">IFERROR(__xludf.DUMMYFUNCTION("""COMPUTED_VALUE"""),92)</f>
        <v>92</v>
      </c>
      <c r="Z952" s="1">
        <f ca="1">IFERROR(__xludf.DUMMYFUNCTION("""COMPUTED_VALUE"""),313.02)</f>
        <v>313.02</v>
      </c>
      <c r="AA952" s="1">
        <f ca="1">IFERROR(__xludf.DUMMYFUNCTION("""COMPUTED_VALUE"""),33.11)</f>
        <v>33.11</v>
      </c>
      <c r="AB952" s="1">
        <f ca="1">IFERROR(__xludf.DUMMYFUNCTION("""COMPUTED_VALUE"""),91.95)</f>
        <v>91.95</v>
      </c>
      <c r="AC952" s="1">
        <f ca="1">IFERROR(__xludf.DUMMYFUNCTION("""COMPUTED_VALUE"""),108.31)</f>
        <v>108.31</v>
      </c>
    </row>
    <row r="953" spans="1:29" x14ac:dyDescent="0.25">
      <c r="A953" s="2">
        <f ca="1">IFERROR(__xludf.DUMMYFUNCTION("""COMPUTED_VALUE"""),45211.6666666666)</f>
        <v>45211.666666666599</v>
      </c>
      <c r="B953" s="1">
        <f ca="1">IFERROR(__xludf.DUMMYFUNCTION("""COMPUTED_VALUE"""),180.71)</f>
        <v>180.71</v>
      </c>
      <c r="C953" s="1">
        <f ca="1">IFERROR(__xludf.DUMMYFUNCTION("""COMPUTED_VALUE"""),331.16)</f>
        <v>331.16</v>
      </c>
      <c r="D953" s="1">
        <f ca="1">IFERROR(__xludf.DUMMYFUNCTION("""COMPUTED_VALUE"""),132.33)</f>
        <v>132.33000000000001</v>
      </c>
      <c r="E953" s="1">
        <f ca="1">IFERROR(__xludf.DUMMYFUNCTION("""COMPUTED_VALUE"""),46.95)</f>
        <v>46.95</v>
      </c>
      <c r="F953" s="1">
        <f ca="1">IFERROR(__xludf.DUMMYFUNCTION("""COMPUTED_VALUE"""),324.16)</f>
        <v>324.16000000000003</v>
      </c>
      <c r="G953" s="1">
        <f ca="1">IFERROR(__xludf.DUMMYFUNCTION("""COMPUTED_VALUE"""),140.29)</f>
        <v>140.29</v>
      </c>
      <c r="H953" s="1">
        <f ca="1">IFERROR(__xludf.DUMMYFUNCTION("""COMPUTED_VALUE"""),258.87)</f>
        <v>258.87</v>
      </c>
      <c r="I953" s="1">
        <f ca="1">IFERROR(__xludf.DUMMYFUNCTION("""COMPUTED_VALUE"""),158.08)</f>
        <v>158.08000000000001</v>
      </c>
      <c r="J953" s="1">
        <f ca="1">IFERROR(__xludf.DUMMYFUNCTION("""COMPUTED_VALUE"""),563.78)</f>
        <v>563.78</v>
      </c>
      <c r="K953" s="1">
        <f ca="1">IFERROR(__xludf.DUMMYFUNCTION("""COMPUTED_VALUE"""),90.56)</f>
        <v>90.56</v>
      </c>
      <c r="L953" s="1">
        <f ca="1">IFERROR(__xludf.DUMMYFUNCTION("""COMPUTED_VALUE"""),559.63)</f>
        <v>559.63</v>
      </c>
      <c r="M953" s="1">
        <f ca="1">IFERROR(__xludf.DUMMYFUNCTION("""COMPUTED_VALUE"""),361.2)</f>
        <v>361.2</v>
      </c>
      <c r="N953" s="1">
        <f ca="1">IFERROR(__xludf.DUMMYFUNCTION("""COMPUTED_VALUE"""),145.81)</f>
        <v>145.81</v>
      </c>
      <c r="O953" s="1">
        <f ca="1">IFERROR(__xludf.DUMMYFUNCTION("""COMPUTED_VALUE"""),236.78)</f>
        <v>236.78</v>
      </c>
      <c r="P953" s="1">
        <f ca="1">IFERROR(__xludf.DUMMYFUNCTION("""COMPUTED_VALUE"""),156.33)</f>
        <v>156.33000000000001</v>
      </c>
      <c r="Q953" s="1">
        <f ca="1">IFERROR(__xludf.DUMMYFUNCTION("""COMPUTED_VALUE"""),525.54)</f>
        <v>525.54</v>
      </c>
      <c r="R953" s="1">
        <f ca="1">IFERROR(__xludf.DUMMYFUNCTION("""COMPUTED_VALUE"""),106.47)</f>
        <v>106.47</v>
      </c>
      <c r="S953" s="1">
        <f ca="1">IFERROR(__xludf.DUMMYFUNCTION("""COMPUTED_VALUE"""),53)</f>
        <v>53</v>
      </c>
      <c r="T953" s="1">
        <f ca="1">IFERROR(__xludf.DUMMYFUNCTION("""COMPUTED_VALUE"""),52.98)</f>
        <v>52.98</v>
      </c>
      <c r="U953" s="1">
        <f ca="1">IFERROR(__xludf.DUMMYFUNCTION("""COMPUTED_VALUE"""),99.25)</f>
        <v>99.25</v>
      </c>
      <c r="V953" s="1">
        <f ca="1">IFERROR(__xludf.DUMMYFUNCTION("""COMPUTED_VALUE"""),269.61)</f>
        <v>269.61</v>
      </c>
      <c r="W953" s="1">
        <f ca="1">IFERROR(__xludf.DUMMYFUNCTION("""COMPUTED_VALUE"""),434.14)</f>
        <v>434.14</v>
      </c>
      <c r="X953" s="1">
        <f ca="1">IFERROR(__xludf.DUMMYFUNCTION("""COMPUTED_VALUE"""),616.76)</f>
        <v>616.76</v>
      </c>
      <c r="Y953" s="1">
        <f ca="1">IFERROR(__xludf.DUMMYFUNCTION("""COMPUTED_VALUE"""),92.42)</f>
        <v>92.42</v>
      </c>
      <c r="Z953" s="1">
        <f ca="1">IFERROR(__xludf.DUMMYFUNCTION("""COMPUTED_VALUE"""),309.85)</f>
        <v>309.85000000000002</v>
      </c>
      <c r="AA953" s="1">
        <f ca="1">IFERROR(__xludf.DUMMYFUNCTION("""COMPUTED_VALUE"""),32.92)</f>
        <v>32.92</v>
      </c>
      <c r="AB953" s="1">
        <f ca="1">IFERROR(__xludf.DUMMYFUNCTION("""COMPUTED_VALUE"""),91.42)</f>
        <v>91.42</v>
      </c>
      <c r="AC953" s="1">
        <f ca="1">IFERROR(__xludf.DUMMYFUNCTION("""COMPUTED_VALUE"""),108.79)</f>
        <v>108.79</v>
      </c>
    </row>
    <row r="954" spans="1:29" x14ac:dyDescent="0.25">
      <c r="A954" s="2">
        <f ca="1">IFERROR(__xludf.DUMMYFUNCTION("""COMPUTED_VALUE"""),45212.6666666666)</f>
        <v>45212.666666666599</v>
      </c>
      <c r="B954" s="1">
        <f ca="1">IFERROR(__xludf.DUMMYFUNCTION("""COMPUTED_VALUE"""),178.85)</f>
        <v>178.85</v>
      </c>
      <c r="C954" s="1">
        <f ca="1">IFERROR(__xludf.DUMMYFUNCTION("""COMPUTED_VALUE"""),327.73)</f>
        <v>327.73</v>
      </c>
      <c r="D954" s="1">
        <f ca="1">IFERROR(__xludf.DUMMYFUNCTION("""COMPUTED_VALUE"""),129.79)</f>
        <v>129.79</v>
      </c>
      <c r="E954" s="1">
        <f ca="1">IFERROR(__xludf.DUMMYFUNCTION("""COMPUTED_VALUE"""),45.46)</f>
        <v>45.46</v>
      </c>
      <c r="F954" s="1">
        <f ca="1">IFERROR(__xludf.DUMMYFUNCTION("""COMPUTED_VALUE"""),314.69)</f>
        <v>314.69</v>
      </c>
      <c r="G954" s="1">
        <f ca="1">IFERROR(__xludf.DUMMYFUNCTION("""COMPUTED_VALUE"""),138.58)</f>
        <v>138.58000000000001</v>
      </c>
      <c r="H954" s="1">
        <f ca="1">IFERROR(__xludf.DUMMYFUNCTION("""COMPUTED_VALUE"""),251.12)</f>
        <v>251.12</v>
      </c>
      <c r="I954" s="1">
        <f ca="1">IFERROR(__xludf.DUMMYFUNCTION("""COMPUTED_VALUE"""),160)</f>
        <v>160</v>
      </c>
      <c r="J954" s="1">
        <f ca="1">IFERROR(__xludf.DUMMYFUNCTION("""COMPUTED_VALUE"""),566.84)</f>
        <v>566.84</v>
      </c>
      <c r="K954" s="1">
        <f ca="1">IFERROR(__xludf.DUMMYFUNCTION("""COMPUTED_VALUE"""),88.32)</f>
        <v>88.32</v>
      </c>
      <c r="L954" s="1">
        <f ca="1">IFERROR(__xludf.DUMMYFUNCTION("""COMPUTED_VALUE"""),548.76)</f>
        <v>548.76</v>
      </c>
      <c r="M954" s="1">
        <f ca="1">IFERROR(__xludf.DUMMYFUNCTION("""COMPUTED_VALUE"""),355.68)</f>
        <v>355.68</v>
      </c>
      <c r="N954" s="1">
        <f ca="1">IFERROR(__xludf.DUMMYFUNCTION("""COMPUTED_VALUE"""),148)</f>
        <v>148</v>
      </c>
      <c r="O954" s="1">
        <f ca="1">IFERROR(__xludf.DUMMYFUNCTION("""COMPUTED_VALUE"""),237.67)</f>
        <v>237.67</v>
      </c>
      <c r="P954" s="1">
        <f ca="1">IFERROR(__xludf.DUMMYFUNCTION("""COMPUTED_VALUE"""),156.85)</f>
        <v>156.85</v>
      </c>
      <c r="Q954" s="1">
        <f ca="1">IFERROR(__xludf.DUMMYFUNCTION("""COMPUTED_VALUE"""),539.4)</f>
        <v>539.4</v>
      </c>
      <c r="R954" s="1">
        <f ca="1">IFERROR(__xludf.DUMMYFUNCTION("""COMPUTED_VALUE"""),109.87)</f>
        <v>109.87</v>
      </c>
      <c r="S954" s="1">
        <f ca="1">IFERROR(__xludf.DUMMYFUNCTION("""COMPUTED_VALUE"""),54.49)</f>
        <v>54.49</v>
      </c>
      <c r="T954" s="1">
        <f ca="1">IFERROR(__xludf.DUMMYFUNCTION("""COMPUTED_VALUE"""),53.28)</f>
        <v>53.28</v>
      </c>
      <c r="U954" s="1">
        <f ca="1">IFERROR(__xludf.DUMMYFUNCTION("""COMPUTED_VALUE"""),99.91)</f>
        <v>99.91</v>
      </c>
      <c r="V954" s="1">
        <f ca="1">IFERROR(__xludf.DUMMYFUNCTION("""COMPUTED_VALUE"""),267.94)</f>
        <v>267.94</v>
      </c>
      <c r="W954" s="1">
        <f ca="1">IFERROR(__xludf.DUMMYFUNCTION("""COMPUTED_VALUE"""),441.06)</f>
        <v>441.06</v>
      </c>
      <c r="X954" s="1">
        <f ca="1">IFERROR(__xludf.DUMMYFUNCTION("""COMPUTED_VALUE"""),599.75)</f>
        <v>599.75</v>
      </c>
      <c r="Y954" s="1">
        <f ca="1">IFERROR(__xludf.DUMMYFUNCTION("""COMPUTED_VALUE"""),90.46)</f>
        <v>90.46</v>
      </c>
      <c r="Z954" s="1">
        <f ca="1">IFERROR(__xludf.DUMMYFUNCTION("""COMPUTED_VALUE"""),309.3)</f>
        <v>309.3</v>
      </c>
      <c r="AA954" s="1">
        <f ca="1">IFERROR(__xludf.DUMMYFUNCTION("""COMPUTED_VALUE"""),32.11)</f>
        <v>32.11</v>
      </c>
      <c r="AB954" s="1">
        <f ca="1">IFERROR(__xludf.DUMMYFUNCTION("""COMPUTED_VALUE"""),91.48)</f>
        <v>91.48</v>
      </c>
      <c r="AC954" s="1">
        <f ca="1">IFERROR(__xludf.DUMMYFUNCTION("""COMPUTED_VALUE"""),105.09)</f>
        <v>105.09</v>
      </c>
    </row>
    <row r="955" spans="1:29" x14ac:dyDescent="0.25">
      <c r="A955" s="2">
        <f ca="1">IFERROR(__xludf.DUMMYFUNCTION("""COMPUTED_VALUE"""),45215.6666666666)</f>
        <v>45215.666666666599</v>
      </c>
      <c r="B955" s="1">
        <f ca="1">IFERROR(__xludf.DUMMYFUNCTION("""COMPUTED_VALUE"""),178.72)</f>
        <v>178.72</v>
      </c>
      <c r="C955" s="1">
        <f ca="1">IFERROR(__xludf.DUMMYFUNCTION("""COMPUTED_VALUE"""),332.64)</f>
        <v>332.64</v>
      </c>
      <c r="D955" s="1">
        <f ca="1">IFERROR(__xludf.DUMMYFUNCTION("""COMPUTED_VALUE"""),132.55)</f>
        <v>132.55000000000001</v>
      </c>
      <c r="E955" s="1">
        <f ca="1">IFERROR(__xludf.DUMMYFUNCTION("""COMPUTED_VALUE"""),46.1)</f>
        <v>46.1</v>
      </c>
      <c r="F955" s="1">
        <f ca="1">IFERROR(__xludf.DUMMYFUNCTION("""COMPUTED_VALUE"""),321.15)</f>
        <v>321.14999999999998</v>
      </c>
      <c r="G955" s="1">
        <f ca="1">IFERROR(__xludf.DUMMYFUNCTION("""COMPUTED_VALUE"""),140.49)</f>
        <v>140.49</v>
      </c>
      <c r="H955" s="1">
        <f ca="1">IFERROR(__xludf.DUMMYFUNCTION("""COMPUTED_VALUE"""),253.92)</f>
        <v>253.92</v>
      </c>
      <c r="I955" s="1">
        <f ca="1">IFERROR(__xludf.DUMMYFUNCTION("""COMPUTED_VALUE"""),161.08)</f>
        <v>161.08000000000001</v>
      </c>
      <c r="J955" s="1">
        <f ca="1">IFERROR(__xludf.DUMMYFUNCTION("""COMPUTED_VALUE"""),572.24)</f>
        <v>572.24</v>
      </c>
      <c r="K955" s="1">
        <f ca="1">IFERROR(__xludf.DUMMYFUNCTION("""COMPUTED_VALUE"""),90.26)</f>
        <v>90.26</v>
      </c>
      <c r="L955" s="1">
        <f ca="1">IFERROR(__xludf.DUMMYFUNCTION("""COMPUTED_VALUE"""),550.74)</f>
        <v>550.74</v>
      </c>
      <c r="M955" s="1">
        <f ca="1">IFERROR(__xludf.DUMMYFUNCTION("""COMPUTED_VALUE"""),360.82)</f>
        <v>360.82</v>
      </c>
      <c r="N955" s="1">
        <f ca="1">IFERROR(__xludf.DUMMYFUNCTION("""COMPUTED_VALUE"""),147.85)</f>
        <v>147.85</v>
      </c>
      <c r="O955" s="1">
        <f ca="1">IFERROR(__xludf.DUMMYFUNCTION("""COMPUTED_VALUE"""),240.07)</f>
        <v>240.07</v>
      </c>
      <c r="P955" s="1">
        <f ca="1">IFERROR(__xludf.DUMMYFUNCTION("""COMPUTED_VALUE"""),157.53)</f>
        <v>157.53</v>
      </c>
      <c r="Q955" s="1">
        <f ca="1">IFERROR(__xludf.DUMMYFUNCTION("""COMPUTED_VALUE"""),538.03)</f>
        <v>538.03</v>
      </c>
      <c r="R955" s="1">
        <f ca="1">IFERROR(__xludf.DUMMYFUNCTION("""COMPUTED_VALUE"""),109.95)</f>
        <v>109.95</v>
      </c>
      <c r="S955" s="1">
        <f ca="1">IFERROR(__xludf.DUMMYFUNCTION("""COMPUTED_VALUE"""),54.38)</f>
        <v>54.38</v>
      </c>
      <c r="T955" s="1">
        <f ca="1">IFERROR(__xludf.DUMMYFUNCTION("""COMPUTED_VALUE"""),53.74)</f>
        <v>53.74</v>
      </c>
      <c r="U955" s="1">
        <f ca="1">IFERROR(__xludf.DUMMYFUNCTION("""COMPUTED_VALUE"""),102.04)</f>
        <v>102.04</v>
      </c>
      <c r="V955" s="1">
        <f ca="1">IFERROR(__xludf.DUMMYFUNCTION("""COMPUTED_VALUE"""),270.79)</f>
        <v>270.79000000000002</v>
      </c>
      <c r="W955" s="1">
        <f ca="1">IFERROR(__xludf.DUMMYFUNCTION("""COMPUTED_VALUE"""),440.41)</f>
        <v>440.41</v>
      </c>
      <c r="X955" s="1">
        <f ca="1">IFERROR(__xludf.DUMMYFUNCTION("""COMPUTED_VALUE"""),603.8)</f>
        <v>603.79999999999995</v>
      </c>
      <c r="Y955" s="1">
        <f ca="1">IFERROR(__xludf.DUMMYFUNCTION("""COMPUTED_VALUE"""),91.22)</f>
        <v>91.22</v>
      </c>
      <c r="Z955" s="1">
        <f ca="1">IFERROR(__xludf.DUMMYFUNCTION("""COMPUTED_VALUE"""),314.39)</f>
        <v>314.39</v>
      </c>
      <c r="AA955" s="1">
        <f ca="1">IFERROR(__xludf.DUMMYFUNCTION("""COMPUTED_VALUE"""),33.27)</f>
        <v>33.270000000000003</v>
      </c>
      <c r="AB955" s="1">
        <f ca="1">IFERROR(__xludf.DUMMYFUNCTION("""COMPUTED_VALUE"""),93.65)</f>
        <v>93.65</v>
      </c>
      <c r="AC955" s="1">
        <f ca="1">IFERROR(__xludf.DUMMYFUNCTION("""COMPUTED_VALUE"""),106.46)</f>
        <v>106.46</v>
      </c>
    </row>
    <row r="956" spans="1:29" x14ac:dyDescent="0.25">
      <c r="A956" s="2">
        <f ca="1">IFERROR(__xludf.DUMMYFUNCTION("""COMPUTED_VALUE"""),45216.6666666666)</f>
        <v>45216.666666666599</v>
      </c>
      <c r="B956" s="1">
        <f ca="1">IFERROR(__xludf.DUMMYFUNCTION("""COMPUTED_VALUE"""),177.15)</f>
        <v>177.15</v>
      </c>
      <c r="C956" s="1">
        <f ca="1">IFERROR(__xludf.DUMMYFUNCTION("""COMPUTED_VALUE"""),332.06)</f>
        <v>332.06</v>
      </c>
      <c r="D956" s="1">
        <f ca="1">IFERROR(__xludf.DUMMYFUNCTION("""COMPUTED_VALUE"""),131.47)</f>
        <v>131.47</v>
      </c>
      <c r="E956" s="1">
        <f ca="1">IFERROR(__xludf.DUMMYFUNCTION("""COMPUTED_VALUE"""),43.94)</f>
        <v>43.94</v>
      </c>
      <c r="F956" s="1">
        <f ca="1">IFERROR(__xludf.DUMMYFUNCTION("""COMPUTED_VALUE"""),324)</f>
        <v>324</v>
      </c>
      <c r="G956" s="1">
        <f ca="1">IFERROR(__xludf.DUMMYFUNCTION("""COMPUTED_VALUE"""),140.99)</f>
        <v>140.99</v>
      </c>
      <c r="H956" s="1">
        <f ca="1">IFERROR(__xludf.DUMMYFUNCTION("""COMPUTED_VALUE"""),254.85)</f>
        <v>254.85</v>
      </c>
      <c r="I956" s="1">
        <f ca="1">IFERROR(__xludf.DUMMYFUNCTION("""COMPUTED_VALUE"""),160.37)</f>
        <v>160.37</v>
      </c>
      <c r="J956" s="1">
        <f ca="1">IFERROR(__xludf.DUMMYFUNCTION("""COMPUTED_VALUE"""),574.34)</f>
        <v>574.34</v>
      </c>
      <c r="K956" s="1">
        <f ca="1">IFERROR(__xludf.DUMMYFUNCTION("""COMPUTED_VALUE"""),88.44)</f>
        <v>88.44</v>
      </c>
      <c r="L956" s="1">
        <f ca="1">IFERROR(__xludf.DUMMYFUNCTION("""COMPUTED_VALUE"""),560.09)</f>
        <v>560.09</v>
      </c>
      <c r="M956" s="1">
        <f ca="1">IFERROR(__xludf.DUMMYFUNCTION("""COMPUTED_VALUE"""),355.72)</f>
        <v>355.72</v>
      </c>
      <c r="N956" s="1">
        <f ca="1">IFERROR(__xludf.DUMMYFUNCTION("""COMPUTED_VALUE"""),147.53)</f>
        <v>147.53</v>
      </c>
      <c r="O956" s="1">
        <f ca="1">IFERROR(__xludf.DUMMYFUNCTION("""COMPUTED_VALUE"""),241.2)</f>
        <v>241.2</v>
      </c>
      <c r="P956" s="1">
        <f ca="1">IFERROR(__xludf.DUMMYFUNCTION("""COMPUTED_VALUE"""),156.09)</f>
        <v>156.09</v>
      </c>
      <c r="Q956" s="1">
        <f ca="1">IFERROR(__xludf.DUMMYFUNCTION("""COMPUTED_VALUE"""),536.65)</f>
        <v>536.65</v>
      </c>
      <c r="R956" s="1">
        <f ca="1">IFERROR(__xludf.DUMMYFUNCTION("""COMPUTED_VALUE"""),111.39)</f>
        <v>111.39</v>
      </c>
      <c r="S956" s="1">
        <f ca="1">IFERROR(__xludf.DUMMYFUNCTION("""COMPUTED_VALUE"""),54.17)</f>
        <v>54.17</v>
      </c>
      <c r="T956" s="1">
        <f ca="1">IFERROR(__xludf.DUMMYFUNCTION("""COMPUTED_VALUE"""),53.81)</f>
        <v>53.81</v>
      </c>
      <c r="U956" s="1">
        <f ca="1">IFERROR(__xludf.DUMMYFUNCTION("""COMPUTED_VALUE"""),103.01)</f>
        <v>103.01</v>
      </c>
      <c r="V956" s="1">
        <f ca="1">IFERROR(__xludf.DUMMYFUNCTION("""COMPUTED_VALUE"""),272.65)</f>
        <v>272.64999999999998</v>
      </c>
      <c r="W956" s="1">
        <f ca="1">IFERROR(__xludf.DUMMYFUNCTION("""COMPUTED_VALUE"""),441.13)</f>
        <v>441.13</v>
      </c>
      <c r="X956" s="1">
        <f ca="1">IFERROR(__xludf.DUMMYFUNCTION("""COMPUTED_VALUE"""),608.63)</f>
        <v>608.63</v>
      </c>
      <c r="Y956" s="1">
        <f ca="1">IFERROR(__xludf.DUMMYFUNCTION("""COMPUTED_VALUE"""),91)</f>
        <v>91</v>
      </c>
      <c r="Z956" s="1">
        <f ca="1">IFERROR(__xludf.DUMMYFUNCTION("""COMPUTED_VALUE"""),309.36)</f>
        <v>309.36</v>
      </c>
      <c r="AA956" s="1">
        <f ca="1">IFERROR(__xludf.DUMMYFUNCTION("""COMPUTED_VALUE"""),32.75)</f>
        <v>32.75</v>
      </c>
      <c r="AB956" s="1">
        <f ca="1">IFERROR(__xludf.DUMMYFUNCTION("""COMPUTED_VALUE"""),94.18)</f>
        <v>94.18</v>
      </c>
      <c r="AC956" s="1">
        <f ca="1">IFERROR(__xludf.DUMMYFUNCTION("""COMPUTED_VALUE"""),105.14)</f>
        <v>105.14</v>
      </c>
    </row>
    <row r="957" spans="1:29" x14ac:dyDescent="0.25">
      <c r="A957" s="2">
        <f ca="1">IFERROR(__xludf.DUMMYFUNCTION("""COMPUTED_VALUE"""),45217.6666666666)</f>
        <v>45217.666666666599</v>
      </c>
      <c r="B957" s="1">
        <f ca="1">IFERROR(__xludf.DUMMYFUNCTION("""COMPUTED_VALUE"""),175.84)</f>
        <v>175.84</v>
      </c>
      <c r="C957" s="1">
        <f ca="1">IFERROR(__xludf.DUMMYFUNCTION("""COMPUTED_VALUE"""),330.11)</f>
        <v>330.11</v>
      </c>
      <c r="D957" s="1">
        <f ca="1">IFERROR(__xludf.DUMMYFUNCTION("""COMPUTED_VALUE"""),128.13)</f>
        <v>128.13</v>
      </c>
      <c r="E957" s="1">
        <f ca="1">IFERROR(__xludf.DUMMYFUNCTION("""COMPUTED_VALUE"""),42.2)</f>
        <v>42.2</v>
      </c>
      <c r="F957" s="1">
        <f ca="1">IFERROR(__xludf.DUMMYFUNCTION("""COMPUTED_VALUE"""),316.97)</f>
        <v>316.97000000000003</v>
      </c>
      <c r="G957" s="1">
        <f ca="1">IFERROR(__xludf.DUMMYFUNCTION("""COMPUTED_VALUE"""),139.28)</f>
        <v>139.28</v>
      </c>
      <c r="H957" s="1">
        <f ca="1">IFERROR(__xludf.DUMMYFUNCTION("""COMPUTED_VALUE"""),242.68)</f>
        <v>242.68</v>
      </c>
      <c r="I957" s="1">
        <f ca="1">IFERROR(__xludf.DUMMYFUNCTION("""COMPUTED_VALUE"""),162.03)</f>
        <v>162.03</v>
      </c>
      <c r="J957" s="1">
        <f ca="1">IFERROR(__xludf.DUMMYFUNCTION("""COMPUTED_VALUE"""),574.64)</f>
        <v>574.64</v>
      </c>
      <c r="K957" s="1">
        <f ca="1">IFERROR(__xludf.DUMMYFUNCTION("""COMPUTED_VALUE"""),88.7)</f>
        <v>88.7</v>
      </c>
      <c r="L957" s="1">
        <f ca="1">IFERROR(__xludf.DUMMYFUNCTION("""COMPUTED_VALUE"""),557.87)</f>
        <v>557.87</v>
      </c>
      <c r="M957" s="1">
        <f ca="1">IFERROR(__xludf.DUMMYFUNCTION("""COMPUTED_VALUE"""),346.19)</f>
        <v>346.19</v>
      </c>
      <c r="N957" s="1">
        <f ca="1">IFERROR(__xludf.DUMMYFUNCTION("""COMPUTED_VALUE"""),145.91)</f>
        <v>145.91</v>
      </c>
      <c r="O957" s="1">
        <f ca="1">IFERROR(__xludf.DUMMYFUNCTION("""COMPUTED_VALUE"""),237.47)</f>
        <v>237.47</v>
      </c>
      <c r="P957" s="1">
        <f ca="1">IFERROR(__xludf.DUMMYFUNCTION("""COMPUTED_VALUE"""),152.73)</f>
        <v>152.72999999999999</v>
      </c>
      <c r="Q957" s="1">
        <f ca="1">IFERROR(__xludf.DUMMYFUNCTION("""COMPUTED_VALUE"""),536.06)</f>
        <v>536.05999999999995</v>
      </c>
      <c r="R957" s="1">
        <f ca="1">IFERROR(__xludf.DUMMYFUNCTION("""COMPUTED_VALUE"""),112.95)</f>
        <v>112.95</v>
      </c>
      <c r="S957" s="1">
        <f ca="1">IFERROR(__xludf.DUMMYFUNCTION("""COMPUTED_VALUE"""),53.24)</f>
        <v>53.24</v>
      </c>
      <c r="T957" s="1">
        <f ca="1">IFERROR(__xludf.DUMMYFUNCTION("""COMPUTED_VALUE"""),53.85)</f>
        <v>53.85</v>
      </c>
      <c r="U957" s="1">
        <f ca="1">IFERROR(__xludf.DUMMYFUNCTION("""COMPUTED_VALUE"""),103.77)</f>
        <v>103.77</v>
      </c>
      <c r="V957" s="1">
        <f ca="1">IFERROR(__xludf.DUMMYFUNCTION("""COMPUTED_VALUE"""),259.22)</f>
        <v>259.22000000000003</v>
      </c>
      <c r="W957" s="1">
        <f ca="1">IFERROR(__xludf.DUMMYFUNCTION("""COMPUTED_VALUE"""),446.07)</f>
        <v>446.07</v>
      </c>
      <c r="X957" s="1">
        <f ca="1">IFERROR(__xludf.DUMMYFUNCTION("""COMPUTED_VALUE"""),583.25)</f>
        <v>583.25</v>
      </c>
      <c r="Y957" s="1">
        <f ca="1">IFERROR(__xludf.DUMMYFUNCTION("""COMPUTED_VALUE"""),89.6)</f>
        <v>89.6</v>
      </c>
      <c r="Z957" s="1">
        <f ca="1">IFERROR(__xludf.DUMMYFUNCTION("""COMPUTED_VALUE"""),301.96)</f>
        <v>301.95999999999998</v>
      </c>
      <c r="AA957" s="1">
        <f ca="1">IFERROR(__xludf.DUMMYFUNCTION("""COMPUTED_VALUE"""),31.41)</f>
        <v>31.41</v>
      </c>
      <c r="AB957" s="1">
        <f ca="1">IFERROR(__xludf.DUMMYFUNCTION("""COMPUTED_VALUE"""),93.75)</f>
        <v>93.75</v>
      </c>
      <c r="AC957" s="1">
        <f ca="1">IFERROR(__xludf.DUMMYFUNCTION("""COMPUTED_VALUE"""),102.17)</f>
        <v>102.17</v>
      </c>
    </row>
    <row r="958" spans="1:29" x14ac:dyDescent="0.25">
      <c r="A958" s="2">
        <f ca="1">IFERROR(__xludf.DUMMYFUNCTION("""COMPUTED_VALUE"""),45218.6666666666)</f>
        <v>45218.666666666599</v>
      </c>
      <c r="B958" s="1">
        <f ca="1">IFERROR(__xludf.DUMMYFUNCTION("""COMPUTED_VALUE"""),175.46)</f>
        <v>175.46</v>
      </c>
      <c r="C958" s="1">
        <f ca="1">IFERROR(__xludf.DUMMYFUNCTION("""COMPUTED_VALUE"""),331.32)</f>
        <v>331.32</v>
      </c>
      <c r="D958" s="1">
        <f ca="1">IFERROR(__xludf.DUMMYFUNCTION("""COMPUTED_VALUE"""),128.4)</f>
        <v>128.4</v>
      </c>
      <c r="E958" s="1">
        <f ca="1">IFERROR(__xludf.DUMMYFUNCTION("""COMPUTED_VALUE"""),42.1)</f>
        <v>42.1</v>
      </c>
      <c r="F958" s="1">
        <f ca="1">IFERROR(__xludf.DUMMYFUNCTION("""COMPUTED_VALUE"""),312.81)</f>
        <v>312.81</v>
      </c>
      <c r="G958" s="1">
        <f ca="1">IFERROR(__xludf.DUMMYFUNCTION("""COMPUTED_VALUE"""),138.98)</f>
        <v>138.97999999999999</v>
      </c>
      <c r="H958" s="1">
        <f ca="1">IFERROR(__xludf.DUMMYFUNCTION("""COMPUTED_VALUE"""),220.11)</f>
        <v>220.11</v>
      </c>
      <c r="I958" s="1">
        <f ca="1">IFERROR(__xludf.DUMMYFUNCTION("""COMPUTED_VALUE"""),160.56)</f>
        <v>160.56</v>
      </c>
      <c r="J958" s="1">
        <f ca="1">IFERROR(__xludf.DUMMYFUNCTION("""COMPUTED_VALUE"""),565.63)</f>
        <v>565.63</v>
      </c>
      <c r="K958" s="1">
        <f ca="1">IFERROR(__xludf.DUMMYFUNCTION("""COMPUTED_VALUE"""),86.78)</f>
        <v>86.78</v>
      </c>
      <c r="L958" s="1">
        <f ca="1">IFERROR(__xludf.DUMMYFUNCTION("""COMPUTED_VALUE"""),555.74)</f>
        <v>555.74</v>
      </c>
      <c r="M958" s="1">
        <f ca="1">IFERROR(__xludf.DUMMYFUNCTION("""COMPUTED_VALUE"""),401.77)</f>
        <v>401.77</v>
      </c>
      <c r="N958" s="1">
        <f ca="1">IFERROR(__xludf.DUMMYFUNCTION("""COMPUTED_VALUE"""),145.29)</f>
        <v>145.29</v>
      </c>
      <c r="O958" s="1">
        <f ca="1">IFERROR(__xludf.DUMMYFUNCTION("""COMPUTED_VALUE"""),233.81)</f>
        <v>233.81</v>
      </c>
      <c r="P958" s="1">
        <f ca="1">IFERROR(__xludf.DUMMYFUNCTION("""COMPUTED_VALUE"""),152.32)</f>
        <v>152.32</v>
      </c>
      <c r="Q958" s="1">
        <f ca="1">IFERROR(__xludf.DUMMYFUNCTION("""COMPUTED_VALUE"""),531.63)</f>
        <v>531.63</v>
      </c>
      <c r="R958" s="1">
        <f ca="1">IFERROR(__xludf.DUMMYFUNCTION("""COMPUTED_VALUE"""),113.02)</f>
        <v>113.02</v>
      </c>
      <c r="S958" s="1">
        <f ca="1">IFERROR(__xludf.DUMMYFUNCTION("""COMPUTED_VALUE"""),52.39)</f>
        <v>52.39</v>
      </c>
      <c r="T958" s="1">
        <f ca="1">IFERROR(__xludf.DUMMYFUNCTION("""COMPUTED_VALUE"""),53.59)</f>
        <v>53.59</v>
      </c>
      <c r="U958" s="1">
        <f ca="1">IFERROR(__xludf.DUMMYFUNCTION("""COMPUTED_VALUE"""),103.05)</f>
        <v>103.05</v>
      </c>
      <c r="V958" s="1">
        <f ca="1">IFERROR(__xludf.DUMMYFUNCTION("""COMPUTED_VALUE"""),252.89)</f>
        <v>252.89</v>
      </c>
      <c r="W958" s="1">
        <f ca="1">IFERROR(__xludf.DUMMYFUNCTION("""COMPUTED_VALUE"""),449.18)</f>
        <v>449.18</v>
      </c>
      <c r="X958" s="1">
        <f ca="1">IFERROR(__xludf.DUMMYFUNCTION("""COMPUTED_VALUE"""),587.73)</f>
        <v>587.73</v>
      </c>
      <c r="Y958" s="1">
        <f ca="1">IFERROR(__xludf.DUMMYFUNCTION("""COMPUTED_VALUE"""),92.91)</f>
        <v>92.91</v>
      </c>
      <c r="Z958" s="1">
        <f ca="1">IFERROR(__xludf.DUMMYFUNCTION("""COMPUTED_VALUE"""),299.19)</f>
        <v>299.19</v>
      </c>
      <c r="AA958" s="1">
        <f ca="1">IFERROR(__xludf.DUMMYFUNCTION("""COMPUTED_VALUE"""),31.19)</f>
        <v>31.19</v>
      </c>
      <c r="AB958" s="1">
        <f ca="1">IFERROR(__xludf.DUMMYFUNCTION("""COMPUTED_VALUE"""),94.42)</f>
        <v>94.42</v>
      </c>
      <c r="AC958" s="1">
        <f ca="1">IFERROR(__xludf.DUMMYFUNCTION("""COMPUTED_VALUE"""),102.4)</f>
        <v>102.4</v>
      </c>
    </row>
    <row r="959" spans="1:29" x14ac:dyDescent="0.25">
      <c r="A959" s="2">
        <f ca="1">IFERROR(__xludf.DUMMYFUNCTION("""COMPUTED_VALUE"""),45219.6666666666)</f>
        <v>45219.666666666599</v>
      </c>
      <c r="B959" s="1">
        <f ca="1">IFERROR(__xludf.DUMMYFUNCTION("""COMPUTED_VALUE"""),172.88)</f>
        <v>172.88</v>
      </c>
      <c r="C959" s="1">
        <f ca="1">IFERROR(__xludf.DUMMYFUNCTION("""COMPUTED_VALUE"""),326.67)</f>
        <v>326.67</v>
      </c>
      <c r="D959" s="1">
        <f ca="1">IFERROR(__xludf.DUMMYFUNCTION("""COMPUTED_VALUE"""),125.17)</f>
        <v>125.17</v>
      </c>
      <c r="E959" s="1">
        <f ca="1">IFERROR(__xludf.DUMMYFUNCTION("""COMPUTED_VALUE"""),41.39)</f>
        <v>41.39</v>
      </c>
      <c r="F959" s="1">
        <f ca="1">IFERROR(__xludf.DUMMYFUNCTION("""COMPUTED_VALUE"""),308.65)</f>
        <v>308.64999999999998</v>
      </c>
      <c r="G959" s="1">
        <f ca="1">IFERROR(__xludf.DUMMYFUNCTION("""COMPUTED_VALUE"""),136.74)</f>
        <v>136.74</v>
      </c>
      <c r="H959" s="1">
        <f ca="1">IFERROR(__xludf.DUMMYFUNCTION("""COMPUTED_VALUE"""),211.99)</f>
        <v>211.99</v>
      </c>
      <c r="I959" s="1">
        <f ca="1">IFERROR(__xludf.DUMMYFUNCTION("""COMPUTED_VALUE"""),160)</f>
        <v>160</v>
      </c>
      <c r="J959" s="1">
        <f ca="1">IFERROR(__xludf.DUMMYFUNCTION("""COMPUTED_VALUE"""),552.93)</f>
        <v>552.92999999999995</v>
      </c>
      <c r="K959" s="1">
        <f ca="1">IFERROR(__xludf.DUMMYFUNCTION("""COMPUTED_VALUE"""),85.36)</f>
        <v>85.36</v>
      </c>
      <c r="L959" s="1">
        <f ca="1">IFERROR(__xludf.DUMMYFUNCTION("""COMPUTED_VALUE"""),540.96)</f>
        <v>540.96</v>
      </c>
      <c r="M959" s="1">
        <f ca="1">IFERROR(__xludf.DUMMYFUNCTION("""COMPUTED_VALUE"""),400.96)</f>
        <v>400.96</v>
      </c>
      <c r="N959" s="1">
        <f ca="1">IFERROR(__xludf.DUMMYFUNCTION("""COMPUTED_VALUE"""),142.95)</f>
        <v>142.94999999999999</v>
      </c>
      <c r="O959" s="1">
        <f ca="1">IFERROR(__xludf.DUMMYFUNCTION("""COMPUTED_VALUE"""),233.38)</f>
        <v>233.38</v>
      </c>
      <c r="P959" s="1">
        <f ca="1">IFERROR(__xludf.DUMMYFUNCTION("""COMPUTED_VALUE"""),153)</f>
        <v>153</v>
      </c>
      <c r="Q959" s="1">
        <f ca="1">IFERROR(__xludf.DUMMYFUNCTION("""COMPUTED_VALUE"""),527.03)</f>
        <v>527.03</v>
      </c>
      <c r="R959" s="1">
        <f ca="1">IFERROR(__xludf.DUMMYFUNCTION("""COMPUTED_VALUE"""),111.08)</f>
        <v>111.08</v>
      </c>
      <c r="S959" s="1">
        <f ca="1">IFERROR(__xludf.DUMMYFUNCTION("""COMPUTED_VALUE"""),51.96)</f>
        <v>51.96</v>
      </c>
      <c r="T959" s="1">
        <f ca="1">IFERROR(__xludf.DUMMYFUNCTION("""COMPUTED_VALUE"""),52.92)</f>
        <v>52.92</v>
      </c>
      <c r="U959" s="1">
        <f ca="1">IFERROR(__xludf.DUMMYFUNCTION("""COMPUTED_VALUE"""),102.67)</f>
        <v>102.67</v>
      </c>
      <c r="V959" s="1">
        <f ca="1">IFERROR(__xludf.DUMMYFUNCTION("""COMPUTED_VALUE"""),249.2)</f>
        <v>249.2</v>
      </c>
      <c r="W959" s="1">
        <f ca="1">IFERROR(__xludf.DUMMYFUNCTION("""COMPUTED_VALUE"""),444.17)</f>
        <v>444.17</v>
      </c>
      <c r="X959" s="1">
        <f ca="1">IFERROR(__xludf.DUMMYFUNCTION("""COMPUTED_VALUE"""),580.1)</f>
        <v>580.1</v>
      </c>
      <c r="Y959" s="1">
        <f ca="1">IFERROR(__xludf.DUMMYFUNCTION("""COMPUTED_VALUE"""),91.31)</f>
        <v>91.31</v>
      </c>
      <c r="Z959" s="1">
        <f ca="1">IFERROR(__xludf.DUMMYFUNCTION("""COMPUTED_VALUE"""),300.05)</f>
        <v>300.05</v>
      </c>
      <c r="AA959" s="1">
        <f ca="1">IFERROR(__xludf.DUMMYFUNCTION("""COMPUTED_VALUE"""),30.65)</f>
        <v>30.65</v>
      </c>
      <c r="AB959" s="1">
        <f ca="1">IFERROR(__xludf.DUMMYFUNCTION("""COMPUTED_VALUE"""),94.19)</f>
        <v>94.19</v>
      </c>
      <c r="AC959" s="1">
        <f ca="1">IFERROR(__xludf.DUMMYFUNCTION("""COMPUTED_VALUE"""),101.81)</f>
        <v>101.81</v>
      </c>
    </row>
    <row r="960" spans="1:29" x14ac:dyDescent="0.25">
      <c r="A960" s="2">
        <f ca="1">IFERROR(__xludf.DUMMYFUNCTION("""COMPUTED_VALUE"""),45222.6666666666)</f>
        <v>45222.666666666599</v>
      </c>
      <c r="B960" s="1">
        <f ca="1">IFERROR(__xludf.DUMMYFUNCTION("""COMPUTED_VALUE"""),173)</f>
        <v>173</v>
      </c>
      <c r="C960" s="1">
        <f ca="1">IFERROR(__xludf.DUMMYFUNCTION("""COMPUTED_VALUE"""),329.32)</f>
        <v>329.32</v>
      </c>
      <c r="D960" s="1">
        <f ca="1">IFERROR(__xludf.DUMMYFUNCTION("""COMPUTED_VALUE"""),126.56)</f>
        <v>126.56</v>
      </c>
      <c r="E960" s="1">
        <f ca="1">IFERROR(__xludf.DUMMYFUNCTION("""COMPUTED_VALUE"""),42.98)</f>
        <v>42.98</v>
      </c>
      <c r="F960" s="1">
        <f ca="1">IFERROR(__xludf.DUMMYFUNCTION("""COMPUTED_VALUE"""),314.01)</f>
        <v>314.01</v>
      </c>
      <c r="G960" s="1">
        <f ca="1">IFERROR(__xludf.DUMMYFUNCTION("""COMPUTED_VALUE"""),137.9)</f>
        <v>137.9</v>
      </c>
      <c r="H960" s="1">
        <f ca="1">IFERROR(__xludf.DUMMYFUNCTION("""COMPUTED_VALUE"""),212.08)</f>
        <v>212.08</v>
      </c>
      <c r="I960" s="1">
        <f ca="1">IFERROR(__xludf.DUMMYFUNCTION("""COMPUTED_VALUE"""),160.08)</f>
        <v>160.08000000000001</v>
      </c>
      <c r="J960" s="1">
        <f ca="1">IFERROR(__xludf.DUMMYFUNCTION("""COMPUTED_VALUE"""),552.29)</f>
        <v>552.29</v>
      </c>
      <c r="K960" s="1">
        <f ca="1">IFERROR(__xludf.DUMMYFUNCTION("""COMPUTED_VALUE"""),86.22)</f>
        <v>86.22</v>
      </c>
      <c r="L960" s="1">
        <f ca="1">IFERROR(__xludf.DUMMYFUNCTION("""COMPUTED_VALUE"""),540.41)</f>
        <v>540.41</v>
      </c>
      <c r="M960" s="1">
        <f ca="1">IFERROR(__xludf.DUMMYFUNCTION("""COMPUTED_VALUE"""),406.84)</f>
        <v>406.84</v>
      </c>
      <c r="N960" s="1">
        <f ca="1">IFERROR(__xludf.DUMMYFUNCTION("""COMPUTED_VALUE"""),141)</f>
        <v>141</v>
      </c>
      <c r="O960" s="1">
        <f ca="1">IFERROR(__xludf.DUMMYFUNCTION("""COMPUTED_VALUE"""),231.53)</f>
        <v>231.53</v>
      </c>
      <c r="P960" s="1">
        <f ca="1">IFERROR(__xludf.DUMMYFUNCTION("""COMPUTED_VALUE"""),151.39)</f>
        <v>151.38999999999999</v>
      </c>
      <c r="Q960" s="1">
        <f ca="1">IFERROR(__xludf.DUMMYFUNCTION("""COMPUTED_VALUE"""),521.57)</f>
        <v>521.57000000000005</v>
      </c>
      <c r="R960" s="1">
        <f ca="1">IFERROR(__xludf.DUMMYFUNCTION("""COMPUTED_VALUE"""),109.45)</f>
        <v>109.45</v>
      </c>
      <c r="S960" s="1">
        <f ca="1">IFERROR(__xludf.DUMMYFUNCTION("""COMPUTED_VALUE"""),51.52)</f>
        <v>51.52</v>
      </c>
      <c r="T960" s="1">
        <f ca="1">IFERROR(__xludf.DUMMYFUNCTION("""COMPUTED_VALUE"""),53.67)</f>
        <v>53.67</v>
      </c>
      <c r="U960" s="1">
        <f ca="1">IFERROR(__xludf.DUMMYFUNCTION("""COMPUTED_VALUE"""),102.81)</f>
        <v>102.81</v>
      </c>
      <c r="V960" s="1">
        <f ca="1">IFERROR(__xludf.DUMMYFUNCTION("""COMPUTED_VALUE"""),247.32)</f>
        <v>247.32</v>
      </c>
      <c r="W960" s="1">
        <f ca="1">IFERROR(__xludf.DUMMYFUNCTION("""COMPUTED_VALUE"""),446.16)</f>
        <v>446.16</v>
      </c>
      <c r="X960" s="1">
        <f ca="1">IFERROR(__xludf.DUMMYFUNCTION("""COMPUTED_VALUE"""),587.79)</f>
        <v>587.79</v>
      </c>
      <c r="Y960" s="1">
        <f ca="1">IFERROR(__xludf.DUMMYFUNCTION("""COMPUTED_VALUE"""),91.11)</f>
        <v>91.11</v>
      </c>
      <c r="Z960" s="1">
        <f ca="1">IFERROR(__xludf.DUMMYFUNCTION("""COMPUTED_VALUE"""),299.22)</f>
        <v>299.22000000000003</v>
      </c>
      <c r="AA960" s="1">
        <f ca="1">IFERROR(__xludf.DUMMYFUNCTION("""COMPUTED_VALUE"""),30.84)</f>
        <v>30.84</v>
      </c>
      <c r="AB960" s="1">
        <f ca="1">IFERROR(__xludf.DUMMYFUNCTION("""COMPUTED_VALUE"""),94.2)</f>
        <v>94.2</v>
      </c>
      <c r="AC960" s="1">
        <f ca="1">IFERROR(__xludf.DUMMYFUNCTION("""COMPUTED_VALUE"""),100.01)</f>
        <v>100.01</v>
      </c>
    </row>
    <row r="961" spans="1:29" x14ac:dyDescent="0.25">
      <c r="A961" s="2">
        <f ca="1">IFERROR(__xludf.DUMMYFUNCTION("""COMPUTED_VALUE"""),45223.6666666666)</f>
        <v>45223.666666666599</v>
      </c>
      <c r="B961" s="1">
        <f ca="1">IFERROR(__xludf.DUMMYFUNCTION("""COMPUTED_VALUE"""),173.44)</f>
        <v>173.44</v>
      </c>
      <c r="C961" s="1">
        <f ca="1">IFERROR(__xludf.DUMMYFUNCTION("""COMPUTED_VALUE"""),330.53)</f>
        <v>330.53</v>
      </c>
      <c r="D961" s="1">
        <f ca="1">IFERROR(__xludf.DUMMYFUNCTION("""COMPUTED_VALUE"""),128.56)</f>
        <v>128.56</v>
      </c>
      <c r="E961" s="1">
        <f ca="1">IFERROR(__xludf.DUMMYFUNCTION("""COMPUTED_VALUE"""),43.66)</f>
        <v>43.66</v>
      </c>
      <c r="F961" s="1">
        <f ca="1">IFERROR(__xludf.DUMMYFUNCTION("""COMPUTED_VALUE"""),312.55)</f>
        <v>312.55</v>
      </c>
      <c r="G961" s="1">
        <f ca="1">IFERROR(__xludf.DUMMYFUNCTION("""COMPUTED_VALUE"""),140.12)</f>
        <v>140.12</v>
      </c>
      <c r="H961" s="1">
        <f ca="1">IFERROR(__xludf.DUMMYFUNCTION("""COMPUTED_VALUE"""),216.52)</f>
        <v>216.52</v>
      </c>
      <c r="I961" s="1">
        <f ca="1">IFERROR(__xludf.DUMMYFUNCTION("""COMPUTED_VALUE"""),162.19)</f>
        <v>162.19</v>
      </c>
      <c r="J961" s="1">
        <f ca="1">IFERROR(__xludf.DUMMYFUNCTION("""COMPUTED_VALUE"""),551.84)</f>
        <v>551.84</v>
      </c>
      <c r="K961" s="1">
        <f ca="1">IFERROR(__xludf.DUMMYFUNCTION("""COMPUTED_VALUE"""),88.11)</f>
        <v>88.11</v>
      </c>
      <c r="L961" s="1">
        <f ca="1">IFERROR(__xludf.DUMMYFUNCTION("""COMPUTED_VALUE"""),539.56)</f>
        <v>539.55999999999995</v>
      </c>
      <c r="M961" s="1">
        <f ca="1">IFERROR(__xludf.DUMMYFUNCTION("""COMPUTED_VALUE"""),413.73)</f>
        <v>413.73</v>
      </c>
      <c r="N961" s="1">
        <f ca="1">IFERROR(__xludf.DUMMYFUNCTION("""COMPUTED_VALUE"""),141.17)</f>
        <v>141.16999999999999</v>
      </c>
      <c r="O961" s="1">
        <f ca="1">IFERROR(__xludf.DUMMYFUNCTION("""COMPUTED_VALUE"""),234.65)</f>
        <v>234.65</v>
      </c>
      <c r="P961" s="1">
        <f ca="1">IFERROR(__xludf.DUMMYFUNCTION("""COMPUTED_VALUE"""),151.23)</f>
        <v>151.22999999999999</v>
      </c>
      <c r="Q961" s="1">
        <f ca="1">IFERROR(__xludf.DUMMYFUNCTION("""COMPUTED_VALUE"""),525)</f>
        <v>525</v>
      </c>
      <c r="R961" s="1">
        <f ca="1">IFERROR(__xludf.DUMMYFUNCTION("""COMPUTED_VALUE"""),108.39)</f>
        <v>108.39</v>
      </c>
      <c r="S961" s="1">
        <f ca="1">IFERROR(__xludf.DUMMYFUNCTION("""COMPUTED_VALUE"""),55.12)</f>
        <v>55.12</v>
      </c>
      <c r="T961" s="1">
        <f ca="1">IFERROR(__xludf.DUMMYFUNCTION("""COMPUTED_VALUE"""),54.42)</f>
        <v>54.42</v>
      </c>
      <c r="U961" s="1">
        <f ca="1">IFERROR(__xludf.DUMMYFUNCTION("""COMPUTED_VALUE"""),105.18)</f>
        <v>105.18</v>
      </c>
      <c r="V961" s="1">
        <f ca="1">IFERROR(__xludf.DUMMYFUNCTION("""COMPUTED_VALUE"""),249.55)</f>
        <v>249.55</v>
      </c>
      <c r="W961" s="1">
        <f ca="1">IFERROR(__xludf.DUMMYFUNCTION("""COMPUTED_VALUE"""),440.9)</f>
        <v>440.9</v>
      </c>
      <c r="X961" s="1">
        <f ca="1">IFERROR(__xludf.DUMMYFUNCTION("""COMPUTED_VALUE"""),600.75)</f>
        <v>600.75</v>
      </c>
      <c r="Y961" s="1">
        <f ca="1">IFERROR(__xludf.DUMMYFUNCTION("""COMPUTED_VALUE"""),91.64)</f>
        <v>91.64</v>
      </c>
      <c r="Z961" s="1">
        <f ca="1">IFERROR(__xludf.DUMMYFUNCTION("""COMPUTED_VALUE"""),299.18)</f>
        <v>299.18</v>
      </c>
      <c r="AA961" s="1">
        <f ca="1">IFERROR(__xludf.DUMMYFUNCTION("""COMPUTED_VALUE"""),30.43)</f>
        <v>30.43</v>
      </c>
      <c r="AB961" s="1">
        <f ca="1">IFERROR(__xludf.DUMMYFUNCTION("""COMPUTED_VALUE"""),94.62)</f>
        <v>94.62</v>
      </c>
      <c r="AC961" s="1">
        <f ca="1">IFERROR(__xludf.DUMMYFUNCTION("""COMPUTED_VALUE"""),101.67)</f>
        <v>101.67</v>
      </c>
    </row>
    <row r="962" spans="1:29" x14ac:dyDescent="0.25">
      <c r="A962" s="2">
        <f ca="1">IFERROR(__xludf.DUMMYFUNCTION("""COMPUTED_VALUE"""),45224.6666666666)</f>
        <v>45224.666666666599</v>
      </c>
      <c r="B962" s="1">
        <f ca="1">IFERROR(__xludf.DUMMYFUNCTION("""COMPUTED_VALUE"""),171.1)</f>
        <v>171.1</v>
      </c>
      <c r="C962" s="1">
        <f ca="1">IFERROR(__xludf.DUMMYFUNCTION("""COMPUTED_VALUE"""),340.67)</f>
        <v>340.67</v>
      </c>
      <c r="D962" s="1">
        <f ca="1">IFERROR(__xludf.DUMMYFUNCTION("""COMPUTED_VALUE"""),121.39)</f>
        <v>121.39</v>
      </c>
      <c r="E962" s="1">
        <f ca="1">IFERROR(__xludf.DUMMYFUNCTION("""COMPUTED_VALUE"""),41.78)</f>
        <v>41.78</v>
      </c>
      <c r="F962" s="1">
        <f ca="1">IFERROR(__xludf.DUMMYFUNCTION("""COMPUTED_VALUE"""),299.53)</f>
        <v>299.52999999999997</v>
      </c>
      <c r="G962" s="1">
        <f ca="1">IFERROR(__xludf.DUMMYFUNCTION("""COMPUTED_VALUE"""),126.67)</f>
        <v>126.67</v>
      </c>
      <c r="H962" s="1">
        <f ca="1">IFERROR(__xludf.DUMMYFUNCTION("""COMPUTED_VALUE"""),212.42)</f>
        <v>212.42</v>
      </c>
      <c r="I962" s="1">
        <f ca="1">IFERROR(__xludf.DUMMYFUNCTION("""COMPUTED_VALUE"""),162.35)</f>
        <v>162.35</v>
      </c>
      <c r="J962" s="1">
        <f ca="1">IFERROR(__xludf.DUMMYFUNCTION("""COMPUTED_VALUE"""),549.99)</f>
        <v>549.99</v>
      </c>
      <c r="K962" s="1">
        <f ca="1">IFERROR(__xludf.DUMMYFUNCTION("""COMPUTED_VALUE"""),84.96)</f>
        <v>84.96</v>
      </c>
      <c r="L962" s="1">
        <f ca="1">IFERROR(__xludf.DUMMYFUNCTION("""COMPUTED_VALUE"""),521.14)</f>
        <v>521.14</v>
      </c>
      <c r="M962" s="1">
        <f ca="1">IFERROR(__xludf.DUMMYFUNCTION("""COMPUTED_VALUE"""),411.25)</f>
        <v>411.25</v>
      </c>
      <c r="N962" s="1">
        <f ca="1">IFERROR(__xludf.DUMMYFUNCTION("""COMPUTED_VALUE"""),140.4)</f>
        <v>140.4</v>
      </c>
      <c r="O962" s="1">
        <f ca="1">IFERROR(__xludf.DUMMYFUNCTION("""COMPUTED_VALUE"""),236.85)</f>
        <v>236.85</v>
      </c>
      <c r="P962" s="1">
        <f ca="1">IFERROR(__xludf.DUMMYFUNCTION("""COMPUTED_VALUE"""),151.57)</f>
        <v>151.57</v>
      </c>
      <c r="Q962" s="1">
        <f ca="1">IFERROR(__xludf.DUMMYFUNCTION("""COMPUTED_VALUE"""),530.21)</f>
        <v>530.21</v>
      </c>
      <c r="R962" s="1">
        <f ca="1">IFERROR(__xludf.DUMMYFUNCTION("""COMPUTED_VALUE"""),108.59)</f>
        <v>108.59</v>
      </c>
      <c r="S962" s="1">
        <f ca="1">IFERROR(__xludf.DUMMYFUNCTION("""COMPUTED_VALUE"""),56.46)</f>
        <v>56.46</v>
      </c>
      <c r="T962" s="1">
        <f ca="1">IFERROR(__xludf.DUMMYFUNCTION("""COMPUTED_VALUE"""),54.25)</f>
        <v>54.25</v>
      </c>
      <c r="U962" s="1">
        <f ca="1">IFERROR(__xludf.DUMMYFUNCTION("""COMPUTED_VALUE"""),103.54)</f>
        <v>103.54</v>
      </c>
      <c r="V962" s="1">
        <f ca="1">IFERROR(__xludf.DUMMYFUNCTION("""COMPUTED_VALUE"""),244.94)</f>
        <v>244.94</v>
      </c>
      <c r="W962" s="1">
        <f ca="1">IFERROR(__xludf.DUMMYFUNCTION("""COMPUTED_VALUE"""),447.69)</f>
        <v>447.69</v>
      </c>
      <c r="X962" s="1">
        <f ca="1">IFERROR(__xludf.DUMMYFUNCTION("""COMPUTED_VALUE"""),583.34)</f>
        <v>583.34</v>
      </c>
      <c r="Y962" s="1">
        <f ca="1">IFERROR(__xludf.DUMMYFUNCTION("""COMPUTED_VALUE"""),87.64)</f>
        <v>87.64</v>
      </c>
      <c r="Z962" s="1">
        <f ca="1">IFERROR(__xludf.DUMMYFUNCTION("""COMPUTED_VALUE"""),296.76)</f>
        <v>296.76</v>
      </c>
      <c r="AA962" s="1">
        <f ca="1">IFERROR(__xludf.DUMMYFUNCTION("""COMPUTED_VALUE"""),30.73)</f>
        <v>30.73</v>
      </c>
      <c r="AB962" s="1">
        <f ca="1">IFERROR(__xludf.DUMMYFUNCTION("""COMPUTED_VALUE"""),94)</f>
        <v>94</v>
      </c>
      <c r="AC962" s="1">
        <f ca="1">IFERROR(__xludf.DUMMYFUNCTION("""COMPUTED_VALUE"""),96.06)</f>
        <v>96.06</v>
      </c>
    </row>
    <row r="963" spans="1:29" x14ac:dyDescent="0.25">
      <c r="A963" s="2">
        <f ca="1">IFERROR(__xludf.DUMMYFUNCTION("""COMPUTED_VALUE"""),45225.6666666666)</f>
        <v>45225.666666666599</v>
      </c>
      <c r="B963" s="1">
        <f ca="1">IFERROR(__xludf.DUMMYFUNCTION("""COMPUTED_VALUE"""),166.89)</f>
        <v>166.89</v>
      </c>
      <c r="C963" s="1">
        <f ca="1">IFERROR(__xludf.DUMMYFUNCTION("""COMPUTED_VALUE"""),327.89)</f>
        <v>327.89</v>
      </c>
      <c r="D963" s="1">
        <f ca="1">IFERROR(__xludf.DUMMYFUNCTION("""COMPUTED_VALUE"""),119.57)</f>
        <v>119.57</v>
      </c>
      <c r="E963" s="1">
        <f ca="1">IFERROR(__xludf.DUMMYFUNCTION("""COMPUTED_VALUE"""),40.33)</f>
        <v>40.33</v>
      </c>
      <c r="F963" s="1">
        <f ca="1">IFERROR(__xludf.DUMMYFUNCTION("""COMPUTED_VALUE"""),288.35)</f>
        <v>288.35000000000002</v>
      </c>
      <c r="G963" s="1">
        <f ca="1">IFERROR(__xludf.DUMMYFUNCTION("""COMPUTED_VALUE"""),123.44)</f>
        <v>123.44</v>
      </c>
      <c r="H963" s="1">
        <f ca="1">IFERROR(__xludf.DUMMYFUNCTION("""COMPUTED_VALUE"""),205.76)</f>
        <v>205.76</v>
      </c>
      <c r="I963" s="1">
        <f ca="1">IFERROR(__xludf.DUMMYFUNCTION("""COMPUTED_VALUE"""),161.41)</f>
        <v>161.41</v>
      </c>
      <c r="J963" s="1">
        <f ca="1">IFERROR(__xludf.DUMMYFUNCTION("""COMPUTED_VALUE"""),547.6)</f>
        <v>547.6</v>
      </c>
      <c r="K963" s="1">
        <f ca="1">IFERROR(__xludf.DUMMYFUNCTION("""COMPUTED_VALUE"""),82.68)</f>
        <v>82.68</v>
      </c>
      <c r="L963" s="1">
        <f ca="1">IFERROR(__xludf.DUMMYFUNCTION("""COMPUTED_VALUE"""),514.28)</f>
        <v>514.28</v>
      </c>
      <c r="M963" s="1">
        <f ca="1">IFERROR(__xludf.DUMMYFUNCTION("""COMPUTED_VALUE"""),403.54)</f>
        <v>403.54</v>
      </c>
      <c r="N963" s="1">
        <f ca="1">IFERROR(__xludf.DUMMYFUNCTION("""COMPUTED_VALUE"""),140.76)</f>
        <v>140.76</v>
      </c>
      <c r="O963" s="1">
        <f ca="1">IFERROR(__xludf.DUMMYFUNCTION("""COMPUTED_VALUE"""),231.28)</f>
        <v>231.28</v>
      </c>
      <c r="P963" s="1">
        <f ca="1">IFERROR(__xludf.DUMMYFUNCTION("""COMPUTED_VALUE"""),149)</f>
        <v>149</v>
      </c>
      <c r="Q963" s="1">
        <f ca="1">IFERROR(__xludf.DUMMYFUNCTION("""COMPUTED_VALUE"""),528.36)</f>
        <v>528.36</v>
      </c>
      <c r="R963" s="1">
        <f ca="1">IFERROR(__xludf.DUMMYFUNCTION("""COMPUTED_VALUE"""),107.6)</f>
        <v>107.6</v>
      </c>
      <c r="S963" s="1">
        <f ca="1">IFERROR(__xludf.DUMMYFUNCTION("""COMPUTED_VALUE"""),57.57)</f>
        <v>57.57</v>
      </c>
      <c r="T963" s="1">
        <f ca="1">IFERROR(__xludf.DUMMYFUNCTION("""COMPUTED_VALUE"""),53.92)</f>
        <v>53.92</v>
      </c>
      <c r="U963" s="1">
        <f ca="1">IFERROR(__xludf.DUMMYFUNCTION("""COMPUTED_VALUE"""),100.02)</f>
        <v>100.02</v>
      </c>
      <c r="V963" s="1">
        <f ca="1">IFERROR(__xludf.DUMMYFUNCTION("""COMPUTED_VALUE"""),242.43)</f>
        <v>242.43</v>
      </c>
      <c r="W963" s="1">
        <f ca="1">IFERROR(__xludf.DUMMYFUNCTION("""COMPUTED_VALUE"""),445.97)</f>
        <v>445.97</v>
      </c>
      <c r="X963" s="1">
        <f ca="1">IFERROR(__xludf.DUMMYFUNCTION("""COMPUTED_VALUE"""),588.2)</f>
        <v>588.20000000000005</v>
      </c>
      <c r="Y963" s="1">
        <f ca="1">IFERROR(__xludf.DUMMYFUNCTION("""COMPUTED_VALUE"""),87.45)</f>
        <v>87.45</v>
      </c>
      <c r="Z963" s="1">
        <f ca="1">IFERROR(__xludf.DUMMYFUNCTION("""COMPUTED_VALUE"""),296.99)</f>
        <v>296.99</v>
      </c>
      <c r="AA963" s="1">
        <f ca="1">IFERROR(__xludf.DUMMYFUNCTION("""COMPUTED_VALUE"""),31.16)</f>
        <v>31.16</v>
      </c>
      <c r="AB963" s="1">
        <f ca="1">IFERROR(__xludf.DUMMYFUNCTION("""COMPUTED_VALUE"""),92.67)</f>
        <v>92.67</v>
      </c>
      <c r="AC963" s="1">
        <f ca="1">IFERROR(__xludf.DUMMYFUNCTION("""COMPUTED_VALUE"""),93.67)</f>
        <v>93.67</v>
      </c>
    </row>
    <row r="964" spans="1:29" x14ac:dyDescent="0.25">
      <c r="A964" s="2">
        <f ca="1">IFERROR(__xludf.DUMMYFUNCTION("""COMPUTED_VALUE"""),45226.6666666666)</f>
        <v>45226.666666666599</v>
      </c>
      <c r="B964" s="1">
        <f ca="1">IFERROR(__xludf.DUMMYFUNCTION("""COMPUTED_VALUE"""),168.22)</f>
        <v>168.22</v>
      </c>
      <c r="C964" s="1">
        <f ca="1">IFERROR(__xludf.DUMMYFUNCTION("""COMPUTED_VALUE"""),329.81)</f>
        <v>329.81</v>
      </c>
      <c r="D964" s="1">
        <f ca="1">IFERROR(__xludf.DUMMYFUNCTION("""COMPUTED_VALUE"""),127.74)</f>
        <v>127.74</v>
      </c>
      <c r="E964" s="1">
        <f ca="1">IFERROR(__xludf.DUMMYFUNCTION("""COMPUTED_VALUE"""),40.5)</f>
        <v>40.5</v>
      </c>
      <c r="F964" s="1">
        <f ca="1">IFERROR(__xludf.DUMMYFUNCTION("""COMPUTED_VALUE"""),296.73)</f>
        <v>296.73</v>
      </c>
      <c r="G964" s="1">
        <f ca="1">IFERROR(__xludf.DUMMYFUNCTION("""COMPUTED_VALUE"""),123.4)</f>
        <v>123.4</v>
      </c>
      <c r="H964" s="1">
        <f ca="1">IFERROR(__xludf.DUMMYFUNCTION("""COMPUTED_VALUE"""),207.3)</f>
        <v>207.3</v>
      </c>
      <c r="I964" s="1">
        <f ca="1">IFERROR(__xludf.DUMMYFUNCTION("""COMPUTED_VALUE"""),159.62)</f>
        <v>159.62</v>
      </c>
      <c r="J964" s="1">
        <f ca="1">IFERROR(__xludf.DUMMYFUNCTION("""COMPUTED_VALUE"""),543.03)</f>
        <v>543.03</v>
      </c>
      <c r="K964" s="1">
        <f ca="1">IFERROR(__xludf.DUMMYFUNCTION("""COMPUTED_VALUE"""),83.84)</f>
        <v>83.84</v>
      </c>
      <c r="L964" s="1">
        <f ca="1">IFERROR(__xludf.DUMMYFUNCTION("""COMPUTED_VALUE"""),508.12)</f>
        <v>508.12</v>
      </c>
      <c r="M964" s="1">
        <f ca="1">IFERROR(__xludf.DUMMYFUNCTION("""COMPUTED_VALUE"""),397.87)</f>
        <v>397.87</v>
      </c>
      <c r="N964" s="1">
        <f ca="1">IFERROR(__xludf.DUMMYFUNCTION("""COMPUTED_VALUE"""),135.69)</f>
        <v>135.69</v>
      </c>
      <c r="O964" s="1">
        <f ca="1">IFERROR(__xludf.DUMMYFUNCTION("""COMPUTED_VALUE"""),229.27)</f>
        <v>229.27</v>
      </c>
      <c r="P964" s="1">
        <f ca="1">IFERROR(__xludf.DUMMYFUNCTION("""COMPUTED_VALUE"""),145.6)</f>
        <v>145.6</v>
      </c>
      <c r="Q964" s="1">
        <f ca="1">IFERROR(__xludf.DUMMYFUNCTION("""COMPUTED_VALUE"""),524.66)</f>
        <v>524.66</v>
      </c>
      <c r="R964" s="1">
        <f ca="1">IFERROR(__xludf.DUMMYFUNCTION("""COMPUTED_VALUE"""),105.55)</f>
        <v>105.55</v>
      </c>
      <c r="S964" s="1">
        <f ca="1">IFERROR(__xludf.DUMMYFUNCTION("""COMPUTED_VALUE"""),56.24)</f>
        <v>56.24</v>
      </c>
      <c r="T964" s="1">
        <f ca="1">IFERROR(__xludf.DUMMYFUNCTION("""COMPUTED_VALUE"""),53.72)</f>
        <v>53.72</v>
      </c>
      <c r="U964" s="1">
        <f ca="1">IFERROR(__xludf.DUMMYFUNCTION("""COMPUTED_VALUE"""),97.98)</f>
        <v>97.98</v>
      </c>
      <c r="V964" s="1">
        <f ca="1">IFERROR(__xludf.DUMMYFUNCTION("""COMPUTED_VALUE"""),238.56)</f>
        <v>238.56</v>
      </c>
      <c r="W964" s="1">
        <f ca="1">IFERROR(__xludf.DUMMYFUNCTION("""COMPUTED_VALUE"""),443.39)</f>
        <v>443.39</v>
      </c>
      <c r="X964" s="1">
        <f ca="1">IFERROR(__xludf.DUMMYFUNCTION("""COMPUTED_VALUE"""),590)</f>
        <v>590</v>
      </c>
      <c r="Y964" s="1">
        <f ca="1">IFERROR(__xludf.DUMMYFUNCTION("""COMPUTED_VALUE"""),85.99)</f>
        <v>85.99</v>
      </c>
      <c r="Z964" s="1">
        <f ca="1">IFERROR(__xludf.DUMMYFUNCTION("""COMPUTED_VALUE"""),289.91)</f>
        <v>289.91000000000003</v>
      </c>
      <c r="AA964" s="1">
        <f ca="1">IFERROR(__xludf.DUMMYFUNCTION("""COMPUTED_VALUE"""),30.11)</f>
        <v>30.11</v>
      </c>
      <c r="AB964" s="1">
        <f ca="1">IFERROR(__xludf.DUMMYFUNCTION("""COMPUTED_VALUE"""),92.02)</f>
        <v>92.02</v>
      </c>
      <c r="AC964" s="1">
        <f ca="1">IFERROR(__xludf.DUMMYFUNCTION("""COMPUTED_VALUE"""),96.43)</f>
        <v>96.43</v>
      </c>
    </row>
    <row r="965" spans="1:29" x14ac:dyDescent="0.25">
      <c r="A965" s="2">
        <f ca="1">IFERROR(__xludf.DUMMYFUNCTION("""COMPUTED_VALUE"""),45229.6666666666)</f>
        <v>45229.666666666599</v>
      </c>
      <c r="B965" s="1">
        <f ca="1">IFERROR(__xludf.DUMMYFUNCTION("""COMPUTED_VALUE"""),170.29)</f>
        <v>170.29</v>
      </c>
      <c r="C965" s="1">
        <f ca="1">IFERROR(__xludf.DUMMYFUNCTION("""COMPUTED_VALUE"""),337.31)</f>
        <v>337.31</v>
      </c>
      <c r="D965" s="1">
        <f ca="1">IFERROR(__xludf.DUMMYFUNCTION("""COMPUTED_VALUE"""),132.71)</f>
        <v>132.71</v>
      </c>
      <c r="E965" s="1">
        <f ca="1">IFERROR(__xludf.DUMMYFUNCTION("""COMPUTED_VALUE"""),41.16)</f>
        <v>41.16</v>
      </c>
      <c r="F965" s="1">
        <f ca="1">IFERROR(__xludf.DUMMYFUNCTION("""COMPUTED_VALUE"""),302.66)</f>
        <v>302.66000000000003</v>
      </c>
      <c r="G965" s="1">
        <f ca="1">IFERROR(__xludf.DUMMYFUNCTION("""COMPUTED_VALUE"""),125.75)</f>
        <v>125.75</v>
      </c>
      <c r="H965" s="1">
        <f ca="1">IFERROR(__xludf.DUMMYFUNCTION("""COMPUTED_VALUE"""),197.36)</f>
        <v>197.36</v>
      </c>
      <c r="I965" s="1">
        <f ca="1">IFERROR(__xludf.DUMMYFUNCTION("""COMPUTED_VALUE"""),162.28)</f>
        <v>162.28</v>
      </c>
      <c r="J965" s="1">
        <f ca="1">IFERROR(__xludf.DUMMYFUNCTION("""COMPUTED_VALUE"""),554.88)</f>
        <v>554.88</v>
      </c>
      <c r="K965" s="1">
        <f ca="1">IFERROR(__xludf.DUMMYFUNCTION("""COMPUTED_VALUE"""),84.13)</f>
        <v>84.13</v>
      </c>
      <c r="L965" s="1">
        <f ca="1">IFERROR(__xludf.DUMMYFUNCTION("""COMPUTED_VALUE"""),526.94)</f>
        <v>526.94000000000005</v>
      </c>
      <c r="M965" s="1">
        <f ca="1">IFERROR(__xludf.DUMMYFUNCTION("""COMPUTED_VALUE"""),410.08)</f>
        <v>410.08</v>
      </c>
      <c r="N965" s="1">
        <f ca="1">IFERROR(__xludf.DUMMYFUNCTION("""COMPUTED_VALUE"""),137.42)</f>
        <v>137.41999999999999</v>
      </c>
      <c r="O965" s="1">
        <f ca="1">IFERROR(__xludf.DUMMYFUNCTION("""COMPUTED_VALUE"""),233.08)</f>
        <v>233.08</v>
      </c>
      <c r="P965" s="1">
        <f ca="1">IFERROR(__xludf.DUMMYFUNCTION("""COMPUTED_VALUE"""),147.03)</f>
        <v>147.03</v>
      </c>
      <c r="Q965" s="1">
        <f ca="1">IFERROR(__xludf.DUMMYFUNCTION("""COMPUTED_VALUE"""),529.99)</f>
        <v>529.99</v>
      </c>
      <c r="R965" s="1">
        <f ca="1">IFERROR(__xludf.DUMMYFUNCTION("""COMPUTED_VALUE"""),105.88)</f>
        <v>105.88</v>
      </c>
      <c r="S965" s="1">
        <f ca="1">IFERROR(__xludf.DUMMYFUNCTION("""COMPUTED_VALUE"""),57.2)</f>
        <v>57.2</v>
      </c>
      <c r="T965" s="1">
        <f ca="1">IFERROR(__xludf.DUMMYFUNCTION("""COMPUTED_VALUE"""),54.34)</f>
        <v>54.34</v>
      </c>
      <c r="U965" s="1">
        <f ca="1">IFERROR(__xludf.DUMMYFUNCTION("""COMPUTED_VALUE"""),101.8)</f>
        <v>101.8</v>
      </c>
      <c r="V965" s="1">
        <f ca="1">IFERROR(__xludf.DUMMYFUNCTION("""COMPUTED_VALUE"""),242.16)</f>
        <v>242.16</v>
      </c>
      <c r="W965" s="1">
        <f ca="1">IFERROR(__xludf.DUMMYFUNCTION("""COMPUTED_VALUE"""),445.84)</f>
        <v>445.84</v>
      </c>
      <c r="X965" s="1">
        <f ca="1">IFERROR(__xludf.DUMMYFUNCTION("""COMPUTED_VALUE"""),588.88)</f>
        <v>588.88</v>
      </c>
      <c r="Y965" s="1">
        <f ca="1">IFERROR(__xludf.DUMMYFUNCTION("""COMPUTED_VALUE"""),86.06)</f>
        <v>86.06</v>
      </c>
      <c r="Z965" s="1">
        <f ca="1">IFERROR(__xludf.DUMMYFUNCTION("""COMPUTED_VALUE"""),300.83)</f>
        <v>300.83</v>
      </c>
      <c r="AA965" s="1">
        <f ca="1">IFERROR(__xludf.DUMMYFUNCTION("""COMPUTED_VALUE"""),30.55)</f>
        <v>30.55</v>
      </c>
      <c r="AB965" s="1">
        <f ca="1">IFERROR(__xludf.DUMMYFUNCTION("""COMPUTED_VALUE"""),93.15)</f>
        <v>93.15</v>
      </c>
      <c r="AC965" s="1">
        <f ca="1">IFERROR(__xludf.DUMMYFUNCTION("""COMPUTED_VALUE"""),96.18)</f>
        <v>96.18</v>
      </c>
    </row>
    <row r="966" spans="1:29" x14ac:dyDescent="0.25">
      <c r="A966" s="2">
        <f ca="1">IFERROR(__xludf.DUMMYFUNCTION("""COMPUTED_VALUE"""),45230.6666666666)</f>
        <v>45230.666666666599</v>
      </c>
      <c r="B966" s="1">
        <f ca="1">IFERROR(__xludf.DUMMYFUNCTION("""COMPUTED_VALUE"""),170.77)</f>
        <v>170.77</v>
      </c>
      <c r="C966" s="1">
        <f ca="1">IFERROR(__xludf.DUMMYFUNCTION("""COMPUTED_VALUE"""),338.11)</f>
        <v>338.11</v>
      </c>
      <c r="D966" s="1">
        <f ca="1">IFERROR(__xludf.DUMMYFUNCTION("""COMPUTED_VALUE"""),133.09)</f>
        <v>133.09</v>
      </c>
      <c r="E966" s="1">
        <f ca="1">IFERROR(__xludf.DUMMYFUNCTION("""COMPUTED_VALUE"""),40.78)</f>
        <v>40.78</v>
      </c>
      <c r="F966" s="1">
        <f ca="1">IFERROR(__xludf.DUMMYFUNCTION("""COMPUTED_VALUE"""),301.27)</f>
        <v>301.27</v>
      </c>
      <c r="G966" s="1">
        <f ca="1">IFERROR(__xludf.DUMMYFUNCTION("""COMPUTED_VALUE"""),125.3)</f>
        <v>125.3</v>
      </c>
      <c r="H966" s="1">
        <f ca="1">IFERROR(__xludf.DUMMYFUNCTION("""COMPUTED_VALUE"""),200.84)</f>
        <v>200.84</v>
      </c>
      <c r="I966" s="1">
        <f ca="1">IFERROR(__xludf.DUMMYFUNCTION("""COMPUTED_VALUE"""),163.28)</f>
        <v>163.28</v>
      </c>
      <c r="J966" s="1">
        <f ca="1">IFERROR(__xludf.DUMMYFUNCTION("""COMPUTED_VALUE"""),552.44)</f>
        <v>552.44000000000005</v>
      </c>
      <c r="K966" s="1">
        <f ca="1">IFERROR(__xludf.DUMMYFUNCTION("""COMPUTED_VALUE"""),84.14)</f>
        <v>84.14</v>
      </c>
      <c r="L966" s="1">
        <f ca="1">IFERROR(__xludf.DUMMYFUNCTION("""COMPUTED_VALUE"""),532.06)</f>
        <v>532.05999999999995</v>
      </c>
      <c r="M966" s="1">
        <f ca="1">IFERROR(__xludf.DUMMYFUNCTION("""COMPUTED_VALUE"""),411.69)</f>
        <v>411.69</v>
      </c>
      <c r="N966" s="1">
        <f ca="1">IFERROR(__xludf.DUMMYFUNCTION("""COMPUTED_VALUE"""),139.06)</f>
        <v>139.06</v>
      </c>
      <c r="O966" s="1">
        <f ca="1">IFERROR(__xludf.DUMMYFUNCTION("""COMPUTED_VALUE"""),235.1)</f>
        <v>235.1</v>
      </c>
      <c r="P966" s="1">
        <f ca="1">IFERROR(__xludf.DUMMYFUNCTION("""COMPUTED_VALUE"""),148.34)</f>
        <v>148.34</v>
      </c>
      <c r="Q966" s="1">
        <f ca="1">IFERROR(__xludf.DUMMYFUNCTION("""COMPUTED_VALUE"""),535.56)</f>
        <v>535.55999999999995</v>
      </c>
      <c r="R966" s="1">
        <f ca="1">IFERROR(__xludf.DUMMYFUNCTION("""COMPUTED_VALUE"""),105.85)</f>
        <v>105.85</v>
      </c>
      <c r="S966" s="1">
        <f ca="1">IFERROR(__xludf.DUMMYFUNCTION("""COMPUTED_VALUE"""),58.3)</f>
        <v>58.3</v>
      </c>
      <c r="T966" s="1">
        <f ca="1">IFERROR(__xludf.DUMMYFUNCTION("""COMPUTED_VALUE"""),54.47)</f>
        <v>54.47</v>
      </c>
      <c r="U966" s="1">
        <f ca="1">IFERROR(__xludf.DUMMYFUNCTION("""COMPUTED_VALUE"""),102.77)</f>
        <v>102.77</v>
      </c>
      <c r="V966" s="1">
        <f ca="1">IFERROR(__xludf.DUMMYFUNCTION("""COMPUTED_VALUE"""),226.05)</f>
        <v>226.05</v>
      </c>
      <c r="W966" s="1">
        <f ca="1">IFERROR(__xludf.DUMMYFUNCTION("""COMPUTED_VALUE"""),454.64)</f>
        <v>454.64</v>
      </c>
      <c r="X966" s="1">
        <f ca="1">IFERROR(__xludf.DUMMYFUNCTION("""COMPUTED_VALUE"""),598.81)</f>
        <v>598.80999999999995</v>
      </c>
      <c r="Y966" s="1">
        <f ca="1">IFERROR(__xludf.DUMMYFUNCTION("""COMPUTED_VALUE"""),86.31)</f>
        <v>86.31</v>
      </c>
      <c r="Z966" s="1">
        <f ca="1">IFERROR(__xludf.DUMMYFUNCTION("""COMPUTED_VALUE"""),303.61)</f>
        <v>303.61</v>
      </c>
      <c r="AA966" s="1">
        <f ca="1">IFERROR(__xludf.DUMMYFUNCTION("""COMPUTED_VALUE"""),30.56)</f>
        <v>30.56</v>
      </c>
      <c r="AB966" s="1">
        <f ca="1">IFERROR(__xludf.DUMMYFUNCTION("""COMPUTED_VALUE"""),92.24)</f>
        <v>92.24</v>
      </c>
      <c r="AC966" s="1">
        <f ca="1">IFERROR(__xludf.DUMMYFUNCTION("""COMPUTED_VALUE"""),98.5)</f>
        <v>98.5</v>
      </c>
    </row>
    <row r="967" spans="1:29" x14ac:dyDescent="0.25">
      <c r="A967" s="2">
        <f ca="1">IFERROR(__xludf.DUMMYFUNCTION("""COMPUTED_VALUE"""),45231.6666666666)</f>
        <v>45231.666666666599</v>
      </c>
      <c r="B967" s="1">
        <f ca="1">IFERROR(__xludf.DUMMYFUNCTION("""COMPUTED_VALUE"""),173.97)</f>
        <v>173.97</v>
      </c>
      <c r="C967" s="1">
        <f ca="1">IFERROR(__xludf.DUMMYFUNCTION("""COMPUTED_VALUE"""),346.07)</f>
        <v>346.07</v>
      </c>
      <c r="D967" s="1">
        <f ca="1">IFERROR(__xludf.DUMMYFUNCTION("""COMPUTED_VALUE"""),137)</f>
        <v>137</v>
      </c>
      <c r="E967" s="1">
        <f ca="1">IFERROR(__xludf.DUMMYFUNCTION("""COMPUTED_VALUE"""),42.33)</f>
        <v>42.33</v>
      </c>
      <c r="F967" s="1">
        <f ca="1">IFERROR(__xludf.DUMMYFUNCTION("""COMPUTED_VALUE"""),311.85)</f>
        <v>311.85000000000002</v>
      </c>
      <c r="G967" s="1">
        <f ca="1">IFERROR(__xludf.DUMMYFUNCTION("""COMPUTED_VALUE"""),127.57)</f>
        <v>127.57</v>
      </c>
      <c r="H967" s="1">
        <f ca="1">IFERROR(__xludf.DUMMYFUNCTION("""COMPUTED_VALUE"""),205.66)</f>
        <v>205.66</v>
      </c>
      <c r="I967" s="1">
        <f ca="1">IFERROR(__xludf.DUMMYFUNCTION("""COMPUTED_VALUE"""),164.87)</f>
        <v>164.87</v>
      </c>
      <c r="J967" s="1">
        <f ca="1">IFERROR(__xludf.DUMMYFUNCTION("""COMPUTED_VALUE"""),556.8)</f>
        <v>556.79999999999995</v>
      </c>
      <c r="K967" s="1">
        <f ca="1">IFERROR(__xludf.DUMMYFUNCTION("""COMPUTED_VALUE"""),85.29)</f>
        <v>85.29</v>
      </c>
      <c r="L967" s="1">
        <f ca="1">IFERROR(__xludf.DUMMYFUNCTION("""COMPUTED_VALUE"""),544.5)</f>
        <v>544.5</v>
      </c>
      <c r="M967" s="1">
        <f ca="1">IFERROR(__xludf.DUMMYFUNCTION("""COMPUTED_VALUE"""),420.19)</f>
        <v>420.19</v>
      </c>
      <c r="N967" s="1">
        <f ca="1">IFERROR(__xludf.DUMMYFUNCTION("""COMPUTED_VALUE"""),138.94)</f>
        <v>138.94</v>
      </c>
      <c r="O967" s="1">
        <f ca="1">IFERROR(__xludf.DUMMYFUNCTION("""COMPUTED_VALUE"""),238.58)</f>
        <v>238.58</v>
      </c>
      <c r="P967" s="1">
        <f ca="1">IFERROR(__xludf.DUMMYFUNCTION("""COMPUTED_VALUE"""),148.69)</f>
        <v>148.69</v>
      </c>
      <c r="Q967" s="1">
        <f ca="1">IFERROR(__xludf.DUMMYFUNCTION("""COMPUTED_VALUE"""),531.6)</f>
        <v>531.6</v>
      </c>
      <c r="R967" s="1">
        <f ca="1">IFERROR(__xludf.DUMMYFUNCTION("""COMPUTED_VALUE"""),105.64)</f>
        <v>105.64</v>
      </c>
      <c r="S967" s="1">
        <f ca="1">IFERROR(__xludf.DUMMYFUNCTION("""COMPUTED_VALUE"""),58.43)</f>
        <v>58.43</v>
      </c>
      <c r="T967" s="1">
        <f ca="1">IFERROR(__xludf.DUMMYFUNCTION("""COMPUTED_VALUE"""),54.96)</f>
        <v>54.96</v>
      </c>
      <c r="U967" s="1">
        <f ca="1">IFERROR(__xludf.DUMMYFUNCTION("""COMPUTED_VALUE"""),100.88)</f>
        <v>100.88</v>
      </c>
      <c r="V967" s="1">
        <f ca="1">IFERROR(__xludf.DUMMYFUNCTION("""COMPUTED_VALUE"""),231.83)</f>
        <v>231.83</v>
      </c>
      <c r="W967" s="1">
        <f ca="1">IFERROR(__xludf.DUMMYFUNCTION("""COMPUTED_VALUE"""),452.38)</f>
        <v>452.38</v>
      </c>
      <c r="X967" s="1">
        <f ca="1">IFERROR(__xludf.DUMMYFUNCTION("""COMPUTED_VALUE"""),608.27)</f>
        <v>608.27</v>
      </c>
      <c r="Y967" s="1">
        <f ca="1">IFERROR(__xludf.DUMMYFUNCTION("""COMPUTED_VALUE"""),87.8)</f>
        <v>87.8</v>
      </c>
      <c r="Z967" s="1">
        <f ca="1">IFERROR(__xludf.DUMMYFUNCTION("""COMPUTED_VALUE"""),307.16)</f>
        <v>307.16000000000003</v>
      </c>
      <c r="AA967" s="1">
        <f ca="1">IFERROR(__xludf.DUMMYFUNCTION("""COMPUTED_VALUE"""),30.51)</f>
        <v>30.51</v>
      </c>
      <c r="AB967" s="1">
        <f ca="1">IFERROR(__xludf.DUMMYFUNCTION("""COMPUTED_VALUE"""),91.35)</f>
        <v>91.35</v>
      </c>
      <c r="AC967" s="1">
        <f ca="1">IFERROR(__xludf.DUMMYFUNCTION("""COMPUTED_VALUE"""),108.04)</f>
        <v>108.04</v>
      </c>
    </row>
    <row r="968" spans="1:29" x14ac:dyDescent="0.25">
      <c r="A968" s="2">
        <f ca="1">IFERROR(__xludf.DUMMYFUNCTION("""COMPUTED_VALUE"""),45232.6666666666)</f>
        <v>45232.666666666599</v>
      </c>
      <c r="B968" s="1">
        <f ca="1">IFERROR(__xludf.DUMMYFUNCTION("""COMPUTED_VALUE"""),177.57)</f>
        <v>177.57</v>
      </c>
      <c r="C968" s="1">
        <f ca="1">IFERROR(__xludf.DUMMYFUNCTION("""COMPUTED_VALUE"""),348.32)</f>
        <v>348.32</v>
      </c>
      <c r="D968" s="1">
        <f ca="1">IFERROR(__xludf.DUMMYFUNCTION("""COMPUTED_VALUE"""),138.07)</f>
        <v>138.07</v>
      </c>
      <c r="E968" s="1">
        <f ca="1">IFERROR(__xludf.DUMMYFUNCTION("""COMPUTED_VALUE"""),43.51)</f>
        <v>43.51</v>
      </c>
      <c r="F968" s="1">
        <f ca="1">IFERROR(__xludf.DUMMYFUNCTION("""COMPUTED_VALUE"""),310.87)</f>
        <v>310.87</v>
      </c>
      <c r="G968" s="1">
        <f ca="1">IFERROR(__xludf.DUMMYFUNCTION("""COMPUTED_VALUE"""),128.58)</f>
        <v>128.58000000000001</v>
      </c>
      <c r="H968" s="1">
        <f ca="1">IFERROR(__xludf.DUMMYFUNCTION("""COMPUTED_VALUE"""),218.51)</f>
        <v>218.51</v>
      </c>
      <c r="I968" s="1">
        <f ca="1">IFERROR(__xludf.DUMMYFUNCTION("""COMPUTED_VALUE"""),166.83)</f>
        <v>166.83</v>
      </c>
      <c r="J968" s="1">
        <f ca="1">IFERROR(__xludf.DUMMYFUNCTION("""COMPUTED_VALUE"""),555.97)</f>
        <v>555.97</v>
      </c>
      <c r="K968" s="1">
        <f ca="1">IFERROR(__xludf.DUMMYFUNCTION("""COMPUTED_VALUE"""),87.13)</f>
        <v>87.13</v>
      </c>
      <c r="L968" s="1">
        <f ca="1">IFERROR(__xludf.DUMMYFUNCTION("""COMPUTED_VALUE"""),558.71)</f>
        <v>558.71</v>
      </c>
      <c r="M968" s="1">
        <f ca="1">IFERROR(__xludf.DUMMYFUNCTION("""COMPUTED_VALUE"""),424.71)</f>
        <v>424.71</v>
      </c>
      <c r="N968" s="1">
        <f ca="1">IFERROR(__xludf.DUMMYFUNCTION("""COMPUTED_VALUE"""),141.42)</f>
        <v>141.41999999999999</v>
      </c>
      <c r="O968" s="1">
        <f ca="1">IFERROR(__xludf.DUMMYFUNCTION("""COMPUTED_VALUE"""),243.25)</f>
        <v>243.25</v>
      </c>
      <c r="P968" s="1">
        <f ca="1">IFERROR(__xludf.DUMMYFUNCTION("""COMPUTED_VALUE"""),150.24)</f>
        <v>150.24</v>
      </c>
      <c r="Q968" s="1">
        <f ca="1">IFERROR(__xludf.DUMMYFUNCTION("""COMPUTED_VALUE"""),536.13)</f>
        <v>536.13</v>
      </c>
      <c r="R968" s="1">
        <f ca="1">IFERROR(__xludf.DUMMYFUNCTION("""COMPUTED_VALUE"""),109.11)</f>
        <v>109.11</v>
      </c>
      <c r="S968" s="1">
        <f ca="1">IFERROR(__xludf.DUMMYFUNCTION("""COMPUTED_VALUE"""),59.91)</f>
        <v>59.91</v>
      </c>
      <c r="T968" s="1">
        <f ca="1">IFERROR(__xludf.DUMMYFUNCTION("""COMPUTED_VALUE"""),55.17)</f>
        <v>55.17</v>
      </c>
      <c r="U968" s="1">
        <f ca="1">IFERROR(__xludf.DUMMYFUNCTION("""COMPUTED_VALUE"""),105.08)</f>
        <v>105.08</v>
      </c>
      <c r="V968" s="1">
        <f ca="1">IFERROR(__xludf.DUMMYFUNCTION("""COMPUTED_VALUE"""),239.12)</f>
        <v>239.12</v>
      </c>
      <c r="W968" s="1">
        <f ca="1">IFERROR(__xludf.DUMMYFUNCTION("""COMPUTED_VALUE"""),458.04)</f>
        <v>458.04</v>
      </c>
      <c r="X968" s="1">
        <f ca="1">IFERROR(__xludf.DUMMYFUNCTION("""COMPUTED_VALUE"""),631.39)</f>
        <v>631.39</v>
      </c>
      <c r="Y968" s="1">
        <f ca="1">IFERROR(__xludf.DUMMYFUNCTION("""COMPUTED_VALUE"""),90.48)</f>
        <v>90.48</v>
      </c>
      <c r="Z968" s="1">
        <f ca="1">IFERROR(__xludf.DUMMYFUNCTION("""COMPUTED_VALUE"""),313.76)</f>
        <v>313.76</v>
      </c>
      <c r="AA968" s="1">
        <f ca="1">IFERROR(__xludf.DUMMYFUNCTION("""COMPUTED_VALUE"""),30.5)</f>
        <v>30.5</v>
      </c>
      <c r="AB968" s="1">
        <f ca="1">IFERROR(__xludf.DUMMYFUNCTION("""COMPUTED_VALUE"""),100.01)</f>
        <v>100.01</v>
      </c>
      <c r="AC968" s="1">
        <f ca="1">IFERROR(__xludf.DUMMYFUNCTION("""COMPUTED_VALUE"""),107.83)</f>
        <v>107.83</v>
      </c>
    </row>
    <row r="969" spans="1:29" x14ac:dyDescent="0.25">
      <c r="A969" s="2">
        <f ca="1">IFERROR(__xludf.DUMMYFUNCTION("""COMPUTED_VALUE"""),45233.6666666666)</f>
        <v>45233.666666666599</v>
      </c>
      <c r="B969" s="1">
        <f ca="1">IFERROR(__xludf.DUMMYFUNCTION("""COMPUTED_VALUE"""),176.65)</f>
        <v>176.65</v>
      </c>
      <c r="C969" s="1">
        <f ca="1">IFERROR(__xludf.DUMMYFUNCTION("""COMPUTED_VALUE"""),352.8)</f>
        <v>352.8</v>
      </c>
      <c r="D969" s="1">
        <f ca="1">IFERROR(__xludf.DUMMYFUNCTION("""COMPUTED_VALUE"""),138.6)</f>
        <v>138.6</v>
      </c>
      <c r="E969" s="1">
        <f ca="1">IFERROR(__xludf.DUMMYFUNCTION("""COMPUTED_VALUE"""),45.01)</f>
        <v>45.01</v>
      </c>
      <c r="F969" s="1">
        <f ca="1">IFERROR(__xludf.DUMMYFUNCTION("""COMPUTED_VALUE"""),314.6)</f>
        <v>314.60000000000002</v>
      </c>
      <c r="G969" s="1">
        <f ca="1">IFERROR(__xludf.DUMMYFUNCTION("""COMPUTED_VALUE"""),130.37)</f>
        <v>130.37</v>
      </c>
      <c r="H969" s="1">
        <f ca="1">IFERROR(__xludf.DUMMYFUNCTION("""COMPUTED_VALUE"""),219.96)</f>
        <v>219.96</v>
      </c>
      <c r="I969" s="1">
        <f ca="1">IFERROR(__xludf.DUMMYFUNCTION("""COMPUTED_VALUE"""),166.79)</f>
        <v>166.79</v>
      </c>
      <c r="J969" s="1">
        <f ca="1">IFERROR(__xludf.DUMMYFUNCTION("""COMPUTED_VALUE"""),560.9)</f>
        <v>560.9</v>
      </c>
      <c r="K969" s="1">
        <f ca="1">IFERROR(__xludf.DUMMYFUNCTION("""COMPUTED_VALUE"""),88.27)</f>
        <v>88.27</v>
      </c>
      <c r="L969" s="1">
        <f ca="1">IFERROR(__xludf.DUMMYFUNCTION("""COMPUTED_VALUE"""),563.66)</f>
        <v>563.66</v>
      </c>
      <c r="M969" s="1">
        <f ca="1">IFERROR(__xludf.DUMMYFUNCTION("""COMPUTED_VALUE"""),432.36)</f>
        <v>432.36</v>
      </c>
      <c r="N969" s="1">
        <f ca="1">IFERROR(__xludf.DUMMYFUNCTION("""COMPUTED_VALUE"""),143)</f>
        <v>143</v>
      </c>
      <c r="O969" s="1">
        <f ca="1">IFERROR(__xludf.DUMMYFUNCTION("""COMPUTED_VALUE"""),243.6)</f>
        <v>243.6</v>
      </c>
      <c r="P969" s="1">
        <f ca="1">IFERROR(__xludf.DUMMYFUNCTION("""COMPUTED_VALUE"""),151.34)</f>
        <v>151.34</v>
      </c>
      <c r="Q969" s="1">
        <f ca="1">IFERROR(__xludf.DUMMYFUNCTION("""COMPUTED_VALUE"""),530.9)</f>
        <v>530.9</v>
      </c>
      <c r="R969" s="1">
        <f ca="1">IFERROR(__xludf.DUMMYFUNCTION("""COMPUTED_VALUE"""),107.78)</f>
        <v>107.78</v>
      </c>
      <c r="S969" s="1">
        <f ca="1">IFERROR(__xludf.DUMMYFUNCTION("""COMPUTED_VALUE"""),59.38)</f>
        <v>59.38</v>
      </c>
      <c r="T969" s="1">
        <f ca="1">IFERROR(__xludf.DUMMYFUNCTION("""COMPUTED_VALUE"""),54.89)</f>
        <v>54.89</v>
      </c>
      <c r="U969" s="1">
        <f ca="1">IFERROR(__xludf.DUMMYFUNCTION("""COMPUTED_VALUE"""),107.06)</f>
        <v>107.06</v>
      </c>
      <c r="V969" s="1">
        <f ca="1">IFERROR(__xludf.DUMMYFUNCTION("""COMPUTED_VALUE"""),240.75)</f>
        <v>240.75</v>
      </c>
      <c r="W969" s="1">
        <f ca="1">IFERROR(__xludf.DUMMYFUNCTION("""COMPUTED_VALUE"""),453.34)</f>
        <v>453.34</v>
      </c>
      <c r="X969" s="1">
        <f ca="1">IFERROR(__xludf.DUMMYFUNCTION("""COMPUTED_VALUE"""),642.41)</f>
        <v>642.41</v>
      </c>
      <c r="Y969" s="1">
        <f ca="1">IFERROR(__xludf.DUMMYFUNCTION("""COMPUTED_VALUE"""),91.79)</f>
        <v>91.79</v>
      </c>
      <c r="Z969" s="1">
        <f ca="1">IFERROR(__xludf.DUMMYFUNCTION("""COMPUTED_VALUE"""),327.62)</f>
        <v>327.62</v>
      </c>
      <c r="AA969" s="1">
        <f ca="1">IFERROR(__xludf.DUMMYFUNCTION("""COMPUTED_VALUE"""),31.26)</f>
        <v>31.26</v>
      </c>
      <c r="AB969" s="1">
        <f ca="1">IFERROR(__xludf.DUMMYFUNCTION("""COMPUTED_VALUE"""),102.65)</f>
        <v>102.65</v>
      </c>
      <c r="AC969" s="1">
        <f ca="1">IFERROR(__xludf.DUMMYFUNCTION("""COMPUTED_VALUE"""),112.25)</f>
        <v>112.25</v>
      </c>
    </row>
    <row r="970" spans="1:29" x14ac:dyDescent="0.25">
      <c r="A970" s="2">
        <f ca="1">IFERROR(__xludf.DUMMYFUNCTION("""COMPUTED_VALUE"""),45236.6666666666)</f>
        <v>45236.666666666599</v>
      </c>
      <c r="B970" s="1">
        <f ca="1">IFERROR(__xludf.DUMMYFUNCTION("""COMPUTED_VALUE"""),179.23)</f>
        <v>179.23</v>
      </c>
      <c r="C970" s="1">
        <f ca="1">IFERROR(__xludf.DUMMYFUNCTION("""COMPUTED_VALUE"""),356.53)</f>
        <v>356.53</v>
      </c>
      <c r="D970" s="1">
        <f ca="1">IFERROR(__xludf.DUMMYFUNCTION("""COMPUTED_VALUE"""),139.74)</f>
        <v>139.74</v>
      </c>
      <c r="E970" s="1">
        <f ca="1">IFERROR(__xludf.DUMMYFUNCTION("""COMPUTED_VALUE"""),45.75)</f>
        <v>45.75</v>
      </c>
      <c r="F970" s="1">
        <f ca="1">IFERROR(__xludf.DUMMYFUNCTION("""COMPUTED_VALUE"""),315.8)</f>
        <v>315.8</v>
      </c>
      <c r="G970" s="1">
        <f ca="1">IFERROR(__xludf.DUMMYFUNCTION("""COMPUTED_VALUE"""),131.45)</f>
        <v>131.44999999999999</v>
      </c>
      <c r="H970" s="1">
        <f ca="1">IFERROR(__xludf.DUMMYFUNCTION("""COMPUTED_VALUE"""),219.27)</f>
        <v>219.27</v>
      </c>
      <c r="I970" s="1">
        <f ca="1">IFERROR(__xludf.DUMMYFUNCTION("""COMPUTED_VALUE"""),166.7)</f>
        <v>166.7</v>
      </c>
      <c r="J970" s="1">
        <f ca="1">IFERROR(__xludf.DUMMYFUNCTION("""COMPUTED_VALUE"""),569.82)</f>
        <v>569.82000000000005</v>
      </c>
      <c r="K970" s="1">
        <f ca="1">IFERROR(__xludf.DUMMYFUNCTION("""COMPUTED_VALUE"""),88.08)</f>
        <v>88.08</v>
      </c>
      <c r="L970" s="1">
        <f ca="1">IFERROR(__xludf.DUMMYFUNCTION("""COMPUTED_VALUE"""),565.45)</f>
        <v>565.45000000000005</v>
      </c>
      <c r="M970" s="1">
        <f ca="1">IFERROR(__xludf.DUMMYFUNCTION("""COMPUTED_VALUE"""),434.74)</f>
        <v>434.74</v>
      </c>
      <c r="N970" s="1">
        <f ca="1">IFERROR(__xludf.DUMMYFUNCTION("""COMPUTED_VALUE"""),144.08)</f>
        <v>144.08000000000001</v>
      </c>
      <c r="O970" s="1">
        <f ca="1">IFERROR(__xludf.DUMMYFUNCTION("""COMPUTED_VALUE"""),243.49)</f>
        <v>243.49</v>
      </c>
      <c r="P970" s="1">
        <f ca="1">IFERROR(__xludf.DUMMYFUNCTION("""COMPUTED_VALUE"""),151.7)</f>
        <v>151.69999999999999</v>
      </c>
      <c r="Q970" s="1">
        <f ca="1">IFERROR(__xludf.DUMMYFUNCTION("""COMPUTED_VALUE"""),533.46)</f>
        <v>533.46</v>
      </c>
      <c r="R970" s="1">
        <f ca="1">IFERROR(__xludf.DUMMYFUNCTION("""COMPUTED_VALUE"""),105.87)</f>
        <v>105.87</v>
      </c>
      <c r="S970" s="1">
        <f ca="1">IFERROR(__xludf.DUMMYFUNCTION("""COMPUTED_VALUE"""),59.04)</f>
        <v>59.04</v>
      </c>
      <c r="T970" s="1">
        <f ca="1">IFERROR(__xludf.DUMMYFUNCTION("""COMPUTED_VALUE"""),54.96)</f>
        <v>54.96</v>
      </c>
      <c r="U970" s="1">
        <f ca="1">IFERROR(__xludf.DUMMYFUNCTION("""COMPUTED_VALUE"""),107.25)</f>
        <v>107.25</v>
      </c>
      <c r="V970" s="1">
        <f ca="1">IFERROR(__xludf.DUMMYFUNCTION("""COMPUTED_VALUE"""),238.28)</f>
        <v>238.28</v>
      </c>
      <c r="W970" s="1">
        <f ca="1">IFERROR(__xludf.DUMMYFUNCTION("""COMPUTED_VALUE"""),451.16)</f>
        <v>451.16</v>
      </c>
      <c r="X970" s="1">
        <f ca="1">IFERROR(__xludf.DUMMYFUNCTION("""COMPUTED_VALUE"""),637.44)</f>
        <v>637.44000000000005</v>
      </c>
      <c r="Y970" s="1">
        <f ca="1">IFERROR(__xludf.DUMMYFUNCTION("""COMPUTED_VALUE"""),92.6)</f>
        <v>92.6</v>
      </c>
      <c r="Z970" s="1">
        <f ca="1">IFERROR(__xludf.DUMMYFUNCTION("""COMPUTED_VALUE"""),323.91)</f>
        <v>323.91000000000003</v>
      </c>
      <c r="AA970" s="1">
        <f ca="1">IFERROR(__xludf.DUMMYFUNCTION("""COMPUTED_VALUE"""),31.18)</f>
        <v>31.18</v>
      </c>
      <c r="AB970" s="1">
        <f ca="1">IFERROR(__xludf.DUMMYFUNCTION("""COMPUTED_VALUE"""),104.03)</f>
        <v>104.03</v>
      </c>
      <c r="AC970" s="1">
        <f ca="1">IFERROR(__xludf.DUMMYFUNCTION("""COMPUTED_VALUE"""),111.75)</f>
        <v>111.75</v>
      </c>
    </row>
    <row r="971" spans="1:29" x14ac:dyDescent="0.25">
      <c r="A971" s="2">
        <f ca="1">IFERROR(__xludf.DUMMYFUNCTION("""COMPUTED_VALUE"""),45237.6666666666)</f>
        <v>45237.666666666599</v>
      </c>
      <c r="B971" s="1">
        <f ca="1">IFERROR(__xludf.DUMMYFUNCTION("""COMPUTED_VALUE"""),181.82)</f>
        <v>181.82</v>
      </c>
      <c r="C971" s="1">
        <f ca="1">IFERROR(__xludf.DUMMYFUNCTION("""COMPUTED_VALUE"""),360.53)</f>
        <v>360.53</v>
      </c>
      <c r="D971" s="1">
        <f ca="1">IFERROR(__xludf.DUMMYFUNCTION("""COMPUTED_VALUE"""),142.71)</f>
        <v>142.71</v>
      </c>
      <c r="E971" s="1">
        <f ca="1">IFERROR(__xludf.DUMMYFUNCTION("""COMPUTED_VALUE"""),45.96)</f>
        <v>45.96</v>
      </c>
      <c r="F971" s="1">
        <f ca="1">IFERROR(__xludf.DUMMYFUNCTION("""COMPUTED_VALUE"""),318.82)</f>
        <v>318.82</v>
      </c>
      <c r="G971" s="1">
        <f ca="1">IFERROR(__xludf.DUMMYFUNCTION("""COMPUTED_VALUE"""),132.4)</f>
        <v>132.4</v>
      </c>
      <c r="H971" s="1">
        <f ca="1">IFERROR(__xludf.DUMMYFUNCTION("""COMPUTED_VALUE"""),222.18)</f>
        <v>222.18</v>
      </c>
      <c r="I971" s="1">
        <f ca="1">IFERROR(__xludf.DUMMYFUNCTION("""COMPUTED_VALUE"""),167.18)</f>
        <v>167.18</v>
      </c>
      <c r="J971" s="1">
        <f ca="1">IFERROR(__xludf.DUMMYFUNCTION("""COMPUTED_VALUE"""),571.27)</f>
        <v>571.27</v>
      </c>
      <c r="K971" s="1">
        <f ca="1">IFERROR(__xludf.DUMMYFUNCTION("""COMPUTED_VALUE"""),89.78)</f>
        <v>89.78</v>
      </c>
      <c r="L971" s="1">
        <f ca="1">IFERROR(__xludf.DUMMYFUNCTION("""COMPUTED_VALUE"""),585.2)</f>
        <v>585.20000000000005</v>
      </c>
      <c r="M971" s="1">
        <f ca="1">IFERROR(__xludf.DUMMYFUNCTION("""COMPUTED_VALUE"""),434.61)</f>
        <v>434.61</v>
      </c>
      <c r="N971" s="1">
        <f ca="1">IFERROR(__xludf.DUMMYFUNCTION("""COMPUTED_VALUE"""),144.01)</f>
        <v>144.01</v>
      </c>
      <c r="O971" s="1">
        <f ca="1">IFERROR(__xludf.DUMMYFUNCTION("""COMPUTED_VALUE"""),244.77)</f>
        <v>244.77</v>
      </c>
      <c r="P971" s="1">
        <f ca="1">IFERROR(__xludf.DUMMYFUNCTION("""COMPUTED_VALUE"""),150.9)</f>
        <v>150.9</v>
      </c>
      <c r="Q971" s="1">
        <f ca="1">IFERROR(__xludf.DUMMYFUNCTION("""COMPUTED_VALUE"""),537.83)</f>
        <v>537.83000000000004</v>
      </c>
      <c r="R971" s="1">
        <f ca="1">IFERROR(__xludf.DUMMYFUNCTION("""COMPUTED_VALUE"""),104.21)</f>
        <v>104.21</v>
      </c>
      <c r="S971" s="1">
        <f ca="1">IFERROR(__xludf.DUMMYFUNCTION("""COMPUTED_VALUE"""),58.46)</f>
        <v>58.46</v>
      </c>
      <c r="T971" s="1">
        <f ca="1">IFERROR(__xludf.DUMMYFUNCTION("""COMPUTED_VALUE"""),55.22)</f>
        <v>55.22</v>
      </c>
      <c r="U971" s="1">
        <f ca="1">IFERROR(__xludf.DUMMYFUNCTION("""COMPUTED_VALUE"""),109.36)</f>
        <v>109.36</v>
      </c>
      <c r="V971" s="1">
        <f ca="1">IFERROR(__xludf.DUMMYFUNCTION("""COMPUTED_VALUE"""),234.92)</f>
        <v>234.92</v>
      </c>
      <c r="W971" s="1">
        <f ca="1">IFERROR(__xludf.DUMMYFUNCTION("""COMPUTED_VALUE"""),450.15)</f>
        <v>450.15</v>
      </c>
      <c r="X971" s="1">
        <f ca="1">IFERROR(__xludf.DUMMYFUNCTION("""COMPUTED_VALUE"""),636.31)</f>
        <v>636.30999999999995</v>
      </c>
      <c r="Y971" s="1">
        <f ca="1">IFERROR(__xludf.DUMMYFUNCTION("""COMPUTED_VALUE"""),92.41)</f>
        <v>92.41</v>
      </c>
      <c r="Z971" s="1">
        <f ca="1">IFERROR(__xludf.DUMMYFUNCTION("""COMPUTED_VALUE"""),323.95)</f>
        <v>323.95</v>
      </c>
      <c r="AA971" s="1">
        <f ca="1">IFERROR(__xludf.DUMMYFUNCTION("""COMPUTED_VALUE"""),31.25)</f>
        <v>31.25</v>
      </c>
      <c r="AB971" s="1">
        <f ca="1">IFERROR(__xludf.DUMMYFUNCTION("""COMPUTED_VALUE"""),103.68)</f>
        <v>103.68</v>
      </c>
      <c r="AC971" s="1">
        <f ca="1">IFERROR(__xludf.DUMMYFUNCTION("""COMPUTED_VALUE"""),113.45)</f>
        <v>113.45</v>
      </c>
    </row>
    <row r="972" spans="1:29" x14ac:dyDescent="0.25">
      <c r="A972" s="2">
        <f ca="1">IFERROR(__xludf.DUMMYFUNCTION("""COMPUTED_VALUE"""),45238.6666666666)</f>
        <v>45238.666666666599</v>
      </c>
      <c r="B972" s="1">
        <f ca="1">IFERROR(__xludf.DUMMYFUNCTION("""COMPUTED_VALUE"""),182.89)</f>
        <v>182.89</v>
      </c>
      <c r="C972" s="1">
        <f ca="1">IFERROR(__xludf.DUMMYFUNCTION("""COMPUTED_VALUE"""),363.2)</f>
        <v>363.2</v>
      </c>
      <c r="D972" s="1">
        <f ca="1">IFERROR(__xludf.DUMMYFUNCTION("""COMPUTED_VALUE"""),142.08)</f>
        <v>142.08000000000001</v>
      </c>
      <c r="E972" s="1">
        <f ca="1">IFERROR(__xludf.DUMMYFUNCTION("""COMPUTED_VALUE"""),46.57)</f>
        <v>46.57</v>
      </c>
      <c r="F972" s="1">
        <f ca="1">IFERROR(__xludf.DUMMYFUNCTION("""COMPUTED_VALUE"""),319.78)</f>
        <v>319.77999999999997</v>
      </c>
      <c r="G972" s="1">
        <f ca="1">IFERROR(__xludf.DUMMYFUNCTION("""COMPUTED_VALUE"""),133.26)</f>
        <v>133.26</v>
      </c>
      <c r="H972" s="1">
        <f ca="1">IFERROR(__xludf.DUMMYFUNCTION("""COMPUTED_VALUE"""),222.11)</f>
        <v>222.11</v>
      </c>
      <c r="I972" s="1">
        <f ca="1">IFERROR(__xludf.DUMMYFUNCTION("""COMPUTED_VALUE"""),167.39)</f>
        <v>167.39</v>
      </c>
      <c r="J972" s="1">
        <f ca="1">IFERROR(__xludf.DUMMYFUNCTION("""COMPUTED_VALUE"""),567.38)</f>
        <v>567.38</v>
      </c>
      <c r="K972" s="1">
        <f ca="1">IFERROR(__xludf.DUMMYFUNCTION("""COMPUTED_VALUE"""),91.11)</f>
        <v>91.11</v>
      </c>
      <c r="L972" s="1">
        <f ca="1">IFERROR(__xludf.DUMMYFUNCTION("""COMPUTED_VALUE"""),585.31)</f>
        <v>585.30999999999995</v>
      </c>
      <c r="M972" s="1">
        <f ca="1">IFERROR(__xludf.DUMMYFUNCTION("""COMPUTED_VALUE"""),436.65)</f>
        <v>436.65</v>
      </c>
      <c r="N972" s="1">
        <f ca="1">IFERROR(__xludf.DUMMYFUNCTION("""COMPUTED_VALUE"""),144.72)</f>
        <v>144.72</v>
      </c>
      <c r="O972" s="1">
        <f ca="1">IFERROR(__xludf.DUMMYFUNCTION("""COMPUTED_VALUE"""),243.91)</f>
        <v>243.91</v>
      </c>
      <c r="P972" s="1">
        <f ca="1">IFERROR(__xludf.DUMMYFUNCTION("""COMPUTED_VALUE"""),150.35)</f>
        <v>150.35</v>
      </c>
      <c r="Q972" s="1">
        <f ca="1">IFERROR(__xludf.DUMMYFUNCTION("""COMPUTED_VALUE"""),536.73)</f>
        <v>536.73</v>
      </c>
      <c r="R972" s="1">
        <f ca="1">IFERROR(__xludf.DUMMYFUNCTION("""COMPUTED_VALUE"""),102.93)</f>
        <v>102.93</v>
      </c>
      <c r="S972" s="1">
        <f ca="1">IFERROR(__xludf.DUMMYFUNCTION("""COMPUTED_VALUE"""),57.5)</f>
        <v>57.5</v>
      </c>
      <c r="T972" s="1">
        <f ca="1">IFERROR(__xludf.DUMMYFUNCTION("""COMPUTED_VALUE"""),54.77)</f>
        <v>54.77</v>
      </c>
      <c r="U972" s="1">
        <f ca="1">IFERROR(__xludf.DUMMYFUNCTION("""COMPUTED_VALUE"""),109.39)</f>
        <v>109.39</v>
      </c>
      <c r="V972" s="1">
        <f ca="1">IFERROR(__xludf.DUMMYFUNCTION("""COMPUTED_VALUE"""),234.82)</f>
        <v>234.82</v>
      </c>
      <c r="W972" s="1">
        <f ca="1">IFERROR(__xludf.DUMMYFUNCTION("""COMPUTED_VALUE"""),444.66)</f>
        <v>444.66</v>
      </c>
      <c r="X972" s="1">
        <f ca="1">IFERROR(__xludf.DUMMYFUNCTION("""COMPUTED_VALUE"""),639.29)</f>
        <v>639.29</v>
      </c>
      <c r="Y972" s="1">
        <f ca="1">IFERROR(__xludf.DUMMYFUNCTION("""COMPUTED_VALUE"""),92)</f>
        <v>92</v>
      </c>
      <c r="Z972" s="1">
        <f ca="1">IFERROR(__xludf.DUMMYFUNCTION("""COMPUTED_VALUE"""),324.56)</f>
        <v>324.56</v>
      </c>
      <c r="AA972" s="1">
        <f ca="1">IFERROR(__xludf.DUMMYFUNCTION("""COMPUTED_VALUE"""),30.82)</f>
        <v>30.82</v>
      </c>
      <c r="AB972" s="1">
        <f ca="1">IFERROR(__xludf.DUMMYFUNCTION("""COMPUTED_VALUE"""),104.3)</f>
        <v>104.3</v>
      </c>
      <c r="AC972" s="1">
        <f ca="1">IFERROR(__xludf.DUMMYFUNCTION("""COMPUTED_VALUE"""),113.59)</f>
        <v>113.59</v>
      </c>
    </row>
    <row r="973" spans="1:29" x14ac:dyDescent="0.25">
      <c r="A973" s="2">
        <f ca="1">IFERROR(__xludf.DUMMYFUNCTION("""COMPUTED_VALUE"""),45239.6666666666)</f>
        <v>45239.666666666599</v>
      </c>
      <c r="B973" s="1">
        <f ca="1">IFERROR(__xludf.DUMMYFUNCTION("""COMPUTED_VALUE"""),182.41)</f>
        <v>182.41</v>
      </c>
      <c r="C973" s="1">
        <f ca="1">IFERROR(__xludf.DUMMYFUNCTION("""COMPUTED_VALUE"""),360.69)</f>
        <v>360.69</v>
      </c>
      <c r="D973" s="1">
        <f ca="1">IFERROR(__xludf.DUMMYFUNCTION("""COMPUTED_VALUE"""),140.6)</f>
        <v>140.6</v>
      </c>
      <c r="E973" s="1">
        <f ca="1">IFERROR(__xludf.DUMMYFUNCTION("""COMPUTED_VALUE"""),46.95)</f>
        <v>46.95</v>
      </c>
      <c r="F973" s="1">
        <f ca="1">IFERROR(__xludf.DUMMYFUNCTION("""COMPUTED_VALUE"""),320.55)</f>
        <v>320.55</v>
      </c>
      <c r="G973" s="1">
        <f ca="1">IFERROR(__xludf.DUMMYFUNCTION("""COMPUTED_VALUE"""),131.69)</f>
        <v>131.69</v>
      </c>
      <c r="H973" s="1">
        <f ca="1">IFERROR(__xludf.DUMMYFUNCTION("""COMPUTED_VALUE"""),209.98)</f>
        <v>209.98</v>
      </c>
      <c r="I973" s="1">
        <f ca="1">IFERROR(__xludf.DUMMYFUNCTION("""COMPUTED_VALUE"""),166.16)</f>
        <v>166.16</v>
      </c>
      <c r="J973" s="1">
        <f ca="1">IFERROR(__xludf.DUMMYFUNCTION("""COMPUTED_VALUE"""),563.27)</f>
        <v>563.27</v>
      </c>
      <c r="K973" s="1">
        <f ca="1">IFERROR(__xludf.DUMMYFUNCTION("""COMPUTED_VALUE"""),91.14)</f>
        <v>91.14</v>
      </c>
      <c r="L973" s="1">
        <f ca="1">IFERROR(__xludf.DUMMYFUNCTION("""COMPUTED_VALUE"""),577.74)</f>
        <v>577.74</v>
      </c>
      <c r="M973" s="1">
        <f ca="1">IFERROR(__xludf.DUMMYFUNCTION("""COMPUTED_VALUE"""),435.15)</f>
        <v>435.15</v>
      </c>
      <c r="N973" s="1">
        <f ca="1">IFERROR(__xludf.DUMMYFUNCTION("""COMPUTED_VALUE"""),144.29)</f>
        <v>144.29</v>
      </c>
      <c r="O973" s="1">
        <f ca="1">IFERROR(__xludf.DUMMYFUNCTION("""COMPUTED_VALUE"""),241.64)</f>
        <v>241.64</v>
      </c>
      <c r="P973" s="1">
        <f ca="1">IFERROR(__xludf.DUMMYFUNCTION("""COMPUTED_VALUE"""),147.42)</f>
        <v>147.41999999999999</v>
      </c>
      <c r="Q973" s="1">
        <f ca="1">IFERROR(__xludf.DUMMYFUNCTION("""COMPUTED_VALUE"""),539)</f>
        <v>539</v>
      </c>
      <c r="R973" s="1">
        <f ca="1">IFERROR(__xludf.DUMMYFUNCTION("""COMPUTED_VALUE"""),102.96)</f>
        <v>102.96</v>
      </c>
      <c r="S973" s="1">
        <f ca="1">IFERROR(__xludf.DUMMYFUNCTION("""COMPUTED_VALUE"""),54.72)</f>
        <v>54.72</v>
      </c>
      <c r="T973" s="1">
        <f ca="1">IFERROR(__xludf.DUMMYFUNCTION("""COMPUTED_VALUE"""),54.64)</f>
        <v>54.64</v>
      </c>
      <c r="U973" s="1">
        <f ca="1">IFERROR(__xludf.DUMMYFUNCTION("""COMPUTED_VALUE"""),107)</f>
        <v>107</v>
      </c>
      <c r="V973" s="1">
        <f ca="1">IFERROR(__xludf.DUMMYFUNCTION("""COMPUTED_VALUE"""),234.15)</f>
        <v>234.15</v>
      </c>
      <c r="W973" s="1">
        <f ca="1">IFERROR(__xludf.DUMMYFUNCTION("""COMPUTED_VALUE"""),442.46)</f>
        <v>442.46</v>
      </c>
      <c r="X973" s="1">
        <f ca="1">IFERROR(__xludf.DUMMYFUNCTION("""COMPUTED_VALUE"""),634.26)</f>
        <v>634.26</v>
      </c>
      <c r="Y973" s="1">
        <f ca="1">IFERROR(__xludf.DUMMYFUNCTION("""COMPUTED_VALUE"""),91.62)</f>
        <v>91.62</v>
      </c>
      <c r="Z973" s="1">
        <f ca="1">IFERROR(__xludf.DUMMYFUNCTION("""COMPUTED_VALUE"""),320.78)</f>
        <v>320.77999999999997</v>
      </c>
      <c r="AA973" s="1">
        <f ca="1">IFERROR(__xludf.DUMMYFUNCTION("""COMPUTED_VALUE"""),29.68)</f>
        <v>29.68</v>
      </c>
      <c r="AB973" s="1">
        <f ca="1">IFERROR(__xludf.DUMMYFUNCTION("""COMPUTED_VALUE"""),102.23)</f>
        <v>102.23</v>
      </c>
      <c r="AC973" s="1">
        <f ca="1">IFERROR(__xludf.DUMMYFUNCTION("""COMPUTED_VALUE"""),113.49)</f>
        <v>113.49</v>
      </c>
    </row>
    <row r="974" spans="1:29" x14ac:dyDescent="0.25">
      <c r="A974" s="2">
        <f ca="1">IFERROR(__xludf.DUMMYFUNCTION("""COMPUTED_VALUE"""),45240.6666666666)</f>
        <v>45240.666666666599</v>
      </c>
      <c r="B974" s="1">
        <f ca="1">IFERROR(__xludf.DUMMYFUNCTION("""COMPUTED_VALUE"""),186.4)</f>
        <v>186.4</v>
      </c>
      <c r="C974" s="1">
        <f ca="1">IFERROR(__xludf.DUMMYFUNCTION("""COMPUTED_VALUE"""),369.67)</f>
        <v>369.67</v>
      </c>
      <c r="D974" s="1">
        <f ca="1">IFERROR(__xludf.DUMMYFUNCTION("""COMPUTED_VALUE"""),143.56)</f>
        <v>143.56</v>
      </c>
      <c r="E974" s="1">
        <f ca="1">IFERROR(__xludf.DUMMYFUNCTION("""COMPUTED_VALUE"""),48.34)</f>
        <v>48.34</v>
      </c>
      <c r="F974" s="1">
        <f ca="1">IFERROR(__xludf.DUMMYFUNCTION("""COMPUTED_VALUE"""),328.77)</f>
        <v>328.77</v>
      </c>
      <c r="G974" s="1">
        <f ca="1">IFERROR(__xludf.DUMMYFUNCTION("""COMPUTED_VALUE"""),134.06)</f>
        <v>134.06</v>
      </c>
      <c r="H974" s="1">
        <f ca="1">IFERROR(__xludf.DUMMYFUNCTION("""COMPUTED_VALUE"""),214.65)</f>
        <v>214.65</v>
      </c>
      <c r="I974" s="1">
        <f ca="1">IFERROR(__xludf.DUMMYFUNCTION("""COMPUTED_VALUE"""),166.92)</f>
        <v>166.92</v>
      </c>
      <c r="J974" s="1">
        <f ca="1">IFERROR(__xludf.DUMMYFUNCTION("""COMPUTED_VALUE"""),577.12)</f>
        <v>577.12</v>
      </c>
      <c r="K974" s="1">
        <f ca="1">IFERROR(__xludf.DUMMYFUNCTION("""COMPUTED_VALUE"""),95.75)</f>
        <v>95.75</v>
      </c>
      <c r="L974" s="1">
        <f ca="1">IFERROR(__xludf.DUMMYFUNCTION("""COMPUTED_VALUE"""),597.22)</f>
        <v>597.22</v>
      </c>
      <c r="M974" s="1">
        <f ca="1">IFERROR(__xludf.DUMMYFUNCTION("""COMPUTED_VALUE"""),447.24)</f>
        <v>447.24</v>
      </c>
      <c r="N974" s="1">
        <f ca="1">IFERROR(__xludf.DUMMYFUNCTION("""COMPUTED_VALUE"""),146.43)</f>
        <v>146.43</v>
      </c>
      <c r="O974" s="1">
        <f ca="1">IFERROR(__xludf.DUMMYFUNCTION("""COMPUTED_VALUE"""),245.25)</f>
        <v>245.25</v>
      </c>
      <c r="P974" s="1">
        <f ca="1">IFERROR(__xludf.DUMMYFUNCTION("""COMPUTED_VALUE"""),147.25)</f>
        <v>147.25</v>
      </c>
      <c r="Q974" s="1">
        <f ca="1">IFERROR(__xludf.DUMMYFUNCTION("""COMPUTED_VALUE"""),541.21)</f>
        <v>541.21</v>
      </c>
      <c r="R974" s="1">
        <f ca="1">IFERROR(__xludf.DUMMYFUNCTION("""COMPUTED_VALUE"""),103.75)</f>
        <v>103.75</v>
      </c>
      <c r="S974" s="1">
        <f ca="1">IFERROR(__xludf.DUMMYFUNCTION("""COMPUTED_VALUE"""),55.14)</f>
        <v>55.14</v>
      </c>
      <c r="T974" s="1">
        <f ca="1">IFERROR(__xludf.DUMMYFUNCTION("""COMPUTED_VALUE"""),55.4)</f>
        <v>55.4</v>
      </c>
      <c r="U974" s="1">
        <f ca="1">IFERROR(__xludf.DUMMYFUNCTION("""COMPUTED_VALUE"""),106.11)</f>
        <v>106.11</v>
      </c>
      <c r="V974" s="1">
        <f ca="1">IFERROR(__xludf.DUMMYFUNCTION("""COMPUTED_VALUE"""),239.68)</f>
        <v>239.68</v>
      </c>
      <c r="W974" s="1">
        <f ca="1">IFERROR(__xludf.DUMMYFUNCTION("""COMPUTED_VALUE"""),444.87)</f>
        <v>444.87</v>
      </c>
      <c r="X974" s="1">
        <f ca="1">IFERROR(__xludf.DUMMYFUNCTION("""COMPUTED_VALUE"""),661.28)</f>
        <v>661.28</v>
      </c>
      <c r="Y974" s="1">
        <f ca="1">IFERROR(__xludf.DUMMYFUNCTION("""COMPUTED_VALUE"""),97.44)</f>
        <v>97.44</v>
      </c>
      <c r="Z974" s="1">
        <f ca="1">IFERROR(__xludf.DUMMYFUNCTION("""COMPUTED_VALUE"""),325.51)</f>
        <v>325.51</v>
      </c>
      <c r="AA974" s="1">
        <f ca="1">IFERROR(__xludf.DUMMYFUNCTION("""COMPUTED_VALUE"""),29.48)</f>
        <v>29.48</v>
      </c>
      <c r="AB974" s="1">
        <f ca="1">IFERROR(__xludf.DUMMYFUNCTION("""COMPUTED_VALUE"""),104.33)</f>
        <v>104.33</v>
      </c>
      <c r="AC974" s="1">
        <f ca="1">IFERROR(__xludf.DUMMYFUNCTION("""COMPUTED_VALUE"""),118.59)</f>
        <v>118.59</v>
      </c>
    </row>
    <row r="975" spans="1:29" x14ac:dyDescent="0.25">
      <c r="A975" s="2">
        <f ca="1">IFERROR(__xludf.DUMMYFUNCTION("""COMPUTED_VALUE"""),45243.6666666666)</f>
        <v>45243.666666666599</v>
      </c>
      <c r="B975" s="1">
        <f ca="1">IFERROR(__xludf.DUMMYFUNCTION("""COMPUTED_VALUE"""),184.8)</f>
        <v>184.8</v>
      </c>
      <c r="C975" s="1">
        <f ca="1">IFERROR(__xludf.DUMMYFUNCTION("""COMPUTED_VALUE"""),366.68)</f>
        <v>366.68</v>
      </c>
      <c r="D975" s="1">
        <f ca="1">IFERROR(__xludf.DUMMYFUNCTION("""COMPUTED_VALUE"""),142.59)</f>
        <v>142.59</v>
      </c>
      <c r="E975" s="1">
        <f ca="1">IFERROR(__xludf.DUMMYFUNCTION("""COMPUTED_VALUE"""),48.62)</f>
        <v>48.62</v>
      </c>
      <c r="F975" s="1">
        <f ca="1">IFERROR(__xludf.DUMMYFUNCTION("""COMPUTED_VALUE"""),329.19)</f>
        <v>329.19</v>
      </c>
      <c r="G975" s="1">
        <f ca="1">IFERROR(__xludf.DUMMYFUNCTION("""COMPUTED_VALUE"""),133.64)</f>
        <v>133.63999999999999</v>
      </c>
      <c r="H975" s="1">
        <f ca="1">IFERROR(__xludf.DUMMYFUNCTION("""COMPUTED_VALUE"""),223.71)</f>
        <v>223.71</v>
      </c>
      <c r="I975" s="1">
        <f ca="1">IFERROR(__xludf.DUMMYFUNCTION("""COMPUTED_VALUE"""),167.77)</f>
        <v>167.77</v>
      </c>
      <c r="J975" s="1">
        <f ca="1">IFERROR(__xludf.DUMMYFUNCTION("""COMPUTED_VALUE"""),578.23)</f>
        <v>578.23</v>
      </c>
      <c r="K975" s="1">
        <f ca="1">IFERROR(__xludf.DUMMYFUNCTION("""COMPUTED_VALUE"""),94.69)</f>
        <v>94.69</v>
      </c>
      <c r="L975" s="1">
        <f ca="1">IFERROR(__xludf.DUMMYFUNCTION("""COMPUTED_VALUE"""),590.34)</f>
        <v>590.34</v>
      </c>
      <c r="M975" s="1">
        <f ca="1">IFERROR(__xludf.DUMMYFUNCTION("""COMPUTED_VALUE"""),444.62)</f>
        <v>444.62</v>
      </c>
      <c r="N975" s="1">
        <f ca="1">IFERROR(__xludf.DUMMYFUNCTION("""COMPUTED_VALUE"""),145.78)</f>
        <v>145.78</v>
      </c>
      <c r="O975" s="1">
        <f ca="1">IFERROR(__xludf.DUMMYFUNCTION("""COMPUTED_VALUE"""),244.67)</f>
        <v>244.67</v>
      </c>
      <c r="P975" s="1">
        <f ca="1">IFERROR(__xludf.DUMMYFUNCTION("""COMPUTED_VALUE"""),147.63)</f>
        <v>147.63</v>
      </c>
      <c r="Q975" s="1">
        <f ca="1">IFERROR(__xludf.DUMMYFUNCTION("""COMPUTED_VALUE"""),542.57)</f>
        <v>542.57000000000005</v>
      </c>
      <c r="R975" s="1">
        <f ca="1">IFERROR(__xludf.DUMMYFUNCTION("""COMPUTED_VALUE"""),104.84)</f>
        <v>104.84</v>
      </c>
      <c r="S975" s="1">
        <f ca="1">IFERROR(__xludf.DUMMYFUNCTION("""COMPUTED_VALUE"""),54.5)</f>
        <v>54.5</v>
      </c>
      <c r="T975" s="1">
        <f ca="1">IFERROR(__xludf.DUMMYFUNCTION("""COMPUTED_VALUE"""),55.89)</f>
        <v>55.89</v>
      </c>
      <c r="U975" s="1">
        <f ca="1">IFERROR(__xludf.DUMMYFUNCTION("""COMPUTED_VALUE"""),104.2)</f>
        <v>104.2</v>
      </c>
      <c r="V975" s="1">
        <f ca="1">IFERROR(__xludf.DUMMYFUNCTION("""COMPUTED_VALUE"""),241.67)</f>
        <v>241.67</v>
      </c>
      <c r="W975" s="1">
        <f ca="1">IFERROR(__xludf.DUMMYFUNCTION("""COMPUTED_VALUE"""),445.03)</f>
        <v>445.03</v>
      </c>
      <c r="X975" s="1">
        <f ca="1">IFERROR(__xludf.DUMMYFUNCTION("""COMPUTED_VALUE"""),654.6)</f>
        <v>654.6</v>
      </c>
      <c r="Y975" s="1">
        <f ca="1">IFERROR(__xludf.DUMMYFUNCTION("""COMPUTED_VALUE"""),96.42)</f>
        <v>96.42</v>
      </c>
      <c r="Z975" s="1">
        <f ca="1">IFERROR(__xludf.DUMMYFUNCTION("""COMPUTED_VALUE"""),326.91)</f>
        <v>326.91000000000003</v>
      </c>
      <c r="AA975" s="1">
        <f ca="1">IFERROR(__xludf.DUMMYFUNCTION("""COMPUTED_VALUE"""),28.98)</f>
        <v>28.98</v>
      </c>
      <c r="AB975" s="1">
        <f ca="1">IFERROR(__xludf.DUMMYFUNCTION("""COMPUTED_VALUE"""),103.51)</f>
        <v>103.51</v>
      </c>
      <c r="AC975" s="1">
        <f ca="1">IFERROR(__xludf.DUMMYFUNCTION("""COMPUTED_VALUE"""),116.79)</f>
        <v>116.79</v>
      </c>
    </row>
    <row r="976" spans="1:29" x14ac:dyDescent="0.25">
      <c r="A976" s="2">
        <f ca="1">IFERROR(__xludf.DUMMYFUNCTION("""COMPUTED_VALUE"""),45244.6666666666)</f>
        <v>45244.666666666599</v>
      </c>
      <c r="B976" s="1">
        <f ca="1">IFERROR(__xludf.DUMMYFUNCTION("""COMPUTED_VALUE"""),187.44)</f>
        <v>187.44</v>
      </c>
      <c r="C976" s="1">
        <f ca="1">IFERROR(__xludf.DUMMYFUNCTION("""COMPUTED_VALUE"""),370.27)</f>
        <v>370.27</v>
      </c>
      <c r="D976" s="1">
        <f ca="1">IFERROR(__xludf.DUMMYFUNCTION("""COMPUTED_VALUE"""),145.8)</f>
        <v>145.80000000000001</v>
      </c>
      <c r="E976" s="1">
        <f ca="1">IFERROR(__xludf.DUMMYFUNCTION("""COMPUTED_VALUE"""),49.66)</f>
        <v>49.66</v>
      </c>
      <c r="F976" s="1">
        <f ca="1">IFERROR(__xludf.DUMMYFUNCTION("""COMPUTED_VALUE"""),336.31)</f>
        <v>336.31</v>
      </c>
      <c r="G976" s="1">
        <f ca="1">IFERROR(__xludf.DUMMYFUNCTION("""COMPUTED_VALUE"""),135.43)</f>
        <v>135.43</v>
      </c>
      <c r="H976" s="1">
        <f ca="1">IFERROR(__xludf.DUMMYFUNCTION("""COMPUTED_VALUE"""),237.41)</f>
        <v>237.41</v>
      </c>
      <c r="I976" s="1">
        <f ca="1">IFERROR(__xludf.DUMMYFUNCTION("""COMPUTED_VALUE"""),168.11)</f>
        <v>168.11</v>
      </c>
      <c r="J976" s="1">
        <f ca="1">IFERROR(__xludf.DUMMYFUNCTION("""COMPUTED_VALUE"""),590.8)</f>
        <v>590.79999999999995</v>
      </c>
      <c r="K976" s="1">
        <f ca="1">IFERROR(__xludf.DUMMYFUNCTION("""COMPUTED_VALUE"""),97.3)</f>
        <v>97.3</v>
      </c>
      <c r="L976" s="1">
        <f ca="1">IFERROR(__xludf.DUMMYFUNCTION("""COMPUTED_VALUE"""),604.33)</f>
        <v>604.33000000000004</v>
      </c>
      <c r="M976" s="1">
        <f ca="1">IFERROR(__xludf.DUMMYFUNCTION("""COMPUTED_VALUE"""),448.65)</f>
        <v>448.65</v>
      </c>
      <c r="N976" s="1">
        <f ca="1">IFERROR(__xludf.DUMMYFUNCTION("""COMPUTED_VALUE"""),148.44)</f>
        <v>148.44</v>
      </c>
      <c r="O976" s="1">
        <f ca="1">IFERROR(__xludf.DUMMYFUNCTION("""COMPUTED_VALUE"""),246.94)</f>
        <v>246.94</v>
      </c>
      <c r="P976" s="1">
        <f ca="1">IFERROR(__xludf.DUMMYFUNCTION("""COMPUTED_VALUE"""),147.66)</f>
        <v>147.66</v>
      </c>
      <c r="Q976" s="1">
        <f ca="1">IFERROR(__xludf.DUMMYFUNCTION("""COMPUTED_VALUE"""),540.46)</f>
        <v>540.46</v>
      </c>
      <c r="R976" s="1">
        <f ca="1">IFERROR(__xludf.DUMMYFUNCTION("""COMPUTED_VALUE"""),104.29)</f>
        <v>104.29</v>
      </c>
      <c r="S976" s="1">
        <f ca="1">IFERROR(__xludf.DUMMYFUNCTION("""COMPUTED_VALUE"""),57.55)</f>
        <v>57.55</v>
      </c>
      <c r="T976" s="1">
        <f ca="1">IFERROR(__xludf.DUMMYFUNCTION("""COMPUTED_VALUE"""),55.88)</f>
        <v>55.88</v>
      </c>
      <c r="U976" s="1">
        <f ca="1">IFERROR(__xludf.DUMMYFUNCTION("""COMPUTED_VALUE"""),105.75)</f>
        <v>105.75</v>
      </c>
      <c r="V976" s="1">
        <f ca="1">IFERROR(__xludf.DUMMYFUNCTION("""COMPUTED_VALUE"""),247.86)</f>
        <v>247.86</v>
      </c>
      <c r="W976" s="1">
        <f ca="1">IFERROR(__xludf.DUMMYFUNCTION("""COMPUTED_VALUE"""),444.22)</f>
        <v>444.22</v>
      </c>
      <c r="X976" s="1">
        <f ca="1">IFERROR(__xludf.DUMMYFUNCTION("""COMPUTED_VALUE"""),675.41)</f>
        <v>675.41</v>
      </c>
      <c r="Y976" s="1">
        <f ca="1">IFERROR(__xludf.DUMMYFUNCTION("""COMPUTED_VALUE"""),98.91)</f>
        <v>98.91</v>
      </c>
      <c r="Z976" s="1">
        <f ca="1">IFERROR(__xludf.DUMMYFUNCTION("""COMPUTED_VALUE"""),338.72)</f>
        <v>338.72</v>
      </c>
      <c r="AA976" s="1">
        <f ca="1">IFERROR(__xludf.DUMMYFUNCTION("""COMPUTED_VALUE"""),29.26)</f>
        <v>29.26</v>
      </c>
      <c r="AB976" s="1">
        <f ca="1">IFERROR(__xludf.DUMMYFUNCTION("""COMPUTED_VALUE"""),105.6)</f>
        <v>105.6</v>
      </c>
      <c r="AC976" s="1">
        <f ca="1">IFERROR(__xludf.DUMMYFUNCTION("""COMPUTED_VALUE"""),119.88)</f>
        <v>119.88</v>
      </c>
    </row>
    <row r="977" spans="1:29" x14ac:dyDescent="0.25">
      <c r="A977" s="2">
        <f ca="1">IFERROR(__xludf.DUMMYFUNCTION("""COMPUTED_VALUE"""),45245.6666666666)</f>
        <v>45245.666666666599</v>
      </c>
      <c r="B977" s="1">
        <f ca="1">IFERROR(__xludf.DUMMYFUNCTION("""COMPUTED_VALUE"""),188.01)</f>
        <v>188.01</v>
      </c>
      <c r="C977" s="1">
        <f ca="1">IFERROR(__xludf.DUMMYFUNCTION("""COMPUTED_VALUE"""),369.67)</f>
        <v>369.67</v>
      </c>
      <c r="D977" s="1">
        <f ca="1">IFERROR(__xludf.DUMMYFUNCTION("""COMPUTED_VALUE"""),143.2)</f>
        <v>143.19999999999999</v>
      </c>
      <c r="E977" s="1">
        <f ca="1">IFERROR(__xludf.DUMMYFUNCTION("""COMPUTED_VALUE"""),48.89)</f>
        <v>48.89</v>
      </c>
      <c r="F977" s="1">
        <f ca="1">IFERROR(__xludf.DUMMYFUNCTION("""COMPUTED_VALUE"""),332.71)</f>
        <v>332.71</v>
      </c>
      <c r="G977" s="1">
        <f ca="1">IFERROR(__xludf.DUMMYFUNCTION("""COMPUTED_VALUE"""),136.38)</f>
        <v>136.38</v>
      </c>
      <c r="H977" s="1">
        <f ca="1">IFERROR(__xludf.DUMMYFUNCTION("""COMPUTED_VALUE"""),242.84)</f>
        <v>242.84</v>
      </c>
      <c r="I977" s="1">
        <f ca="1">IFERROR(__xludf.DUMMYFUNCTION("""COMPUTED_VALUE"""),167.25)</f>
        <v>167.25</v>
      </c>
      <c r="J977" s="1">
        <f ca="1">IFERROR(__xludf.DUMMYFUNCTION("""COMPUTED_VALUE"""),596.78)</f>
        <v>596.78</v>
      </c>
      <c r="K977" s="1">
        <f ca="1">IFERROR(__xludf.DUMMYFUNCTION("""COMPUTED_VALUE"""),97.54)</f>
        <v>97.54</v>
      </c>
      <c r="L977" s="1">
        <f ca="1">IFERROR(__xludf.DUMMYFUNCTION("""COMPUTED_VALUE"""),595.31)</f>
        <v>595.30999999999995</v>
      </c>
      <c r="M977" s="1">
        <f ca="1">IFERROR(__xludf.DUMMYFUNCTION("""COMPUTED_VALUE"""),461.94)</f>
        <v>461.94</v>
      </c>
      <c r="N977" s="1">
        <f ca="1">IFERROR(__xludf.DUMMYFUNCTION("""COMPUTED_VALUE"""),149.74)</f>
        <v>149.74</v>
      </c>
      <c r="O977" s="1">
        <f ca="1">IFERROR(__xludf.DUMMYFUNCTION("""COMPUTED_VALUE"""),248.11)</f>
        <v>248.11</v>
      </c>
      <c r="P977" s="1">
        <f ca="1">IFERROR(__xludf.DUMMYFUNCTION("""COMPUTED_VALUE"""),148.8)</f>
        <v>148.80000000000001</v>
      </c>
      <c r="Q977" s="1">
        <f ca="1">IFERROR(__xludf.DUMMYFUNCTION("""COMPUTED_VALUE"""),538.41)</f>
        <v>538.41</v>
      </c>
      <c r="R977" s="1">
        <f ca="1">IFERROR(__xludf.DUMMYFUNCTION("""COMPUTED_VALUE"""),103.66)</f>
        <v>103.66</v>
      </c>
      <c r="S977" s="1">
        <f ca="1">IFERROR(__xludf.DUMMYFUNCTION("""COMPUTED_VALUE"""),57)</f>
        <v>57</v>
      </c>
      <c r="T977" s="1">
        <f ca="1">IFERROR(__xludf.DUMMYFUNCTION("""COMPUTED_VALUE"""),56.59)</f>
        <v>56.59</v>
      </c>
      <c r="U977" s="1">
        <f ca="1">IFERROR(__xludf.DUMMYFUNCTION("""COMPUTED_VALUE"""),107.82)</f>
        <v>107.82</v>
      </c>
      <c r="V977" s="1">
        <f ca="1">IFERROR(__xludf.DUMMYFUNCTION("""COMPUTED_VALUE"""),251.09)</f>
        <v>251.09</v>
      </c>
      <c r="W977" s="1">
        <f ca="1">IFERROR(__xludf.DUMMYFUNCTION("""COMPUTED_VALUE"""),445.14)</f>
        <v>445.14</v>
      </c>
      <c r="X977" s="1">
        <f ca="1">IFERROR(__xludf.DUMMYFUNCTION("""COMPUTED_VALUE"""),678)</f>
        <v>678</v>
      </c>
      <c r="Y977" s="1">
        <f ca="1">IFERROR(__xludf.DUMMYFUNCTION("""COMPUTED_VALUE"""),98.8)</f>
        <v>98.8</v>
      </c>
      <c r="Z977" s="1">
        <f ca="1">IFERROR(__xludf.DUMMYFUNCTION("""COMPUTED_VALUE"""),337.6)</f>
        <v>337.6</v>
      </c>
      <c r="AA977" s="1">
        <f ca="1">IFERROR(__xludf.DUMMYFUNCTION("""COMPUTED_VALUE"""),30.19)</f>
        <v>30.19</v>
      </c>
      <c r="AB977" s="1">
        <f ca="1">IFERROR(__xludf.DUMMYFUNCTION("""COMPUTED_VALUE"""),106.03)</f>
        <v>106.03</v>
      </c>
      <c r="AC977" s="1">
        <f ca="1">IFERROR(__xludf.DUMMYFUNCTION("""COMPUTED_VALUE"""),118)</f>
        <v>118</v>
      </c>
    </row>
    <row r="978" spans="1:29" x14ac:dyDescent="0.25">
      <c r="A978" s="2">
        <f ca="1">IFERROR(__xludf.DUMMYFUNCTION("""COMPUTED_VALUE"""),45246.6666666666)</f>
        <v>45246.666666666599</v>
      </c>
      <c r="B978" s="1">
        <f ca="1">IFERROR(__xludf.DUMMYFUNCTION("""COMPUTED_VALUE"""),189.71)</f>
        <v>189.71</v>
      </c>
      <c r="C978" s="1">
        <f ca="1">IFERROR(__xludf.DUMMYFUNCTION("""COMPUTED_VALUE"""),376.17)</f>
        <v>376.17</v>
      </c>
      <c r="D978" s="1">
        <f ca="1">IFERROR(__xludf.DUMMYFUNCTION("""COMPUTED_VALUE"""),142.83)</f>
        <v>142.83000000000001</v>
      </c>
      <c r="E978" s="1">
        <f ca="1">IFERROR(__xludf.DUMMYFUNCTION("""COMPUTED_VALUE"""),49.48)</f>
        <v>49.48</v>
      </c>
      <c r="F978" s="1">
        <f ca="1">IFERROR(__xludf.DUMMYFUNCTION("""COMPUTED_VALUE"""),334.19)</f>
        <v>334.19</v>
      </c>
      <c r="G978" s="1">
        <f ca="1">IFERROR(__xludf.DUMMYFUNCTION("""COMPUTED_VALUE"""),138.7)</f>
        <v>138.69999999999999</v>
      </c>
      <c r="H978" s="1">
        <f ca="1">IFERROR(__xludf.DUMMYFUNCTION("""COMPUTED_VALUE"""),233.59)</f>
        <v>233.59</v>
      </c>
      <c r="I978" s="1">
        <f ca="1">IFERROR(__xludf.DUMMYFUNCTION("""COMPUTED_VALUE"""),167.71)</f>
        <v>167.71</v>
      </c>
      <c r="J978" s="1">
        <f ca="1">IFERROR(__xludf.DUMMYFUNCTION("""COMPUTED_VALUE"""),578.58)</f>
        <v>578.58000000000004</v>
      </c>
      <c r="K978" s="1">
        <f ca="1">IFERROR(__xludf.DUMMYFUNCTION("""COMPUTED_VALUE"""),95.96)</f>
        <v>95.96</v>
      </c>
      <c r="L978" s="1">
        <f ca="1">IFERROR(__xludf.DUMMYFUNCTION("""COMPUTED_VALUE"""),602.06)</f>
        <v>602.05999999999995</v>
      </c>
      <c r="M978" s="1">
        <f ca="1">IFERROR(__xludf.DUMMYFUNCTION("""COMPUTED_VALUE"""),466.95)</f>
        <v>466.95</v>
      </c>
      <c r="N978" s="1">
        <f ca="1">IFERROR(__xludf.DUMMYFUNCTION("""COMPUTED_VALUE"""),151.45)</f>
        <v>151.44999999999999</v>
      </c>
      <c r="O978" s="1">
        <f ca="1">IFERROR(__xludf.DUMMYFUNCTION("""COMPUTED_VALUE"""),248.57)</f>
        <v>248.57</v>
      </c>
      <c r="P978" s="1">
        <f ca="1">IFERROR(__xludf.DUMMYFUNCTION("""COMPUTED_VALUE"""),150.1)</f>
        <v>150.1</v>
      </c>
      <c r="Q978" s="1">
        <f ca="1">IFERROR(__xludf.DUMMYFUNCTION("""COMPUTED_VALUE"""),539.82)</f>
        <v>539.82000000000005</v>
      </c>
      <c r="R978" s="1">
        <f ca="1">IFERROR(__xludf.DUMMYFUNCTION("""COMPUTED_VALUE"""),102.46)</f>
        <v>102.46</v>
      </c>
      <c r="S978" s="1">
        <f ca="1">IFERROR(__xludf.DUMMYFUNCTION("""COMPUTED_VALUE"""),56.6)</f>
        <v>56.6</v>
      </c>
      <c r="T978" s="1">
        <f ca="1">IFERROR(__xludf.DUMMYFUNCTION("""COMPUTED_VALUE"""),52.01)</f>
        <v>52.01</v>
      </c>
      <c r="U978" s="1">
        <f ca="1">IFERROR(__xludf.DUMMYFUNCTION("""COMPUTED_VALUE"""),107.61)</f>
        <v>107.61</v>
      </c>
      <c r="V978" s="1">
        <f ca="1">IFERROR(__xludf.DUMMYFUNCTION("""COMPUTED_VALUE"""),248.21)</f>
        <v>248.21</v>
      </c>
      <c r="W978" s="1">
        <f ca="1">IFERROR(__xludf.DUMMYFUNCTION("""COMPUTED_VALUE"""),445.59)</f>
        <v>445.59</v>
      </c>
      <c r="X978" s="1">
        <f ca="1">IFERROR(__xludf.DUMMYFUNCTION("""COMPUTED_VALUE"""),680.87)</f>
        <v>680.87</v>
      </c>
      <c r="Y978" s="1">
        <f ca="1">IFERROR(__xludf.DUMMYFUNCTION("""COMPUTED_VALUE"""),98.54)</f>
        <v>98.54</v>
      </c>
      <c r="Z978" s="1">
        <f ca="1">IFERROR(__xludf.DUMMYFUNCTION("""COMPUTED_VALUE"""),336.67)</f>
        <v>336.67</v>
      </c>
      <c r="AA978" s="1">
        <f ca="1">IFERROR(__xludf.DUMMYFUNCTION("""COMPUTED_VALUE"""),29.77)</f>
        <v>29.77</v>
      </c>
      <c r="AB978" s="1">
        <f ca="1">IFERROR(__xludf.DUMMYFUNCTION("""COMPUTED_VALUE"""),107.21)</f>
        <v>107.21</v>
      </c>
      <c r="AC978" s="1">
        <f ca="1">IFERROR(__xludf.DUMMYFUNCTION("""COMPUTED_VALUE"""),119.83)</f>
        <v>119.83</v>
      </c>
    </row>
    <row r="979" spans="1:29" x14ac:dyDescent="0.25">
      <c r="A979" s="2">
        <f ca="1">IFERROR(__xludf.DUMMYFUNCTION("""COMPUTED_VALUE"""),45247.6666666666)</f>
        <v>45247.666666666599</v>
      </c>
      <c r="B979" s="1">
        <f ca="1">IFERROR(__xludf.DUMMYFUNCTION("""COMPUTED_VALUE"""),189.69)</f>
        <v>189.69</v>
      </c>
      <c r="C979" s="1">
        <f ca="1">IFERROR(__xludf.DUMMYFUNCTION("""COMPUTED_VALUE"""),369.85)</f>
        <v>369.85</v>
      </c>
      <c r="D979" s="1">
        <f ca="1">IFERROR(__xludf.DUMMYFUNCTION("""COMPUTED_VALUE"""),145.18)</f>
        <v>145.18</v>
      </c>
      <c r="E979" s="1">
        <f ca="1">IFERROR(__xludf.DUMMYFUNCTION("""COMPUTED_VALUE"""),49.3)</f>
        <v>49.3</v>
      </c>
      <c r="F979" s="1">
        <f ca="1">IFERROR(__xludf.DUMMYFUNCTION("""COMPUTED_VALUE"""),335.04)</f>
        <v>335.04</v>
      </c>
      <c r="G979" s="1">
        <f ca="1">IFERROR(__xludf.DUMMYFUNCTION("""COMPUTED_VALUE"""),136.94)</f>
        <v>136.94</v>
      </c>
      <c r="H979" s="1">
        <f ca="1">IFERROR(__xludf.DUMMYFUNCTION("""COMPUTED_VALUE"""),234.3)</f>
        <v>234.3</v>
      </c>
      <c r="I979" s="1">
        <f ca="1">IFERROR(__xludf.DUMMYFUNCTION("""COMPUTED_VALUE"""),166.76)</f>
        <v>166.76</v>
      </c>
      <c r="J979" s="1">
        <f ca="1">IFERROR(__xludf.DUMMYFUNCTION("""COMPUTED_VALUE"""),577.15)</f>
        <v>577.15</v>
      </c>
      <c r="K979" s="1">
        <f ca="1">IFERROR(__xludf.DUMMYFUNCTION("""COMPUTED_VALUE"""),97.77)</f>
        <v>97.77</v>
      </c>
      <c r="L979" s="1">
        <f ca="1">IFERROR(__xludf.DUMMYFUNCTION("""COMPUTED_VALUE"""),602.66)</f>
        <v>602.66</v>
      </c>
      <c r="M979" s="1">
        <f ca="1">IFERROR(__xludf.DUMMYFUNCTION("""COMPUTED_VALUE"""),465.91)</f>
        <v>465.91</v>
      </c>
      <c r="N979" s="1">
        <f ca="1">IFERROR(__xludf.DUMMYFUNCTION("""COMPUTED_VALUE"""),152.82)</f>
        <v>152.82</v>
      </c>
      <c r="O979" s="1">
        <f ca="1">IFERROR(__xludf.DUMMYFUNCTION("""COMPUTED_VALUE"""),249.56)</f>
        <v>249.56</v>
      </c>
      <c r="P979" s="1">
        <f ca="1">IFERROR(__xludf.DUMMYFUNCTION("""COMPUTED_VALUE"""),149.79)</f>
        <v>149.79</v>
      </c>
      <c r="Q979" s="1">
        <f ca="1">IFERROR(__xludf.DUMMYFUNCTION("""COMPUTED_VALUE"""),536.29)</f>
        <v>536.29</v>
      </c>
      <c r="R979" s="1">
        <f ca="1">IFERROR(__xludf.DUMMYFUNCTION("""COMPUTED_VALUE"""),104.96)</f>
        <v>104.96</v>
      </c>
      <c r="S979" s="1">
        <f ca="1">IFERROR(__xludf.DUMMYFUNCTION("""COMPUTED_VALUE"""),57.37)</f>
        <v>57.37</v>
      </c>
      <c r="T979" s="1">
        <f ca="1">IFERROR(__xludf.DUMMYFUNCTION("""COMPUTED_VALUE"""),51.78)</f>
        <v>51.78</v>
      </c>
      <c r="U979" s="1">
        <f ca="1">IFERROR(__xludf.DUMMYFUNCTION("""COMPUTED_VALUE"""),105.96)</f>
        <v>105.96</v>
      </c>
      <c r="V979" s="1">
        <f ca="1">IFERROR(__xludf.DUMMYFUNCTION("""COMPUTED_VALUE"""),253.07)</f>
        <v>253.07</v>
      </c>
      <c r="W979" s="1">
        <f ca="1">IFERROR(__xludf.DUMMYFUNCTION("""COMPUTED_VALUE"""),444.68)</f>
        <v>444.68</v>
      </c>
      <c r="X979" s="1">
        <f ca="1">IFERROR(__xludf.DUMMYFUNCTION("""COMPUTED_VALUE"""),686.09)</f>
        <v>686.09</v>
      </c>
      <c r="Y979" s="1">
        <f ca="1">IFERROR(__xludf.DUMMYFUNCTION("""COMPUTED_VALUE"""),99.58)</f>
        <v>99.58</v>
      </c>
      <c r="Z979" s="1">
        <f ca="1">IFERROR(__xludf.DUMMYFUNCTION("""COMPUTED_VALUE"""),339.19)</f>
        <v>339.19</v>
      </c>
      <c r="AA979" s="1">
        <f ca="1">IFERROR(__xludf.DUMMYFUNCTION("""COMPUTED_VALUE"""),29.92)</f>
        <v>29.92</v>
      </c>
      <c r="AB979" s="1">
        <f ca="1">IFERROR(__xludf.DUMMYFUNCTION("""COMPUTED_VALUE"""),105.57)</f>
        <v>105.57</v>
      </c>
      <c r="AC979" s="1">
        <f ca="1">IFERROR(__xludf.DUMMYFUNCTION("""COMPUTED_VALUE"""),120.62)</f>
        <v>120.62</v>
      </c>
    </row>
    <row r="980" spans="1:29" x14ac:dyDescent="0.25">
      <c r="A980" s="2">
        <f ca="1">IFERROR(__xludf.DUMMYFUNCTION("""COMPUTED_VALUE"""),45250.6666666666)</f>
        <v>45250.666666666599</v>
      </c>
      <c r="B980" s="1">
        <f ca="1">IFERROR(__xludf.DUMMYFUNCTION("""COMPUTED_VALUE"""),191.45)</f>
        <v>191.45</v>
      </c>
      <c r="C980" s="1">
        <f ca="1">IFERROR(__xludf.DUMMYFUNCTION("""COMPUTED_VALUE"""),377.44)</f>
        <v>377.44</v>
      </c>
      <c r="D980" s="1">
        <f ca="1">IFERROR(__xludf.DUMMYFUNCTION("""COMPUTED_VALUE"""),146.13)</f>
        <v>146.13</v>
      </c>
      <c r="E980" s="1">
        <f ca="1">IFERROR(__xludf.DUMMYFUNCTION("""COMPUTED_VALUE"""),50.41)</f>
        <v>50.41</v>
      </c>
      <c r="F980" s="1">
        <f ca="1">IFERROR(__xludf.DUMMYFUNCTION("""COMPUTED_VALUE"""),339.97)</f>
        <v>339.97</v>
      </c>
      <c r="G980" s="1">
        <f ca="1">IFERROR(__xludf.DUMMYFUNCTION("""COMPUTED_VALUE"""),137.92)</f>
        <v>137.91999999999999</v>
      </c>
      <c r="H980" s="1">
        <f ca="1">IFERROR(__xludf.DUMMYFUNCTION("""COMPUTED_VALUE"""),235.6)</f>
        <v>235.6</v>
      </c>
      <c r="I980" s="1">
        <f ca="1">IFERROR(__xludf.DUMMYFUNCTION("""COMPUTED_VALUE"""),166.52)</f>
        <v>166.52</v>
      </c>
      <c r="J980" s="1">
        <f ca="1">IFERROR(__xludf.DUMMYFUNCTION("""COMPUTED_VALUE"""),580.8)</f>
        <v>580.79999999999995</v>
      </c>
      <c r="K980" s="1">
        <f ca="1">IFERROR(__xludf.DUMMYFUNCTION("""COMPUTED_VALUE"""),99.57)</f>
        <v>99.57</v>
      </c>
      <c r="L980" s="1">
        <f ca="1">IFERROR(__xludf.DUMMYFUNCTION("""COMPUTED_VALUE"""),612.7)</f>
        <v>612.70000000000005</v>
      </c>
      <c r="M980" s="1">
        <f ca="1">IFERROR(__xludf.DUMMYFUNCTION("""COMPUTED_VALUE"""),474.47)</f>
        <v>474.47</v>
      </c>
      <c r="N980" s="1">
        <f ca="1">IFERROR(__xludf.DUMMYFUNCTION("""COMPUTED_VALUE"""),153.29)</f>
        <v>153.29</v>
      </c>
      <c r="O980" s="1">
        <f ca="1">IFERROR(__xludf.DUMMYFUNCTION("""COMPUTED_VALUE"""),249.97)</f>
        <v>249.97</v>
      </c>
      <c r="P980" s="1">
        <f ca="1">IFERROR(__xludf.DUMMYFUNCTION("""COMPUTED_VALUE"""),149.91)</f>
        <v>149.91</v>
      </c>
      <c r="Q980" s="1">
        <f ca="1">IFERROR(__xludf.DUMMYFUNCTION("""COMPUTED_VALUE"""),535.1)</f>
        <v>535.1</v>
      </c>
      <c r="R980" s="1">
        <f ca="1">IFERROR(__xludf.DUMMYFUNCTION("""COMPUTED_VALUE"""),104.5)</f>
        <v>104.5</v>
      </c>
      <c r="S980" s="1">
        <f ca="1">IFERROR(__xludf.DUMMYFUNCTION("""COMPUTED_VALUE"""),57.34)</f>
        <v>57.34</v>
      </c>
      <c r="T980" s="1">
        <f ca="1">IFERROR(__xludf.DUMMYFUNCTION("""COMPUTED_VALUE"""),51.77)</f>
        <v>51.77</v>
      </c>
      <c r="U980" s="1">
        <f ca="1">IFERROR(__xludf.DUMMYFUNCTION("""COMPUTED_VALUE"""),106.32)</f>
        <v>106.32</v>
      </c>
      <c r="V980" s="1">
        <f ca="1">IFERROR(__xludf.DUMMYFUNCTION("""COMPUTED_VALUE"""),250.45)</f>
        <v>250.45</v>
      </c>
      <c r="W980" s="1">
        <f ca="1">IFERROR(__xludf.DUMMYFUNCTION("""COMPUTED_VALUE"""),443.81)</f>
        <v>443.81</v>
      </c>
      <c r="X980" s="1">
        <f ca="1">IFERROR(__xludf.DUMMYFUNCTION("""COMPUTED_VALUE"""),694.31)</f>
        <v>694.31</v>
      </c>
      <c r="Y980" s="1">
        <f ca="1">IFERROR(__xludf.DUMMYFUNCTION("""COMPUTED_VALUE"""),99.96)</f>
        <v>99.96</v>
      </c>
      <c r="Z980" s="1">
        <f ca="1">IFERROR(__xludf.DUMMYFUNCTION("""COMPUTED_VALUE"""),339.45)</f>
        <v>339.45</v>
      </c>
      <c r="AA980" s="1">
        <f ca="1">IFERROR(__xludf.DUMMYFUNCTION("""COMPUTED_VALUE"""),29.98)</f>
        <v>29.98</v>
      </c>
      <c r="AB980" s="1">
        <f ca="1">IFERROR(__xludf.DUMMYFUNCTION("""COMPUTED_VALUE"""),104.3)</f>
        <v>104.3</v>
      </c>
      <c r="AC980" s="1">
        <f ca="1">IFERROR(__xludf.DUMMYFUNCTION("""COMPUTED_VALUE"""),121.53)</f>
        <v>121.53</v>
      </c>
    </row>
    <row r="981" spans="1:29" x14ac:dyDescent="0.25">
      <c r="A981" s="2">
        <f ca="1">IFERROR(__xludf.DUMMYFUNCTION("""COMPUTED_VALUE"""),45251.6666666666)</f>
        <v>45251.666666666599</v>
      </c>
      <c r="B981" s="1">
        <f ca="1">IFERROR(__xludf.DUMMYFUNCTION("""COMPUTED_VALUE"""),190.64)</f>
        <v>190.64</v>
      </c>
      <c r="C981" s="1">
        <f ca="1">IFERROR(__xludf.DUMMYFUNCTION("""COMPUTED_VALUE"""),373.07)</f>
        <v>373.07</v>
      </c>
      <c r="D981" s="1">
        <f ca="1">IFERROR(__xludf.DUMMYFUNCTION("""COMPUTED_VALUE"""),143.9)</f>
        <v>143.9</v>
      </c>
      <c r="E981" s="1">
        <f ca="1">IFERROR(__xludf.DUMMYFUNCTION("""COMPUTED_VALUE"""),49.94)</f>
        <v>49.94</v>
      </c>
      <c r="F981" s="1">
        <f ca="1">IFERROR(__xludf.DUMMYFUNCTION("""COMPUTED_VALUE"""),336.98)</f>
        <v>336.98</v>
      </c>
      <c r="G981" s="1">
        <f ca="1">IFERROR(__xludf.DUMMYFUNCTION("""COMPUTED_VALUE"""),138.62)</f>
        <v>138.62</v>
      </c>
      <c r="H981" s="1">
        <f ca="1">IFERROR(__xludf.DUMMYFUNCTION("""COMPUTED_VALUE"""),241.2)</f>
        <v>241.2</v>
      </c>
      <c r="I981" s="1">
        <f ca="1">IFERROR(__xludf.DUMMYFUNCTION("""COMPUTED_VALUE"""),167.8)</f>
        <v>167.8</v>
      </c>
      <c r="J981" s="1">
        <f ca="1">IFERROR(__xludf.DUMMYFUNCTION("""COMPUTED_VALUE"""),584.3)</f>
        <v>584.29999999999995</v>
      </c>
      <c r="K981" s="1">
        <f ca="1">IFERROR(__xludf.DUMMYFUNCTION("""COMPUTED_VALUE"""),98.12)</f>
        <v>98.12</v>
      </c>
      <c r="L981" s="1">
        <f ca="1">IFERROR(__xludf.DUMMYFUNCTION("""COMPUTED_VALUE"""),610.99)</f>
        <v>610.99</v>
      </c>
      <c r="M981" s="1">
        <f ca="1">IFERROR(__xludf.DUMMYFUNCTION("""COMPUTED_VALUE"""),474.95)</f>
        <v>474.95</v>
      </c>
      <c r="N981" s="1">
        <f ca="1">IFERROR(__xludf.DUMMYFUNCTION("""COMPUTED_VALUE"""),152.97)</f>
        <v>152.97</v>
      </c>
      <c r="O981" s="1">
        <f ca="1">IFERROR(__xludf.DUMMYFUNCTION("""COMPUTED_VALUE"""),252.23)</f>
        <v>252.23</v>
      </c>
      <c r="P981" s="1">
        <f ca="1">IFERROR(__xludf.DUMMYFUNCTION("""COMPUTED_VALUE"""),151.12)</f>
        <v>151.12</v>
      </c>
      <c r="Q981" s="1">
        <f ca="1">IFERROR(__xludf.DUMMYFUNCTION("""COMPUTED_VALUE"""),539.59)</f>
        <v>539.59</v>
      </c>
      <c r="R981" s="1">
        <f ca="1">IFERROR(__xludf.DUMMYFUNCTION("""COMPUTED_VALUE"""),104.46)</f>
        <v>104.46</v>
      </c>
      <c r="S981" s="1">
        <f ca="1">IFERROR(__xludf.DUMMYFUNCTION("""COMPUTED_VALUE"""),57.98)</f>
        <v>57.98</v>
      </c>
      <c r="T981" s="1">
        <f ca="1">IFERROR(__xludf.DUMMYFUNCTION("""COMPUTED_VALUE"""),51.95)</f>
        <v>51.95</v>
      </c>
      <c r="U981" s="1">
        <f ca="1">IFERROR(__xludf.DUMMYFUNCTION("""COMPUTED_VALUE"""),106.55)</f>
        <v>106.55</v>
      </c>
      <c r="V981" s="1">
        <f ca="1">IFERROR(__xludf.DUMMYFUNCTION("""COMPUTED_VALUE"""),249.41)</f>
        <v>249.41</v>
      </c>
      <c r="W981" s="1">
        <f ca="1">IFERROR(__xludf.DUMMYFUNCTION("""COMPUTED_VALUE"""),448.15)</f>
        <v>448.15</v>
      </c>
      <c r="X981" s="1">
        <f ca="1">IFERROR(__xludf.DUMMYFUNCTION("""COMPUTED_VALUE"""),684.42)</f>
        <v>684.42</v>
      </c>
      <c r="Y981" s="1">
        <f ca="1">IFERROR(__xludf.DUMMYFUNCTION("""COMPUTED_VALUE"""),98.41)</f>
        <v>98.41</v>
      </c>
      <c r="Z981" s="1">
        <f ca="1">IFERROR(__xludf.DUMMYFUNCTION("""COMPUTED_VALUE"""),334.97)</f>
        <v>334.97</v>
      </c>
      <c r="AA981" s="1">
        <f ca="1">IFERROR(__xludf.DUMMYFUNCTION("""COMPUTED_VALUE"""),30.3)</f>
        <v>30.3</v>
      </c>
      <c r="AB981" s="1">
        <f ca="1">IFERROR(__xludf.DUMMYFUNCTION("""COMPUTED_VALUE"""),103.69)</f>
        <v>103.69</v>
      </c>
      <c r="AC981" s="1">
        <f ca="1">IFERROR(__xludf.DUMMYFUNCTION("""COMPUTED_VALUE"""),119.16)</f>
        <v>119.16</v>
      </c>
    </row>
    <row r="982" spans="1:29" x14ac:dyDescent="0.25">
      <c r="A982" s="2">
        <f ca="1">IFERROR(__xludf.DUMMYFUNCTION("""COMPUTED_VALUE"""),45252.6666666666)</f>
        <v>45252.666666666599</v>
      </c>
      <c r="B982" s="1">
        <f ca="1">IFERROR(__xludf.DUMMYFUNCTION("""COMPUTED_VALUE"""),191.31)</f>
        <v>191.31</v>
      </c>
      <c r="C982" s="1">
        <f ca="1">IFERROR(__xludf.DUMMYFUNCTION("""COMPUTED_VALUE"""),377.85)</f>
        <v>377.85</v>
      </c>
      <c r="D982" s="1">
        <f ca="1">IFERROR(__xludf.DUMMYFUNCTION("""COMPUTED_VALUE"""),146.71)</f>
        <v>146.71</v>
      </c>
      <c r="E982" s="1">
        <f ca="1">IFERROR(__xludf.DUMMYFUNCTION("""COMPUTED_VALUE"""),48.72)</f>
        <v>48.72</v>
      </c>
      <c r="F982" s="1">
        <f ca="1">IFERROR(__xludf.DUMMYFUNCTION("""COMPUTED_VALUE"""),341.49)</f>
        <v>341.49</v>
      </c>
      <c r="G982" s="1">
        <f ca="1">IFERROR(__xludf.DUMMYFUNCTION("""COMPUTED_VALUE"""),140.02)</f>
        <v>140.02000000000001</v>
      </c>
      <c r="H982" s="1">
        <f ca="1">IFERROR(__xludf.DUMMYFUNCTION("""COMPUTED_VALUE"""),234.21)</f>
        <v>234.21</v>
      </c>
      <c r="I982" s="1">
        <f ca="1">IFERROR(__xludf.DUMMYFUNCTION("""COMPUTED_VALUE"""),169.22)</f>
        <v>169.22</v>
      </c>
      <c r="J982" s="1">
        <f ca="1">IFERROR(__xludf.DUMMYFUNCTION("""COMPUTED_VALUE"""),589.08)</f>
        <v>589.08000000000004</v>
      </c>
      <c r="K982" s="1">
        <f ca="1">IFERROR(__xludf.DUMMYFUNCTION("""COMPUTED_VALUE"""),97.2)</f>
        <v>97.2</v>
      </c>
      <c r="L982" s="1">
        <f ca="1">IFERROR(__xludf.DUMMYFUNCTION("""COMPUTED_VALUE"""),619.72)</f>
        <v>619.72</v>
      </c>
      <c r="M982" s="1">
        <f ca="1">IFERROR(__xludf.DUMMYFUNCTION("""COMPUTED_VALUE"""),478)</f>
        <v>478</v>
      </c>
      <c r="N982" s="1">
        <f ca="1">IFERROR(__xludf.DUMMYFUNCTION("""COMPUTED_VALUE"""),153.33)</f>
        <v>153.33000000000001</v>
      </c>
      <c r="O982" s="1">
        <f ca="1">IFERROR(__xludf.DUMMYFUNCTION("""COMPUTED_VALUE"""),253.72)</f>
        <v>253.72</v>
      </c>
      <c r="P982" s="1">
        <f ca="1">IFERROR(__xludf.DUMMYFUNCTION("""COMPUTED_VALUE"""),150.82)</f>
        <v>150.82</v>
      </c>
      <c r="Q982" s="1">
        <f ca="1">IFERROR(__xludf.DUMMYFUNCTION("""COMPUTED_VALUE"""),543.76)</f>
        <v>543.76</v>
      </c>
      <c r="R982" s="1">
        <f ca="1">IFERROR(__xludf.DUMMYFUNCTION("""COMPUTED_VALUE"""),104.01)</f>
        <v>104.01</v>
      </c>
      <c r="S982" s="1">
        <f ca="1">IFERROR(__xludf.DUMMYFUNCTION("""COMPUTED_VALUE"""),57.47)</f>
        <v>57.47</v>
      </c>
      <c r="T982" s="1">
        <f ca="1">IFERROR(__xludf.DUMMYFUNCTION("""COMPUTED_VALUE"""),51.56)</f>
        <v>51.56</v>
      </c>
      <c r="U982" s="1">
        <f ca="1">IFERROR(__xludf.DUMMYFUNCTION("""COMPUTED_VALUE"""),107.92)</f>
        <v>107.92</v>
      </c>
      <c r="V982" s="1">
        <f ca="1">IFERROR(__xludf.DUMMYFUNCTION("""COMPUTED_VALUE"""),246.01)</f>
        <v>246.01</v>
      </c>
      <c r="W982" s="1">
        <f ca="1">IFERROR(__xludf.DUMMYFUNCTION("""COMPUTED_VALUE"""),450.4)</f>
        <v>450.4</v>
      </c>
      <c r="X982" s="1">
        <f ca="1">IFERROR(__xludf.DUMMYFUNCTION("""COMPUTED_VALUE"""),684.8)</f>
        <v>684.8</v>
      </c>
      <c r="Y982" s="1">
        <f ca="1">IFERROR(__xludf.DUMMYFUNCTION("""COMPUTED_VALUE"""),98.65)</f>
        <v>98.65</v>
      </c>
      <c r="Z982" s="1">
        <f ca="1">IFERROR(__xludf.DUMMYFUNCTION("""COMPUTED_VALUE"""),338.64)</f>
        <v>338.64</v>
      </c>
      <c r="AA982" s="1">
        <f ca="1">IFERROR(__xludf.DUMMYFUNCTION("""COMPUTED_VALUE"""),30.32)</f>
        <v>30.32</v>
      </c>
      <c r="AB982" s="1">
        <f ca="1">IFERROR(__xludf.DUMMYFUNCTION("""COMPUTED_VALUE"""),103.44)</f>
        <v>103.44</v>
      </c>
      <c r="AC982" s="1">
        <f ca="1">IFERROR(__xludf.DUMMYFUNCTION("""COMPUTED_VALUE"""),122.51)</f>
        <v>122.51</v>
      </c>
    </row>
    <row r="983" spans="1:29" x14ac:dyDescent="0.25">
      <c r="A983" s="2">
        <f ca="1">IFERROR(__xludf.DUMMYFUNCTION("""COMPUTED_VALUE"""),45254.5451388888)</f>
        <v>45254.545138888803</v>
      </c>
      <c r="B983" s="1">
        <f ca="1">IFERROR(__xludf.DUMMYFUNCTION("""COMPUTED_VALUE"""),189.97)</f>
        <v>189.97</v>
      </c>
      <c r="C983" s="1">
        <f ca="1">IFERROR(__xludf.DUMMYFUNCTION("""COMPUTED_VALUE"""),377.43)</f>
        <v>377.43</v>
      </c>
      <c r="D983" s="1">
        <f ca="1">IFERROR(__xludf.DUMMYFUNCTION("""COMPUTED_VALUE"""),146.74)</f>
        <v>146.74</v>
      </c>
      <c r="E983" s="1">
        <f ca="1">IFERROR(__xludf.DUMMYFUNCTION("""COMPUTED_VALUE"""),47.78)</f>
        <v>47.78</v>
      </c>
      <c r="F983" s="1">
        <f ca="1">IFERROR(__xludf.DUMMYFUNCTION("""COMPUTED_VALUE"""),338.23)</f>
        <v>338.23</v>
      </c>
      <c r="G983" s="1">
        <f ca="1">IFERROR(__xludf.DUMMYFUNCTION("""COMPUTED_VALUE"""),138.22)</f>
        <v>138.22</v>
      </c>
      <c r="H983" s="1">
        <f ca="1">IFERROR(__xludf.DUMMYFUNCTION("""COMPUTED_VALUE"""),235.45)</f>
        <v>235.45</v>
      </c>
      <c r="I983" s="1">
        <f ca="1">IFERROR(__xludf.DUMMYFUNCTION("""COMPUTED_VALUE"""),169.37)</f>
        <v>169.37</v>
      </c>
      <c r="J983" s="1">
        <f ca="1">IFERROR(__xludf.DUMMYFUNCTION("""COMPUTED_VALUE"""),591.36)</f>
        <v>591.36</v>
      </c>
      <c r="K983" s="1">
        <f ca="1">IFERROR(__xludf.DUMMYFUNCTION("""COMPUTED_VALUE"""),97.89)</f>
        <v>97.89</v>
      </c>
      <c r="L983" s="1">
        <f ca="1">IFERROR(__xludf.DUMMYFUNCTION("""COMPUTED_VALUE"""),619.43)</f>
        <v>619.42999999999995</v>
      </c>
      <c r="M983" s="1">
        <f ca="1">IFERROR(__xludf.DUMMYFUNCTION("""COMPUTED_VALUE"""),479.56)</f>
        <v>479.56</v>
      </c>
      <c r="N983" s="1">
        <f ca="1">IFERROR(__xludf.DUMMYFUNCTION("""COMPUTED_VALUE"""),153.54)</f>
        <v>153.54</v>
      </c>
      <c r="O983" s="1">
        <f ca="1">IFERROR(__xludf.DUMMYFUNCTION("""COMPUTED_VALUE"""),254.3)</f>
        <v>254.3</v>
      </c>
      <c r="P983" s="1">
        <f ca="1">IFERROR(__xludf.DUMMYFUNCTION("""COMPUTED_VALUE"""),152.5)</f>
        <v>152.5</v>
      </c>
      <c r="Q983" s="1">
        <f ca="1">IFERROR(__xludf.DUMMYFUNCTION("""COMPUTED_VALUE"""),547.1)</f>
        <v>547.1</v>
      </c>
      <c r="R983" s="1">
        <f ca="1">IFERROR(__xludf.DUMMYFUNCTION("""COMPUTED_VALUE"""),104.57)</f>
        <v>104.57</v>
      </c>
      <c r="S983" s="1">
        <f ca="1">IFERROR(__xludf.DUMMYFUNCTION("""COMPUTED_VALUE"""),57.55)</f>
        <v>57.55</v>
      </c>
      <c r="T983" s="1">
        <f ca="1">IFERROR(__xludf.DUMMYFUNCTION("""COMPUTED_VALUE"""),52.02)</f>
        <v>52.02</v>
      </c>
      <c r="U983" s="1">
        <f ca="1">IFERROR(__xludf.DUMMYFUNCTION("""COMPUTED_VALUE"""),107.64)</f>
        <v>107.64</v>
      </c>
      <c r="V983" s="1">
        <f ca="1">IFERROR(__xludf.DUMMYFUNCTION("""COMPUTED_VALUE"""),247.36)</f>
        <v>247.36</v>
      </c>
      <c r="W983" s="1">
        <f ca="1">IFERROR(__xludf.DUMMYFUNCTION("""COMPUTED_VALUE"""),452.01)</f>
        <v>452.01</v>
      </c>
      <c r="X983" s="1">
        <f ca="1">IFERROR(__xludf.DUMMYFUNCTION("""COMPUTED_VALUE"""),691.18)</f>
        <v>691.18</v>
      </c>
      <c r="Y983" s="1">
        <f ca="1">IFERROR(__xludf.DUMMYFUNCTION("""COMPUTED_VALUE"""),97.83)</f>
        <v>97.83</v>
      </c>
      <c r="Z983" s="1">
        <f ca="1">IFERROR(__xludf.DUMMYFUNCTION("""COMPUTED_VALUE"""),339.15)</f>
        <v>339.15</v>
      </c>
      <c r="AA983" s="1">
        <f ca="1">IFERROR(__xludf.DUMMYFUNCTION("""COMPUTED_VALUE"""),30.5)</f>
        <v>30.5</v>
      </c>
      <c r="AB983" s="1">
        <f ca="1">IFERROR(__xludf.DUMMYFUNCTION("""COMPUTED_VALUE"""),102.78)</f>
        <v>102.78</v>
      </c>
      <c r="AC983" s="1">
        <f ca="1">IFERROR(__xludf.DUMMYFUNCTION("""COMPUTED_VALUE"""),122.31)</f>
        <v>122.31</v>
      </c>
    </row>
    <row r="984" spans="1:29" x14ac:dyDescent="0.25">
      <c r="A984" s="2">
        <f ca="1">IFERROR(__xludf.DUMMYFUNCTION("""COMPUTED_VALUE"""),45257.6666666666)</f>
        <v>45257.666666666599</v>
      </c>
      <c r="B984" s="1">
        <f ca="1">IFERROR(__xludf.DUMMYFUNCTION("""COMPUTED_VALUE"""),189.79)</f>
        <v>189.79</v>
      </c>
      <c r="C984" s="1">
        <f ca="1">IFERROR(__xludf.DUMMYFUNCTION("""COMPUTED_VALUE"""),378.61)</f>
        <v>378.61</v>
      </c>
      <c r="D984" s="1">
        <f ca="1">IFERROR(__xludf.DUMMYFUNCTION("""COMPUTED_VALUE"""),147.73)</f>
        <v>147.72999999999999</v>
      </c>
      <c r="E984" s="1">
        <f ca="1">IFERROR(__xludf.DUMMYFUNCTION("""COMPUTED_VALUE"""),48.24)</f>
        <v>48.24</v>
      </c>
      <c r="F984" s="1">
        <f ca="1">IFERROR(__xludf.DUMMYFUNCTION("""COMPUTED_VALUE"""),334.7)</f>
        <v>334.7</v>
      </c>
      <c r="G984" s="1">
        <f ca="1">IFERROR(__xludf.DUMMYFUNCTION("""COMPUTED_VALUE"""),138.05)</f>
        <v>138.05000000000001</v>
      </c>
      <c r="H984" s="1">
        <f ca="1">IFERROR(__xludf.DUMMYFUNCTION("""COMPUTED_VALUE"""),236.08)</f>
        <v>236.08</v>
      </c>
      <c r="I984" s="1">
        <f ca="1">IFERROR(__xludf.DUMMYFUNCTION("""COMPUTED_VALUE"""),168.32)</f>
        <v>168.32</v>
      </c>
      <c r="J984" s="1">
        <f ca="1">IFERROR(__xludf.DUMMYFUNCTION("""COMPUTED_VALUE"""),594.9)</f>
        <v>594.9</v>
      </c>
      <c r="K984" s="1">
        <f ca="1">IFERROR(__xludf.DUMMYFUNCTION("""COMPUTED_VALUE"""),95.02)</f>
        <v>95.02</v>
      </c>
      <c r="L984" s="1">
        <f ca="1">IFERROR(__xludf.DUMMYFUNCTION("""COMPUTED_VALUE"""),619.27)</f>
        <v>619.27</v>
      </c>
      <c r="M984" s="1">
        <f ca="1">IFERROR(__xludf.DUMMYFUNCTION("""COMPUTED_VALUE"""),479.17)</f>
        <v>479.17</v>
      </c>
      <c r="N984" s="1">
        <f ca="1">IFERROR(__xludf.DUMMYFUNCTION("""COMPUTED_VALUE"""),153.19)</f>
        <v>153.19</v>
      </c>
      <c r="O984" s="1">
        <f ca="1">IFERROR(__xludf.DUMMYFUNCTION("""COMPUTED_VALUE"""),254.14)</f>
        <v>254.14</v>
      </c>
      <c r="P984" s="1">
        <f ca="1">IFERROR(__xludf.DUMMYFUNCTION("""COMPUTED_VALUE"""),151.28)</f>
        <v>151.28</v>
      </c>
      <c r="Q984" s="1">
        <f ca="1">IFERROR(__xludf.DUMMYFUNCTION("""COMPUTED_VALUE"""),543.59)</f>
        <v>543.59</v>
      </c>
      <c r="R984" s="1">
        <f ca="1">IFERROR(__xludf.DUMMYFUNCTION("""COMPUTED_VALUE"""),103.96)</f>
        <v>103.96</v>
      </c>
      <c r="S984" s="1">
        <f ca="1">IFERROR(__xludf.DUMMYFUNCTION("""COMPUTED_VALUE"""),57.58)</f>
        <v>57.58</v>
      </c>
      <c r="T984" s="1">
        <f ca="1">IFERROR(__xludf.DUMMYFUNCTION("""COMPUTED_VALUE"""),52.26)</f>
        <v>52.26</v>
      </c>
      <c r="U984" s="1">
        <f ca="1">IFERROR(__xludf.DUMMYFUNCTION("""COMPUTED_VALUE"""),107.96)</f>
        <v>107.96</v>
      </c>
      <c r="V984" s="1">
        <f ca="1">IFERROR(__xludf.DUMMYFUNCTION("""COMPUTED_VALUE"""),247.39)</f>
        <v>247.39</v>
      </c>
      <c r="W984" s="1">
        <f ca="1">IFERROR(__xludf.DUMMYFUNCTION("""COMPUTED_VALUE"""),445.49)</f>
        <v>445.49</v>
      </c>
      <c r="X984" s="1">
        <f ca="1">IFERROR(__xludf.DUMMYFUNCTION("""COMPUTED_VALUE"""),688.38)</f>
        <v>688.38</v>
      </c>
      <c r="Y984" s="1">
        <f ca="1">IFERROR(__xludf.DUMMYFUNCTION("""COMPUTED_VALUE"""),97.21)</f>
        <v>97.21</v>
      </c>
      <c r="Z984" s="1">
        <f ca="1">IFERROR(__xludf.DUMMYFUNCTION("""COMPUTED_VALUE"""),337.71)</f>
        <v>337.71</v>
      </c>
      <c r="AA984" s="1">
        <f ca="1">IFERROR(__xludf.DUMMYFUNCTION("""COMPUTED_VALUE"""),30.14)</f>
        <v>30.14</v>
      </c>
      <c r="AB984" s="1">
        <f ca="1">IFERROR(__xludf.DUMMYFUNCTION("""COMPUTED_VALUE"""),102.36)</f>
        <v>102.36</v>
      </c>
      <c r="AC984" s="1">
        <f ca="1">IFERROR(__xludf.DUMMYFUNCTION("""COMPUTED_VALUE"""),122.65)</f>
        <v>122.65</v>
      </c>
    </row>
    <row r="985" spans="1:29" x14ac:dyDescent="0.25">
      <c r="A985" s="2">
        <f ca="1">IFERROR(__xludf.DUMMYFUNCTION("""COMPUTED_VALUE"""),45258.6666666666)</f>
        <v>45258.666666666599</v>
      </c>
      <c r="B985" s="1">
        <f ca="1">IFERROR(__xludf.DUMMYFUNCTION("""COMPUTED_VALUE"""),190.4)</f>
        <v>190.4</v>
      </c>
      <c r="C985" s="1">
        <f ca="1">IFERROR(__xludf.DUMMYFUNCTION("""COMPUTED_VALUE"""),382.7)</f>
        <v>382.7</v>
      </c>
      <c r="D985" s="1">
        <f ca="1">IFERROR(__xludf.DUMMYFUNCTION("""COMPUTED_VALUE"""),147.03)</f>
        <v>147.03</v>
      </c>
      <c r="E985" s="1">
        <f ca="1">IFERROR(__xludf.DUMMYFUNCTION("""COMPUTED_VALUE"""),47.82)</f>
        <v>47.82</v>
      </c>
      <c r="F985" s="1">
        <f ca="1">IFERROR(__xludf.DUMMYFUNCTION("""COMPUTED_VALUE"""),338.99)</f>
        <v>338.99</v>
      </c>
      <c r="G985" s="1">
        <f ca="1">IFERROR(__xludf.DUMMYFUNCTION("""COMPUTED_VALUE"""),138.62)</f>
        <v>138.62</v>
      </c>
      <c r="H985" s="1">
        <f ca="1">IFERROR(__xludf.DUMMYFUNCTION("""COMPUTED_VALUE"""),246.72)</f>
        <v>246.72</v>
      </c>
      <c r="I985" s="1">
        <f ca="1">IFERROR(__xludf.DUMMYFUNCTION("""COMPUTED_VALUE"""),168.86)</f>
        <v>168.86</v>
      </c>
      <c r="J985" s="1">
        <f ca="1">IFERROR(__xludf.DUMMYFUNCTION("""COMPUTED_VALUE"""),594)</f>
        <v>594</v>
      </c>
      <c r="K985" s="1">
        <f ca="1">IFERROR(__xludf.DUMMYFUNCTION("""COMPUTED_VALUE"""),94.64)</f>
        <v>94.64</v>
      </c>
      <c r="L985" s="1">
        <f ca="1">IFERROR(__xludf.DUMMYFUNCTION("""COMPUTED_VALUE"""),623.32)</f>
        <v>623.32000000000005</v>
      </c>
      <c r="M985" s="1">
        <f ca="1">IFERROR(__xludf.DUMMYFUNCTION("""COMPUTED_VALUE"""),479)</f>
        <v>479</v>
      </c>
      <c r="N985" s="1">
        <f ca="1">IFERROR(__xludf.DUMMYFUNCTION("""COMPUTED_VALUE"""),153.54)</f>
        <v>153.54</v>
      </c>
      <c r="O985" s="1">
        <f ca="1">IFERROR(__xludf.DUMMYFUNCTION("""COMPUTED_VALUE"""),252.94)</f>
        <v>252.94</v>
      </c>
      <c r="P985" s="1">
        <f ca="1">IFERROR(__xludf.DUMMYFUNCTION("""COMPUTED_VALUE"""),151.63)</f>
        <v>151.63</v>
      </c>
      <c r="Q985" s="1">
        <f ca="1">IFERROR(__xludf.DUMMYFUNCTION("""COMPUTED_VALUE"""),540.53)</f>
        <v>540.53</v>
      </c>
      <c r="R985" s="1">
        <f ca="1">IFERROR(__xludf.DUMMYFUNCTION("""COMPUTED_VALUE"""),103.9)</f>
        <v>103.9</v>
      </c>
      <c r="S985" s="1">
        <f ca="1">IFERROR(__xludf.DUMMYFUNCTION("""COMPUTED_VALUE"""),58.16)</f>
        <v>58.16</v>
      </c>
      <c r="T985" s="1">
        <f ca="1">IFERROR(__xludf.DUMMYFUNCTION("""COMPUTED_VALUE"""),52.88)</f>
        <v>52.88</v>
      </c>
      <c r="U985" s="1">
        <f ca="1">IFERROR(__xludf.DUMMYFUNCTION("""COMPUTED_VALUE"""),108.75)</f>
        <v>108.75</v>
      </c>
      <c r="V985" s="1">
        <f ca="1">IFERROR(__xludf.DUMMYFUNCTION("""COMPUTED_VALUE"""),247.5)</f>
        <v>247.5</v>
      </c>
      <c r="W985" s="1">
        <f ca="1">IFERROR(__xludf.DUMMYFUNCTION("""COMPUTED_VALUE"""),448.27)</f>
        <v>448.27</v>
      </c>
      <c r="X985" s="1">
        <f ca="1">IFERROR(__xludf.DUMMYFUNCTION("""COMPUTED_VALUE"""),675.99)</f>
        <v>675.99</v>
      </c>
      <c r="Y985" s="1">
        <f ca="1">IFERROR(__xludf.DUMMYFUNCTION("""COMPUTED_VALUE"""),97.98)</f>
        <v>97.98</v>
      </c>
      <c r="Z985" s="1">
        <f ca="1">IFERROR(__xludf.DUMMYFUNCTION("""COMPUTED_VALUE"""),337.65)</f>
        <v>337.65</v>
      </c>
      <c r="AA985" s="1">
        <f ca="1">IFERROR(__xludf.DUMMYFUNCTION("""COMPUTED_VALUE"""),29.69)</f>
        <v>29.69</v>
      </c>
      <c r="AB985" s="1">
        <f ca="1">IFERROR(__xludf.DUMMYFUNCTION("""COMPUTED_VALUE"""),101.18)</f>
        <v>101.18</v>
      </c>
      <c r="AC985" s="1">
        <f ca="1">IFERROR(__xludf.DUMMYFUNCTION("""COMPUTED_VALUE"""),122.01)</f>
        <v>122.01</v>
      </c>
    </row>
    <row r="986" spans="1:29" x14ac:dyDescent="0.25">
      <c r="A986" s="2">
        <f ca="1">IFERROR(__xludf.DUMMYFUNCTION("""COMPUTED_VALUE"""),45259.6666666666)</f>
        <v>45259.666666666599</v>
      </c>
      <c r="B986" s="1">
        <f ca="1">IFERROR(__xludf.DUMMYFUNCTION("""COMPUTED_VALUE"""),189.37)</f>
        <v>189.37</v>
      </c>
      <c r="C986" s="1">
        <f ca="1">IFERROR(__xludf.DUMMYFUNCTION("""COMPUTED_VALUE"""),378.85)</f>
        <v>378.85</v>
      </c>
      <c r="D986" s="1">
        <f ca="1">IFERROR(__xludf.DUMMYFUNCTION("""COMPUTED_VALUE"""),146.32)</f>
        <v>146.32</v>
      </c>
      <c r="E986" s="1">
        <f ca="1">IFERROR(__xludf.DUMMYFUNCTION("""COMPUTED_VALUE"""),48.14)</f>
        <v>48.14</v>
      </c>
      <c r="F986" s="1">
        <f ca="1">IFERROR(__xludf.DUMMYFUNCTION("""COMPUTED_VALUE"""),332.2)</f>
        <v>332.2</v>
      </c>
      <c r="G986" s="1">
        <f ca="1">IFERROR(__xludf.DUMMYFUNCTION("""COMPUTED_VALUE"""),136.4)</f>
        <v>136.4</v>
      </c>
      <c r="H986" s="1">
        <f ca="1">IFERROR(__xludf.DUMMYFUNCTION("""COMPUTED_VALUE"""),244.14)</f>
        <v>244.14</v>
      </c>
      <c r="I986" s="1">
        <f ca="1">IFERROR(__xludf.DUMMYFUNCTION("""COMPUTED_VALUE"""),167.16)</f>
        <v>167.16</v>
      </c>
      <c r="J986" s="1">
        <f ca="1">IFERROR(__xludf.DUMMYFUNCTION("""COMPUTED_VALUE"""),587.86)</f>
        <v>587.86</v>
      </c>
      <c r="K986" s="1">
        <f ca="1">IFERROR(__xludf.DUMMYFUNCTION("""COMPUTED_VALUE"""),94.08)</f>
        <v>94.08</v>
      </c>
      <c r="L986" s="1">
        <f ca="1">IFERROR(__xludf.DUMMYFUNCTION("""COMPUTED_VALUE"""),617.39)</f>
        <v>617.39</v>
      </c>
      <c r="M986" s="1">
        <f ca="1">IFERROR(__xludf.DUMMYFUNCTION("""COMPUTED_VALUE"""),477.19)</f>
        <v>477.19</v>
      </c>
      <c r="N986" s="1">
        <f ca="1">IFERROR(__xludf.DUMMYFUNCTION("""COMPUTED_VALUE"""),154.32)</f>
        <v>154.32</v>
      </c>
      <c r="O986" s="1">
        <f ca="1">IFERROR(__xludf.DUMMYFUNCTION("""COMPUTED_VALUE"""),254.23)</f>
        <v>254.23</v>
      </c>
      <c r="P986" s="1">
        <f ca="1">IFERROR(__xludf.DUMMYFUNCTION("""COMPUTED_VALUE"""),152.11)</f>
        <v>152.11000000000001</v>
      </c>
      <c r="Q986" s="1">
        <f ca="1">IFERROR(__xludf.DUMMYFUNCTION("""COMPUTED_VALUE"""),534.98)</f>
        <v>534.98</v>
      </c>
      <c r="R986" s="1">
        <f ca="1">IFERROR(__xludf.DUMMYFUNCTION("""COMPUTED_VALUE"""),102.34)</f>
        <v>102.34</v>
      </c>
      <c r="S986" s="1">
        <f ca="1">IFERROR(__xludf.DUMMYFUNCTION("""COMPUTED_VALUE"""),58.36)</f>
        <v>58.36</v>
      </c>
      <c r="T986" s="1">
        <f ca="1">IFERROR(__xludf.DUMMYFUNCTION("""COMPUTED_VALUE"""),52.03)</f>
        <v>52.03</v>
      </c>
      <c r="U986" s="1">
        <f ca="1">IFERROR(__xludf.DUMMYFUNCTION("""COMPUTED_VALUE"""),110.37)</f>
        <v>110.37</v>
      </c>
      <c r="V986" s="1">
        <f ca="1">IFERROR(__xludf.DUMMYFUNCTION("""COMPUTED_VALUE"""),249.45)</f>
        <v>249.45</v>
      </c>
      <c r="W986" s="1">
        <f ca="1">IFERROR(__xludf.DUMMYFUNCTION("""COMPUTED_VALUE"""),445.01)</f>
        <v>445.01</v>
      </c>
      <c r="X986" s="1">
        <f ca="1">IFERROR(__xludf.DUMMYFUNCTION("""COMPUTED_VALUE"""),687.61)</f>
        <v>687.61</v>
      </c>
      <c r="Y986" s="1">
        <f ca="1">IFERROR(__xludf.DUMMYFUNCTION("""COMPUTED_VALUE"""),98.88)</f>
        <v>98.88</v>
      </c>
      <c r="Z986" s="1">
        <f ca="1">IFERROR(__xludf.DUMMYFUNCTION("""COMPUTED_VALUE"""),340.26)</f>
        <v>340.26</v>
      </c>
      <c r="AA986" s="1">
        <f ca="1">IFERROR(__xludf.DUMMYFUNCTION("""COMPUTED_VALUE"""),30.08)</f>
        <v>30.08</v>
      </c>
      <c r="AB986" s="1">
        <f ca="1">IFERROR(__xludf.DUMMYFUNCTION("""COMPUTED_VALUE"""),99.85)</f>
        <v>99.85</v>
      </c>
      <c r="AC986" s="1">
        <f ca="1">IFERROR(__xludf.DUMMYFUNCTION("""COMPUTED_VALUE"""),123.85)</f>
        <v>123.85</v>
      </c>
    </row>
    <row r="987" spans="1:29" x14ac:dyDescent="0.25">
      <c r="A987" s="2">
        <f ca="1">IFERROR(__xludf.DUMMYFUNCTION("""COMPUTED_VALUE"""),45260.6666666666)</f>
        <v>45260.666666666599</v>
      </c>
      <c r="B987" s="1">
        <f ca="1">IFERROR(__xludf.DUMMYFUNCTION("""COMPUTED_VALUE"""),189.95)</f>
        <v>189.95</v>
      </c>
      <c r="C987" s="1">
        <f ca="1">IFERROR(__xludf.DUMMYFUNCTION("""COMPUTED_VALUE"""),378.91)</f>
        <v>378.91</v>
      </c>
      <c r="D987" s="1">
        <f ca="1">IFERROR(__xludf.DUMMYFUNCTION("""COMPUTED_VALUE"""),146.09)</f>
        <v>146.09</v>
      </c>
      <c r="E987" s="1">
        <f ca="1">IFERROR(__xludf.DUMMYFUNCTION("""COMPUTED_VALUE"""),46.77)</f>
        <v>46.77</v>
      </c>
      <c r="F987" s="1">
        <f ca="1">IFERROR(__xludf.DUMMYFUNCTION("""COMPUTED_VALUE"""),327.15)</f>
        <v>327.14999999999998</v>
      </c>
      <c r="G987" s="1">
        <f ca="1">IFERROR(__xludf.DUMMYFUNCTION("""COMPUTED_VALUE"""),133.92)</f>
        <v>133.91999999999999</v>
      </c>
      <c r="H987" s="1">
        <f ca="1">IFERROR(__xludf.DUMMYFUNCTION("""COMPUTED_VALUE"""),240.08)</f>
        <v>240.08</v>
      </c>
      <c r="I987" s="1">
        <f ca="1">IFERROR(__xludf.DUMMYFUNCTION("""COMPUTED_VALUE"""),168.29)</f>
        <v>168.29</v>
      </c>
      <c r="J987" s="1">
        <f ca="1">IFERROR(__xludf.DUMMYFUNCTION("""COMPUTED_VALUE"""),592.74)</f>
        <v>592.74</v>
      </c>
      <c r="K987" s="1">
        <f ca="1">IFERROR(__xludf.DUMMYFUNCTION("""COMPUTED_VALUE"""),92.57)</f>
        <v>92.57</v>
      </c>
      <c r="L987" s="1">
        <f ca="1">IFERROR(__xludf.DUMMYFUNCTION("""COMPUTED_VALUE"""),611.01)</f>
        <v>611.01</v>
      </c>
      <c r="M987" s="1">
        <f ca="1">IFERROR(__xludf.DUMMYFUNCTION("""COMPUTED_VALUE"""),473.97)</f>
        <v>473.97</v>
      </c>
      <c r="N987" s="1">
        <f ca="1">IFERROR(__xludf.DUMMYFUNCTION("""COMPUTED_VALUE"""),156.08)</f>
        <v>156.08000000000001</v>
      </c>
      <c r="O987" s="1">
        <f ca="1">IFERROR(__xludf.DUMMYFUNCTION("""COMPUTED_VALUE"""),256.68)</f>
        <v>256.68</v>
      </c>
      <c r="P987" s="1">
        <f ca="1">IFERROR(__xludf.DUMMYFUNCTION("""COMPUTED_VALUE"""),154.66)</f>
        <v>154.66</v>
      </c>
      <c r="Q987" s="1">
        <f ca="1">IFERROR(__xludf.DUMMYFUNCTION("""COMPUTED_VALUE"""),552.97)</f>
        <v>552.97</v>
      </c>
      <c r="R987" s="1">
        <f ca="1">IFERROR(__xludf.DUMMYFUNCTION("""COMPUTED_VALUE"""),102.74)</f>
        <v>102.74</v>
      </c>
      <c r="S987" s="1">
        <f ca="1">IFERROR(__xludf.DUMMYFUNCTION("""COMPUTED_VALUE"""),58.51)</f>
        <v>58.51</v>
      </c>
      <c r="T987" s="1">
        <f ca="1">IFERROR(__xludf.DUMMYFUNCTION("""COMPUTED_VALUE"""),51.9)</f>
        <v>51.9</v>
      </c>
      <c r="U987" s="1">
        <f ca="1">IFERROR(__xludf.DUMMYFUNCTION("""COMPUTED_VALUE"""),110.27)</f>
        <v>110.27</v>
      </c>
      <c r="V987" s="1">
        <f ca="1">IFERROR(__xludf.DUMMYFUNCTION("""COMPUTED_VALUE"""),250.72)</f>
        <v>250.72</v>
      </c>
      <c r="W987" s="1">
        <f ca="1">IFERROR(__xludf.DUMMYFUNCTION("""COMPUTED_VALUE"""),447.77)</f>
        <v>447.77</v>
      </c>
      <c r="X987" s="1">
        <f ca="1">IFERROR(__xludf.DUMMYFUNCTION("""COMPUTED_VALUE"""),683.76)</f>
        <v>683.76</v>
      </c>
      <c r="Y987" s="1">
        <f ca="1">IFERROR(__xludf.DUMMYFUNCTION("""COMPUTED_VALUE"""),97.31)</f>
        <v>97.31</v>
      </c>
      <c r="Z987" s="1">
        <f ca="1">IFERROR(__xludf.DUMMYFUNCTION("""COMPUTED_VALUE"""),341.54)</f>
        <v>341.54</v>
      </c>
      <c r="AA987" s="1">
        <f ca="1">IFERROR(__xludf.DUMMYFUNCTION("""COMPUTED_VALUE"""),30.47)</f>
        <v>30.47</v>
      </c>
      <c r="AB987" s="1">
        <f ca="1">IFERROR(__xludf.DUMMYFUNCTION("""COMPUTED_VALUE"""),99.3)</f>
        <v>99.3</v>
      </c>
      <c r="AC987" s="1">
        <f ca="1">IFERROR(__xludf.DUMMYFUNCTION("""COMPUTED_VALUE"""),121.16)</f>
        <v>121.16</v>
      </c>
    </row>
    <row r="988" spans="1:29" x14ac:dyDescent="0.25">
      <c r="A988" s="2">
        <f ca="1">IFERROR(__xludf.DUMMYFUNCTION("""COMPUTED_VALUE"""),45261.6666666666)</f>
        <v>45261.666666666599</v>
      </c>
      <c r="B988" s="1">
        <f ca="1">IFERROR(__xludf.DUMMYFUNCTION("""COMPUTED_VALUE"""),191.24)</f>
        <v>191.24</v>
      </c>
      <c r="C988" s="1">
        <f ca="1">IFERROR(__xludf.DUMMYFUNCTION("""COMPUTED_VALUE"""),374.51)</f>
        <v>374.51</v>
      </c>
      <c r="D988" s="1">
        <f ca="1">IFERROR(__xludf.DUMMYFUNCTION("""COMPUTED_VALUE"""),147.03)</f>
        <v>147.03</v>
      </c>
      <c r="E988" s="1">
        <f ca="1">IFERROR(__xludf.DUMMYFUNCTION("""COMPUTED_VALUE"""),46.77)</f>
        <v>46.77</v>
      </c>
      <c r="F988" s="1">
        <f ca="1">IFERROR(__xludf.DUMMYFUNCTION("""COMPUTED_VALUE"""),324.82)</f>
        <v>324.82</v>
      </c>
      <c r="G988" s="1">
        <f ca="1">IFERROR(__xludf.DUMMYFUNCTION("""COMPUTED_VALUE"""),133.32)</f>
        <v>133.32</v>
      </c>
      <c r="H988" s="1">
        <f ca="1">IFERROR(__xludf.DUMMYFUNCTION("""COMPUTED_VALUE"""),238.83)</f>
        <v>238.83</v>
      </c>
      <c r="I988" s="1">
        <f ca="1">IFERROR(__xludf.DUMMYFUNCTION("""COMPUTED_VALUE"""),168.69)</f>
        <v>168.69</v>
      </c>
      <c r="J988" s="1">
        <f ca="1">IFERROR(__xludf.DUMMYFUNCTION("""COMPUTED_VALUE"""),596.25)</f>
        <v>596.25</v>
      </c>
      <c r="K988" s="1">
        <f ca="1">IFERROR(__xludf.DUMMYFUNCTION("""COMPUTED_VALUE"""),93)</f>
        <v>93</v>
      </c>
      <c r="L988" s="1">
        <f ca="1">IFERROR(__xludf.DUMMYFUNCTION("""COMPUTED_VALUE"""),612.47)</f>
        <v>612.47</v>
      </c>
      <c r="M988" s="1">
        <f ca="1">IFERROR(__xludf.DUMMYFUNCTION("""COMPUTED_VALUE"""),465.74)</f>
        <v>465.74</v>
      </c>
      <c r="N988" s="1">
        <f ca="1">IFERROR(__xludf.DUMMYFUNCTION("""COMPUTED_VALUE"""),156.84)</f>
        <v>156.84</v>
      </c>
      <c r="O988" s="1">
        <f ca="1">IFERROR(__xludf.DUMMYFUNCTION("""COMPUTED_VALUE"""),256.45)</f>
        <v>256.45</v>
      </c>
      <c r="P988" s="1">
        <f ca="1">IFERROR(__xludf.DUMMYFUNCTION("""COMPUTED_VALUE"""),158.38)</f>
        <v>158.38</v>
      </c>
      <c r="Q988" s="1">
        <f ca="1">IFERROR(__xludf.DUMMYFUNCTION("""COMPUTED_VALUE"""),547.16)</f>
        <v>547.16</v>
      </c>
      <c r="R988" s="1">
        <f ca="1">IFERROR(__xludf.DUMMYFUNCTION("""COMPUTED_VALUE"""),102.99)</f>
        <v>102.99</v>
      </c>
      <c r="S988" s="1">
        <f ca="1">IFERROR(__xludf.DUMMYFUNCTION("""COMPUTED_VALUE"""),59.17)</f>
        <v>59.17</v>
      </c>
      <c r="T988" s="1">
        <f ca="1">IFERROR(__xludf.DUMMYFUNCTION("""COMPUTED_VALUE"""),51.45)</f>
        <v>51.45</v>
      </c>
      <c r="U988" s="1">
        <f ca="1">IFERROR(__xludf.DUMMYFUNCTION("""COMPUTED_VALUE"""),113.48)</f>
        <v>113.48</v>
      </c>
      <c r="V988" s="1">
        <f ca="1">IFERROR(__xludf.DUMMYFUNCTION("""COMPUTED_VALUE"""),256.76)</f>
        <v>256.76</v>
      </c>
      <c r="W988" s="1">
        <f ca="1">IFERROR(__xludf.DUMMYFUNCTION("""COMPUTED_VALUE"""),449.41)</f>
        <v>449.41</v>
      </c>
      <c r="X988" s="1">
        <f ca="1">IFERROR(__xludf.DUMMYFUNCTION("""COMPUTED_VALUE"""),692.2)</f>
        <v>692.2</v>
      </c>
      <c r="Y988" s="1">
        <f ca="1">IFERROR(__xludf.DUMMYFUNCTION("""COMPUTED_VALUE"""),98.55)</f>
        <v>98.55</v>
      </c>
      <c r="Z988" s="1">
        <f ca="1">IFERROR(__xludf.DUMMYFUNCTION("""COMPUTED_VALUE"""),348.43)</f>
        <v>348.43</v>
      </c>
      <c r="AA988" s="1">
        <f ca="1">IFERROR(__xludf.DUMMYFUNCTION("""COMPUTED_VALUE"""),28.91)</f>
        <v>28.91</v>
      </c>
      <c r="AB988" s="1">
        <f ca="1">IFERROR(__xludf.DUMMYFUNCTION("""COMPUTED_VALUE"""),99.2)</f>
        <v>99.2</v>
      </c>
      <c r="AC988" s="1">
        <f ca="1">IFERROR(__xludf.DUMMYFUNCTION("""COMPUTED_VALUE"""),121.39)</f>
        <v>121.39</v>
      </c>
    </row>
    <row r="989" spans="1:29" x14ac:dyDescent="0.25">
      <c r="A989" s="2">
        <f ca="1">IFERROR(__xludf.DUMMYFUNCTION("""COMPUTED_VALUE"""),45264.6666666666)</f>
        <v>45264.666666666599</v>
      </c>
      <c r="B989" s="1">
        <f ca="1">IFERROR(__xludf.DUMMYFUNCTION("""COMPUTED_VALUE"""),189.43)</f>
        <v>189.43</v>
      </c>
      <c r="C989" s="1">
        <f ca="1">IFERROR(__xludf.DUMMYFUNCTION("""COMPUTED_VALUE"""),369.14)</f>
        <v>369.14</v>
      </c>
      <c r="D989" s="1">
        <f ca="1">IFERROR(__xludf.DUMMYFUNCTION("""COMPUTED_VALUE"""),144.84)</f>
        <v>144.84</v>
      </c>
      <c r="E989" s="1">
        <f ca="1">IFERROR(__xludf.DUMMYFUNCTION("""COMPUTED_VALUE"""),45.51)</f>
        <v>45.51</v>
      </c>
      <c r="F989" s="1">
        <f ca="1">IFERROR(__xludf.DUMMYFUNCTION("""COMPUTED_VALUE"""),320.02)</f>
        <v>320.02</v>
      </c>
      <c r="G989" s="1">
        <f ca="1">IFERROR(__xludf.DUMMYFUNCTION("""COMPUTED_VALUE"""),130.63)</f>
        <v>130.63</v>
      </c>
      <c r="H989" s="1">
        <f ca="1">IFERROR(__xludf.DUMMYFUNCTION("""COMPUTED_VALUE"""),235.58)</f>
        <v>235.58</v>
      </c>
      <c r="I989" s="1">
        <f ca="1">IFERROR(__xludf.DUMMYFUNCTION("""COMPUTED_VALUE"""),169.14)</f>
        <v>169.14</v>
      </c>
      <c r="J989" s="1">
        <f ca="1">IFERROR(__xludf.DUMMYFUNCTION("""COMPUTED_VALUE"""),599.08)</f>
        <v>599.08000000000004</v>
      </c>
      <c r="K989" s="1">
        <f ca="1">IFERROR(__xludf.DUMMYFUNCTION("""COMPUTED_VALUE"""),92.4)</f>
        <v>92.4</v>
      </c>
      <c r="L989" s="1">
        <f ca="1">IFERROR(__xludf.DUMMYFUNCTION("""COMPUTED_VALUE"""),604.56)</f>
        <v>604.55999999999995</v>
      </c>
      <c r="M989" s="1">
        <f ca="1">IFERROR(__xludf.DUMMYFUNCTION("""COMPUTED_VALUE"""),453.9)</f>
        <v>453.9</v>
      </c>
      <c r="N989" s="1">
        <f ca="1">IFERROR(__xludf.DUMMYFUNCTION("""COMPUTED_VALUE"""),157.99)</f>
        <v>157.99</v>
      </c>
      <c r="O989" s="1">
        <f ca="1">IFERROR(__xludf.DUMMYFUNCTION("""COMPUTED_VALUE"""),254.44)</f>
        <v>254.44</v>
      </c>
      <c r="P989" s="1">
        <f ca="1">IFERROR(__xludf.DUMMYFUNCTION("""COMPUTED_VALUE"""),158.88)</f>
        <v>158.88</v>
      </c>
      <c r="Q989" s="1">
        <f ca="1">IFERROR(__xludf.DUMMYFUNCTION("""COMPUTED_VALUE"""),548.28)</f>
        <v>548.28</v>
      </c>
      <c r="R989" s="1">
        <f ca="1">IFERROR(__xludf.DUMMYFUNCTION("""COMPUTED_VALUE"""),102.43)</f>
        <v>102.43</v>
      </c>
      <c r="S989" s="1">
        <f ca="1">IFERROR(__xludf.DUMMYFUNCTION("""COMPUTED_VALUE"""),58.67)</f>
        <v>58.67</v>
      </c>
      <c r="T989" s="1">
        <f ca="1">IFERROR(__xludf.DUMMYFUNCTION("""COMPUTED_VALUE"""),51.43)</f>
        <v>51.43</v>
      </c>
      <c r="U989" s="1">
        <f ca="1">IFERROR(__xludf.DUMMYFUNCTION("""COMPUTED_VALUE"""),115.15)</f>
        <v>115.15</v>
      </c>
      <c r="V989" s="1">
        <f ca="1">IFERROR(__xludf.DUMMYFUNCTION("""COMPUTED_VALUE"""),254.75)</f>
        <v>254.75</v>
      </c>
      <c r="W989" s="1">
        <f ca="1">IFERROR(__xludf.DUMMYFUNCTION("""COMPUTED_VALUE"""),450.69)</f>
        <v>450.69</v>
      </c>
      <c r="X989" s="1">
        <f ca="1">IFERROR(__xludf.DUMMYFUNCTION("""COMPUTED_VALUE"""),690.32)</f>
        <v>690.32</v>
      </c>
      <c r="Y989" s="1">
        <f ca="1">IFERROR(__xludf.DUMMYFUNCTION("""COMPUTED_VALUE"""),97.01)</f>
        <v>97.01</v>
      </c>
      <c r="Z989" s="1">
        <f ca="1">IFERROR(__xludf.DUMMYFUNCTION("""COMPUTED_VALUE"""),349.39)</f>
        <v>349.39</v>
      </c>
      <c r="AA989" s="1">
        <f ca="1">IFERROR(__xludf.DUMMYFUNCTION("""COMPUTED_VALUE"""),29.28)</f>
        <v>29.28</v>
      </c>
      <c r="AB989" s="1">
        <f ca="1">IFERROR(__xludf.DUMMYFUNCTION("""COMPUTED_VALUE"""),97.6)</f>
        <v>97.6</v>
      </c>
      <c r="AC989" s="1">
        <f ca="1">IFERROR(__xludf.DUMMYFUNCTION("""COMPUTED_VALUE"""),118.57)</f>
        <v>118.57</v>
      </c>
    </row>
    <row r="990" spans="1:29" x14ac:dyDescent="0.25">
      <c r="A990" s="2">
        <f ca="1">IFERROR(__xludf.DUMMYFUNCTION("""COMPUTED_VALUE"""),45265.6666666666)</f>
        <v>45265.666666666599</v>
      </c>
      <c r="B990" s="1">
        <f ca="1">IFERROR(__xludf.DUMMYFUNCTION("""COMPUTED_VALUE"""),193.42)</f>
        <v>193.42</v>
      </c>
      <c r="C990" s="1">
        <f ca="1">IFERROR(__xludf.DUMMYFUNCTION("""COMPUTED_VALUE"""),372.52)</f>
        <v>372.52</v>
      </c>
      <c r="D990" s="1">
        <f ca="1">IFERROR(__xludf.DUMMYFUNCTION("""COMPUTED_VALUE"""),146.88)</f>
        <v>146.88</v>
      </c>
      <c r="E990" s="1">
        <f ca="1">IFERROR(__xludf.DUMMYFUNCTION("""COMPUTED_VALUE"""),46.57)</f>
        <v>46.57</v>
      </c>
      <c r="F990" s="1">
        <f ca="1">IFERROR(__xludf.DUMMYFUNCTION("""COMPUTED_VALUE"""),318.29)</f>
        <v>318.29000000000002</v>
      </c>
      <c r="G990" s="1">
        <f ca="1">IFERROR(__xludf.DUMMYFUNCTION("""COMPUTED_VALUE"""),132.39)</f>
        <v>132.38999999999999</v>
      </c>
      <c r="H990" s="1">
        <f ca="1">IFERROR(__xludf.DUMMYFUNCTION("""COMPUTED_VALUE"""),238.72)</f>
        <v>238.72</v>
      </c>
      <c r="I990" s="1">
        <f ca="1">IFERROR(__xludf.DUMMYFUNCTION("""COMPUTED_VALUE"""),167.94)</f>
        <v>167.94</v>
      </c>
      <c r="J990" s="1">
        <f ca="1">IFERROR(__xludf.DUMMYFUNCTION("""COMPUTED_VALUE"""),605.35)</f>
        <v>605.35</v>
      </c>
      <c r="K990" s="1">
        <f ca="1">IFERROR(__xludf.DUMMYFUNCTION("""COMPUTED_VALUE"""),91.31)</f>
        <v>91.31</v>
      </c>
      <c r="L990" s="1">
        <f ca="1">IFERROR(__xludf.DUMMYFUNCTION("""COMPUTED_VALUE"""),602.22)</f>
        <v>602.22</v>
      </c>
      <c r="M990" s="1">
        <f ca="1">IFERROR(__xludf.DUMMYFUNCTION("""COMPUTED_VALUE"""),455.15)</f>
        <v>455.15</v>
      </c>
      <c r="N990" s="1">
        <f ca="1">IFERROR(__xludf.DUMMYFUNCTION("""COMPUTED_VALUE"""),157.97)</f>
        <v>157.97</v>
      </c>
      <c r="O990" s="1">
        <f ca="1">IFERROR(__xludf.DUMMYFUNCTION("""COMPUTED_VALUE"""),254.61)</f>
        <v>254.61</v>
      </c>
      <c r="P990" s="1">
        <f ca="1">IFERROR(__xludf.DUMMYFUNCTION("""COMPUTED_VALUE"""),158.55)</f>
        <v>158.55000000000001</v>
      </c>
      <c r="Q990" s="1">
        <f ca="1">IFERROR(__xludf.DUMMYFUNCTION("""COMPUTED_VALUE"""),550.26)</f>
        <v>550.26</v>
      </c>
      <c r="R990" s="1">
        <f ca="1">IFERROR(__xludf.DUMMYFUNCTION("""COMPUTED_VALUE"""),100.44)</f>
        <v>100.44</v>
      </c>
      <c r="S990" s="1">
        <f ca="1">IFERROR(__xludf.DUMMYFUNCTION("""COMPUTED_VALUE"""),58.23)</f>
        <v>58.23</v>
      </c>
      <c r="T990" s="1">
        <f ca="1">IFERROR(__xludf.DUMMYFUNCTION("""COMPUTED_VALUE"""),51.91)</f>
        <v>51.91</v>
      </c>
      <c r="U990" s="1">
        <f ca="1">IFERROR(__xludf.DUMMYFUNCTION("""COMPUTED_VALUE"""),115.41)</f>
        <v>115.41</v>
      </c>
      <c r="V990" s="1">
        <f ca="1">IFERROR(__xludf.DUMMYFUNCTION("""COMPUTED_VALUE"""),255.19)</f>
        <v>255.19</v>
      </c>
      <c r="W990" s="1">
        <f ca="1">IFERROR(__xludf.DUMMYFUNCTION("""COMPUTED_VALUE"""),446.24)</f>
        <v>446.24</v>
      </c>
      <c r="X990" s="1">
        <f ca="1">IFERROR(__xludf.DUMMYFUNCTION("""COMPUTED_VALUE"""),694.53)</f>
        <v>694.53</v>
      </c>
      <c r="Y990" s="1">
        <f ca="1">IFERROR(__xludf.DUMMYFUNCTION("""COMPUTED_VALUE"""),96.69)</f>
        <v>96.69</v>
      </c>
      <c r="Z990" s="1">
        <f ca="1">IFERROR(__xludf.DUMMYFUNCTION("""COMPUTED_VALUE"""),341.75)</f>
        <v>341.75</v>
      </c>
      <c r="AA990" s="1">
        <f ca="1">IFERROR(__xludf.DUMMYFUNCTION("""COMPUTED_VALUE"""),29.09)</f>
        <v>29.09</v>
      </c>
      <c r="AB990" s="1">
        <f ca="1">IFERROR(__xludf.DUMMYFUNCTION("""COMPUTED_VALUE"""),95.54)</f>
        <v>95.54</v>
      </c>
      <c r="AC990" s="1">
        <f ca="1">IFERROR(__xludf.DUMMYFUNCTION("""COMPUTED_VALUE"""),118.38)</f>
        <v>118.38</v>
      </c>
    </row>
    <row r="991" spans="1:29" x14ac:dyDescent="0.25">
      <c r="A991" s="2">
        <f ca="1">IFERROR(__xludf.DUMMYFUNCTION("""COMPUTED_VALUE"""),45266.6666666666)</f>
        <v>45266.666666666599</v>
      </c>
      <c r="B991" s="1">
        <f ca="1">IFERROR(__xludf.DUMMYFUNCTION("""COMPUTED_VALUE"""),192.32)</f>
        <v>192.32</v>
      </c>
      <c r="C991" s="1">
        <f ca="1">IFERROR(__xludf.DUMMYFUNCTION("""COMPUTED_VALUE"""),368.8)</f>
        <v>368.8</v>
      </c>
      <c r="D991" s="1">
        <f ca="1">IFERROR(__xludf.DUMMYFUNCTION("""COMPUTED_VALUE"""),144.52)</f>
        <v>144.52000000000001</v>
      </c>
      <c r="E991" s="1">
        <f ca="1">IFERROR(__xludf.DUMMYFUNCTION("""COMPUTED_VALUE"""),45.5)</f>
        <v>45.5</v>
      </c>
      <c r="F991" s="1">
        <f ca="1">IFERROR(__xludf.DUMMYFUNCTION("""COMPUTED_VALUE"""),317.45)</f>
        <v>317.45</v>
      </c>
      <c r="G991" s="1">
        <f ca="1">IFERROR(__xludf.DUMMYFUNCTION("""COMPUTED_VALUE"""),131.43)</f>
        <v>131.43</v>
      </c>
      <c r="H991" s="1">
        <f ca="1">IFERROR(__xludf.DUMMYFUNCTION("""COMPUTED_VALUE"""),239.37)</f>
        <v>239.37</v>
      </c>
      <c r="I991" s="1">
        <f ca="1">IFERROR(__xludf.DUMMYFUNCTION("""COMPUTED_VALUE"""),167.51)</f>
        <v>167.51</v>
      </c>
      <c r="J991" s="1">
        <f ca="1">IFERROR(__xludf.DUMMYFUNCTION("""COMPUTED_VALUE"""),607.43)</f>
        <v>607.42999999999995</v>
      </c>
      <c r="K991" s="1">
        <f ca="1">IFERROR(__xludf.DUMMYFUNCTION("""COMPUTED_VALUE"""),90.36)</f>
        <v>90.36</v>
      </c>
      <c r="L991" s="1">
        <f ca="1">IFERROR(__xludf.DUMMYFUNCTION("""COMPUTED_VALUE"""),595.7)</f>
        <v>595.70000000000005</v>
      </c>
      <c r="M991" s="1">
        <f ca="1">IFERROR(__xludf.DUMMYFUNCTION("""COMPUTED_VALUE"""),446.73)</f>
        <v>446.73</v>
      </c>
      <c r="N991" s="1">
        <f ca="1">IFERROR(__xludf.DUMMYFUNCTION("""COMPUTED_VALUE"""),156.31)</f>
        <v>156.31</v>
      </c>
      <c r="O991" s="1">
        <f ca="1">IFERROR(__xludf.DUMMYFUNCTION("""COMPUTED_VALUE"""),254.29)</f>
        <v>254.29</v>
      </c>
      <c r="P991" s="1">
        <f ca="1">IFERROR(__xludf.DUMMYFUNCTION("""COMPUTED_VALUE"""),156.62)</f>
        <v>156.62</v>
      </c>
      <c r="Q991" s="1">
        <f ca="1">IFERROR(__xludf.DUMMYFUNCTION("""COMPUTED_VALUE"""),549.53)</f>
        <v>549.53</v>
      </c>
      <c r="R991" s="1">
        <f ca="1">IFERROR(__xludf.DUMMYFUNCTION("""COMPUTED_VALUE"""),99.11)</f>
        <v>99.11</v>
      </c>
      <c r="S991" s="1">
        <f ca="1">IFERROR(__xludf.DUMMYFUNCTION("""COMPUTED_VALUE"""),60.2)</f>
        <v>60.2</v>
      </c>
      <c r="T991" s="1">
        <f ca="1">IFERROR(__xludf.DUMMYFUNCTION("""COMPUTED_VALUE"""),51.35)</f>
        <v>51.35</v>
      </c>
      <c r="U991" s="1">
        <f ca="1">IFERROR(__xludf.DUMMYFUNCTION("""COMPUTED_VALUE"""),116.11)</f>
        <v>116.11</v>
      </c>
      <c r="V991" s="1">
        <f ca="1">IFERROR(__xludf.DUMMYFUNCTION("""COMPUTED_VALUE"""),255.97)</f>
        <v>255.97</v>
      </c>
      <c r="W991" s="1">
        <f ca="1">IFERROR(__xludf.DUMMYFUNCTION("""COMPUTED_VALUE"""),449.41)</f>
        <v>449.41</v>
      </c>
      <c r="X991" s="1">
        <f ca="1">IFERROR(__xludf.DUMMYFUNCTION("""COMPUTED_VALUE"""),692.08)</f>
        <v>692.08</v>
      </c>
      <c r="Y991" s="1">
        <f ca="1">IFERROR(__xludf.DUMMYFUNCTION("""COMPUTED_VALUE"""),97.85)</f>
        <v>97.85</v>
      </c>
      <c r="Z991" s="1">
        <f ca="1">IFERROR(__xludf.DUMMYFUNCTION("""COMPUTED_VALUE"""),341.97)</f>
        <v>341.97</v>
      </c>
      <c r="AA991" s="1">
        <f ca="1">IFERROR(__xludf.DUMMYFUNCTION("""COMPUTED_VALUE"""),28.79)</f>
        <v>28.79</v>
      </c>
      <c r="AB991" s="1">
        <f ca="1">IFERROR(__xludf.DUMMYFUNCTION("""COMPUTED_VALUE"""),97.02)</f>
        <v>97.02</v>
      </c>
      <c r="AC991" s="1">
        <f ca="1">IFERROR(__xludf.DUMMYFUNCTION("""COMPUTED_VALUE"""),116.82)</f>
        <v>116.82</v>
      </c>
    </row>
    <row r="992" spans="1:29" x14ac:dyDescent="0.25">
      <c r="A992" s="2">
        <f ca="1">IFERROR(__xludf.DUMMYFUNCTION("""COMPUTED_VALUE"""),45267.6666666666)</f>
        <v>45267.666666666599</v>
      </c>
      <c r="B992" s="1">
        <f ca="1">IFERROR(__xludf.DUMMYFUNCTION("""COMPUTED_VALUE"""),194.27)</f>
        <v>194.27</v>
      </c>
      <c r="C992" s="1">
        <f ca="1">IFERROR(__xludf.DUMMYFUNCTION("""COMPUTED_VALUE"""),370.95)</f>
        <v>370.95</v>
      </c>
      <c r="D992" s="1">
        <f ca="1">IFERROR(__xludf.DUMMYFUNCTION("""COMPUTED_VALUE"""),146.88)</f>
        <v>146.88</v>
      </c>
      <c r="E992" s="1">
        <f ca="1">IFERROR(__xludf.DUMMYFUNCTION("""COMPUTED_VALUE"""),46.6)</f>
        <v>46.6</v>
      </c>
      <c r="F992" s="1">
        <f ca="1">IFERROR(__xludf.DUMMYFUNCTION("""COMPUTED_VALUE"""),326.59)</f>
        <v>326.58999999999997</v>
      </c>
      <c r="G992" s="1">
        <f ca="1">IFERROR(__xludf.DUMMYFUNCTION("""COMPUTED_VALUE"""),138.45)</f>
        <v>138.44999999999999</v>
      </c>
      <c r="H992" s="1">
        <f ca="1">IFERROR(__xludf.DUMMYFUNCTION("""COMPUTED_VALUE"""),242.64)</f>
        <v>242.64</v>
      </c>
      <c r="I992" s="1">
        <f ca="1">IFERROR(__xludf.DUMMYFUNCTION("""COMPUTED_VALUE"""),167.46)</f>
        <v>167.46</v>
      </c>
      <c r="J992" s="1">
        <f ca="1">IFERROR(__xludf.DUMMYFUNCTION("""COMPUTED_VALUE"""),610.95)</f>
        <v>610.95000000000005</v>
      </c>
      <c r="K992" s="1">
        <f ca="1">IFERROR(__xludf.DUMMYFUNCTION("""COMPUTED_VALUE"""),92.23)</f>
        <v>92.23</v>
      </c>
      <c r="L992" s="1">
        <f ca="1">IFERROR(__xludf.DUMMYFUNCTION("""COMPUTED_VALUE"""),608.78)</f>
        <v>608.78</v>
      </c>
      <c r="M992" s="1">
        <f ca="1">IFERROR(__xludf.DUMMYFUNCTION("""COMPUTED_VALUE"""),452)</f>
        <v>452</v>
      </c>
      <c r="N992" s="1">
        <f ca="1">IFERROR(__xludf.DUMMYFUNCTION("""COMPUTED_VALUE"""),156.79)</f>
        <v>156.79</v>
      </c>
      <c r="O992" s="1">
        <f ca="1">IFERROR(__xludf.DUMMYFUNCTION("""COMPUTED_VALUE"""),255.82)</f>
        <v>255.82</v>
      </c>
      <c r="P992" s="1">
        <f ca="1">IFERROR(__xludf.DUMMYFUNCTION("""COMPUTED_VALUE"""),155.4)</f>
        <v>155.4</v>
      </c>
      <c r="Q992" s="1">
        <f ca="1">IFERROR(__xludf.DUMMYFUNCTION("""COMPUTED_VALUE"""),548.27)</f>
        <v>548.27</v>
      </c>
      <c r="R992" s="1">
        <f ca="1">IFERROR(__xludf.DUMMYFUNCTION("""COMPUTED_VALUE"""),98.42)</f>
        <v>98.42</v>
      </c>
      <c r="S992" s="1">
        <f ca="1">IFERROR(__xludf.DUMMYFUNCTION("""COMPUTED_VALUE"""),59.85)</f>
        <v>59.85</v>
      </c>
      <c r="T992" s="1">
        <f ca="1">IFERROR(__xludf.DUMMYFUNCTION("""COMPUTED_VALUE"""),50.82)</f>
        <v>50.82</v>
      </c>
      <c r="U992" s="1">
        <f ca="1">IFERROR(__xludf.DUMMYFUNCTION("""COMPUTED_VALUE"""),114.81)</f>
        <v>114.81</v>
      </c>
      <c r="V992" s="1">
        <f ca="1">IFERROR(__xludf.DUMMYFUNCTION("""COMPUTED_VALUE"""),257.41)</f>
        <v>257.41000000000003</v>
      </c>
      <c r="W992" s="1">
        <f ca="1">IFERROR(__xludf.DUMMYFUNCTION("""COMPUTED_VALUE"""),447.11)</f>
        <v>447.11</v>
      </c>
      <c r="X992" s="1">
        <f ca="1">IFERROR(__xludf.DUMMYFUNCTION("""COMPUTED_VALUE"""),699.65)</f>
        <v>699.65</v>
      </c>
      <c r="Y992" s="1">
        <f ca="1">IFERROR(__xludf.DUMMYFUNCTION("""COMPUTED_VALUE"""),99.29)</f>
        <v>99.29</v>
      </c>
      <c r="Z992" s="1">
        <f ca="1">IFERROR(__xludf.DUMMYFUNCTION("""COMPUTED_VALUE"""),344.62)</f>
        <v>344.62</v>
      </c>
      <c r="AA992" s="1">
        <f ca="1">IFERROR(__xludf.DUMMYFUNCTION("""COMPUTED_VALUE"""),28.63)</f>
        <v>28.63</v>
      </c>
      <c r="AB992" s="1">
        <f ca="1">IFERROR(__xludf.DUMMYFUNCTION("""COMPUTED_VALUE"""),96.44)</f>
        <v>96.44</v>
      </c>
      <c r="AC992" s="1">
        <f ca="1">IFERROR(__xludf.DUMMYFUNCTION("""COMPUTED_VALUE"""),128.37)</f>
        <v>128.37</v>
      </c>
    </row>
    <row r="993" spans="1:29" x14ac:dyDescent="0.25">
      <c r="A993" s="2">
        <f ca="1">IFERROR(__xludf.DUMMYFUNCTION("""COMPUTED_VALUE"""),45268.6666666666)</f>
        <v>45268.666666666599</v>
      </c>
      <c r="B993" s="1">
        <f ca="1">IFERROR(__xludf.DUMMYFUNCTION("""COMPUTED_VALUE"""),195.71)</f>
        <v>195.71</v>
      </c>
      <c r="C993" s="1">
        <f ca="1">IFERROR(__xludf.DUMMYFUNCTION("""COMPUTED_VALUE"""),374.23)</f>
        <v>374.23</v>
      </c>
      <c r="D993" s="1">
        <f ca="1">IFERROR(__xludf.DUMMYFUNCTION("""COMPUTED_VALUE"""),147.42)</f>
        <v>147.41999999999999</v>
      </c>
      <c r="E993" s="1">
        <f ca="1">IFERROR(__xludf.DUMMYFUNCTION("""COMPUTED_VALUE"""),47.51)</f>
        <v>47.51</v>
      </c>
      <c r="F993" s="1">
        <f ca="1">IFERROR(__xludf.DUMMYFUNCTION("""COMPUTED_VALUE"""),332.75)</f>
        <v>332.75</v>
      </c>
      <c r="G993" s="1">
        <f ca="1">IFERROR(__xludf.DUMMYFUNCTION("""COMPUTED_VALUE"""),136.64)</f>
        <v>136.63999999999999</v>
      </c>
      <c r="H993" s="1">
        <f ca="1">IFERROR(__xludf.DUMMYFUNCTION("""COMPUTED_VALUE"""),243.84)</f>
        <v>243.84</v>
      </c>
      <c r="I993" s="1">
        <f ca="1">IFERROR(__xludf.DUMMYFUNCTION("""COMPUTED_VALUE"""),165.68)</f>
        <v>165.68</v>
      </c>
      <c r="J993" s="1">
        <f ca="1">IFERROR(__xludf.DUMMYFUNCTION("""COMPUTED_VALUE"""),610.78)</f>
        <v>610.78</v>
      </c>
      <c r="K993" s="1">
        <f ca="1">IFERROR(__xludf.DUMMYFUNCTION("""COMPUTED_VALUE"""),94.43)</f>
        <v>94.43</v>
      </c>
      <c r="L993" s="1">
        <f ca="1">IFERROR(__xludf.DUMMYFUNCTION("""COMPUTED_VALUE"""),610.01)</f>
        <v>610.01</v>
      </c>
      <c r="M993" s="1">
        <f ca="1">IFERROR(__xludf.DUMMYFUNCTION("""COMPUTED_VALUE"""),453.76)</f>
        <v>453.76</v>
      </c>
      <c r="N993" s="1">
        <f ca="1">IFERROR(__xludf.DUMMYFUNCTION("""COMPUTED_VALUE"""),158.52)</f>
        <v>158.52000000000001</v>
      </c>
      <c r="O993" s="1">
        <f ca="1">IFERROR(__xludf.DUMMYFUNCTION("""COMPUTED_VALUE"""),255.74)</f>
        <v>255.74</v>
      </c>
      <c r="P993" s="1">
        <f ca="1">IFERROR(__xludf.DUMMYFUNCTION("""COMPUTED_VALUE"""),154.42)</f>
        <v>154.41999999999999</v>
      </c>
      <c r="Q993" s="1">
        <f ca="1">IFERROR(__xludf.DUMMYFUNCTION("""COMPUTED_VALUE"""),549.77)</f>
        <v>549.77</v>
      </c>
      <c r="R993" s="1">
        <f ca="1">IFERROR(__xludf.DUMMYFUNCTION("""COMPUTED_VALUE"""),99.55)</f>
        <v>99.55</v>
      </c>
      <c r="S993" s="1">
        <f ca="1">IFERROR(__xludf.DUMMYFUNCTION("""COMPUTED_VALUE"""),59.7)</f>
        <v>59.7</v>
      </c>
      <c r="T993" s="1">
        <f ca="1">IFERROR(__xludf.DUMMYFUNCTION("""COMPUTED_VALUE"""),50.29)</f>
        <v>50.29</v>
      </c>
      <c r="U993" s="1">
        <f ca="1">IFERROR(__xludf.DUMMYFUNCTION("""COMPUTED_VALUE"""),115.91)</f>
        <v>115.91</v>
      </c>
      <c r="V993" s="1">
        <f ca="1">IFERROR(__xludf.DUMMYFUNCTION("""COMPUTED_VALUE"""),259.5)</f>
        <v>259.5</v>
      </c>
      <c r="W993" s="1">
        <f ca="1">IFERROR(__xludf.DUMMYFUNCTION("""COMPUTED_VALUE"""),448.02)</f>
        <v>448.02</v>
      </c>
      <c r="X993" s="1">
        <f ca="1">IFERROR(__xludf.DUMMYFUNCTION("""COMPUTED_VALUE"""),696.43)</f>
        <v>696.43</v>
      </c>
      <c r="Y993" s="1">
        <f ca="1">IFERROR(__xludf.DUMMYFUNCTION("""COMPUTED_VALUE"""),100.35)</f>
        <v>100.35</v>
      </c>
      <c r="Z993" s="1">
        <f ca="1">IFERROR(__xludf.DUMMYFUNCTION("""COMPUTED_VALUE"""),350.83)</f>
        <v>350.83</v>
      </c>
      <c r="AA993" s="1">
        <f ca="1">IFERROR(__xludf.DUMMYFUNCTION("""COMPUTED_VALUE"""),28.78)</f>
        <v>28.78</v>
      </c>
      <c r="AB993" s="1">
        <f ca="1">IFERROR(__xludf.DUMMYFUNCTION("""COMPUTED_VALUE"""),96.61)</f>
        <v>96.61</v>
      </c>
      <c r="AC993" s="1">
        <f ca="1">IFERROR(__xludf.DUMMYFUNCTION("""COMPUTED_VALUE"""),128.92)</f>
        <v>128.91999999999999</v>
      </c>
    </row>
    <row r="994" spans="1:29" x14ac:dyDescent="0.25">
      <c r="A994" s="2">
        <f ca="1">IFERROR(__xludf.DUMMYFUNCTION("""COMPUTED_VALUE"""),45271.6666666666)</f>
        <v>45271.666666666599</v>
      </c>
      <c r="B994" s="1">
        <f ca="1">IFERROR(__xludf.DUMMYFUNCTION("""COMPUTED_VALUE"""),193.18)</f>
        <v>193.18</v>
      </c>
      <c r="C994" s="1">
        <f ca="1">IFERROR(__xludf.DUMMYFUNCTION("""COMPUTED_VALUE"""),371.3)</f>
        <v>371.3</v>
      </c>
      <c r="D994" s="1">
        <f ca="1">IFERROR(__xludf.DUMMYFUNCTION("""COMPUTED_VALUE"""),145.89)</f>
        <v>145.88999999999999</v>
      </c>
      <c r="E994" s="1">
        <f ca="1">IFERROR(__xludf.DUMMYFUNCTION("""COMPUTED_VALUE"""),46.63)</f>
        <v>46.63</v>
      </c>
      <c r="F994" s="1">
        <f ca="1">IFERROR(__xludf.DUMMYFUNCTION("""COMPUTED_VALUE"""),325.28)</f>
        <v>325.27999999999997</v>
      </c>
      <c r="G994" s="1">
        <f ca="1">IFERROR(__xludf.DUMMYFUNCTION("""COMPUTED_VALUE"""),134.7)</f>
        <v>134.69999999999999</v>
      </c>
      <c r="H994" s="1">
        <f ca="1">IFERROR(__xludf.DUMMYFUNCTION("""COMPUTED_VALUE"""),239.74)</f>
        <v>239.74</v>
      </c>
      <c r="I994" s="1">
        <f ca="1">IFERROR(__xludf.DUMMYFUNCTION("""COMPUTED_VALUE"""),167.82)</f>
        <v>167.82</v>
      </c>
      <c r="J994" s="1">
        <f ca="1">IFERROR(__xludf.DUMMYFUNCTION("""COMPUTED_VALUE"""),623.86)</f>
        <v>623.86</v>
      </c>
      <c r="K994" s="1">
        <f ca="1">IFERROR(__xludf.DUMMYFUNCTION("""COMPUTED_VALUE"""),102.92)</f>
        <v>102.92</v>
      </c>
      <c r="L994" s="1">
        <f ca="1">IFERROR(__xludf.DUMMYFUNCTION("""COMPUTED_VALUE"""),625.2)</f>
        <v>625.20000000000005</v>
      </c>
      <c r="M994" s="1">
        <f ca="1">IFERROR(__xludf.DUMMYFUNCTION("""COMPUTED_VALUE"""),459.89)</f>
        <v>459.89</v>
      </c>
      <c r="N994" s="1">
        <f ca="1">IFERROR(__xludf.DUMMYFUNCTION("""COMPUTED_VALUE"""),159.1)</f>
        <v>159.1</v>
      </c>
      <c r="O994" s="1">
        <f ca="1">IFERROR(__xludf.DUMMYFUNCTION("""COMPUTED_VALUE"""),256.52)</f>
        <v>256.52</v>
      </c>
      <c r="P994" s="1">
        <f ca="1">IFERROR(__xludf.DUMMYFUNCTION("""COMPUTED_VALUE"""),155.06)</f>
        <v>155.06</v>
      </c>
      <c r="Q994" s="1">
        <f ca="1">IFERROR(__xludf.DUMMYFUNCTION("""COMPUTED_VALUE"""),543.68)</f>
        <v>543.67999999999995</v>
      </c>
      <c r="R994" s="1">
        <f ca="1">IFERROR(__xludf.DUMMYFUNCTION("""COMPUTED_VALUE"""),99.62)</f>
        <v>99.62</v>
      </c>
      <c r="S994" s="1">
        <f ca="1">IFERROR(__xludf.DUMMYFUNCTION("""COMPUTED_VALUE"""),59.71)</f>
        <v>59.71</v>
      </c>
      <c r="T994" s="1">
        <f ca="1">IFERROR(__xludf.DUMMYFUNCTION("""COMPUTED_VALUE"""),50.41)</f>
        <v>50.41</v>
      </c>
      <c r="U994" s="1">
        <f ca="1">IFERROR(__xludf.DUMMYFUNCTION("""COMPUTED_VALUE"""),118.61)</f>
        <v>118.61</v>
      </c>
      <c r="V994" s="1">
        <f ca="1">IFERROR(__xludf.DUMMYFUNCTION("""COMPUTED_VALUE"""),260.92)</f>
        <v>260.92</v>
      </c>
      <c r="W994" s="1">
        <f ca="1">IFERROR(__xludf.DUMMYFUNCTION("""COMPUTED_VALUE"""),451.26)</f>
        <v>451.26</v>
      </c>
      <c r="X994" s="1">
        <f ca="1">IFERROR(__xludf.DUMMYFUNCTION("""COMPUTED_VALUE"""),710.24)</f>
        <v>710.24</v>
      </c>
      <c r="Y994" s="1">
        <f ca="1">IFERROR(__xludf.DUMMYFUNCTION("""COMPUTED_VALUE"""),100.95)</f>
        <v>100.95</v>
      </c>
      <c r="Z994" s="1">
        <f ca="1">IFERROR(__xludf.DUMMYFUNCTION("""COMPUTED_VALUE"""),351.76)</f>
        <v>351.76</v>
      </c>
      <c r="AA994" s="1">
        <f ca="1">IFERROR(__xludf.DUMMYFUNCTION("""COMPUTED_VALUE"""),28.64)</f>
        <v>28.64</v>
      </c>
      <c r="AB994" s="1">
        <f ca="1">IFERROR(__xludf.DUMMYFUNCTION("""COMPUTED_VALUE"""),98.12)</f>
        <v>98.12</v>
      </c>
      <c r="AC994" s="1">
        <f ca="1">IFERROR(__xludf.DUMMYFUNCTION("""COMPUTED_VALUE"""),134.41)</f>
        <v>134.41</v>
      </c>
    </row>
    <row r="995" spans="1:29" x14ac:dyDescent="0.25">
      <c r="A995" s="2">
        <f ca="1">IFERROR(__xludf.DUMMYFUNCTION("""COMPUTED_VALUE"""),45272.6666666666)</f>
        <v>45272.666666666599</v>
      </c>
      <c r="B995" s="1">
        <f ca="1">IFERROR(__xludf.DUMMYFUNCTION("""COMPUTED_VALUE"""),194.71)</f>
        <v>194.71</v>
      </c>
      <c r="C995" s="1">
        <f ca="1">IFERROR(__xludf.DUMMYFUNCTION("""COMPUTED_VALUE"""),374.38)</f>
        <v>374.38</v>
      </c>
      <c r="D995" s="1">
        <f ca="1">IFERROR(__xludf.DUMMYFUNCTION("""COMPUTED_VALUE"""),147.48)</f>
        <v>147.47999999999999</v>
      </c>
      <c r="E995" s="1">
        <f ca="1">IFERROR(__xludf.DUMMYFUNCTION("""COMPUTED_VALUE"""),47.66)</f>
        <v>47.66</v>
      </c>
      <c r="F995" s="1">
        <f ca="1">IFERROR(__xludf.DUMMYFUNCTION("""COMPUTED_VALUE"""),334.22)</f>
        <v>334.22</v>
      </c>
      <c r="G995" s="1">
        <f ca="1">IFERROR(__xludf.DUMMYFUNCTION("""COMPUTED_VALUE"""),133.64)</f>
        <v>133.63999999999999</v>
      </c>
      <c r="H995" s="1">
        <f ca="1">IFERROR(__xludf.DUMMYFUNCTION("""COMPUTED_VALUE"""),237.01)</f>
        <v>237.01</v>
      </c>
      <c r="I995" s="1">
        <f ca="1">IFERROR(__xludf.DUMMYFUNCTION("""COMPUTED_VALUE"""),168.47)</f>
        <v>168.47</v>
      </c>
      <c r="J995" s="1">
        <f ca="1">IFERROR(__xludf.DUMMYFUNCTION("""COMPUTED_VALUE"""),629.5)</f>
        <v>629.5</v>
      </c>
      <c r="K995" s="1">
        <f ca="1">IFERROR(__xludf.DUMMYFUNCTION("""COMPUTED_VALUE"""),107.23)</f>
        <v>107.23</v>
      </c>
      <c r="L995" s="1">
        <f ca="1">IFERROR(__xludf.DUMMYFUNCTION("""COMPUTED_VALUE"""),633.66)</f>
        <v>633.66</v>
      </c>
      <c r="M995" s="1">
        <f ca="1">IFERROR(__xludf.DUMMYFUNCTION("""COMPUTED_VALUE"""),463)</f>
        <v>463</v>
      </c>
      <c r="N995" s="1">
        <f ca="1">IFERROR(__xludf.DUMMYFUNCTION("""COMPUTED_VALUE"""),160.52)</f>
        <v>160.52000000000001</v>
      </c>
      <c r="O995" s="1">
        <f ca="1">IFERROR(__xludf.DUMMYFUNCTION("""COMPUTED_VALUE"""),259.56)</f>
        <v>259.56</v>
      </c>
      <c r="P995" s="1">
        <f ca="1">IFERROR(__xludf.DUMMYFUNCTION("""COMPUTED_VALUE"""),155.07)</f>
        <v>155.07</v>
      </c>
      <c r="Q995" s="1">
        <f ca="1">IFERROR(__xludf.DUMMYFUNCTION("""COMPUTED_VALUE"""),545.72)</f>
        <v>545.72</v>
      </c>
      <c r="R995" s="1">
        <f ca="1">IFERROR(__xludf.DUMMYFUNCTION("""COMPUTED_VALUE"""),98.05)</f>
        <v>98.05</v>
      </c>
      <c r="S995" s="1">
        <f ca="1">IFERROR(__xludf.DUMMYFUNCTION("""COMPUTED_VALUE"""),59.52)</f>
        <v>59.52</v>
      </c>
      <c r="T995" s="1">
        <f ca="1">IFERROR(__xludf.DUMMYFUNCTION("""COMPUTED_VALUE"""),50.45)</f>
        <v>50.45</v>
      </c>
      <c r="U995" s="1">
        <f ca="1">IFERROR(__xludf.DUMMYFUNCTION("""COMPUTED_VALUE"""),119.64)</f>
        <v>119.64</v>
      </c>
      <c r="V995" s="1">
        <f ca="1">IFERROR(__xludf.DUMMYFUNCTION("""COMPUTED_VALUE"""),261.43)</f>
        <v>261.43</v>
      </c>
      <c r="W995" s="1">
        <f ca="1">IFERROR(__xludf.DUMMYFUNCTION("""COMPUTED_VALUE"""),451.63)</f>
        <v>451.63</v>
      </c>
      <c r="X995" s="1">
        <f ca="1">IFERROR(__xludf.DUMMYFUNCTION("""COMPUTED_VALUE"""),720.56)</f>
        <v>720.56</v>
      </c>
      <c r="Y995" s="1">
        <f ca="1">IFERROR(__xludf.DUMMYFUNCTION("""COMPUTED_VALUE"""),101.6)</f>
        <v>101.6</v>
      </c>
      <c r="Z995" s="1">
        <f ca="1">IFERROR(__xludf.DUMMYFUNCTION("""COMPUTED_VALUE"""),352.61)</f>
        <v>352.61</v>
      </c>
      <c r="AA995" s="1">
        <f ca="1">IFERROR(__xludf.DUMMYFUNCTION("""COMPUTED_VALUE"""),28.58)</f>
        <v>28.58</v>
      </c>
      <c r="AB995" s="1">
        <f ca="1">IFERROR(__xludf.DUMMYFUNCTION("""COMPUTED_VALUE"""),98.15)</f>
        <v>98.15</v>
      </c>
      <c r="AC995" s="1">
        <f ca="1">IFERROR(__xludf.DUMMYFUNCTION("""COMPUTED_VALUE"""),137.61)</f>
        <v>137.61000000000001</v>
      </c>
    </row>
    <row r="996" spans="1:29" x14ac:dyDescent="0.25">
      <c r="A996" s="2">
        <f ca="1">IFERROR(__xludf.DUMMYFUNCTION("""COMPUTED_VALUE"""),45273.6666666666)</f>
        <v>45273.666666666599</v>
      </c>
      <c r="B996" s="1">
        <f ca="1">IFERROR(__xludf.DUMMYFUNCTION("""COMPUTED_VALUE"""),197.96)</f>
        <v>197.96</v>
      </c>
      <c r="C996" s="1">
        <f ca="1">IFERROR(__xludf.DUMMYFUNCTION("""COMPUTED_VALUE"""),374.37)</f>
        <v>374.37</v>
      </c>
      <c r="D996" s="1">
        <f ca="1">IFERROR(__xludf.DUMMYFUNCTION("""COMPUTED_VALUE"""),148.84)</f>
        <v>148.84</v>
      </c>
      <c r="E996" s="1">
        <f ca="1">IFERROR(__xludf.DUMMYFUNCTION("""COMPUTED_VALUE"""),48.09)</f>
        <v>48.09</v>
      </c>
      <c r="F996" s="1">
        <f ca="1">IFERROR(__xludf.DUMMYFUNCTION("""COMPUTED_VALUE"""),334.74)</f>
        <v>334.74</v>
      </c>
      <c r="G996" s="1">
        <f ca="1">IFERROR(__xludf.DUMMYFUNCTION("""COMPUTED_VALUE"""),133.97)</f>
        <v>133.97</v>
      </c>
      <c r="H996" s="1">
        <f ca="1">IFERROR(__xludf.DUMMYFUNCTION("""COMPUTED_VALUE"""),239.29)</f>
        <v>239.29</v>
      </c>
      <c r="I996" s="1">
        <f ca="1">IFERROR(__xludf.DUMMYFUNCTION("""COMPUTED_VALUE"""),172.01)</f>
        <v>172.01</v>
      </c>
      <c r="J996" s="1">
        <f ca="1">IFERROR(__xludf.DUMMYFUNCTION("""COMPUTED_VALUE"""),642)</f>
        <v>642</v>
      </c>
      <c r="K996" s="1">
        <f ca="1">IFERROR(__xludf.DUMMYFUNCTION("""COMPUTED_VALUE"""),108.97)</f>
        <v>108.97</v>
      </c>
      <c r="L996" s="1">
        <f ca="1">IFERROR(__xludf.DUMMYFUNCTION("""COMPUTED_VALUE"""),624.26)</f>
        <v>624.26</v>
      </c>
      <c r="M996" s="1">
        <f ca="1">IFERROR(__xludf.DUMMYFUNCTION("""COMPUTED_VALUE"""),479.98)</f>
        <v>479.98</v>
      </c>
      <c r="N996" s="1">
        <f ca="1">IFERROR(__xludf.DUMMYFUNCTION("""COMPUTED_VALUE"""),161.06)</f>
        <v>161.06</v>
      </c>
      <c r="O996" s="1">
        <f ca="1">IFERROR(__xludf.DUMMYFUNCTION("""COMPUTED_VALUE"""),262.38)</f>
        <v>262.38</v>
      </c>
      <c r="P996" s="1">
        <f ca="1">IFERROR(__xludf.DUMMYFUNCTION("""COMPUTED_VALUE"""),155.79)</f>
        <v>155.79</v>
      </c>
      <c r="Q996" s="1">
        <f ca="1">IFERROR(__xludf.DUMMYFUNCTION("""COMPUTED_VALUE"""),549.01)</f>
        <v>549.01</v>
      </c>
      <c r="R996" s="1">
        <f ca="1">IFERROR(__xludf.DUMMYFUNCTION("""COMPUTED_VALUE"""),98.92)</f>
        <v>98.92</v>
      </c>
      <c r="S996" s="1">
        <f ca="1">IFERROR(__xludf.DUMMYFUNCTION("""COMPUTED_VALUE"""),62.51)</f>
        <v>62.51</v>
      </c>
      <c r="T996" s="1">
        <f ca="1">IFERROR(__xludf.DUMMYFUNCTION("""COMPUTED_VALUE"""),51.35)</f>
        <v>51.35</v>
      </c>
      <c r="U996" s="1">
        <f ca="1">IFERROR(__xludf.DUMMYFUNCTION("""COMPUTED_VALUE"""),121.17)</f>
        <v>121.17</v>
      </c>
      <c r="V996" s="1">
        <f ca="1">IFERROR(__xludf.DUMMYFUNCTION("""COMPUTED_VALUE"""),267.97)</f>
        <v>267.97000000000003</v>
      </c>
      <c r="W996" s="1">
        <f ca="1">IFERROR(__xludf.DUMMYFUNCTION("""COMPUTED_VALUE"""),451.44)</f>
        <v>451.44</v>
      </c>
      <c r="X996" s="1">
        <f ca="1">IFERROR(__xludf.DUMMYFUNCTION("""COMPUTED_VALUE"""),735.29)</f>
        <v>735.29</v>
      </c>
      <c r="Y996" s="1">
        <f ca="1">IFERROR(__xludf.DUMMYFUNCTION("""COMPUTED_VALUE"""),102.12)</f>
        <v>102.12</v>
      </c>
      <c r="Z996" s="1">
        <f ca="1">IFERROR(__xludf.DUMMYFUNCTION("""COMPUTED_VALUE"""),362.73)</f>
        <v>362.73</v>
      </c>
      <c r="AA996" s="1">
        <f ca="1">IFERROR(__xludf.DUMMYFUNCTION("""COMPUTED_VALUE"""),26.66)</f>
        <v>26.66</v>
      </c>
      <c r="AB996" s="1">
        <f ca="1">IFERROR(__xludf.DUMMYFUNCTION("""COMPUTED_VALUE"""),98.11)</f>
        <v>98.11</v>
      </c>
      <c r="AC996" s="1">
        <f ca="1">IFERROR(__xludf.DUMMYFUNCTION("""COMPUTED_VALUE"""),138.19)</f>
        <v>138.19</v>
      </c>
    </row>
    <row r="997" spans="1:29" x14ac:dyDescent="0.25">
      <c r="A997" s="2">
        <f ca="1">IFERROR(__xludf.DUMMYFUNCTION("""COMPUTED_VALUE"""),45274.6666666666)</f>
        <v>45274.666666666599</v>
      </c>
      <c r="B997" s="1">
        <f ca="1">IFERROR(__xludf.DUMMYFUNCTION("""COMPUTED_VALUE"""),198.11)</f>
        <v>198.11</v>
      </c>
      <c r="C997" s="1">
        <f ca="1">IFERROR(__xludf.DUMMYFUNCTION("""COMPUTED_VALUE"""),365.93)</f>
        <v>365.93</v>
      </c>
      <c r="D997" s="1">
        <f ca="1">IFERROR(__xludf.DUMMYFUNCTION("""COMPUTED_VALUE"""),147.42)</f>
        <v>147.41999999999999</v>
      </c>
      <c r="E997" s="1">
        <f ca="1">IFERROR(__xludf.DUMMYFUNCTION("""COMPUTED_VALUE"""),48.35)</f>
        <v>48.35</v>
      </c>
      <c r="F997" s="1">
        <f ca="1">IFERROR(__xludf.DUMMYFUNCTION("""COMPUTED_VALUE"""),333.17)</f>
        <v>333.17</v>
      </c>
      <c r="G997" s="1">
        <f ca="1">IFERROR(__xludf.DUMMYFUNCTION("""COMPUTED_VALUE"""),133.2)</f>
        <v>133.19999999999999</v>
      </c>
      <c r="H997" s="1">
        <f ca="1">IFERROR(__xludf.DUMMYFUNCTION("""COMPUTED_VALUE"""),251.05)</f>
        <v>251.05</v>
      </c>
      <c r="I997" s="1">
        <f ca="1">IFERROR(__xludf.DUMMYFUNCTION("""COMPUTED_VALUE"""),168.25)</f>
        <v>168.25</v>
      </c>
      <c r="J997" s="1">
        <f ca="1">IFERROR(__xludf.DUMMYFUNCTION("""COMPUTED_VALUE"""),630.78)</f>
        <v>630.78</v>
      </c>
      <c r="K997" s="1">
        <f ca="1">IFERROR(__xludf.DUMMYFUNCTION("""COMPUTED_VALUE"""),110.65)</f>
        <v>110.65</v>
      </c>
      <c r="L997" s="1">
        <f ca="1">IFERROR(__xludf.DUMMYFUNCTION("""COMPUTED_VALUE"""),584.64)</f>
        <v>584.64</v>
      </c>
      <c r="M997" s="1">
        <f ca="1">IFERROR(__xludf.DUMMYFUNCTION("""COMPUTED_VALUE"""),469.83)</f>
        <v>469.83</v>
      </c>
      <c r="N997" s="1">
        <f ca="1">IFERROR(__xludf.DUMMYFUNCTION("""COMPUTED_VALUE"""),163.99)</f>
        <v>163.99</v>
      </c>
      <c r="O997" s="1">
        <f ca="1">IFERROR(__xludf.DUMMYFUNCTION("""COMPUTED_VALUE"""),258.73)</f>
        <v>258.73</v>
      </c>
      <c r="P997" s="1">
        <f ca="1">IFERROR(__xludf.DUMMYFUNCTION("""COMPUTED_VALUE"""),156.87)</f>
        <v>156.87</v>
      </c>
      <c r="Q997" s="1">
        <f ca="1">IFERROR(__xludf.DUMMYFUNCTION("""COMPUTED_VALUE"""),534.24)</f>
        <v>534.24</v>
      </c>
      <c r="R997" s="1">
        <f ca="1">IFERROR(__xludf.DUMMYFUNCTION("""COMPUTED_VALUE"""),101.58)</f>
        <v>101.58</v>
      </c>
      <c r="S997" s="1">
        <f ca="1">IFERROR(__xludf.DUMMYFUNCTION("""COMPUTED_VALUE"""),62.78)</f>
        <v>62.78</v>
      </c>
      <c r="T997" s="1">
        <f ca="1">IFERROR(__xludf.DUMMYFUNCTION("""COMPUTED_VALUE"""),50.72)</f>
        <v>50.72</v>
      </c>
      <c r="U997" s="1">
        <f ca="1">IFERROR(__xludf.DUMMYFUNCTION("""COMPUTED_VALUE"""),121.02)</f>
        <v>121.02</v>
      </c>
      <c r="V997" s="1">
        <f ca="1">IFERROR(__xludf.DUMMYFUNCTION("""COMPUTED_VALUE"""),285.17)</f>
        <v>285.17</v>
      </c>
      <c r="W997" s="1">
        <f ca="1">IFERROR(__xludf.DUMMYFUNCTION("""COMPUTED_VALUE"""),445.27)</f>
        <v>445.27</v>
      </c>
      <c r="X997" s="1">
        <f ca="1">IFERROR(__xludf.DUMMYFUNCTION("""COMPUTED_VALUE"""),753.71)</f>
        <v>753.71</v>
      </c>
      <c r="Y997" s="1">
        <f ca="1">IFERROR(__xludf.DUMMYFUNCTION("""COMPUTED_VALUE"""),103.45)</f>
        <v>103.45</v>
      </c>
      <c r="Z997" s="1">
        <f ca="1">IFERROR(__xludf.DUMMYFUNCTION("""COMPUTED_VALUE"""),383.47)</f>
        <v>383.47</v>
      </c>
      <c r="AA997" s="1">
        <f ca="1">IFERROR(__xludf.DUMMYFUNCTION("""COMPUTED_VALUE"""),26.13)</f>
        <v>26.13</v>
      </c>
      <c r="AB997" s="1">
        <f ca="1">IFERROR(__xludf.DUMMYFUNCTION("""COMPUTED_VALUE"""),97.84)</f>
        <v>97.84</v>
      </c>
      <c r="AC997" s="1">
        <f ca="1">IFERROR(__xludf.DUMMYFUNCTION("""COMPUTED_VALUE"""),138)</f>
        <v>138</v>
      </c>
    </row>
    <row r="998" spans="1:29" x14ac:dyDescent="0.25">
      <c r="A998" s="2">
        <f ca="1">IFERROR(__xludf.DUMMYFUNCTION("""COMPUTED_VALUE"""),45275.6666666666)</f>
        <v>45275.666666666599</v>
      </c>
      <c r="B998" s="1">
        <f ca="1">IFERROR(__xludf.DUMMYFUNCTION("""COMPUTED_VALUE"""),197.57)</f>
        <v>197.57</v>
      </c>
      <c r="C998" s="1">
        <f ca="1">IFERROR(__xludf.DUMMYFUNCTION("""COMPUTED_VALUE"""),370.73)</f>
        <v>370.73</v>
      </c>
      <c r="D998" s="1">
        <f ca="1">IFERROR(__xludf.DUMMYFUNCTION("""COMPUTED_VALUE"""),149.97)</f>
        <v>149.97</v>
      </c>
      <c r="E998" s="1">
        <f ca="1">IFERROR(__xludf.DUMMYFUNCTION("""COMPUTED_VALUE"""),48.89)</f>
        <v>48.89</v>
      </c>
      <c r="F998" s="1">
        <f ca="1">IFERROR(__xludf.DUMMYFUNCTION("""COMPUTED_VALUE"""),334.92)</f>
        <v>334.92</v>
      </c>
      <c r="G998" s="1">
        <f ca="1">IFERROR(__xludf.DUMMYFUNCTION("""COMPUTED_VALUE"""),133.84)</f>
        <v>133.84</v>
      </c>
      <c r="H998" s="1">
        <f ca="1">IFERROR(__xludf.DUMMYFUNCTION("""COMPUTED_VALUE"""),253.5)</f>
        <v>253.5</v>
      </c>
      <c r="I998" s="1">
        <f ca="1">IFERROR(__xludf.DUMMYFUNCTION("""COMPUTED_VALUE"""),167)</f>
        <v>167</v>
      </c>
      <c r="J998" s="1">
        <f ca="1">IFERROR(__xludf.DUMMYFUNCTION("""COMPUTED_VALUE"""),658.82)</f>
        <v>658.82</v>
      </c>
      <c r="K998" s="1">
        <f ca="1">IFERROR(__xludf.DUMMYFUNCTION("""COMPUTED_VALUE"""),112.97)</f>
        <v>112.97</v>
      </c>
      <c r="L998" s="1">
        <f ca="1">IFERROR(__xludf.DUMMYFUNCTION("""COMPUTED_VALUE"""),584.68)</f>
        <v>584.67999999999995</v>
      </c>
      <c r="M998" s="1">
        <f ca="1">IFERROR(__xludf.DUMMYFUNCTION("""COMPUTED_VALUE"""),472.06)</f>
        <v>472.06</v>
      </c>
      <c r="N998" s="1">
        <f ca="1">IFERROR(__xludf.DUMMYFUNCTION("""COMPUTED_VALUE"""),165.23)</f>
        <v>165.23</v>
      </c>
      <c r="O998" s="1">
        <f ca="1">IFERROR(__xludf.DUMMYFUNCTION("""COMPUTED_VALUE"""),258.03)</f>
        <v>258.02999999999997</v>
      </c>
      <c r="P998" s="1">
        <f ca="1">IFERROR(__xludf.DUMMYFUNCTION("""COMPUTED_VALUE"""),155.16)</f>
        <v>155.16</v>
      </c>
      <c r="Q998" s="1">
        <f ca="1">IFERROR(__xludf.DUMMYFUNCTION("""COMPUTED_VALUE"""),531.12)</f>
        <v>531.12</v>
      </c>
      <c r="R998" s="1">
        <f ca="1">IFERROR(__xludf.DUMMYFUNCTION("""COMPUTED_VALUE"""),100.9)</f>
        <v>100.9</v>
      </c>
      <c r="S998" s="1">
        <f ca="1">IFERROR(__xludf.DUMMYFUNCTION("""COMPUTED_VALUE"""),61.5)</f>
        <v>61.5</v>
      </c>
      <c r="T998" s="1">
        <f ca="1">IFERROR(__xludf.DUMMYFUNCTION("""COMPUTED_VALUE"""),50.91)</f>
        <v>50.91</v>
      </c>
      <c r="U998" s="1">
        <f ca="1">IFERROR(__xludf.DUMMYFUNCTION("""COMPUTED_VALUE"""),121.55)</f>
        <v>121.55</v>
      </c>
      <c r="V998" s="1">
        <f ca="1">IFERROR(__xludf.DUMMYFUNCTION("""COMPUTED_VALUE"""),285.74)</f>
        <v>285.74</v>
      </c>
      <c r="W998" s="1">
        <f ca="1">IFERROR(__xludf.DUMMYFUNCTION("""COMPUTED_VALUE"""),441.81)</f>
        <v>441.81</v>
      </c>
      <c r="X998" s="1">
        <f ca="1">IFERROR(__xludf.DUMMYFUNCTION("""COMPUTED_VALUE"""),752.96)</f>
        <v>752.96</v>
      </c>
      <c r="Y998" s="1">
        <f ca="1">IFERROR(__xludf.DUMMYFUNCTION("""COMPUTED_VALUE"""),102.54)</f>
        <v>102.54</v>
      </c>
      <c r="Z998" s="1">
        <f ca="1">IFERROR(__xludf.DUMMYFUNCTION("""COMPUTED_VALUE"""),380.51)</f>
        <v>380.51</v>
      </c>
      <c r="AA998" s="1">
        <f ca="1">IFERROR(__xludf.DUMMYFUNCTION("""COMPUTED_VALUE"""),26.63)</f>
        <v>26.63</v>
      </c>
      <c r="AB998" s="1">
        <f ca="1">IFERROR(__xludf.DUMMYFUNCTION("""COMPUTED_VALUE"""),96.75)</f>
        <v>96.75</v>
      </c>
      <c r="AC998" s="1">
        <f ca="1">IFERROR(__xludf.DUMMYFUNCTION("""COMPUTED_VALUE"""),139.15)</f>
        <v>139.15</v>
      </c>
    </row>
    <row r="999" spans="1:29" x14ac:dyDescent="0.25">
      <c r="A999" s="2">
        <f ca="1">IFERROR(__xludf.DUMMYFUNCTION("""COMPUTED_VALUE"""),45278.6666666666)</f>
        <v>45278.666666666599</v>
      </c>
      <c r="B999" s="1">
        <f ca="1">IFERROR(__xludf.DUMMYFUNCTION("""COMPUTED_VALUE"""),195.89)</f>
        <v>195.89</v>
      </c>
      <c r="C999" s="1">
        <f ca="1">IFERROR(__xludf.DUMMYFUNCTION("""COMPUTED_VALUE"""),372.65)</f>
        <v>372.65</v>
      </c>
      <c r="D999" s="1">
        <f ca="1">IFERROR(__xludf.DUMMYFUNCTION("""COMPUTED_VALUE"""),154.07)</f>
        <v>154.07</v>
      </c>
      <c r="E999" s="1">
        <f ca="1">IFERROR(__xludf.DUMMYFUNCTION("""COMPUTED_VALUE"""),50.08)</f>
        <v>50.08</v>
      </c>
      <c r="F999" s="1">
        <f ca="1">IFERROR(__xludf.DUMMYFUNCTION("""COMPUTED_VALUE"""),344.62)</f>
        <v>344.62</v>
      </c>
      <c r="G999" s="1">
        <f ca="1">IFERROR(__xludf.DUMMYFUNCTION("""COMPUTED_VALUE"""),137.19)</f>
        <v>137.19</v>
      </c>
      <c r="H999" s="1">
        <f ca="1">IFERROR(__xludf.DUMMYFUNCTION("""COMPUTED_VALUE"""),252.08)</f>
        <v>252.08</v>
      </c>
      <c r="I999" s="1">
        <f ca="1">IFERROR(__xludf.DUMMYFUNCTION("""COMPUTED_VALUE"""),168.91)</f>
        <v>168.91</v>
      </c>
      <c r="J999" s="1">
        <f ca="1">IFERROR(__xludf.DUMMYFUNCTION("""COMPUTED_VALUE"""),681.24)</f>
        <v>681.24</v>
      </c>
      <c r="K999" s="1">
        <f ca="1">IFERROR(__xludf.DUMMYFUNCTION("""COMPUTED_VALUE"""),114.7)</f>
        <v>114.7</v>
      </c>
      <c r="L999" s="1">
        <f ca="1">IFERROR(__xludf.DUMMYFUNCTION("""COMPUTED_VALUE"""),599.13)</f>
        <v>599.13</v>
      </c>
      <c r="M999" s="1">
        <f ca="1">IFERROR(__xludf.DUMMYFUNCTION("""COMPUTED_VALUE"""),486.12)</f>
        <v>486.12</v>
      </c>
      <c r="N999" s="1">
        <f ca="1">IFERROR(__xludf.DUMMYFUNCTION("""COMPUTED_VALUE"""),166.23)</f>
        <v>166.23</v>
      </c>
      <c r="O999" s="1">
        <f ca="1">IFERROR(__xludf.DUMMYFUNCTION("""COMPUTED_VALUE"""),258.37)</f>
        <v>258.37</v>
      </c>
      <c r="P999" s="1">
        <f ca="1">IFERROR(__xludf.DUMMYFUNCTION("""COMPUTED_VALUE"""),155.44)</f>
        <v>155.44</v>
      </c>
      <c r="Q999" s="1">
        <f ca="1">IFERROR(__xludf.DUMMYFUNCTION("""COMPUTED_VALUE"""),526.55)</f>
        <v>526.54999999999995</v>
      </c>
      <c r="R999" s="1">
        <f ca="1">IFERROR(__xludf.DUMMYFUNCTION("""COMPUTED_VALUE"""),101.65)</f>
        <v>101.65</v>
      </c>
      <c r="S999" s="1">
        <f ca="1">IFERROR(__xludf.DUMMYFUNCTION("""COMPUTED_VALUE"""),61)</f>
        <v>61</v>
      </c>
      <c r="T999" s="1">
        <f ca="1">IFERROR(__xludf.DUMMYFUNCTION("""COMPUTED_VALUE"""),51.66)</f>
        <v>51.66</v>
      </c>
      <c r="U999" s="1">
        <f ca="1">IFERROR(__xludf.DUMMYFUNCTION("""COMPUTED_VALUE"""),121.14)</f>
        <v>121.14</v>
      </c>
      <c r="V999" s="1">
        <f ca="1">IFERROR(__xludf.DUMMYFUNCTION("""COMPUTED_VALUE"""),285.71)</f>
        <v>285.70999999999998</v>
      </c>
      <c r="W999" s="1">
        <f ca="1">IFERROR(__xludf.DUMMYFUNCTION("""COMPUTED_VALUE"""),446.91)</f>
        <v>446.91</v>
      </c>
      <c r="X999" s="1">
        <f ca="1">IFERROR(__xludf.DUMMYFUNCTION("""COMPUTED_VALUE"""),742.06)</f>
        <v>742.06</v>
      </c>
      <c r="Y999" s="1">
        <f ca="1">IFERROR(__xludf.DUMMYFUNCTION("""COMPUTED_VALUE"""),102.93)</f>
        <v>102.93</v>
      </c>
      <c r="Z999" s="1">
        <f ca="1">IFERROR(__xludf.DUMMYFUNCTION("""COMPUTED_VALUE"""),376.4)</f>
        <v>376.4</v>
      </c>
      <c r="AA999" s="1">
        <f ca="1">IFERROR(__xludf.DUMMYFUNCTION("""COMPUTED_VALUE"""),27.06)</f>
        <v>27.06</v>
      </c>
      <c r="AB999" s="1">
        <f ca="1">IFERROR(__xludf.DUMMYFUNCTION("""COMPUTED_VALUE"""),96.56)</f>
        <v>96.56</v>
      </c>
      <c r="AC999" s="1">
        <f ca="1">IFERROR(__xludf.DUMMYFUNCTION("""COMPUTED_VALUE"""),138.9)</f>
        <v>138.9</v>
      </c>
    </row>
    <row r="1000" spans="1:29" x14ac:dyDescent="0.25">
      <c r="A1000" s="2">
        <f ca="1">IFERROR(__xludf.DUMMYFUNCTION("""COMPUTED_VALUE"""),45279.6666666666)</f>
        <v>45279.666666666599</v>
      </c>
      <c r="B1000" s="1">
        <f ca="1">IFERROR(__xludf.DUMMYFUNCTION("""COMPUTED_VALUE"""),196.94)</f>
        <v>196.94</v>
      </c>
      <c r="C1000" s="1">
        <f ca="1">IFERROR(__xludf.DUMMYFUNCTION("""COMPUTED_VALUE"""),373.26)</f>
        <v>373.26</v>
      </c>
      <c r="D1000" s="1">
        <f ca="1">IFERROR(__xludf.DUMMYFUNCTION("""COMPUTED_VALUE"""),153.79)</f>
        <v>153.79</v>
      </c>
      <c r="E1000" s="1">
        <f ca="1">IFERROR(__xludf.DUMMYFUNCTION("""COMPUTED_VALUE"""),49.6)</f>
        <v>49.6</v>
      </c>
      <c r="F1000" s="1">
        <f ca="1">IFERROR(__xludf.DUMMYFUNCTION("""COMPUTED_VALUE"""),350.36)</f>
        <v>350.36</v>
      </c>
      <c r="G1000" s="1">
        <f ca="1">IFERROR(__xludf.DUMMYFUNCTION("""COMPUTED_VALUE"""),138.1)</f>
        <v>138.1</v>
      </c>
      <c r="H1000" s="1">
        <f ca="1">IFERROR(__xludf.DUMMYFUNCTION("""COMPUTED_VALUE"""),257.22)</f>
        <v>257.22000000000003</v>
      </c>
      <c r="I1000" s="1">
        <f ca="1">IFERROR(__xludf.DUMMYFUNCTION("""COMPUTED_VALUE"""),167.95)</f>
        <v>167.95</v>
      </c>
      <c r="J1000" s="1">
        <f ca="1">IFERROR(__xludf.DUMMYFUNCTION("""COMPUTED_VALUE"""),677.74)</f>
        <v>677.74</v>
      </c>
      <c r="K1000" s="1">
        <f ca="1">IFERROR(__xludf.DUMMYFUNCTION("""COMPUTED_VALUE"""),113.96)</f>
        <v>113.96</v>
      </c>
      <c r="L1000" s="1">
        <f ca="1">IFERROR(__xludf.DUMMYFUNCTION("""COMPUTED_VALUE"""),604.64)</f>
        <v>604.64</v>
      </c>
      <c r="M1000" s="1">
        <f ca="1">IFERROR(__xludf.DUMMYFUNCTION("""COMPUTED_VALUE"""),495.02)</f>
        <v>495.02</v>
      </c>
      <c r="N1000" s="1">
        <f ca="1">IFERROR(__xludf.DUMMYFUNCTION("""COMPUTED_VALUE"""),168.45)</f>
        <v>168.45</v>
      </c>
      <c r="O1000" s="1">
        <f ca="1">IFERROR(__xludf.DUMMYFUNCTION("""COMPUTED_VALUE"""),259.99)</f>
        <v>259.99</v>
      </c>
      <c r="P1000" s="1">
        <f ca="1">IFERROR(__xludf.DUMMYFUNCTION("""COMPUTED_VALUE"""),156.46)</f>
        <v>156.46</v>
      </c>
      <c r="Q1000" s="1">
        <f ca="1">IFERROR(__xludf.DUMMYFUNCTION("""COMPUTED_VALUE"""),524.04)</f>
        <v>524.04</v>
      </c>
      <c r="R1000" s="1">
        <f ca="1">IFERROR(__xludf.DUMMYFUNCTION("""COMPUTED_VALUE"""),102.99)</f>
        <v>102.99</v>
      </c>
      <c r="S1000" s="1">
        <f ca="1">IFERROR(__xludf.DUMMYFUNCTION("""COMPUTED_VALUE"""),61.57)</f>
        <v>61.57</v>
      </c>
      <c r="T1000" s="1">
        <f ca="1">IFERROR(__xludf.DUMMYFUNCTION("""COMPUTED_VALUE"""),51.84)</f>
        <v>51.84</v>
      </c>
      <c r="U1000" s="1">
        <f ca="1">IFERROR(__xludf.DUMMYFUNCTION("""COMPUTED_VALUE"""),122.64)</f>
        <v>122.64</v>
      </c>
      <c r="V1000" s="1">
        <f ca="1">IFERROR(__xludf.DUMMYFUNCTION("""COMPUTED_VALUE"""),292.96)</f>
        <v>292.95999999999998</v>
      </c>
      <c r="W1000" s="1">
        <f ca="1">IFERROR(__xludf.DUMMYFUNCTION("""COMPUTED_VALUE"""),447.79)</f>
        <v>447.79</v>
      </c>
      <c r="X1000" s="1">
        <f ca="1">IFERROR(__xludf.DUMMYFUNCTION("""COMPUTED_VALUE"""),744.72)</f>
        <v>744.72</v>
      </c>
      <c r="Y1000" s="1">
        <f ca="1">IFERROR(__xludf.DUMMYFUNCTION("""COMPUTED_VALUE"""),103.87)</f>
        <v>103.87</v>
      </c>
      <c r="Z1000" s="1">
        <f ca="1">IFERROR(__xludf.DUMMYFUNCTION("""COMPUTED_VALUE"""),382.45)</f>
        <v>382.45</v>
      </c>
      <c r="AA1000" s="1">
        <f ca="1">IFERROR(__xludf.DUMMYFUNCTION("""COMPUTED_VALUE"""),28.16)</f>
        <v>28.16</v>
      </c>
      <c r="AB1000" s="1">
        <f ca="1">IFERROR(__xludf.DUMMYFUNCTION("""COMPUTED_VALUE"""),97.72)</f>
        <v>97.72</v>
      </c>
      <c r="AC1000" s="1">
        <f ca="1">IFERROR(__xludf.DUMMYFUNCTION("""COMPUTED_VALUE"""),140.15)</f>
        <v>140.15</v>
      </c>
    </row>
    <row r="1001" spans="1:29" x14ac:dyDescent="0.25">
      <c r="A1001" s="2">
        <f ca="1">IFERROR(__xludf.DUMMYFUNCTION("""COMPUTED_VALUE"""),45280.6666666666)</f>
        <v>45280.666666666599</v>
      </c>
      <c r="B1001" s="1">
        <f ca="1">IFERROR(__xludf.DUMMYFUNCTION("""COMPUTED_VALUE"""),194.83)</f>
        <v>194.83</v>
      </c>
      <c r="C1001" s="1">
        <f ca="1">IFERROR(__xludf.DUMMYFUNCTION("""COMPUTED_VALUE"""),370.62)</f>
        <v>370.62</v>
      </c>
      <c r="D1001" s="1">
        <f ca="1">IFERROR(__xludf.DUMMYFUNCTION("""COMPUTED_VALUE"""),152.12)</f>
        <v>152.12</v>
      </c>
      <c r="E1001" s="1">
        <f ca="1">IFERROR(__xludf.DUMMYFUNCTION("""COMPUTED_VALUE"""),48.11)</f>
        <v>48.11</v>
      </c>
      <c r="F1001" s="1">
        <f ca="1">IFERROR(__xludf.DUMMYFUNCTION("""COMPUTED_VALUE"""),349.28)</f>
        <v>349.28</v>
      </c>
      <c r="G1001" s="1">
        <f ca="1">IFERROR(__xludf.DUMMYFUNCTION("""COMPUTED_VALUE"""),139.66)</f>
        <v>139.66</v>
      </c>
      <c r="H1001" s="1">
        <f ca="1">IFERROR(__xludf.DUMMYFUNCTION("""COMPUTED_VALUE"""),247.14)</f>
        <v>247.14</v>
      </c>
      <c r="I1001" s="1">
        <f ca="1">IFERROR(__xludf.DUMMYFUNCTION("""COMPUTED_VALUE"""),165.69)</f>
        <v>165.69</v>
      </c>
      <c r="J1001" s="1">
        <f ca="1">IFERROR(__xludf.DUMMYFUNCTION("""COMPUTED_VALUE"""),661)</f>
        <v>661</v>
      </c>
      <c r="K1001" s="1">
        <f ca="1">IFERROR(__xludf.DUMMYFUNCTION("""COMPUTED_VALUE"""),111.04)</f>
        <v>111.04</v>
      </c>
      <c r="L1001" s="1">
        <f ca="1">IFERROR(__xludf.DUMMYFUNCTION("""COMPUTED_VALUE"""),596.06)</f>
        <v>596.05999999999995</v>
      </c>
      <c r="M1001" s="1">
        <f ca="1">IFERROR(__xludf.DUMMYFUNCTION("""COMPUTED_VALUE"""),489.27)</f>
        <v>489.27</v>
      </c>
      <c r="N1001" s="1">
        <f ca="1">IFERROR(__xludf.DUMMYFUNCTION("""COMPUTED_VALUE"""),166.55)</f>
        <v>166.55</v>
      </c>
      <c r="O1001" s="1">
        <f ca="1">IFERROR(__xludf.DUMMYFUNCTION("""COMPUTED_VALUE"""),257.11)</f>
        <v>257.11</v>
      </c>
      <c r="P1001" s="1">
        <f ca="1">IFERROR(__xludf.DUMMYFUNCTION("""COMPUTED_VALUE"""),153.27)</f>
        <v>153.27000000000001</v>
      </c>
      <c r="Q1001" s="1">
        <f ca="1">IFERROR(__xludf.DUMMYFUNCTION("""COMPUTED_VALUE"""),515.93)</f>
        <v>515.92999999999995</v>
      </c>
      <c r="R1001" s="1">
        <f ca="1">IFERROR(__xludf.DUMMYFUNCTION("""COMPUTED_VALUE"""),101.27)</f>
        <v>101.27</v>
      </c>
      <c r="S1001" s="1">
        <f ca="1">IFERROR(__xludf.DUMMYFUNCTION("""COMPUTED_VALUE"""),59.84)</f>
        <v>59.84</v>
      </c>
      <c r="T1001" s="1">
        <f ca="1">IFERROR(__xludf.DUMMYFUNCTION("""COMPUTED_VALUE"""),51.24)</f>
        <v>51.24</v>
      </c>
      <c r="U1001" s="1">
        <f ca="1">IFERROR(__xludf.DUMMYFUNCTION("""COMPUTED_VALUE"""),121.43)</f>
        <v>121.43</v>
      </c>
      <c r="V1001" s="1">
        <f ca="1">IFERROR(__xludf.DUMMYFUNCTION("""COMPUTED_VALUE"""),289.71)</f>
        <v>289.70999999999998</v>
      </c>
      <c r="W1001" s="1">
        <f ca="1">IFERROR(__xludf.DUMMYFUNCTION("""COMPUTED_VALUE"""),442.6)</f>
        <v>442.6</v>
      </c>
      <c r="X1001" s="1">
        <f ca="1">IFERROR(__xludf.DUMMYFUNCTION("""COMPUTED_VALUE"""),729.61)</f>
        <v>729.61</v>
      </c>
      <c r="Y1001" s="1">
        <f ca="1">IFERROR(__xludf.DUMMYFUNCTION("""COMPUTED_VALUE"""),100.04)</f>
        <v>100.04</v>
      </c>
      <c r="Z1001" s="1">
        <f ca="1">IFERROR(__xludf.DUMMYFUNCTION("""COMPUTED_VALUE"""),377.52)</f>
        <v>377.52</v>
      </c>
      <c r="AA1001" s="1">
        <f ca="1">IFERROR(__xludf.DUMMYFUNCTION("""COMPUTED_VALUE"""),27.63)</f>
        <v>27.63</v>
      </c>
      <c r="AB1001" s="1">
        <f ca="1">IFERROR(__xludf.DUMMYFUNCTION("""COMPUTED_VALUE"""),94.71)</f>
        <v>94.71</v>
      </c>
      <c r="AC1001" s="1">
        <f ca="1">IFERROR(__xludf.DUMMYFUNCTION("""COMPUTED_VALUE"""),135.47)</f>
        <v>135.47</v>
      </c>
    </row>
    <row r="1002" spans="1:29" x14ac:dyDescent="0.25">
      <c r="A1002" s="2">
        <f ca="1">IFERROR(__xludf.DUMMYFUNCTION("""COMPUTED_VALUE"""),45281.6666666666)</f>
        <v>45281.666666666599</v>
      </c>
      <c r="B1002" s="1">
        <f ca="1">IFERROR(__xludf.DUMMYFUNCTION("""COMPUTED_VALUE"""),194.68)</f>
        <v>194.68</v>
      </c>
      <c r="C1002" s="1">
        <f ca="1">IFERROR(__xludf.DUMMYFUNCTION("""COMPUTED_VALUE"""),373.54)</f>
        <v>373.54</v>
      </c>
      <c r="D1002" s="1">
        <f ca="1">IFERROR(__xludf.DUMMYFUNCTION("""COMPUTED_VALUE"""),153.84)</f>
        <v>153.84</v>
      </c>
      <c r="E1002" s="1">
        <f ca="1">IFERROR(__xludf.DUMMYFUNCTION("""COMPUTED_VALUE"""),48.99)</f>
        <v>48.99</v>
      </c>
      <c r="F1002" s="1">
        <f ca="1">IFERROR(__xludf.DUMMYFUNCTION("""COMPUTED_VALUE"""),354.09)</f>
        <v>354.09</v>
      </c>
      <c r="G1002" s="1">
        <f ca="1">IFERROR(__xludf.DUMMYFUNCTION("""COMPUTED_VALUE"""),141.8)</f>
        <v>141.80000000000001</v>
      </c>
      <c r="H1002" s="1">
        <f ca="1">IFERROR(__xludf.DUMMYFUNCTION("""COMPUTED_VALUE"""),254.5)</f>
        <v>254.5</v>
      </c>
      <c r="I1002" s="1">
        <f ca="1">IFERROR(__xludf.DUMMYFUNCTION("""COMPUTED_VALUE"""),166.97)</f>
        <v>166.97</v>
      </c>
      <c r="J1002" s="1">
        <f ca="1">IFERROR(__xludf.DUMMYFUNCTION("""COMPUTED_VALUE"""),665.16)</f>
        <v>665.16</v>
      </c>
      <c r="K1002" s="1">
        <f ca="1">IFERROR(__xludf.DUMMYFUNCTION("""COMPUTED_VALUE"""),112.73)</f>
        <v>112.73</v>
      </c>
      <c r="L1002" s="1">
        <f ca="1">IFERROR(__xludf.DUMMYFUNCTION("""COMPUTED_VALUE"""),600.14)</f>
        <v>600.14</v>
      </c>
      <c r="M1002" s="1">
        <f ca="1">IFERROR(__xludf.DUMMYFUNCTION("""COMPUTED_VALUE"""),491.61)</f>
        <v>491.61</v>
      </c>
      <c r="N1002" s="1">
        <f ca="1">IFERROR(__xludf.DUMMYFUNCTION("""COMPUTED_VALUE"""),167.5)</f>
        <v>167.5</v>
      </c>
      <c r="O1002" s="1">
        <f ca="1">IFERROR(__xludf.DUMMYFUNCTION("""COMPUTED_VALUE"""),259.54)</f>
        <v>259.54000000000002</v>
      </c>
      <c r="P1002" s="1">
        <f ca="1">IFERROR(__xludf.DUMMYFUNCTION("""COMPUTED_VALUE"""),154.84)</f>
        <v>154.84</v>
      </c>
      <c r="Q1002" s="1">
        <f ca="1">IFERROR(__xludf.DUMMYFUNCTION("""COMPUTED_VALUE"""),519.88)</f>
        <v>519.88</v>
      </c>
      <c r="R1002" s="1">
        <f ca="1">IFERROR(__xludf.DUMMYFUNCTION("""COMPUTED_VALUE"""),101.73)</f>
        <v>101.73</v>
      </c>
      <c r="S1002" s="1">
        <f ca="1">IFERROR(__xludf.DUMMYFUNCTION("""COMPUTED_VALUE"""),59.6)</f>
        <v>59.6</v>
      </c>
      <c r="T1002" s="1">
        <f ca="1">IFERROR(__xludf.DUMMYFUNCTION("""COMPUTED_VALUE"""),51.6)</f>
        <v>51.6</v>
      </c>
      <c r="U1002" s="1">
        <f ca="1">IFERROR(__xludf.DUMMYFUNCTION("""COMPUTED_VALUE"""),122.53)</f>
        <v>122.53</v>
      </c>
      <c r="V1002" s="1">
        <f ca="1">IFERROR(__xludf.DUMMYFUNCTION("""COMPUTED_VALUE"""),290.07)</f>
        <v>290.07</v>
      </c>
      <c r="W1002" s="1">
        <f ca="1">IFERROR(__xludf.DUMMYFUNCTION("""COMPUTED_VALUE"""),448.02)</f>
        <v>448.02</v>
      </c>
      <c r="X1002" s="1">
        <f ca="1">IFERROR(__xludf.DUMMYFUNCTION("""COMPUTED_VALUE"""),755.27)</f>
        <v>755.27</v>
      </c>
      <c r="Y1002" s="1">
        <f ca="1">IFERROR(__xludf.DUMMYFUNCTION("""COMPUTED_VALUE"""),102.55)</f>
        <v>102.55</v>
      </c>
      <c r="Z1002" s="1">
        <f ca="1">IFERROR(__xludf.DUMMYFUNCTION("""COMPUTED_VALUE"""),380.57)</f>
        <v>380.57</v>
      </c>
      <c r="AA1002" s="1">
        <f ca="1">IFERROR(__xludf.DUMMYFUNCTION("""COMPUTED_VALUE"""),28.31)</f>
        <v>28.31</v>
      </c>
      <c r="AB1002" s="1">
        <f ca="1">IFERROR(__xludf.DUMMYFUNCTION("""COMPUTED_VALUE"""),95.33)</f>
        <v>95.33</v>
      </c>
      <c r="AC1002" s="1">
        <f ca="1">IFERROR(__xludf.DUMMYFUNCTION("""COMPUTED_VALUE"""),139.91)</f>
        <v>139.91</v>
      </c>
    </row>
    <row r="1003" spans="1:29" x14ac:dyDescent="0.25">
      <c r="A1003" s="2">
        <f ca="1">IFERROR(__xludf.DUMMYFUNCTION("""COMPUTED_VALUE"""),45282.6666666666)</f>
        <v>45282.666666666599</v>
      </c>
      <c r="B1003" s="1">
        <f ca="1">IFERROR(__xludf.DUMMYFUNCTION("""COMPUTED_VALUE"""),193.6)</f>
        <v>193.6</v>
      </c>
      <c r="C1003" s="1">
        <f ca="1">IFERROR(__xludf.DUMMYFUNCTION("""COMPUTED_VALUE"""),374.58)</f>
        <v>374.58</v>
      </c>
      <c r="D1003" s="1">
        <f ca="1">IFERROR(__xludf.DUMMYFUNCTION("""COMPUTED_VALUE"""),153.42)</f>
        <v>153.41999999999999</v>
      </c>
      <c r="E1003" s="1">
        <f ca="1">IFERROR(__xludf.DUMMYFUNCTION("""COMPUTED_VALUE"""),48.83)</f>
        <v>48.83</v>
      </c>
      <c r="F1003" s="1">
        <f ca="1">IFERROR(__xludf.DUMMYFUNCTION("""COMPUTED_VALUE"""),353.39)</f>
        <v>353.39</v>
      </c>
      <c r="G1003" s="1">
        <f ca="1">IFERROR(__xludf.DUMMYFUNCTION("""COMPUTED_VALUE"""),142.72)</f>
        <v>142.72</v>
      </c>
      <c r="H1003" s="1">
        <f ca="1">IFERROR(__xludf.DUMMYFUNCTION("""COMPUTED_VALUE"""),252.54)</f>
        <v>252.54</v>
      </c>
      <c r="I1003" s="1">
        <f ca="1">IFERROR(__xludf.DUMMYFUNCTION("""COMPUTED_VALUE"""),167.68)</f>
        <v>167.68</v>
      </c>
      <c r="J1003" s="1">
        <f ca="1">IFERROR(__xludf.DUMMYFUNCTION("""COMPUTED_VALUE"""),671.6)</f>
        <v>671.6</v>
      </c>
      <c r="K1003" s="1">
        <f ca="1">IFERROR(__xludf.DUMMYFUNCTION("""COMPUTED_VALUE"""),112.2)</f>
        <v>112.2</v>
      </c>
      <c r="L1003" s="1">
        <f ca="1">IFERROR(__xludf.DUMMYFUNCTION("""COMPUTED_VALUE"""),598.75)</f>
        <v>598.75</v>
      </c>
      <c r="M1003" s="1">
        <f ca="1">IFERROR(__xludf.DUMMYFUNCTION("""COMPUTED_VALUE"""),486.76)</f>
        <v>486.76</v>
      </c>
      <c r="N1003" s="1">
        <f ca="1">IFERROR(__xludf.DUMMYFUNCTION("""COMPUTED_VALUE"""),167.4)</f>
        <v>167.4</v>
      </c>
      <c r="O1003" s="1">
        <f ca="1">IFERROR(__xludf.DUMMYFUNCTION("""COMPUTED_VALUE"""),258.43)</f>
        <v>258.43</v>
      </c>
      <c r="P1003" s="1">
        <f ca="1">IFERROR(__xludf.DUMMYFUNCTION("""COMPUTED_VALUE"""),155.46)</f>
        <v>155.46</v>
      </c>
      <c r="Q1003" s="1">
        <f ca="1">IFERROR(__xludf.DUMMYFUNCTION("""COMPUTED_VALUE"""),520.31)</f>
        <v>520.30999999999995</v>
      </c>
      <c r="R1003" s="1">
        <f ca="1">IFERROR(__xludf.DUMMYFUNCTION("""COMPUTED_VALUE"""),101.91)</f>
        <v>101.91</v>
      </c>
      <c r="S1003" s="1">
        <f ca="1">IFERROR(__xludf.DUMMYFUNCTION("""COMPUTED_VALUE"""),59.75)</f>
        <v>59.75</v>
      </c>
      <c r="T1003" s="1">
        <f ca="1">IFERROR(__xludf.DUMMYFUNCTION("""COMPUTED_VALUE"""),52.22)</f>
        <v>52.22</v>
      </c>
      <c r="U1003" s="1">
        <f ca="1">IFERROR(__xludf.DUMMYFUNCTION("""COMPUTED_VALUE"""),108.04)</f>
        <v>108.04</v>
      </c>
      <c r="V1003" s="1">
        <f ca="1">IFERROR(__xludf.DUMMYFUNCTION("""COMPUTED_VALUE"""),290.36)</f>
        <v>290.36</v>
      </c>
      <c r="W1003" s="1">
        <f ca="1">IFERROR(__xludf.DUMMYFUNCTION("""COMPUTED_VALUE"""),448.22)</f>
        <v>448.22</v>
      </c>
      <c r="X1003" s="1">
        <f ca="1">IFERROR(__xludf.DUMMYFUNCTION("""COMPUTED_VALUE"""),752.53)</f>
        <v>752.53</v>
      </c>
      <c r="Y1003" s="1">
        <f ca="1">IFERROR(__xludf.DUMMYFUNCTION("""COMPUTED_VALUE"""),103.15)</f>
        <v>103.15</v>
      </c>
      <c r="Z1003" s="1">
        <f ca="1">IFERROR(__xludf.DUMMYFUNCTION("""COMPUTED_VALUE"""),380.65)</f>
        <v>380.65</v>
      </c>
      <c r="AA1003" s="1">
        <f ca="1">IFERROR(__xludf.DUMMYFUNCTION("""COMPUTED_VALUE"""),28.4)</f>
        <v>28.4</v>
      </c>
      <c r="AB1003" s="1">
        <f ca="1">IFERROR(__xludf.DUMMYFUNCTION("""COMPUTED_VALUE"""),95.28)</f>
        <v>95.28</v>
      </c>
      <c r="AC1003" s="1">
        <f ca="1">IFERROR(__xludf.DUMMYFUNCTION("""COMPUTED_VALUE"""),139.6)</f>
        <v>139.6</v>
      </c>
    </row>
    <row r="1004" spans="1:29" x14ac:dyDescent="0.25">
      <c r="A1004" s="2">
        <f ca="1">IFERROR(__xludf.DUMMYFUNCTION("""COMPUTED_VALUE"""),45286.6666666666)</f>
        <v>45286.666666666599</v>
      </c>
      <c r="B1004" s="1">
        <f ca="1">IFERROR(__xludf.DUMMYFUNCTION("""COMPUTED_VALUE"""),193.05)</f>
        <v>193.05</v>
      </c>
      <c r="C1004" s="1">
        <f ca="1">IFERROR(__xludf.DUMMYFUNCTION("""COMPUTED_VALUE"""),374.66)</f>
        <v>374.66</v>
      </c>
      <c r="D1004" s="1">
        <f ca="1">IFERROR(__xludf.DUMMYFUNCTION("""COMPUTED_VALUE"""),153.41)</f>
        <v>153.41</v>
      </c>
      <c r="E1004" s="1">
        <f ca="1">IFERROR(__xludf.DUMMYFUNCTION("""COMPUTED_VALUE"""),49.28)</f>
        <v>49.28</v>
      </c>
      <c r="F1004" s="1">
        <f ca="1">IFERROR(__xludf.DUMMYFUNCTION("""COMPUTED_VALUE"""),354.83)</f>
        <v>354.83</v>
      </c>
      <c r="G1004" s="1">
        <f ca="1">IFERROR(__xludf.DUMMYFUNCTION("""COMPUTED_VALUE"""),142.82)</f>
        <v>142.82</v>
      </c>
      <c r="H1004" s="1">
        <f ca="1">IFERROR(__xludf.DUMMYFUNCTION("""COMPUTED_VALUE"""),256.61)</f>
        <v>256.61</v>
      </c>
      <c r="I1004" s="1">
        <f ca="1">IFERROR(__xludf.DUMMYFUNCTION("""COMPUTED_VALUE"""),168.86)</f>
        <v>168.86</v>
      </c>
      <c r="J1004" s="1">
        <f ca="1">IFERROR(__xludf.DUMMYFUNCTION("""COMPUTED_VALUE"""),674.62)</f>
        <v>674.62</v>
      </c>
      <c r="K1004" s="1">
        <f ca="1">IFERROR(__xludf.DUMMYFUNCTION("""COMPUTED_VALUE"""),113.19)</f>
        <v>113.19</v>
      </c>
      <c r="L1004" s="1">
        <f ca="1">IFERROR(__xludf.DUMMYFUNCTION("""COMPUTED_VALUE"""),598.26)</f>
        <v>598.26</v>
      </c>
      <c r="M1004" s="1">
        <f ca="1">IFERROR(__xludf.DUMMYFUNCTION("""COMPUTED_VALUE"""),491.19)</f>
        <v>491.19</v>
      </c>
      <c r="N1004" s="1">
        <f ca="1">IFERROR(__xludf.DUMMYFUNCTION("""COMPUTED_VALUE"""),168.39)</f>
        <v>168.39</v>
      </c>
      <c r="O1004" s="1">
        <f ca="1">IFERROR(__xludf.DUMMYFUNCTION("""COMPUTED_VALUE"""),259.16)</f>
        <v>259.16000000000003</v>
      </c>
      <c r="P1004" s="1">
        <f ca="1">IFERROR(__xludf.DUMMYFUNCTION("""COMPUTED_VALUE"""),156.14)</f>
        <v>156.13999999999999</v>
      </c>
      <c r="Q1004" s="1">
        <f ca="1">IFERROR(__xludf.DUMMYFUNCTION("""COMPUTED_VALUE"""),520.03)</f>
        <v>520.03</v>
      </c>
      <c r="R1004" s="1">
        <f ca="1">IFERROR(__xludf.DUMMYFUNCTION("""COMPUTED_VALUE"""),102.14)</f>
        <v>102.14</v>
      </c>
      <c r="S1004" s="1">
        <f ca="1">IFERROR(__xludf.DUMMYFUNCTION("""COMPUTED_VALUE"""),60.21)</f>
        <v>60.21</v>
      </c>
      <c r="T1004" s="1">
        <f ca="1">IFERROR(__xludf.DUMMYFUNCTION("""COMPUTED_VALUE"""),52.14)</f>
        <v>52.14</v>
      </c>
      <c r="U1004" s="1">
        <f ca="1">IFERROR(__xludf.DUMMYFUNCTION("""COMPUTED_VALUE"""),108.02)</f>
        <v>108.02</v>
      </c>
      <c r="V1004" s="1">
        <f ca="1">IFERROR(__xludf.DUMMYFUNCTION("""COMPUTED_VALUE"""),295.63)</f>
        <v>295.63</v>
      </c>
      <c r="W1004" s="1">
        <f ca="1">IFERROR(__xludf.DUMMYFUNCTION("""COMPUTED_VALUE"""),450.18)</f>
        <v>450.18</v>
      </c>
      <c r="X1004" s="1">
        <f ca="1">IFERROR(__xludf.DUMMYFUNCTION("""COMPUTED_VALUE"""),762.68)</f>
        <v>762.68</v>
      </c>
      <c r="Y1004" s="1">
        <f ca="1">IFERROR(__xludf.DUMMYFUNCTION("""COMPUTED_VALUE"""),104.45)</f>
        <v>104.45</v>
      </c>
      <c r="Z1004" s="1">
        <f ca="1">IFERROR(__xludf.DUMMYFUNCTION("""COMPUTED_VALUE"""),381.61)</f>
        <v>381.61</v>
      </c>
      <c r="AA1004" s="1">
        <f ca="1">IFERROR(__xludf.DUMMYFUNCTION("""COMPUTED_VALUE"""),28.41)</f>
        <v>28.41</v>
      </c>
      <c r="AB1004" s="1">
        <f ca="1">IFERROR(__xludf.DUMMYFUNCTION("""COMPUTED_VALUE"""),95.67)</f>
        <v>95.67</v>
      </c>
      <c r="AC1004" s="1">
        <f ca="1">IFERROR(__xludf.DUMMYFUNCTION("""COMPUTED_VALUE"""),143.41)</f>
        <v>143.41</v>
      </c>
    </row>
    <row r="1005" spans="1:29" x14ac:dyDescent="0.25">
      <c r="A1005" s="2">
        <f ca="1">IFERROR(__xludf.DUMMYFUNCTION("""COMPUTED_VALUE"""),45287.6666666666)</f>
        <v>45287.666666666599</v>
      </c>
      <c r="B1005" s="1">
        <f ca="1">IFERROR(__xludf.DUMMYFUNCTION("""COMPUTED_VALUE"""),193.15)</f>
        <v>193.15</v>
      </c>
      <c r="C1005" s="1">
        <f ca="1">IFERROR(__xludf.DUMMYFUNCTION("""COMPUTED_VALUE"""),374.07)</f>
        <v>374.07</v>
      </c>
      <c r="D1005" s="1">
        <f ca="1">IFERROR(__xludf.DUMMYFUNCTION("""COMPUTED_VALUE"""),153.34)</f>
        <v>153.34</v>
      </c>
      <c r="E1005" s="1">
        <f ca="1">IFERROR(__xludf.DUMMYFUNCTION("""COMPUTED_VALUE"""),49.42)</f>
        <v>49.42</v>
      </c>
      <c r="F1005" s="1">
        <f ca="1">IFERROR(__xludf.DUMMYFUNCTION("""COMPUTED_VALUE"""),357.83)</f>
        <v>357.83</v>
      </c>
      <c r="G1005" s="1">
        <f ca="1">IFERROR(__xludf.DUMMYFUNCTION("""COMPUTED_VALUE"""),141.44)</f>
        <v>141.44</v>
      </c>
      <c r="H1005" s="1">
        <f ca="1">IFERROR(__xludf.DUMMYFUNCTION("""COMPUTED_VALUE"""),261.44)</f>
        <v>261.44</v>
      </c>
      <c r="I1005" s="1">
        <f ca="1">IFERROR(__xludf.DUMMYFUNCTION("""COMPUTED_VALUE"""),169.4)</f>
        <v>169.4</v>
      </c>
      <c r="J1005" s="1">
        <f ca="1">IFERROR(__xludf.DUMMYFUNCTION("""COMPUTED_VALUE"""),666.8)</f>
        <v>666.8</v>
      </c>
      <c r="K1005" s="1">
        <f ca="1">IFERROR(__xludf.DUMMYFUNCTION("""COMPUTED_VALUE"""),112.62)</f>
        <v>112.62</v>
      </c>
      <c r="L1005" s="1">
        <f ca="1">IFERROR(__xludf.DUMMYFUNCTION("""COMPUTED_VALUE"""),596.08)</f>
        <v>596.08000000000004</v>
      </c>
      <c r="M1005" s="1">
        <f ca="1">IFERROR(__xludf.DUMMYFUNCTION("""COMPUTED_VALUE"""),491.79)</f>
        <v>491.79</v>
      </c>
      <c r="N1005" s="1">
        <f ca="1">IFERROR(__xludf.DUMMYFUNCTION("""COMPUTED_VALUE"""),169.4)</f>
        <v>169.4</v>
      </c>
      <c r="O1005" s="1">
        <f ca="1">IFERROR(__xludf.DUMMYFUNCTION("""COMPUTED_VALUE"""),258.93)</f>
        <v>258.93</v>
      </c>
      <c r="P1005" s="1">
        <f ca="1">IFERROR(__xludf.DUMMYFUNCTION("""COMPUTED_VALUE"""),156.35)</f>
        <v>156.35</v>
      </c>
      <c r="Q1005" s="1">
        <f ca="1">IFERROR(__xludf.DUMMYFUNCTION("""COMPUTED_VALUE"""),522.79)</f>
        <v>522.79</v>
      </c>
      <c r="R1005" s="1">
        <f ca="1">IFERROR(__xludf.DUMMYFUNCTION("""COMPUTED_VALUE"""),101.66)</f>
        <v>101.66</v>
      </c>
      <c r="S1005" s="1">
        <f ca="1">IFERROR(__xludf.DUMMYFUNCTION("""COMPUTED_VALUE"""),60.58)</f>
        <v>60.58</v>
      </c>
      <c r="T1005" s="1">
        <f ca="1">IFERROR(__xludf.DUMMYFUNCTION("""COMPUTED_VALUE"""),52.63)</f>
        <v>52.63</v>
      </c>
      <c r="U1005" s="1">
        <f ca="1">IFERROR(__xludf.DUMMYFUNCTION("""COMPUTED_VALUE"""),107.13)</f>
        <v>107.13</v>
      </c>
      <c r="V1005" s="1">
        <f ca="1">IFERROR(__xludf.DUMMYFUNCTION("""COMPUTED_VALUE"""),298.12)</f>
        <v>298.12</v>
      </c>
      <c r="W1005" s="1">
        <f ca="1">IFERROR(__xludf.DUMMYFUNCTION("""COMPUTED_VALUE"""),448.97)</f>
        <v>448.97</v>
      </c>
      <c r="X1005" s="1">
        <f ca="1">IFERROR(__xludf.DUMMYFUNCTION("""COMPUTED_VALUE"""),764.03)</f>
        <v>764.03</v>
      </c>
      <c r="Y1005" s="1">
        <f ca="1">IFERROR(__xludf.DUMMYFUNCTION("""COMPUTED_VALUE"""),104.65)</f>
        <v>104.65</v>
      </c>
      <c r="Z1005" s="1">
        <f ca="1">IFERROR(__xludf.DUMMYFUNCTION("""COMPUTED_VALUE"""),384.48)</f>
        <v>384.48</v>
      </c>
      <c r="AA1005" s="1">
        <f ca="1">IFERROR(__xludf.DUMMYFUNCTION("""COMPUTED_VALUE"""),28.61)</f>
        <v>28.61</v>
      </c>
      <c r="AB1005" s="1">
        <f ca="1">IFERROR(__xludf.DUMMYFUNCTION("""COMPUTED_VALUE"""),95.29)</f>
        <v>95.29</v>
      </c>
      <c r="AC1005" s="1">
        <f ca="1">IFERROR(__xludf.DUMMYFUNCTION("""COMPUTED_VALUE"""),146.07)</f>
        <v>146.07</v>
      </c>
    </row>
    <row r="1006" spans="1:29" x14ac:dyDescent="0.25">
      <c r="A1006" s="2">
        <f ca="1">IFERROR(__xludf.DUMMYFUNCTION("""COMPUTED_VALUE"""),45288.6666666666)</f>
        <v>45288.666666666599</v>
      </c>
      <c r="B1006" s="1">
        <f ca="1">IFERROR(__xludf.DUMMYFUNCTION("""COMPUTED_VALUE"""),193.58)</f>
        <v>193.58</v>
      </c>
      <c r="C1006" s="1">
        <f ca="1">IFERROR(__xludf.DUMMYFUNCTION("""COMPUTED_VALUE"""),375.28)</f>
        <v>375.28</v>
      </c>
      <c r="D1006" s="1">
        <f ca="1">IFERROR(__xludf.DUMMYFUNCTION("""COMPUTED_VALUE"""),153.38)</f>
        <v>153.38</v>
      </c>
      <c r="E1006" s="1">
        <f ca="1">IFERROR(__xludf.DUMMYFUNCTION("""COMPUTED_VALUE"""),49.52)</f>
        <v>49.52</v>
      </c>
      <c r="F1006" s="1">
        <f ca="1">IFERROR(__xludf.DUMMYFUNCTION("""COMPUTED_VALUE"""),358.32)</f>
        <v>358.32</v>
      </c>
      <c r="G1006" s="1">
        <f ca="1">IFERROR(__xludf.DUMMYFUNCTION("""COMPUTED_VALUE"""),141.28)</f>
        <v>141.28</v>
      </c>
      <c r="H1006" s="1">
        <f ca="1">IFERROR(__xludf.DUMMYFUNCTION("""COMPUTED_VALUE"""),253.18)</f>
        <v>253.18</v>
      </c>
      <c r="I1006" s="1">
        <f ca="1">IFERROR(__xludf.DUMMYFUNCTION("""COMPUTED_VALUE"""),169.39)</f>
        <v>169.39</v>
      </c>
      <c r="J1006" s="1">
        <f ca="1">IFERROR(__xludf.DUMMYFUNCTION("""COMPUTED_VALUE"""),663.1)</f>
        <v>663.1</v>
      </c>
      <c r="K1006" s="1">
        <f ca="1">IFERROR(__xludf.DUMMYFUNCTION("""COMPUTED_VALUE"""),112.24)</f>
        <v>112.24</v>
      </c>
      <c r="L1006" s="1">
        <f ca="1">IFERROR(__xludf.DUMMYFUNCTION("""COMPUTED_VALUE"""),595.52)</f>
        <v>595.52</v>
      </c>
      <c r="M1006" s="1">
        <f ca="1">IFERROR(__xludf.DUMMYFUNCTION("""COMPUTED_VALUE"""),490.51)</f>
        <v>490.51</v>
      </c>
      <c r="N1006" s="1">
        <f ca="1">IFERROR(__xludf.DUMMYFUNCTION("""COMPUTED_VALUE"""),170.3)</f>
        <v>170.3</v>
      </c>
      <c r="O1006" s="1">
        <f ca="1">IFERROR(__xludf.DUMMYFUNCTION("""COMPUTED_VALUE"""),260.4)</f>
        <v>260.39999999999998</v>
      </c>
      <c r="P1006" s="1">
        <f ca="1">IFERROR(__xludf.DUMMYFUNCTION("""COMPUTED_VALUE"""),156.58)</f>
        <v>156.58000000000001</v>
      </c>
      <c r="Q1006" s="1">
        <f ca="1">IFERROR(__xludf.DUMMYFUNCTION("""COMPUTED_VALUE"""),524.9)</f>
        <v>524.9</v>
      </c>
      <c r="R1006" s="1">
        <f ca="1">IFERROR(__xludf.DUMMYFUNCTION("""COMPUTED_VALUE"""),100.19)</f>
        <v>100.19</v>
      </c>
      <c r="S1006" s="1">
        <f ca="1">IFERROR(__xludf.DUMMYFUNCTION("""COMPUTED_VALUE"""),61.02)</f>
        <v>61.02</v>
      </c>
      <c r="T1006" s="1">
        <f ca="1">IFERROR(__xludf.DUMMYFUNCTION("""COMPUTED_VALUE"""),52.52)</f>
        <v>52.52</v>
      </c>
      <c r="U1006" s="1">
        <f ca="1">IFERROR(__xludf.DUMMYFUNCTION("""COMPUTED_VALUE"""),108.82)</f>
        <v>108.82</v>
      </c>
      <c r="V1006" s="1">
        <f ca="1">IFERROR(__xludf.DUMMYFUNCTION("""COMPUTED_VALUE"""),296.88)</f>
        <v>296.88</v>
      </c>
      <c r="W1006" s="1">
        <f ca="1">IFERROR(__xludf.DUMMYFUNCTION("""COMPUTED_VALUE"""),451.23)</f>
        <v>451.23</v>
      </c>
      <c r="X1006" s="1">
        <f ca="1">IFERROR(__xludf.DUMMYFUNCTION("""COMPUTED_VALUE"""),757.85)</f>
        <v>757.85</v>
      </c>
      <c r="Y1006" s="1">
        <f ca="1">IFERROR(__xludf.DUMMYFUNCTION("""COMPUTED_VALUE"""),104.7)</f>
        <v>104.7</v>
      </c>
      <c r="Z1006" s="1">
        <f ca="1">IFERROR(__xludf.DUMMYFUNCTION("""COMPUTED_VALUE"""),386.41)</f>
        <v>386.41</v>
      </c>
      <c r="AA1006" s="1">
        <f ca="1">IFERROR(__xludf.DUMMYFUNCTION("""COMPUTED_VALUE"""),28.79)</f>
        <v>28.79</v>
      </c>
      <c r="AB1006" s="1">
        <f ca="1">IFERROR(__xludf.DUMMYFUNCTION("""COMPUTED_VALUE"""),95.93)</f>
        <v>95.93</v>
      </c>
      <c r="AC1006" s="1">
        <f ca="1">IFERROR(__xludf.DUMMYFUNCTION("""COMPUTED_VALUE"""),148.76)</f>
        <v>148.76</v>
      </c>
    </row>
    <row r="1007" spans="1:29" x14ac:dyDescent="0.25">
      <c r="A1007" s="2">
        <f ca="1">IFERROR(__xludf.DUMMYFUNCTION("""COMPUTED_VALUE"""),45289.6666666666)</f>
        <v>45289.666666666599</v>
      </c>
      <c r="B1007" s="1">
        <f ca="1">IFERROR(__xludf.DUMMYFUNCTION("""COMPUTED_VALUE"""),192.53)</f>
        <v>192.53</v>
      </c>
      <c r="C1007" s="1">
        <f ca="1">IFERROR(__xludf.DUMMYFUNCTION("""COMPUTED_VALUE"""),376.04)</f>
        <v>376.04</v>
      </c>
      <c r="D1007" s="1">
        <f ca="1">IFERROR(__xludf.DUMMYFUNCTION("""COMPUTED_VALUE"""),151.94)</f>
        <v>151.94</v>
      </c>
      <c r="E1007" s="1">
        <f ca="1">IFERROR(__xludf.DUMMYFUNCTION("""COMPUTED_VALUE"""),49.52)</f>
        <v>49.52</v>
      </c>
      <c r="F1007" s="1">
        <f ca="1">IFERROR(__xludf.DUMMYFUNCTION("""COMPUTED_VALUE"""),353.96)</f>
        <v>353.96</v>
      </c>
      <c r="G1007" s="1">
        <f ca="1">IFERROR(__xludf.DUMMYFUNCTION("""COMPUTED_VALUE"""),140.93)</f>
        <v>140.93</v>
      </c>
      <c r="H1007" s="1">
        <f ca="1">IFERROR(__xludf.DUMMYFUNCTION("""COMPUTED_VALUE"""),248.48)</f>
        <v>248.48</v>
      </c>
      <c r="I1007" s="1">
        <f ca="1">IFERROR(__xludf.DUMMYFUNCTION("""COMPUTED_VALUE"""),169.84)</f>
        <v>169.84</v>
      </c>
      <c r="J1007" s="1">
        <f ca="1">IFERROR(__xludf.DUMMYFUNCTION("""COMPUTED_VALUE"""),660.08)</f>
        <v>660.08</v>
      </c>
      <c r="K1007" s="1">
        <f ca="1">IFERROR(__xludf.DUMMYFUNCTION("""COMPUTED_VALUE"""),111.63)</f>
        <v>111.63</v>
      </c>
      <c r="L1007" s="1">
        <f ca="1">IFERROR(__xludf.DUMMYFUNCTION("""COMPUTED_VALUE"""),596.6)</f>
        <v>596.6</v>
      </c>
      <c r="M1007" s="1">
        <f ca="1">IFERROR(__xludf.DUMMYFUNCTION("""COMPUTED_VALUE"""),486.88)</f>
        <v>486.88</v>
      </c>
      <c r="N1007" s="1">
        <f ca="1">IFERROR(__xludf.DUMMYFUNCTION("""COMPUTED_VALUE"""),170.1)</f>
        <v>170.1</v>
      </c>
      <c r="O1007" s="1">
        <f ca="1">IFERROR(__xludf.DUMMYFUNCTION("""COMPUTED_VALUE"""),260.35)</f>
        <v>260.35000000000002</v>
      </c>
      <c r="P1007" s="1">
        <f ca="1">IFERROR(__xludf.DUMMYFUNCTION("""COMPUTED_VALUE"""),156.74)</f>
        <v>156.74</v>
      </c>
      <c r="Q1007" s="1">
        <f ca="1">IFERROR(__xludf.DUMMYFUNCTION("""COMPUTED_VALUE"""),526.47)</f>
        <v>526.47</v>
      </c>
      <c r="R1007" s="1">
        <f ca="1">IFERROR(__xludf.DUMMYFUNCTION("""COMPUTED_VALUE"""),99.98)</f>
        <v>99.98</v>
      </c>
      <c r="S1007" s="1">
        <f ca="1">IFERROR(__xludf.DUMMYFUNCTION("""COMPUTED_VALUE"""),60.74)</f>
        <v>60.74</v>
      </c>
      <c r="T1007" s="1">
        <f ca="1">IFERROR(__xludf.DUMMYFUNCTION("""COMPUTED_VALUE"""),52.55)</f>
        <v>52.55</v>
      </c>
      <c r="U1007" s="1">
        <f ca="1">IFERROR(__xludf.DUMMYFUNCTION("""COMPUTED_VALUE"""),108.57)</f>
        <v>108.57</v>
      </c>
      <c r="V1007" s="1">
        <f ca="1">IFERROR(__xludf.DUMMYFUNCTION("""COMPUTED_VALUE"""),295.67)</f>
        <v>295.67</v>
      </c>
      <c r="W1007" s="1">
        <f ca="1">IFERROR(__xludf.DUMMYFUNCTION("""COMPUTED_VALUE"""),453.24)</f>
        <v>453.24</v>
      </c>
      <c r="X1007" s="1">
        <f ca="1">IFERROR(__xludf.DUMMYFUNCTION("""COMPUTED_VALUE"""),756.92)</f>
        <v>756.92</v>
      </c>
      <c r="Y1007" s="1">
        <f ca="1">IFERROR(__xludf.DUMMYFUNCTION("""COMPUTED_VALUE"""),104)</f>
        <v>104</v>
      </c>
      <c r="Z1007" s="1">
        <f ca="1">IFERROR(__xludf.DUMMYFUNCTION("""COMPUTED_VALUE"""),385.77)</f>
        <v>385.77</v>
      </c>
      <c r="AA1007" s="1">
        <f ca="1">IFERROR(__xludf.DUMMYFUNCTION("""COMPUTED_VALUE"""),28.79)</f>
        <v>28.79</v>
      </c>
      <c r="AB1007" s="1">
        <f ca="1">IFERROR(__xludf.DUMMYFUNCTION("""COMPUTED_VALUE"""),96.01)</f>
        <v>96.01</v>
      </c>
      <c r="AC1007" s="1">
        <f ca="1">IFERROR(__xludf.DUMMYFUNCTION("""COMPUTED_VALUE"""),147.41)</f>
        <v>147.41</v>
      </c>
    </row>
    <row r="1008" spans="1:29" x14ac:dyDescent="0.25">
      <c r="A1008" s="2">
        <f ca="1">IFERROR(__xludf.DUMMYFUNCTION("""COMPUTED_VALUE"""),45293.6666666666)</f>
        <v>45293.666666666599</v>
      </c>
      <c r="B1008" s="1">
        <f ca="1">IFERROR(__xludf.DUMMYFUNCTION("""COMPUTED_VALUE"""),185.64)</f>
        <v>185.64</v>
      </c>
      <c r="C1008" s="1">
        <f ca="1">IFERROR(__xludf.DUMMYFUNCTION("""COMPUTED_VALUE"""),370.87)</f>
        <v>370.87</v>
      </c>
      <c r="D1008" s="1">
        <f ca="1">IFERROR(__xludf.DUMMYFUNCTION("""COMPUTED_VALUE"""),149.93)</f>
        <v>149.93</v>
      </c>
      <c r="E1008" s="1">
        <f ca="1">IFERROR(__xludf.DUMMYFUNCTION("""COMPUTED_VALUE"""),48.17)</f>
        <v>48.17</v>
      </c>
      <c r="F1008" s="1">
        <f ca="1">IFERROR(__xludf.DUMMYFUNCTION("""COMPUTED_VALUE"""),346.29)</f>
        <v>346.29</v>
      </c>
      <c r="G1008" s="1">
        <f ca="1">IFERROR(__xludf.DUMMYFUNCTION("""COMPUTED_VALUE"""),139.56)</f>
        <v>139.56</v>
      </c>
      <c r="H1008" s="1">
        <f ca="1">IFERROR(__xludf.DUMMYFUNCTION("""COMPUTED_VALUE"""),248.42)</f>
        <v>248.42</v>
      </c>
      <c r="I1008" s="1">
        <f ca="1">IFERROR(__xludf.DUMMYFUNCTION("""COMPUTED_VALUE"""),172.91)</f>
        <v>172.91</v>
      </c>
      <c r="J1008" s="1">
        <f ca="1">IFERROR(__xludf.DUMMYFUNCTION("""COMPUTED_VALUE"""),650.65)</f>
        <v>650.65</v>
      </c>
      <c r="K1008" s="1">
        <f ca="1">IFERROR(__xludf.DUMMYFUNCTION("""COMPUTED_VALUE"""),108.54)</f>
        <v>108.54</v>
      </c>
      <c r="L1008" s="1">
        <f ca="1">IFERROR(__xludf.DUMMYFUNCTION("""COMPUTED_VALUE"""),580.07)</f>
        <v>580.07000000000005</v>
      </c>
      <c r="M1008" s="1">
        <f ca="1">IFERROR(__xludf.DUMMYFUNCTION("""COMPUTED_VALUE"""),468.5)</f>
        <v>468.5</v>
      </c>
      <c r="N1008" s="1">
        <f ca="1">IFERROR(__xludf.DUMMYFUNCTION("""COMPUTED_VALUE"""),172.08)</f>
        <v>172.08</v>
      </c>
      <c r="O1008" s="1">
        <f ca="1">IFERROR(__xludf.DUMMYFUNCTION("""COMPUTED_VALUE"""),258.87)</f>
        <v>258.87</v>
      </c>
      <c r="P1008" s="1">
        <f ca="1">IFERROR(__xludf.DUMMYFUNCTION("""COMPUTED_VALUE"""),159.97)</f>
        <v>159.97</v>
      </c>
      <c r="Q1008" s="1">
        <f ca="1">IFERROR(__xludf.DUMMYFUNCTION("""COMPUTED_VALUE"""),539.34)</f>
        <v>539.34</v>
      </c>
      <c r="R1008" s="1">
        <f ca="1">IFERROR(__xludf.DUMMYFUNCTION("""COMPUTED_VALUE"""),102.36)</f>
        <v>102.36</v>
      </c>
      <c r="S1008" s="1">
        <f ca="1">IFERROR(__xludf.DUMMYFUNCTION("""COMPUTED_VALUE"""),61.57)</f>
        <v>61.57</v>
      </c>
      <c r="T1008" s="1">
        <f ca="1">IFERROR(__xludf.DUMMYFUNCTION("""COMPUTED_VALUE"""),53.1)</f>
        <v>53.1</v>
      </c>
      <c r="U1008" s="1">
        <f ca="1">IFERROR(__xludf.DUMMYFUNCTION("""COMPUTED_VALUE"""),106.55)</f>
        <v>106.55</v>
      </c>
      <c r="V1008" s="1">
        <f ca="1">IFERROR(__xludf.DUMMYFUNCTION("""COMPUTED_VALUE"""),292.71)</f>
        <v>292.70999999999998</v>
      </c>
      <c r="W1008" s="1">
        <f ca="1">IFERROR(__xludf.DUMMYFUNCTION("""COMPUTED_VALUE"""),456.12)</f>
        <v>456.12</v>
      </c>
      <c r="X1008" s="1">
        <f ca="1">IFERROR(__xludf.DUMMYFUNCTION("""COMPUTED_VALUE"""),716.92)</f>
        <v>716.92</v>
      </c>
      <c r="Y1008" s="1">
        <f ca="1">IFERROR(__xludf.DUMMYFUNCTION("""COMPUTED_VALUE"""),101.53)</f>
        <v>101.53</v>
      </c>
      <c r="Z1008" s="1">
        <f ca="1">IFERROR(__xludf.DUMMYFUNCTION("""COMPUTED_VALUE"""),388.3)</f>
        <v>388.3</v>
      </c>
      <c r="AA1008" s="1">
        <f ca="1">IFERROR(__xludf.DUMMYFUNCTION("""COMPUTED_VALUE"""),29.73)</f>
        <v>29.73</v>
      </c>
      <c r="AB1008" s="1">
        <f ca="1">IFERROR(__xludf.DUMMYFUNCTION("""COMPUTED_VALUE"""),93.67)</f>
        <v>93.67</v>
      </c>
      <c r="AC1008" s="1">
        <f ca="1">IFERROR(__xludf.DUMMYFUNCTION("""COMPUTED_VALUE"""),138.58)</f>
        <v>138.58000000000001</v>
      </c>
    </row>
    <row r="1009" spans="1:29" x14ac:dyDescent="0.25">
      <c r="A1009" s="2">
        <f ca="1">IFERROR(__xludf.DUMMYFUNCTION("""COMPUTED_VALUE"""),45294.6666666666)</f>
        <v>45294.666666666599</v>
      </c>
      <c r="B1009" s="1">
        <f ca="1">IFERROR(__xludf.DUMMYFUNCTION("""COMPUTED_VALUE"""),184.25)</f>
        <v>184.25</v>
      </c>
      <c r="C1009" s="1">
        <f ca="1">IFERROR(__xludf.DUMMYFUNCTION("""COMPUTED_VALUE"""),370.6)</f>
        <v>370.6</v>
      </c>
      <c r="D1009" s="1">
        <f ca="1">IFERROR(__xludf.DUMMYFUNCTION("""COMPUTED_VALUE"""),148.47)</f>
        <v>148.47</v>
      </c>
      <c r="E1009" s="1">
        <f ca="1">IFERROR(__xludf.DUMMYFUNCTION("""COMPUTED_VALUE"""),47.57)</f>
        <v>47.57</v>
      </c>
      <c r="F1009" s="1">
        <f ca="1">IFERROR(__xludf.DUMMYFUNCTION("""COMPUTED_VALUE"""),344.47)</f>
        <v>344.47</v>
      </c>
      <c r="G1009" s="1">
        <f ca="1">IFERROR(__xludf.DUMMYFUNCTION("""COMPUTED_VALUE"""),140.36)</f>
        <v>140.36000000000001</v>
      </c>
      <c r="H1009" s="1">
        <f ca="1">IFERROR(__xludf.DUMMYFUNCTION("""COMPUTED_VALUE"""),238.45)</f>
        <v>238.45</v>
      </c>
      <c r="I1009" s="1">
        <f ca="1">IFERROR(__xludf.DUMMYFUNCTION("""COMPUTED_VALUE"""),172.95)</f>
        <v>172.95</v>
      </c>
      <c r="J1009" s="1">
        <f ca="1">IFERROR(__xludf.DUMMYFUNCTION("""COMPUTED_VALUE"""),644.69)</f>
        <v>644.69000000000005</v>
      </c>
      <c r="K1009" s="1">
        <f ca="1">IFERROR(__xludf.DUMMYFUNCTION("""COMPUTED_VALUE"""),105.86)</f>
        <v>105.86</v>
      </c>
      <c r="L1009" s="1">
        <f ca="1">IFERROR(__xludf.DUMMYFUNCTION("""COMPUTED_VALUE"""),571.79)</f>
        <v>571.79</v>
      </c>
      <c r="M1009" s="1">
        <f ca="1">IFERROR(__xludf.DUMMYFUNCTION("""COMPUTED_VALUE"""),470.26)</f>
        <v>470.26</v>
      </c>
      <c r="N1009" s="1">
        <f ca="1">IFERROR(__xludf.DUMMYFUNCTION("""COMPUTED_VALUE"""),171.33)</f>
        <v>171.33</v>
      </c>
      <c r="O1009" s="1">
        <f ca="1">IFERROR(__xludf.DUMMYFUNCTION("""COMPUTED_VALUE"""),257.98)</f>
        <v>257.98</v>
      </c>
      <c r="P1009" s="1">
        <f ca="1">IFERROR(__xludf.DUMMYFUNCTION("""COMPUTED_VALUE"""),160.97)</f>
        <v>160.97</v>
      </c>
      <c r="Q1009" s="1">
        <f ca="1">IFERROR(__xludf.DUMMYFUNCTION("""COMPUTED_VALUE"""),542.03)</f>
        <v>542.03</v>
      </c>
      <c r="R1009" s="1">
        <f ca="1">IFERROR(__xludf.DUMMYFUNCTION("""COMPUTED_VALUE"""),103.22)</f>
        <v>103.22</v>
      </c>
      <c r="S1009" s="1">
        <f ca="1">IFERROR(__xludf.DUMMYFUNCTION("""COMPUTED_VALUE"""),61.99)</f>
        <v>61.99</v>
      </c>
      <c r="T1009" s="1">
        <f ca="1">IFERROR(__xludf.DUMMYFUNCTION("""COMPUTED_VALUE"""),53.1)</f>
        <v>53.1</v>
      </c>
      <c r="U1009" s="1">
        <f ca="1">IFERROR(__xludf.DUMMYFUNCTION("""COMPUTED_VALUE"""),104.04)</f>
        <v>104.04</v>
      </c>
      <c r="V1009" s="1">
        <f ca="1">IFERROR(__xludf.DUMMYFUNCTION("""COMPUTED_VALUE"""),284.3)</f>
        <v>284.3</v>
      </c>
      <c r="W1009" s="1">
        <f ca="1">IFERROR(__xludf.DUMMYFUNCTION("""COMPUTED_VALUE"""),459.12)</f>
        <v>459.12</v>
      </c>
      <c r="X1009" s="1">
        <f ca="1">IFERROR(__xludf.DUMMYFUNCTION("""COMPUTED_VALUE"""),703.37)</f>
        <v>703.37</v>
      </c>
      <c r="Y1009" s="1">
        <f ca="1">IFERROR(__xludf.DUMMYFUNCTION("""COMPUTED_VALUE"""),100.17)</f>
        <v>100.17</v>
      </c>
      <c r="Z1009" s="1">
        <f ca="1">IFERROR(__xludf.DUMMYFUNCTION("""COMPUTED_VALUE"""),381.79)</f>
        <v>381.79</v>
      </c>
      <c r="AA1009" s="1">
        <f ca="1">IFERROR(__xludf.DUMMYFUNCTION("""COMPUTED_VALUE"""),29.73)</f>
        <v>29.73</v>
      </c>
      <c r="AB1009" s="1">
        <f ca="1">IFERROR(__xludf.DUMMYFUNCTION("""COMPUTED_VALUE"""),93.23)</f>
        <v>93.23</v>
      </c>
      <c r="AC1009" s="1">
        <f ca="1">IFERROR(__xludf.DUMMYFUNCTION("""COMPUTED_VALUE"""),135.32)</f>
        <v>135.32</v>
      </c>
    </row>
    <row r="1010" spans="1:29" x14ac:dyDescent="0.25">
      <c r="A1010" s="2">
        <f ca="1">IFERROR(__xludf.DUMMYFUNCTION("""COMPUTED_VALUE"""),45295.6666666666)</f>
        <v>45295.666666666599</v>
      </c>
      <c r="B1010" s="1">
        <f ca="1">IFERROR(__xludf.DUMMYFUNCTION("""COMPUTED_VALUE"""),181.91)</f>
        <v>181.91</v>
      </c>
      <c r="C1010" s="1">
        <f ca="1">IFERROR(__xludf.DUMMYFUNCTION("""COMPUTED_VALUE"""),367.94)</f>
        <v>367.94</v>
      </c>
      <c r="D1010" s="1">
        <f ca="1">IFERROR(__xludf.DUMMYFUNCTION("""COMPUTED_VALUE"""),144.57)</f>
        <v>144.57</v>
      </c>
      <c r="E1010" s="1">
        <f ca="1">IFERROR(__xludf.DUMMYFUNCTION("""COMPUTED_VALUE"""),48)</f>
        <v>48</v>
      </c>
      <c r="F1010" s="1">
        <f ca="1">IFERROR(__xludf.DUMMYFUNCTION("""COMPUTED_VALUE"""),347.12)</f>
        <v>347.12</v>
      </c>
      <c r="G1010" s="1">
        <f ca="1">IFERROR(__xludf.DUMMYFUNCTION("""COMPUTED_VALUE"""),138.04)</f>
        <v>138.04</v>
      </c>
      <c r="H1010" s="1">
        <f ca="1">IFERROR(__xludf.DUMMYFUNCTION("""COMPUTED_VALUE"""),237.93)</f>
        <v>237.93</v>
      </c>
      <c r="I1010" s="1">
        <f ca="1">IFERROR(__xludf.DUMMYFUNCTION("""COMPUTED_VALUE"""),171.47)</f>
        <v>171.47</v>
      </c>
      <c r="J1010" s="1">
        <f ca="1">IFERROR(__xludf.DUMMYFUNCTION("""COMPUTED_VALUE"""),648.35)</f>
        <v>648.35</v>
      </c>
      <c r="K1010" s="1">
        <f ca="1">IFERROR(__xludf.DUMMYFUNCTION("""COMPUTED_VALUE"""),104.9)</f>
        <v>104.9</v>
      </c>
      <c r="L1010" s="1">
        <f ca="1">IFERROR(__xludf.DUMMYFUNCTION("""COMPUTED_VALUE"""),567.05)</f>
        <v>567.04999999999995</v>
      </c>
      <c r="M1010" s="1">
        <f ca="1">IFERROR(__xludf.DUMMYFUNCTION("""COMPUTED_VALUE"""),474.67)</f>
        <v>474.67</v>
      </c>
      <c r="N1010" s="1">
        <f ca="1">IFERROR(__xludf.DUMMYFUNCTION("""COMPUTED_VALUE"""),171.41)</f>
        <v>171.41</v>
      </c>
      <c r="O1010" s="1">
        <f ca="1">IFERROR(__xludf.DUMMYFUNCTION("""COMPUTED_VALUE"""),259.61)</f>
        <v>259.61</v>
      </c>
      <c r="P1010" s="1">
        <f ca="1">IFERROR(__xludf.DUMMYFUNCTION("""COMPUTED_VALUE"""),160.63)</f>
        <v>160.63</v>
      </c>
      <c r="Q1010" s="1">
        <f ca="1">IFERROR(__xludf.DUMMYFUNCTION("""COMPUTED_VALUE"""),545.42)</f>
        <v>545.41999999999996</v>
      </c>
      <c r="R1010" s="1">
        <f ca="1">IFERROR(__xludf.DUMMYFUNCTION("""COMPUTED_VALUE"""),102.32)</f>
        <v>102.32</v>
      </c>
      <c r="S1010" s="1">
        <f ca="1">IFERROR(__xludf.DUMMYFUNCTION("""COMPUTED_VALUE"""),61.8)</f>
        <v>61.8</v>
      </c>
      <c r="T1010" s="1">
        <f ca="1">IFERROR(__xludf.DUMMYFUNCTION("""COMPUTED_VALUE"""),52.59)</f>
        <v>52.59</v>
      </c>
      <c r="U1010" s="1">
        <f ca="1">IFERROR(__xludf.DUMMYFUNCTION("""COMPUTED_VALUE"""),102.3)</f>
        <v>102.3</v>
      </c>
      <c r="V1010" s="1">
        <f ca="1">IFERROR(__xludf.DUMMYFUNCTION("""COMPUTED_VALUE"""),286.1)</f>
        <v>286.10000000000002</v>
      </c>
      <c r="W1010" s="1">
        <f ca="1">IFERROR(__xludf.DUMMYFUNCTION("""COMPUTED_VALUE"""),457.87)</f>
        <v>457.87</v>
      </c>
      <c r="X1010" s="1">
        <f ca="1">IFERROR(__xludf.DUMMYFUNCTION("""COMPUTED_VALUE"""),700.29)</f>
        <v>700.29</v>
      </c>
      <c r="Y1010" s="1">
        <f ca="1">IFERROR(__xludf.DUMMYFUNCTION("""COMPUTED_VALUE"""),99.13)</f>
        <v>99.13</v>
      </c>
      <c r="Z1010" s="1">
        <f ca="1">IFERROR(__xludf.DUMMYFUNCTION("""COMPUTED_VALUE"""),382.95)</f>
        <v>382.95</v>
      </c>
      <c r="AA1010" s="1">
        <f ca="1">IFERROR(__xludf.DUMMYFUNCTION("""COMPUTED_VALUE"""),29.09)</f>
        <v>29.09</v>
      </c>
      <c r="AB1010" s="1">
        <f ca="1">IFERROR(__xludf.DUMMYFUNCTION("""COMPUTED_VALUE"""),93.55)</f>
        <v>93.55</v>
      </c>
      <c r="AC1010" s="1">
        <f ca="1">IFERROR(__xludf.DUMMYFUNCTION("""COMPUTED_VALUE"""),136.01)</f>
        <v>136.01</v>
      </c>
    </row>
    <row r="1011" spans="1:29" x14ac:dyDescent="0.25">
      <c r="A1011" s="2">
        <f ca="1">IFERROR(__xludf.DUMMYFUNCTION("""COMPUTED_VALUE"""),45296.6666666666)</f>
        <v>45296.666666666599</v>
      </c>
      <c r="B1011" s="1">
        <f ca="1">IFERROR(__xludf.DUMMYFUNCTION("""COMPUTED_VALUE"""),181.18)</f>
        <v>181.18</v>
      </c>
      <c r="C1011" s="1">
        <f ca="1">IFERROR(__xludf.DUMMYFUNCTION("""COMPUTED_VALUE"""),367.75)</f>
        <v>367.75</v>
      </c>
      <c r="D1011" s="1">
        <f ca="1">IFERROR(__xludf.DUMMYFUNCTION("""COMPUTED_VALUE"""),145.24)</f>
        <v>145.24</v>
      </c>
      <c r="E1011" s="1">
        <f ca="1">IFERROR(__xludf.DUMMYFUNCTION("""COMPUTED_VALUE"""),49.1)</f>
        <v>49.1</v>
      </c>
      <c r="F1011" s="1">
        <f ca="1">IFERROR(__xludf.DUMMYFUNCTION("""COMPUTED_VALUE"""),351.95)</f>
        <v>351.95</v>
      </c>
      <c r="G1011" s="1">
        <f ca="1">IFERROR(__xludf.DUMMYFUNCTION("""COMPUTED_VALUE"""),137.39)</f>
        <v>137.38999999999999</v>
      </c>
      <c r="H1011" s="1">
        <f ca="1">IFERROR(__xludf.DUMMYFUNCTION("""COMPUTED_VALUE"""),237.49)</f>
        <v>237.49</v>
      </c>
      <c r="I1011" s="1">
        <f ca="1">IFERROR(__xludf.DUMMYFUNCTION("""COMPUTED_VALUE"""),168.94)</f>
        <v>168.94</v>
      </c>
      <c r="J1011" s="1">
        <f ca="1">IFERROR(__xludf.DUMMYFUNCTION("""COMPUTED_VALUE"""),656.01)</f>
        <v>656.01</v>
      </c>
      <c r="K1011" s="1">
        <f ca="1">IFERROR(__xludf.DUMMYFUNCTION("""COMPUTED_VALUE"""),104.93)</f>
        <v>104.93</v>
      </c>
      <c r="L1011" s="1">
        <f ca="1">IFERROR(__xludf.DUMMYFUNCTION("""COMPUTED_VALUE"""),564.6)</f>
        <v>564.6</v>
      </c>
      <c r="M1011" s="1">
        <f ca="1">IFERROR(__xludf.DUMMYFUNCTION("""COMPUTED_VALUE"""),474.06)</f>
        <v>474.06</v>
      </c>
      <c r="N1011" s="1">
        <f ca="1">IFERROR(__xludf.DUMMYFUNCTION("""COMPUTED_VALUE"""),172.27)</f>
        <v>172.27</v>
      </c>
      <c r="O1011" s="1">
        <f ca="1">IFERROR(__xludf.DUMMYFUNCTION("""COMPUTED_VALUE"""),259.69)</f>
        <v>259.69</v>
      </c>
      <c r="P1011" s="1">
        <f ca="1">IFERROR(__xludf.DUMMYFUNCTION("""COMPUTED_VALUE"""),161.13)</f>
        <v>161.13</v>
      </c>
      <c r="Q1011" s="1">
        <f ca="1">IFERROR(__xludf.DUMMYFUNCTION("""COMPUTED_VALUE"""),537.38)</f>
        <v>537.38</v>
      </c>
      <c r="R1011" s="1">
        <f ca="1">IFERROR(__xludf.DUMMYFUNCTION("""COMPUTED_VALUE"""),102.63)</f>
        <v>102.63</v>
      </c>
      <c r="S1011" s="1">
        <f ca="1">IFERROR(__xludf.DUMMYFUNCTION("""COMPUTED_VALUE"""),62.08)</f>
        <v>62.08</v>
      </c>
      <c r="T1011" s="1">
        <f ca="1">IFERROR(__xludf.DUMMYFUNCTION("""COMPUTED_VALUE"""),52.24)</f>
        <v>52.24</v>
      </c>
      <c r="U1011" s="1">
        <f ca="1">IFERROR(__xludf.DUMMYFUNCTION("""COMPUTED_VALUE"""),102.08)</f>
        <v>102.08</v>
      </c>
      <c r="V1011" s="1">
        <f ca="1">IFERROR(__xludf.DUMMYFUNCTION("""COMPUTED_VALUE"""),288.93)</f>
        <v>288.93</v>
      </c>
      <c r="W1011" s="1">
        <f ca="1">IFERROR(__xludf.DUMMYFUNCTION("""COMPUTED_VALUE"""),456.5)</f>
        <v>456.5</v>
      </c>
      <c r="X1011" s="1">
        <f ca="1">IFERROR(__xludf.DUMMYFUNCTION("""COMPUTED_VALUE"""),703.34)</f>
        <v>703.34</v>
      </c>
      <c r="Y1011" s="1">
        <f ca="1">IFERROR(__xludf.DUMMYFUNCTION("""COMPUTED_VALUE"""),99.61)</f>
        <v>99.61</v>
      </c>
      <c r="Z1011" s="1">
        <f ca="1">IFERROR(__xludf.DUMMYFUNCTION("""COMPUTED_VALUE"""),386.44)</f>
        <v>386.44</v>
      </c>
      <c r="AA1011" s="1">
        <f ca="1">IFERROR(__xludf.DUMMYFUNCTION("""COMPUTED_VALUE"""),29.47)</f>
        <v>29.47</v>
      </c>
      <c r="AB1011" s="1">
        <f ca="1">IFERROR(__xludf.DUMMYFUNCTION("""COMPUTED_VALUE"""),92.99)</f>
        <v>92.99</v>
      </c>
      <c r="AC1011" s="1">
        <f ca="1">IFERROR(__xludf.DUMMYFUNCTION("""COMPUTED_VALUE"""),138.58)</f>
        <v>138.58000000000001</v>
      </c>
    </row>
    <row r="1012" spans="1:29" x14ac:dyDescent="0.25">
      <c r="A1012" s="2">
        <f ca="1">IFERROR(__xludf.DUMMYFUNCTION("""COMPUTED_VALUE"""),45299.6666666666)</f>
        <v>45299.666666666599</v>
      </c>
      <c r="B1012" s="1">
        <f ca="1">IFERROR(__xludf.DUMMYFUNCTION("""COMPUTED_VALUE"""),185.56)</f>
        <v>185.56</v>
      </c>
      <c r="C1012" s="1">
        <f ca="1">IFERROR(__xludf.DUMMYFUNCTION("""COMPUTED_VALUE"""),374.69)</f>
        <v>374.69</v>
      </c>
      <c r="D1012" s="1">
        <f ca="1">IFERROR(__xludf.DUMMYFUNCTION("""COMPUTED_VALUE"""),149.1)</f>
        <v>149.1</v>
      </c>
      <c r="E1012" s="1">
        <f ca="1">IFERROR(__xludf.DUMMYFUNCTION("""COMPUTED_VALUE"""),52.25)</f>
        <v>52.25</v>
      </c>
      <c r="F1012" s="1">
        <f ca="1">IFERROR(__xludf.DUMMYFUNCTION("""COMPUTED_VALUE"""),358.66)</f>
        <v>358.66</v>
      </c>
      <c r="G1012" s="1">
        <f ca="1">IFERROR(__xludf.DUMMYFUNCTION("""COMPUTED_VALUE"""),140.53)</f>
        <v>140.53</v>
      </c>
      <c r="H1012" s="1">
        <f ca="1">IFERROR(__xludf.DUMMYFUNCTION("""COMPUTED_VALUE"""),240.45)</f>
        <v>240.45</v>
      </c>
      <c r="I1012" s="1">
        <f ca="1">IFERROR(__xludf.DUMMYFUNCTION("""COMPUTED_VALUE"""),169.11)</f>
        <v>169.11</v>
      </c>
      <c r="J1012" s="1">
        <f ca="1">IFERROR(__xludf.DUMMYFUNCTION("""COMPUTED_VALUE"""),661.69)</f>
        <v>661.69</v>
      </c>
      <c r="K1012" s="1">
        <f ca="1">IFERROR(__xludf.DUMMYFUNCTION("""COMPUTED_VALUE"""),107.49)</f>
        <v>107.49</v>
      </c>
      <c r="L1012" s="1">
        <f ca="1">IFERROR(__xludf.DUMMYFUNCTION("""COMPUTED_VALUE"""),580.55)</f>
        <v>580.54999999999995</v>
      </c>
      <c r="M1012" s="1">
        <f ca="1">IFERROR(__xludf.DUMMYFUNCTION("""COMPUTED_VALUE"""),485.03)</f>
        <v>485.03</v>
      </c>
      <c r="N1012" s="1">
        <f ca="1">IFERROR(__xludf.DUMMYFUNCTION("""COMPUTED_VALUE"""),172.02)</f>
        <v>172.02</v>
      </c>
      <c r="O1012" s="1">
        <f ca="1">IFERROR(__xludf.DUMMYFUNCTION("""COMPUTED_VALUE"""),262.54)</f>
        <v>262.54000000000002</v>
      </c>
      <c r="P1012" s="1">
        <f ca="1">IFERROR(__xludf.DUMMYFUNCTION("""COMPUTED_VALUE"""),161.53)</f>
        <v>161.53</v>
      </c>
      <c r="Q1012" s="1">
        <f ca="1">IFERROR(__xludf.DUMMYFUNCTION("""COMPUTED_VALUE"""),536.52)</f>
        <v>536.52</v>
      </c>
      <c r="R1012" s="1">
        <f ca="1">IFERROR(__xludf.DUMMYFUNCTION("""COMPUTED_VALUE"""),100.92)</f>
        <v>100.92</v>
      </c>
      <c r="S1012" s="1">
        <f ca="1">IFERROR(__xludf.DUMMYFUNCTION("""COMPUTED_VALUE"""),62.92)</f>
        <v>62.92</v>
      </c>
      <c r="T1012" s="1">
        <f ca="1">IFERROR(__xludf.DUMMYFUNCTION("""COMPUTED_VALUE"""),52.75)</f>
        <v>52.75</v>
      </c>
      <c r="U1012" s="1">
        <f ca="1">IFERROR(__xludf.DUMMYFUNCTION("""COMPUTED_VALUE"""),103.62)</f>
        <v>103.62</v>
      </c>
      <c r="V1012" s="1">
        <f ca="1">IFERROR(__xludf.DUMMYFUNCTION("""COMPUTED_VALUE"""),292.25)</f>
        <v>292.25</v>
      </c>
      <c r="W1012" s="1">
        <f ca="1">IFERROR(__xludf.DUMMYFUNCTION("""COMPUTED_VALUE"""),458.6)</f>
        <v>458.6</v>
      </c>
      <c r="X1012" s="1">
        <f ca="1">IFERROR(__xludf.DUMMYFUNCTION("""COMPUTED_VALUE"""),720.84)</f>
        <v>720.84</v>
      </c>
      <c r="Y1012" s="1">
        <f ca="1">IFERROR(__xludf.DUMMYFUNCTION("""COMPUTED_VALUE"""),102.24)</f>
        <v>102.24</v>
      </c>
      <c r="Z1012" s="1">
        <f ca="1">IFERROR(__xludf.DUMMYFUNCTION("""COMPUTED_VALUE"""),388.86)</f>
        <v>388.86</v>
      </c>
      <c r="AA1012" s="1">
        <f ca="1">IFERROR(__xludf.DUMMYFUNCTION("""COMPUTED_VALUE"""),29.58)</f>
        <v>29.58</v>
      </c>
      <c r="AB1012" s="1">
        <f ca="1">IFERROR(__xludf.DUMMYFUNCTION("""COMPUTED_VALUE"""),94.19)</f>
        <v>94.19</v>
      </c>
      <c r="AC1012" s="1">
        <f ca="1">IFERROR(__xludf.DUMMYFUNCTION("""COMPUTED_VALUE"""),146.18)</f>
        <v>146.18</v>
      </c>
    </row>
    <row r="1013" spans="1:29" x14ac:dyDescent="0.25">
      <c r="A1013" s="2">
        <f ca="1">IFERROR(__xludf.DUMMYFUNCTION("""COMPUTED_VALUE"""),45300.6666666666)</f>
        <v>45300.666666666599</v>
      </c>
      <c r="B1013" s="1">
        <f ca="1">IFERROR(__xludf.DUMMYFUNCTION("""COMPUTED_VALUE"""),185.14)</f>
        <v>185.14</v>
      </c>
      <c r="C1013" s="1">
        <f ca="1">IFERROR(__xludf.DUMMYFUNCTION("""COMPUTED_VALUE"""),375.79)</f>
        <v>375.79</v>
      </c>
      <c r="D1013" s="1">
        <f ca="1">IFERROR(__xludf.DUMMYFUNCTION("""COMPUTED_VALUE"""),151.37)</f>
        <v>151.37</v>
      </c>
      <c r="E1013" s="1">
        <f ca="1">IFERROR(__xludf.DUMMYFUNCTION("""COMPUTED_VALUE"""),53.14)</f>
        <v>53.14</v>
      </c>
      <c r="F1013" s="1">
        <f ca="1">IFERROR(__xludf.DUMMYFUNCTION("""COMPUTED_VALUE"""),357.43)</f>
        <v>357.43</v>
      </c>
      <c r="G1013" s="1">
        <f ca="1">IFERROR(__xludf.DUMMYFUNCTION("""COMPUTED_VALUE"""),142.56)</f>
        <v>142.56</v>
      </c>
      <c r="H1013" s="1">
        <f ca="1">IFERROR(__xludf.DUMMYFUNCTION("""COMPUTED_VALUE"""),234.96)</f>
        <v>234.96</v>
      </c>
      <c r="I1013" s="1">
        <f ca="1">IFERROR(__xludf.DUMMYFUNCTION("""COMPUTED_VALUE"""),167.17)</f>
        <v>167.17</v>
      </c>
      <c r="J1013" s="1">
        <f ca="1">IFERROR(__xludf.DUMMYFUNCTION("""COMPUTED_VALUE"""),667.18)</f>
        <v>667.18</v>
      </c>
      <c r="K1013" s="1">
        <f ca="1">IFERROR(__xludf.DUMMYFUNCTION("""COMPUTED_VALUE"""),108.25)</f>
        <v>108.25</v>
      </c>
      <c r="L1013" s="1">
        <f ca="1">IFERROR(__xludf.DUMMYFUNCTION("""COMPUTED_VALUE"""),586.2)</f>
        <v>586.20000000000005</v>
      </c>
      <c r="M1013" s="1">
        <f ca="1">IFERROR(__xludf.DUMMYFUNCTION("""COMPUTED_VALUE"""),482.09)</f>
        <v>482.09</v>
      </c>
      <c r="N1013" s="1">
        <f ca="1">IFERROR(__xludf.DUMMYFUNCTION("""COMPUTED_VALUE"""),170.66)</f>
        <v>170.66</v>
      </c>
      <c r="O1013" s="1">
        <f ca="1">IFERROR(__xludf.DUMMYFUNCTION("""COMPUTED_VALUE"""),263.33)</f>
        <v>263.33</v>
      </c>
      <c r="P1013" s="1">
        <f ca="1">IFERROR(__xludf.DUMMYFUNCTION("""COMPUTED_VALUE"""),161.63)</f>
        <v>161.63</v>
      </c>
      <c r="Q1013" s="1">
        <f ca="1">IFERROR(__xludf.DUMMYFUNCTION("""COMPUTED_VALUE"""),538.37)</f>
        <v>538.37</v>
      </c>
      <c r="R1013" s="1">
        <f ca="1">IFERROR(__xludf.DUMMYFUNCTION("""COMPUTED_VALUE"""),99.67)</f>
        <v>99.67</v>
      </c>
      <c r="S1013" s="1">
        <f ca="1">IFERROR(__xludf.DUMMYFUNCTION("""COMPUTED_VALUE"""),62.01)</f>
        <v>62.01</v>
      </c>
      <c r="T1013" s="1">
        <f ca="1">IFERROR(__xludf.DUMMYFUNCTION("""COMPUTED_VALUE"""),53.1)</f>
        <v>53.1</v>
      </c>
      <c r="U1013" s="1">
        <f ca="1">IFERROR(__xludf.DUMMYFUNCTION("""COMPUTED_VALUE"""),102.74)</f>
        <v>102.74</v>
      </c>
      <c r="V1013" s="1">
        <f ca="1">IFERROR(__xludf.DUMMYFUNCTION("""COMPUTED_VALUE"""),292.29)</f>
        <v>292.29000000000002</v>
      </c>
      <c r="W1013" s="1">
        <f ca="1">IFERROR(__xludf.DUMMYFUNCTION("""COMPUTED_VALUE"""),456.29)</f>
        <v>456.29</v>
      </c>
      <c r="X1013" s="1">
        <f ca="1">IFERROR(__xludf.DUMMYFUNCTION("""COMPUTED_VALUE"""),715.95)</f>
        <v>715.95</v>
      </c>
      <c r="Y1013" s="1">
        <f ca="1">IFERROR(__xludf.DUMMYFUNCTION("""COMPUTED_VALUE"""),101.89)</f>
        <v>101.89</v>
      </c>
      <c r="Z1013" s="1">
        <f ca="1">IFERROR(__xludf.DUMMYFUNCTION("""COMPUTED_VALUE"""),383.74)</f>
        <v>383.74</v>
      </c>
      <c r="AA1013" s="1">
        <f ca="1">IFERROR(__xludf.DUMMYFUNCTION("""COMPUTED_VALUE"""),29.4)</f>
        <v>29.4</v>
      </c>
      <c r="AB1013" s="1">
        <f ca="1">IFERROR(__xludf.DUMMYFUNCTION("""COMPUTED_VALUE"""),93.09)</f>
        <v>93.09</v>
      </c>
      <c r="AC1013" s="1">
        <f ca="1">IFERROR(__xludf.DUMMYFUNCTION("""COMPUTED_VALUE"""),149.26)</f>
        <v>149.26</v>
      </c>
    </row>
    <row r="1014" spans="1:29" x14ac:dyDescent="0.25">
      <c r="A1014" s="2">
        <f ca="1">IFERROR(__xludf.DUMMYFUNCTION("""COMPUTED_VALUE"""),45301.6666666666)</f>
        <v>45301.666666666599</v>
      </c>
      <c r="B1014" s="1">
        <f ca="1">IFERROR(__xludf.DUMMYFUNCTION("""COMPUTED_VALUE"""),186.19)</f>
        <v>186.19</v>
      </c>
      <c r="C1014" s="1">
        <f ca="1">IFERROR(__xludf.DUMMYFUNCTION("""COMPUTED_VALUE"""),382.77)</f>
        <v>382.77</v>
      </c>
      <c r="D1014" s="1">
        <f ca="1">IFERROR(__xludf.DUMMYFUNCTION("""COMPUTED_VALUE"""),153.73)</f>
        <v>153.72999999999999</v>
      </c>
      <c r="E1014" s="1">
        <f ca="1">IFERROR(__xludf.DUMMYFUNCTION("""COMPUTED_VALUE"""),54.35)</f>
        <v>54.35</v>
      </c>
      <c r="F1014" s="1">
        <f ca="1">IFERROR(__xludf.DUMMYFUNCTION("""COMPUTED_VALUE"""),370.47)</f>
        <v>370.47</v>
      </c>
      <c r="G1014" s="1">
        <f ca="1">IFERROR(__xludf.DUMMYFUNCTION("""COMPUTED_VALUE"""),143.8)</f>
        <v>143.80000000000001</v>
      </c>
      <c r="H1014" s="1">
        <f ca="1">IFERROR(__xludf.DUMMYFUNCTION("""COMPUTED_VALUE"""),233.94)</f>
        <v>233.94</v>
      </c>
      <c r="I1014" s="1">
        <f ca="1">IFERROR(__xludf.DUMMYFUNCTION("""COMPUTED_VALUE"""),166.92)</f>
        <v>166.92</v>
      </c>
      <c r="J1014" s="1">
        <f ca="1">IFERROR(__xludf.DUMMYFUNCTION("""COMPUTED_VALUE"""),672.76)</f>
        <v>672.76</v>
      </c>
      <c r="K1014" s="1">
        <f ca="1">IFERROR(__xludf.DUMMYFUNCTION("""COMPUTED_VALUE"""),108.06)</f>
        <v>108.06</v>
      </c>
      <c r="L1014" s="1">
        <f ca="1">IFERROR(__xludf.DUMMYFUNCTION("""COMPUTED_VALUE"""),591.03)</f>
        <v>591.03</v>
      </c>
      <c r="M1014" s="1">
        <f ca="1">IFERROR(__xludf.DUMMYFUNCTION("""COMPUTED_VALUE"""),478.33)</f>
        <v>478.33</v>
      </c>
      <c r="N1014" s="1">
        <f ca="1">IFERROR(__xludf.DUMMYFUNCTION("""COMPUTED_VALUE"""),171.02)</f>
        <v>171.02</v>
      </c>
      <c r="O1014" s="1">
        <f ca="1">IFERROR(__xludf.DUMMYFUNCTION("""COMPUTED_VALUE"""),264.56)</f>
        <v>264.56</v>
      </c>
      <c r="P1014" s="1">
        <f ca="1">IFERROR(__xludf.DUMMYFUNCTION("""COMPUTED_VALUE"""),161.87)</f>
        <v>161.87</v>
      </c>
      <c r="Q1014" s="1">
        <f ca="1">IFERROR(__xludf.DUMMYFUNCTION("""COMPUTED_VALUE"""),537.64)</f>
        <v>537.64</v>
      </c>
      <c r="R1014" s="1">
        <f ca="1">IFERROR(__xludf.DUMMYFUNCTION("""COMPUTED_VALUE"""),98.69)</f>
        <v>98.69</v>
      </c>
      <c r="S1014" s="1">
        <f ca="1">IFERROR(__xludf.DUMMYFUNCTION("""COMPUTED_VALUE"""),62.28)</f>
        <v>62.28</v>
      </c>
      <c r="T1014" s="1">
        <f ca="1">IFERROR(__xludf.DUMMYFUNCTION("""COMPUTED_VALUE"""),53.76)</f>
        <v>53.76</v>
      </c>
      <c r="U1014" s="1">
        <f ca="1">IFERROR(__xludf.DUMMYFUNCTION("""COMPUTED_VALUE"""),103.77)</f>
        <v>103.77</v>
      </c>
      <c r="V1014" s="1">
        <f ca="1">IFERROR(__xludf.DUMMYFUNCTION("""COMPUTED_VALUE"""),293.35)</f>
        <v>293.35000000000002</v>
      </c>
      <c r="W1014" s="1">
        <f ca="1">IFERROR(__xludf.DUMMYFUNCTION("""COMPUTED_VALUE"""),455.4)</f>
        <v>455.4</v>
      </c>
      <c r="X1014" s="1">
        <f ca="1">IFERROR(__xludf.DUMMYFUNCTION("""COMPUTED_VALUE"""),717.79)</f>
        <v>717.79</v>
      </c>
      <c r="Y1014" s="1">
        <f ca="1">IFERROR(__xludf.DUMMYFUNCTION("""COMPUTED_VALUE"""),100.8)</f>
        <v>100.8</v>
      </c>
      <c r="Z1014" s="1">
        <f ca="1">IFERROR(__xludf.DUMMYFUNCTION("""COMPUTED_VALUE"""),381.96)</f>
        <v>381.96</v>
      </c>
      <c r="AA1014" s="1">
        <f ca="1">IFERROR(__xludf.DUMMYFUNCTION("""COMPUTED_VALUE"""),28.99)</f>
        <v>28.99</v>
      </c>
      <c r="AB1014" s="1">
        <f ca="1">IFERROR(__xludf.DUMMYFUNCTION("""COMPUTED_VALUE"""),93.5)</f>
        <v>93.5</v>
      </c>
      <c r="AC1014" s="1">
        <f ca="1">IFERROR(__xludf.DUMMYFUNCTION("""COMPUTED_VALUE"""),148.54)</f>
        <v>148.54</v>
      </c>
    </row>
    <row r="1015" spans="1:29" x14ac:dyDescent="0.25">
      <c r="A1015" s="2">
        <f ca="1">IFERROR(__xludf.DUMMYFUNCTION("""COMPUTED_VALUE"""),45302.6666666666)</f>
        <v>45302.666666666599</v>
      </c>
      <c r="B1015" s="1">
        <f ca="1">IFERROR(__xludf.DUMMYFUNCTION("""COMPUTED_VALUE"""),185.59)</f>
        <v>185.59</v>
      </c>
      <c r="C1015" s="1">
        <f ca="1">IFERROR(__xludf.DUMMYFUNCTION("""COMPUTED_VALUE"""),384.63)</f>
        <v>384.63</v>
      </c>
      <c r="D1015" s="1">
        <f ca="1">IFERROR(__xludf.DUMMYFUNCTION("""COMPUTED_VALUE"""),155.18)</f>
        <v>155.18</v>
      </c>
      <c r="E1015" s="1">
        <f ca="1">IFERROR(__xludf.DUMMYFUNCTION("""COMPUTED_VALUE"""),54.82)</f>
        <v>54.82</v>
      </c>
      <c r="F1015" s="1">
        <f ca="1">IFERROR(__xludf.DUMMYFUNCTION("""COMPUTED_VALUE"""),369.67)</f>
        <v>369.67</v>
      </c>
      <c r="G1015" s="1">
        <f ca="1">IFERROR(__xludf.DUMMYFUNCTION("""COMPUTED_VALUE"""),143.67)</f>
        <v>143.66999999999999</v>
      </c>
      <c r="H1015" s="1">
        <f ca="1">IFERROR(__xludf.DUMMYFUNCTION("""COMPUTED_VALUE"""),227.22)</f>
        <v>227.22</v>
      </c>
      <c r="I1015" s="1">
        <f ca="1">IFERROR(__xludf.DUMMYFUNCTION("""COMPUTED_VALUE"""),166.13)</f>
        <v>166.13</v>
      </c>
      <c r="J1015" s="1">
        <f ca="1">IFERROR(__xludf.DUMMYFUNCTION("""COMPUTED_VALUE"""),673.58)</f>
        <v>673.58</v>
      </c>
      <c r="K1015" s="1">
        <f ca="1">IFERROR(__xludf.DUMMYFUNCTION("""COMPUTED_VALUE"""),110)</f>
        <v>110</v>
      </c>
      <c r="L1015" s="1">
        <f ca="1">IFERROR(__xludf.DUMMYFUNCTION("""COMPUTED_VALUE"""),597.49)</f>
        <v>597.49</v>
      </c>
      <c r="M1015" s="1">
        <f ca="1">IFERROR(__xludf.DUMMYFUNCTION("""COMPUTED_VALUE"""),492.23)</f>
        <v>492.23</v>
      </c>
      <c r="N1015" s="1">
        <f ca="1">IFERROR(__xludf.DUMMYFUNCTION("""COMPUTED_VALUE"""),170.3)</f>
        <v>170.3</v>
      </c>
      <c r="O1015" s="1">
        <f ca="1">IFERROR(__xludf.DUMMYFUNCTION("""COMPUTED_VALUE"""),264.03)</f>
        <v>264.02999999999997</v>
      </c>
      <c r="P1015" s="1">
        <f ca="1">IFERROR(__xludf.DUMMYFUNCTION("""COMPUTED_VALUE"""),161.15)</f>
        <v>161.15</v>
      </c>
      <c r="Q1015" s="1">
        <f ca="1">IFERROR(__xludf.DUMMYFUNCTION("""COMPUTED_VALUE"""),539.68)</f>
        <v>539.67999999999995</v>
      </c>
      <c r="R1015" s="1">
        <f ca="1">IFERROR(__xludf.DUMMYFUNCTION("""COMPUTED_VALUE"""),98.67)</f>
        <v>98.67</v>
      </c>
      <c r="S1015" s="1">
        <f ca="1">IFERROR(__xludf.DUMMYFUNCTION("""COMPUTED_VALUE"""),60.72)</f>
        <v>60.72</v>
      </c>
      <c r="T1015" s="1">
        <f ca="1">IFERROR(__xludf.DUMMYFUNCTION("""COMPUTED_VALUE"""),53.7)</f>
        <v>53.7</v>
      </c>
      <c r="U1015" s="1">
        <f ca="1">IFERROR(__xludf.DUMMYFUNCTION("""COMPUTED_VALUE"""),105.9)</f>
        <v>105.9</v>
      </c>
      <c r="V1015" s="1">
        <f ca="1">IFERROR(__xludf.DUMMYFUNCTION("""COMPUTED_VALUE"""),292.06)</f>
        <v>292.06</v>
      </c>
      <c r="W1015" s="1">
        <f ca="1">IFERROR(__xludf.DUMMYFUNCTION("""COMPUTED_VALUE"""),453.13)</f>
        <v>453.13</v>
      </c>
      <c r="X1015" s="1">
        <f ca="1">IFERROR(__xludf.DUMMYFUNCTION("""COMPUTED_VALUE"""),718.53)</f>
        <v>718.53</v>
      </c>
      <c r="Y1015" s="1">
        <f ca="1">IFERROR(__xludf.DUMMYFUNCTION("""COMPUTED_VALUE"""),101.22)</f>
        <v>101.22</v>
      </c>
      <c r="Z1015" s="1">
        <f ca="1">IFERROR(__xludf.DUMMYFUNCTION("""COMPUTED_VALUE"""),379.75)</f>
        <v>379.75</v>
      </c>
      <c r="AA1015" s="1">
        <f ca="1">IFERROR(__xludf.DUMMYFUNCTION("""COMPUTED_VALUE"""),28.4)</f>
        <v>28.4</v>
      </c>
      <c r="AB1015" s="1">
        <f ca="1">IFERROR(__xludf.DUMMYFUNCTION("""COMPUTED_VALUE"""),92.94)</f>
        <v>92.94</v>
      </c>
      <c r="AC1015" s="1">
        <f ca="1">IFERROR(__xludf.DUMMYFUNCTION("""COMPUTED_VALUE"""),148.02)</f>
        <v>148.02000000000001</v>
      </c>
    </row>
    <row r="1016" spans="1:29" x14ac:dyDescent="0.25">
      <c r="A1016" s="2">
        <f ca="1">IFERROR(__xludf.DUMMYFUNCTION("""COMPUTED_VALUE"""),45303.6666666666)</f>
        <v>45303.666666666599</v>
      </c>
      <c r="B1016" s="1">
        <f ca="1">IFERROR(__xludf.DUMMYFUNCTION("""COMPUTED_VALUE"""),185.92)</f>
        <v>185.92</v>
      </c>
      <c r="C1016" s="1">
        <f ca="1">IFERROR(__xludf.DUMMYFUNCTION("""COMPUTED_VALUE"""),388.47)</f>
        <v>388.47</v>
      </c>
      <c r="D1016" s="1">
        <f ca="1">IFERROR(__xludf.DUMMYFUNCTION("""COMPUTED_VALUE"""),154.62)</f>
        <v>154.62</v>
      </c>
      <c r="E1016" s="1">
        <f ca="1">IFERROR(__xludf.DUMMYFUNCTION("""COMPUTED_VALUE"""),54.71)</f>
        <v>54.71</v>
      </c>
      <c r="F1016" s="1">
        <f ca="1">IFERROR(__xludf.DUMMYFUNCTION("""COMPUTED_VALUE"""),374.49)</f>
        <v>374.49</v>
      </c>
      <c r="G1016" s="1">
        <f ca="1">IFERROR(__xludf.DUMMYFUNCTION("""COMPUTED_VALUE"""),144.24)</f>
        <v>144.24</v>
      </c>
      <c r="H1016" s="1">
        <f ca="1">IFERROR(__xludf.DUMMYFUNCTION("""COMPUTED_VALUE"""),218.89)</f>
        <v>218.89</v>
      </c>
      <c r="I1016" s="1">
        <f ca="1">IFERROR(__xludf.DUMMYFUNCTION("""COMPUTED_VALUE"""),167.27)</f>
        <v>167.27</v>
      </c>
      <c r="J1016" s="1">
        <f ca="1">IFERROR(__xludf.DUMMYFUNCTION("""COMPUTED_VALUE"""),683.24)</f>
        <v>683.24</v>
      </c>
      <c r="K1016" s="1">
        <f ca="1">IFERROR(__xludf.DUMMYFUNCTION("""COMPUTED_VALUE"""),110.77)</f>
        <v>110.77</v>
      </c>
      <c r="L1016" s="1">
        <f ca="1">IFERROR(__xludf.DUMMYFUNCTION("""COMPUTED_VALUE"""),596.54)</f>
        <v>596.54</v>
      </c>
      <c r="M1016" s="1">
        <f ca="1">IFERROR(__xludf.DUMMYFUNCTION("""COMPUTED_VALUE"""),492.16)</f>
        <v>492.16</v>
      </c>
      <c r="N1016" s="1">
        <f ca="1">IFERROR(__xludf.DUMMYFUNCTION("""COMPUTED_VALUE"""),169.05)</f>
        <v>169.05</v>
      </c>
      <c r="O1016" s="1">
        <f ca="1">IFERROR(__xludf.DUMMYFUNCTION("""COMPUTED_VALUE"""),264.17)</f>
        <v>264.17</v>
      </c>
      <c r="P1016" s="1">
        <f ca="1">IFERROR(__xludf.DUMMYFUNCTION("""COMPUTED_VALUE"""),162.39)</f>
        <v>162.38999999999999</v>
      </c>
      <c r="Q1016" s="1">
        <f ca="1">IFERROR(__xludf.DUMMYFUNCTION("""COMPUTED_VALUE"""),521.51)</f>
        <v>521.51</v>
      </c>
      <c r="R1016" s="1">
        <f ca="1">IFERROR(__xludf.DUMMYFUNCTION("""COMPUTED_VALUE"""),99.95)</f>
        <v>99.95</v>
      </c>
      <c r="S1016" s="1">
        <f ca="1">IFERROR(__xludf.DUMMYFUNCTION("""COMPUTED_VALUE"""),61.04)</f>
        <v>61.04</v>
      </c>
      <c r="T1016" s="1">
        <f ca="1">IFERROR(__xludf.DUMMYFUNCTION("""COMPUTED_VALUE"""),53.77)</f>
        <v>53.77</v>
      </c>
      <c r="U1016" s="1">
        <f ca="1">IFERROR(__xludf.DUMMYFUNCTION("""COMPUTED_VALUE"""),105.06)</f>
        <v>105.06</v>
      </c>
      <c r="V1016" s="1">
        <f ca="1">IFERROR(__xludf.DUMMYFUNCTION("""COMPUTED_VALUE"""),290.41)</f>
        <v>290.41000000000003</v>
      </c>
      <c r="W1016" s="1">
        <f ca="1">IFERROR(__xludf.DUMMYFUNCTION("""COMPUTED_VALUE"""),463.18)</f>
        <v>463.18</v>
      </c>
      <c r="X1016" s="1">
        <f ca="1">IFERROR(__xludf.DUMMYFUNCTION("""COMPUTED_VALUE"""),713.22)</f>
        <v>713.22</v>
      </c>
      <c r="Y1016" s="1">
        <f ca="1">IFERROR(__xludf.DUMMYFUNCTION("""COMPUTED_VALUE"""),101.24)</f>
        <v>101.24</v>
      </c>
      <c r="Z1016" s="1">
        <f ca="1">IFERROR(__xludf.DUMMYFUNCTION("""COMPUTED_VALUE"""),377.75)</f>
        <v>377.75</v>
      </c>
      <c r="AA1016" s="1">
        <f ca="1">IFERROR(__xludf.DUMMYFUNCTION("""COMPUTED_VALUE"""),28.7)</f>
        <v>28.7</v>
      </c>
      <c r="AB1016" s="1">
        <f ca="1">IFERROR(__xludf.DUMMYFUNCTION("""COMPUTED_VALUE"""),91.98)</f>
        <v>91.98</v>
      </c>
      <c r="AC1016" s="1">
        <f ca="1">IFERROR(__xludf.DUMMYFUNCTION("""COMPUTED_VALUE"""),146.56)</f>
        <v>146.56</v>
      </c>
    </row>
    <row r="1017" spans="1:29" x14ac:dyDescent="0.25">
      <c r="A1017" s="2">
        <f ca="1">IFERROR(__xludf.DUMMYFUNCTION("""COMPUTED_VALUE"""),45307.6666666666)</f>
        <v>45307.666666666599</v>
      </c>
      <c r="B1017" s="1">
        <f ca="1">IFERROR(__xludf.DUMMYFUNCTION("""COMPUTED_VALUE"""),183.63)</f>
        <v>183.63</v>
      </c>
      <c r="C1017" s="1">
        <f ca="1">IFERROR(__xludf.DUMMYFUNCTION("""COMPUTED_VALUE"""),390.27)</f>
        <v>390.27</v>
      </c>
      <c r="D1017" s="1">
        <f ca="1">IFERROR(__xludf.DUMMYFUNCTION("""COMPUTED_VALUE"""),153.16)</f>
        <v>153.16</v>
      </c>
      <c r="E1017" s="1">
        <f ca="1">IFERROR(__xludf.DUMMYFUNCTION("""COMPUTED_VALUE"""),56.38)</f>
        <v>56.38</v>
      </c>
      <c r="F1017" s="1">
        <f ca="1">IFERROR(__xludf.DUMMYFUNCTION("""COMPUTED_VALUE"""),367.46)</f>
        <v>367.46</v>
      </c>
      <c r="G1017" s="1">
        <f ca="1">IFERROR(__xludf.DUMMYFUNCTION("""COMPUTED_VALUE"""),144.08)</f>
        <v>144.08000000000001</v>
      </c>
      <c r="H1017" s="1">
        <f ca="1">IFERROR(__xludf.DUMMYFUNCTION("""COMPUTED_VALUE"""),219.91)</f>
        <v>219.91</v>
      </c>
      <c r="I1017" s="1">
        <f ca="1">IFERROR(__xludf.DUMMYFUNCTION("""COMPUTED_VALUE"""),166.17)</f>
        <v>166.17</v>
      </c>
      <c r="J1017" s="1">
        <f ca="1">IFERROR(__xludf.DUMMYFUNCTION("""COMPUTED_VALUE"""),681.49)</f>
        <v>681.49</v>
      </c>
      <c r="K1017" s="1">
        <f ca="1">IFERROR(__xludf.DUMMYFUNCTION("""COMPUTED_VALUE"""),111.5)</f>
        <v>111.5</v>
      </c>
      <c r="L1017" s="1">
        <f ca="1">IFERROR(__xludf.DUMMYFUNCTION("""COMPUTED_VALUE"""),597.68)</f>
        <v>597.67999999999995</v>
      </c>
      <c r="M1017" s="1">
        <f ca="1">IFERROR(__xludf.DUMMYFUNCTION("""COMPUTED_VALUE"""),481.24)</f>
        <v>481.24</v>
      </c>
      <c r="N1017" s="1">
        <f ca="1">IFERROR(__xludf.DUMMYFUNCTION("""COMPUTED_VALUE"""),167.99)</f>
        <v>167.99</v>
      </c>
      <c r="O1017" s="1">
        <f ca="1">IFERROR(__xludf.DUMMYFUNCTION("""COMPUTED_VALUE"""),265.24)</f>
        <v>265.24</v>
      </c>
      <c r="P1017" s="1">
        <f ca="1">IFERROR(__xludf.DUMMYFUNCTION("""COMPUTED_VALUE"""),160.52)</f>
        <v>160.52000000000001</v>
      </c>
      <c r="Q1017" s="1">
        <f ca="1">IFERROR(__xludf.DUMMYFUNCTION("""COMPUTED_VALUE"""),519.15)</f>
        <v>519.15</v>
      </c>
      <c r="R1017" s="1">
        <f ca="1">IFERROR(__xludf.DUMMYFUNCTION("""COMPUTED_VALUE"""),97.69)</f>
        <v>97.69</v>
      </c>
      <c r="S1017" s="1">
        <f ca="1">IFERROR(__xludf.DUMMYFUNCTION("""COMPUTED_VALUE"""),60.35)</f>
        <v>60.35</v>
      </c>
      <c r="T1017" s="1">
        <f ca="1">IFERROR(__xludf.DUMMYFUNCTION("""COMPUTED_VALUE"""),53.94)</f>
        <v>53.94</v>
      </c>
      <c r="U1017" s="1">
        <f ca="1">IFERROR(__xludf.DUMMYFUNCTION("""COMPUTED_VALUE"""),101.72)</f>
        <v>101.72</v>
      </c>
      <c r="V1017" s="1">
        <f ca="1">IFERROR(__xludf.DUMMYFUNCTION("""COMPUTED_VALUE"""),287.23)</f>
        <v>287.23</v>
      </c>
      <c r="W1017" s="1">
        <f ca="1">IFERROR(__xludf.DUMMYFUNCTION("""COMPUTED_VALUE"""),457.84)</f>
        <v>457.84</v>
      </c>
      <c r="X1017" s="1">
        <f ca="1">IFERROR(__xludf.DUMMYFUNCTION("""COMPUTED_VALUE"""),706.5)</f>
        <v>706.5</v>
      </c>
      <c r="Y1017" s="1">
        <f ca="1">IFERROR(__xludf.DUMMYFUNCTION("""COMPUTED_VALUE"""),101.67)</f>
        <v>101.67</v>
      </c>
      <c r="Z1017" s="1">
        <f ca="1">IFERROR(__xludf.DUMMYFUNCTION("""COMPUTED_VALUE"""),380.45)</f>
        <v>380.45</v>
      </c>
      <c r="AA1017" s="1">
        <f ca="1">IFERROR(__xludf.DUMMYFUNCTION("""COMPUTED_VALUE"""),28.32)</f>
        <v>28.32</v>
      </c>
      <c r="AB1017" s="1">
        <f ca="1">IFERROR(__xludf.DUMMYFUNCTION("""COMPUTED_VALUE"""),92.7)</f>
        <v>92.7</v>
      </c>
      <c r="AC1017" s="1">
        <f ca="1">IFERROR(__xludf.DUMMYFUNCTION("""COMPUTED_VALUE"""),158.74)</f>
        <v>158.74</v>
      </c>
    </row>
    <row r="1018" spans="1:29" x14ac:dyDescent="0.25">
      <c r="A1018" s="2">
        <f ca="1">IFERROR(__xludf.DUMMYFUNCTION("""COMPUTED_VALUE"""),45308.6666666666)</f>
        <v>45308.666666666599</v>
      </c>
      <c r="B1018" s="1">
        <f ca="1">IFERROR(__xludf.DUMMYFUNCTION("""COMPUTED_VALUE"""),182.68)</f>
        <v>182.68</v>
      </c>
      <c r="C1018" s="1">
        <f ca="1">IFERROR(__xludf.DUMMYFUNCTION("""COMPUTED_VALUE"""),389.47)</f>
        <v>389.47</v>
      </c>
      <c r="D1018" s="1">
        <f ca="1">IFERROR(__xludf.DUMMYFUNCTION("""COMPUTED_VALUE"""),151.71)</f>
        <v>151.71</v>
      </c>
      <c r="E1018" s="1">
        <f ca="1">IFERROR(__xludf.DUMMYFUNCTION("""COMPUTED_VALUE"""),56.05)</f>
        <v>56.05</v>
      </c>
      <c r="F1018" s="1">
        <f ca="1">IFERROR(__xludf.DUMMYFUNCTION("""COMPUTED_VALUE"""),368.37)</f>
        <v>368.37</v>
      </c>
      <c r="G1018" s="1">
        <f ca="1">IFERROR(__xludf.DUMMYFUNCTION("""COMPUTED_VALUE"""),142.89)</f>
        <v>142.88999999999999</v>
      </c>
      <c r="H1018" s="1">
        <f ca="1">IFERROR(__xludf.DUMMYFUNCTION("""COMPUTED_VALUE"""),215.55)</f>
        <v>215.55</v>
      </c>
      <c r="I1018" s="1">
        <f ca="1">IFERROR(__xludf.DUMMYFUNCTION("""COMPUTED_VALUE"""),166.44)</f>
        <v>166.44</v>
      </c>
      <c r="J1018" s="1">
        <f ca="1">IFERROR(__xludf.DUMMYFUNCTION("""COMPUTED_VALUE"""),684.19)</f>
        <v>684.19</v>
      </c>
      <c r="K1018" s="1">
        <f ca="1">IFERROR(__xludf.DUMMYFUNCTION("""COMPUTED_VALUE"""),110.37)</f>
        <v>110.37</v>
      </c>
      <c r="L1018" s="1">
        <f ca="1">IFERROR(__xludf.DUMMYFUNCTION("""COMPUTED_VALUE"""),596.1)</f>
        <v>596.1</v>
      </c>
      <c r="M1018" s="1">
        <f ca="1">IFERROR(__xludf.DUMMYFUNCTION("""COMPUTED_VALUE"""),480.33)</f>
        <v>480.33</v>
      </c>
      <c r="N1018" s="1">
        <f ca="1">IFERROR(__xludf.DUMMYFUNCTION("""COMPUTED_VALUE"""),167.09)</f>
        <v>167.09</v>
      </c>
      <c r="O1018" s="1">
        <f ca="1">IFERROR(__xludf.DUMMYFUNCTION("""COMPUTED_VALUE"""),266.63)</f>
        <v>266.63</v>
      </c>
      <c r="P1018" s="1">
        <f ca="1">IFERROR(__xludf.DUMMYFUNCTION("""COMPUTED_VALUE"""),160.43)</f>
        <v>160.43</v>
      </c>
      <c r="Q1018" s="1">
        <f ca="1">IFERROR(__xludf.DUMMYFUNCTION("""COMPUTED_VALUE"""),524.94)</f>
        <v>524.94000000000005</v>
      </c>
      <c r="R1018" s="1">
        <f ca="1">IFERROR(__xludf.DUMMYFUNCTION("""COMPUTED_VALUE"""),96.98)</f>
        <v>96.98</v>
      </c>
      <c r="S1018" s="1">
        <f ca="1">IFERROR(__xludf.DUMMYFUNCTION("""COMPUTED_VALUE"""),58.27)</f>
        <v>58.27</v>
      </c>
      <c r="T1018" s="1">
        <f ca="1">IFERROR(__xludf.DUMMYFUNCTION("""COMPUTED_VALUE"""),53.69)</f>
        <v>53.69</v>
      </c>
      <c r="U1018" s="1">
        <f ca="1">IFERROR(__xludf.DUMMYFUNCTION("""COMPUTED_VALUE"""),100.82)</f>
        <v>100.82</v>
      </c>
      <c r="V1018" s="1">
        <f ca="1">IFERROR(__xludf.DUMMYFUNCTION("""COMPUTED_VALUE"""),278.63)</f>
        <v>278.63</v>
      </c>
      <c r="W1018" s="1">
        <f ca="1">IFERROR(__xludf.DUMMYFUNCTION("""COMPUTED_VALUE"""),456.47)</f>
        <v>456.47</v>
      </c>
      <c r="X1018" s="1">
        <f ca="1">IFERROR(__xludf.DUMMYFUNCTION("""COMPUTED_VALUE"""),712.27)</f>
        <v>712.27</v>
      </c>
      <c r="Y1018" s="1">
        <f ca="1">IFERROR(__xludf.DUMMYFUNCTION("""COMPUTED_VALUE"""),102.95)</f>
        <v>102.95</v>
      </c>
      <c r="Z1018" s="1">
        <f ca="1">IFERROR(__xludf.DUMMYFUNCTION("""COMPUTED_VALUE"""),377.18)</f>
        <v>377.18</v>
      </c>
      <c r="AA1018" s="1">
        <f ca="1">IFERROR(__xludf.DUMMYFUNCTION("""COMPUTED_VALUE"""),28.15)</f>
        <v>28.15</v>
      </c>
      <c r="AB1018" s="1">
        <f ca="1">IFERROR(__xludf.DUMMYFUNCTION("""COMPUTED_VALUE"""),91.77)</f>
        <v>91.77</v>
      </c>
      <c r="AC1018" s="1">
        <f ca="1">IFERROR(__xludf.DUMMYFUNCTION("""COMPUTED_VALUE"""),160.17)</f>
        <v>160.16999999999999</v>
      </c>
    </row>
    <row r="1019" spans="1:29" x14ac:dyDescent="0.25">
      <c r="A1019" s="2">
        <f ca="1">IFERROR(__xludf.DUMMYFUNCTION("""COMPUTED_VALUE"""),45309.6666666666)</f>
        <v>45309.666666666599</v>
      </c>
      <c r="B1019" s="1">
        <f ca="1">IFERROR(__xludf.DUMMYFUNCTION("""COMPUTED_VALUE"""),188.63)</f>
        <v>188.63</v>
      </c>
      <c r="C1019" s="1">
        <f ca="1">IFERROR(__xludf.DUMMYFUNCTION("""COMPUTED_VALUE"""),393.87)</f>
        <v>393.87</v>
      </c>
      <c r="D1019" s="1">
        <f ca="1">IFERROR(__xludf.DUMMYFUNCTION("""COMPUTED_VALUE"""),153.5)</f>
        <v>153.5</v>
      </c>
      <c r="E1019" s="1">
        <f ca="1">IFERROR(__xludf.DUMMYFUNCTION("""COMPUTED_VALUE"""),57.11)</f>
        <v>57.11</v>
      </c>
      <c r="F1019" s="1">
        <f ca="1">IFERROR(__xludf.DUMMYFUNCTION("""COMPUTED_VALUE"""),376.13)</f>
        <v>376.13</v>
      </c>
      <c r="G1019" s="1">
        <f ca="1">IFERROR(__xludf.DUMMYFUNCTION("""COMPUTED_VALUE"""),144.99)</f>
        <v>144.99</v>
      </c>
      <c r="H1019" s="1">
        <f ca="1">IFERROR(__xludf.DUMMYFUNCTION("""COMPUTED_VALUE"""),211.88)</f>
        <v>211.88</v>
      </c>
      <c r="I1019" s="1">
        <f ca="1">IFERROR(__xludf.DUMMYFUNCTION("""COMPUTED_VALUE"""),167.17)</f>
        <v>167.17</v>
      </c>
      <c r="J1019" s="1">
        <f ca="1">IFERROR(__xludf.DUMMYFUNCTION("""COMPUTED_VALUE"""),687.31)</f>
        <v>687.31</v>
      </c>
      <c r="K1019" s="1">
        <f ca="1">IFERROR(__xludf.DUMMYFUNCTION("""COMPUTED_VALUE"""),114.39)</f>
        <v>114.39</v>
      </c>
      <c r="L1019" s="1">
        <f ca="1">IFERROR(__xludf.DUMMYFUNCTION("""COMPUTED_VALUE"""),593.7)</f>
        <v>593.70000000000005</v>
      </c>
      <c r="M1019" s="1">
        <f ca="1">IFERROR(__xludf.DUMMYFUNCTION("""COMPUTED_VALUE"""),485.31)</f>
        <v>485.31</v>
      </c>
      <c r="N1019" s="1">
        <f ca="1">IFERROR(__xludf.DUMMYFUNCTION("""COMPUTED_VALUE"""),167.42)</f>
        <v>167.42</v>
      </c>
      <c r="O1019" s="1">
        <f ca="1">IFERROR(__xludf.DUMMYFUNCTION("""COMPUTED_VALUE"""),268.14)</f>
        <v>268.14</v>
      </c>
      <c r="P1019" s="1">
        <f ca="1">IFERROR(__xludf.DUMMYFUNCTION("""COMPUTED_VALUE"""),161.21)</f>
        <v>161.21</v>
      </c>
      <c r="Q1019" s="1">
        <f ca="1">IFERROR(__xludf.DUMMYFUNCTION("""COMPUTED_VALUE"""),516.34)</f>
        <v>516.34</v>
      </c>
      <c r="R1019" s="1">
        <f ca="1">IFERROR(__xludf.DUMMYFUNCTION("""COMPUTED_VALUE"""),96.8)</f>
        <v>96.8</v>
      </c>
      <c r="S1019" s="1">
        <f ca="1">IFERROR(__xludf.DUMMYFUNCTION("""COMPUTED_VALUE"""),57.65)</f>
        <v>57.65</v>
      </c>
      <c r="T1019" s="1">
        <f ca="1">IFERROR(__xludf.DUMMYFUNCTION("""COMPUTED_VALUE"""),54.41)</f>
        <v>54.41</v>
      </c>
      <c r="U1019" s="1">
        <f ca="1">IFERROR(__xludf.DUMMYFUNCTION("""COMPUTED_VALUE"""),100.94)</f>
        <v>100.94</v>
      </c>
      <c r="V1019" s="1">
        <f ca="1">IFERROR(__xludf.DUMMYFUNCTION("""COMPUTED_VALUE"""),281.9)</f>
        <v>281.89999999999998</v>
      </c>
      <c r="W1019" s="1">
        <f ca="1">IFERROR(__xludf.DUMMYFUNCTION("""COMPUTED_VALUE"""),459.57)</f>
        <v>459.57</v>
      </c>
      <c r="X1019" s="1">
        <f ca="1">IFERROR(__xludf.DUMMYFUNCTION("""COMPUTED_VALUE"""),744.53)</f>
        <v>744.53</v>
      </c>
      <c r="Y1019" s="1">
        <f ca="1">IFERROR(__xludf.DUMMYFUNCTION("""COMPUTED_VALUE"""),113.03)</f>
        <v>113.03</v>
      </c>
      <c r="Z1019" s="1">
        <f ca="1">IFERROR(__xludf.DUMMYFUNCTION("""COMPUTED_VALUE"""),376.91)</f>
        <v>376.91</v>
      </c>
      <c r="AA1019" s="1">
        <f ca="1">IFERROR(__xludf.DUMMYFUNCTION("""COMPUTED_VALUE"""),28.09)</f>
        <v>28.09</v>
      </c>
      <c r="AB1019" s="1">
        <f ca="1">IFERROR(__xludf.DUMMYFUNCTION("""COMPUTED_VALUE"""),93.34)</f>
        <v>93.34</v>
      </c>
      <c r="AC1019" s="1">
        <f ca="1">IFERROR(__xludf.DUMMYFUNCTION("""COMPUTED_VALUE"""),162.67)</f>
        <v>162.66999999999999</v>
      </c>
    </row>
    <row r="1020" spans="1:29" x14ac:dyDescent="0.25">
      <c r="A1020" s="2">
        <f ca="1">IFERROR(__xludf.DUMMYFUNCTION("""COMPUTED_VALUE"""),45310.6666666666)</f>
        <v>45310.666666666599</v>
      </c>
      <c r="B1020" s="1">
        <f ca="1">IFERROR(__xludf.DUMMYFUNCTION("""COMPUTED_VALUE"""),191.56)</f>
        <v>191.56</v>
      </c>
      <c r="C1020" s="1">
        <f ca="1">IFERROR(__xludf.DUMMYFUNCTION("""COMPUTED_VALUE"""),398.67)</f>
        <v>398.67</v>
      </c>
      <c r="D1020" s="1">
        <f ca="1">IFERROR(__xludf.DUMMYFUNCTION("""COMPUTED_VALUE"""),155.34)</f>
        <v>155.34</v>
      </c>
      <c r="E1020" s="1">
        <f ca="1">IFERROR(__xludf.DUMMYFUNCTION("""COMPUTED_VALUE"""),59.49)</f>
        <v>59.49</v>
      </c>
      <c r="F1020" s="1">
        <f ca="1">IFERROR(__xludf.DUMMYFUNCTION("""COMPUTED_VALUE"""),383.45)</f>
        <v>383.45</v>
      </c>
      <c r="G1020" s="1">
        <f ca="1">IFERROR(__xludf.DUMMYFUNCTION("""COMPUTED_VALUE"""),147.97)</f>
        <v>147.97</v>
      </c>
      <c r="H1020" s="1">
        <f ca="1">IFERROR(__xludf.DUMMYFUNCTION("""COMPUTED_VALUE"""),212.19)</f>
        <v>212.19</v>
      </c>
      <c r="I1020" s="1">
        <f ca="1">IFERROR(__xludf.DUMMYFUNCTION("""COMPUTED_VALUE"""),165.78)</f>
        <v>165.78</v>
      </c>
      <c r="J1020" s="1">
        <f ca="1">IFERROR(__xludf.DUMMYFUNCTION("""COMPUTED_VALUE"""),694.97)</f>
        <v>694.97</v>
      </c>
      <c r="K1020" s="1">
        <f ca="1">IFERROR(__xludf.DUMMYFUNCTION("""COMPUTED_VALUE"""),121.12)</f>
        <v>121.12</v>
      </c>
      <c r="L1020" s="1">
        <f ca="1">IFERROR(__xludf.DUMMYFUNCTION("""COMPUTED_VALUE"""),611.55)</f>
        <v>611.54999999999995</v>
      </c>
      <c r="M1020" s="1">
        <f ca="1">IFERROR(__xludf.DUMMYFUNCTION("""COMPUTED_VALUE"""),482.95)</f>
        <v>482.95</v>
      </c>
      <c r="N1020" s="1">
        <f ca="1">IFERROR(__xludf.DUMMYFUNCTION("""COMPUTED_VALUE"""),170.31)</f>
        <v>170.31</v>
      </c>
      <c r="O1020" s="1">
        <f ca="1">IFERROR(__xludf.DUMMYFUNCTION("""COMPUTED_VALUE"""),270.9)</f>
        <v>270.89999999999998</v>
      </c>
      <c r="P1020" s="1">
        <f ca="1">IFERROR(__xludf.DUMMYFUNCTION("""COMPUTED_VALUE"""),161.68)</f>
        <v>161.68</v>
      </c>
      <c r="Q1020" s="1">
        <f ca="1">IFERROR(__xludf.DUMMYFUNCTION("""COMPUTED_VALUE"""),503.56)</f>
        <v>503.56</v>
      </c>
      <c r="R1020" s="1">
        <f ca="1">IFERROR(__xludf.DUMMYFUNCTION("""COMPUTED_VALUE"""),96.95)</f>
        <v>96.95</v>
      </c>
      <c r="S1020" s="1">
        <f ca="1">IFERROR(__xludf.DUMMYFUNCTION("""COMPUTED_VALUE"""),57.26)</f>
        <v>57.26</v>
      </c>
      <c r="T1020" s="1">
        <f ca="1">IFERROR(__xludf.DUMMYFUNCTION("""COMPUTED_VALUE"""),54.13)</f>
        <v>54.13</v>
      </c>
      <c r="U1020" s="1">
        <f ca="1">IFERROR(__xludf.DUMMYFUNCTION("""COMPUTED_VALUE"""),101.78)</f>
        <v>101.78</v>
      </c>
      <c r="V1020" s="1">
        <f ca="1">IFERROR(__xludf.DUMMYFUNCTION("""COMPUTED_VALUE"""),285.28)</f>
        <v>285.27999999999997</v>
      </c>
      <c r="W1020" s="1">
        <f ca="1">IFERROR(__xludf.DUMMYFUNCTION("""COMPUTED_VALUE"""),457.76)</f>
        <v>457.76</v>
      </c>
      <c r="X1020" s="1">
        <f ca="1">IFERROR(__xludf.DUMMYFUNCTION("""COMPUTED_VALUE"""),757.83)</f>
        <v>757.83</v>
      </c>
      <c r="Y1020" s="1">
        <f ca="1">IFERROR(__xludf.DUMMYFUNCTION("""COMPUTED_VALUE"""),114.2)</f>
        <v>114.2</v>
      </c>
      <c r="Z1020" s="1">
        <f ca="1">IFERROR(__xludf.DUMMYFUNCTION("""COMPUTED_VALUE"""),382.2)</f>
        <v>382.2</v>
      </c>
      <c r="AA1020" s="1">
        <f ca="1">IFERROR(__xludf.DUMMYFUNCTION("""COMPUTED_VALUE"""),28.28)</f>
        <v>28.28</v>
      </c>
      <c r="AB1020" s="1">
        <f ca="1">IFERROR(__xludf.DUMMYFUNCTION("""COMPUTED_VALUE"""),93.86)</f>
        <v>93.86</v>
      </c>
      <c r="AC1020" s="1">
        <f ca="1">IFERROR(__xludf.DUMMYFUNCTION("""COMPUTED_VALUE"""),174.23)</f>
        <v>174.23</v>
      </c>
    </row>
    <row r="1021" spans="1:29" x14ac:dyDescent="0.25">
      <c r="A1021" s="2">
        <f ca="1">IFERROR(__xludf.DUMMYFUNCTION("""COMPUTED_VALUE"""),45313.6666666666)</f>
        <v>45313.666666666599</v>
      </c>
      <c r="B1021" s="1">
        <f ca="1">IFERROR(__xludf.DUMMYFUNCTION("""COMPUTED_VALUE"""),193.89)</f>
        <v>193.89</v>
      </c>
      <c r="C1021" s="1">
        <f ca="1">IFERROR(__xludf.DUMMYFUNCTION("""COMPUTED_VALUE"""),396.51)</f>
        <v>396.51</v>
      </c>
      <c r="D1021" s="1">
        <f ca="1">IFERROR(__xludf.DUMMYFUNCTION("""COMPUTED_VALUE"""),154.78)</f>
        <v>154.78</v>
      </c>
      <c r="E1021" s="1">
        <f ca="1">IFERROR(__xludf.DUMMYFUNCTION("""COMPUTED_VALUE"""),59.65)</f>
        <v>59.65</v>
      </c>
      <c r="F1021" s="1">
        <f ca="1">IFERROR(__xludf.DUMMYFUNCTION("""COMPUTED_VALUE"""),381.78)</f>
        <v>381.78</v>
      </c>
      <c r="G1021" s="1">
        <f ca="1">IFERROR(__xludf.DUMMYFUNCTION("""COMPUTED_VALUE"""),147.71)</f>
        <v>147.71</v>
      </c>
      <c r="H1021" s="1">
        <f ca="1">IFERROR(__xludf.DUMMYFUNCTION("""COMPUTED_VALUE"""),208.8)</f>
        <v>208.8</v>
      </c>
      <c r="I1021" s="1">
        <f ca="1">IFERROR(__xludf.DUMMYFUNCTION("""COMPUTED_VALUE"""),165.11)</f>
        <v>165.11</v>
      </c>
      <c r="J1021" s="1">
        <f ca="1">IFERROR(__xludf.DUMMYFUNCTION("""COMPUTED_VALUE"""),692.51)</f>
        <v>692.51</v>
      </c>
      <c r="K1021" s="1">
        <f ca="1">IFERROR(__xludf.DUMMYFUNCTION("""COMPUTED_VALUE"""),122.05)</f>
        <v>122.05</v>
      </c>
      <c r="L1021" s="1">
        <f ca="1">IFERROR(__xludf.DUMMYFUNCTION("""COMPUTED_VALUE"""),603.59)</f>
        <v>603.59</v>
      </c>
      <c r="M1021" s="1">
        <f ca="1">IFERROR(__xludf.DUMMYFUNCTION("""COMPUTED_VALUE"""),485.71)</f>
        <v>485.71</v>
      </c>
      <c r="N1021" s="1">
        <f ca="1">IFERROR(__xludf.DUMMYFUNCTION("""COMPUTED_VALUE"""),170.11)</f>
        <v>170.11</v>
      </c>
      <c r="O1021" s="1">
        <f ca="1">IFERROR(__xludf.DUMMYFUNCTION("""COMPUTED_VALUE"""),271.2)</f>
        <v>271.2</v>
      </c>
      <c r="P1021" s="1">
        <f ca="1">IFERROR(__xludf.DUMMYFUNCTION("""COMPUTED_VALUE"""),162.47)</f>
        <v>162.47</v>
      </c>
      <c r="Q1021" s="1">
        <f ca="1">IFERROR(__xludf.DUMMYFUNCTION("""COMPUTED_VALUE"""),512.99)</f>
        <v>512.99</v>
      </c>
      <c r="R1021" s="1">
        <f ca="1">IFERROR(__xludf.DUMMYFUNCTION("""COMPUTED_VALUE"""),96.82)</f>
        <v>96.82</v>
      </c>
      <c r="S1021" s="1">
        <f ca="1">IFERROR(__xludf.DUMMYFUNCTION("""COMPUTED_VALUE"""),56.85)</f>
        <v>56.85</v>
      </c>
      <c r="T1021" s="1">
        <f ca="1">IFERROR(__xludf.DUMMYFUNCTION("""COMPUTED_VALUE"""),54.13)</f>
        <v>54.13</v>
      </c>
      <c r="U1021" s="1">
        <f ca="1">IFERROR(__xludf.DUMMYFUNCTION("""COMPUTED_VALUE"""),100.56)</f>
        <v>100.56</v>
      </c>
      <c r="V1021" s="1">
        <f ca="1">IFERROR(__xludf.DUMMYFUNCTION("""COMPUTED_VALUE"""),288.67)</f>
        <v>288.67</v>
      </c>
      <c r="W1021" s="1">
        <f ca="1">IFERROR(__xludf.DUMMYFUNCTION("""COMPUTED_VALUE"""),458.76)</f>
        <v>458.76</v>
      </c>
      <c r="X1021" s="1">
        <f ca="1">IFERROR(__xludf.DUMMYFUNCTION("""COMPUTED_VALUE"""),766.68)</f>
        <v>766.68</v>
      </c>
      <c r="Y1021" s="1">
        <f ca="1">IFERROR(__xludf.DUMMYFUNCTION("""COMPUTED_VALUE"""),113.03)</f>
        <v>113.03</v>
      </c>
      <c r="Z1021" s="1">
        <f ca="1">IFERROR(__xludf.DUMMYFUNCTION("""COMPUTED_VALUE"""),385.96)</f>
        <v>385.96</v>
      </c>
      <c r="AA1021" s="1">
        <f ca="1">IFERROR(__xludf.DUMMYFUNCTION("""COMPUTED_VALUE"""),28.31)</f>
        <v>28.31</v>
      </c>
      <c r="AB1021" s="1">
        <f ca="1">IFERROR(__xludf.DUMMYFUNCTION("""COMPUTED_VALUE"""),93.07)</f>
        <v>93.07</v>
      </c>
      <c r="AC1021" s="1">
        <f ca="1">IFERROR(__xludf.DUMMYFUNCTION("""COMPUTED_VALUE"""),168.18)</f>
        <v>168.18</v>
      </c>
    </row>
    <row r="1022" spans="1:29" x14ac:dyDescent="0.25">
      <c r="A1022" s="2">
        <f ca="1">IFERROR(__xludf.DUMMYFUNCTION("""COMPUTED_VALUE"""),45314.6666666666)</f>
        <v>45314.666666666599</v>
      </c>
      <c r="B1022" s="1">
        <f ca="1">IFERROR(__xludf.DUMMYFUNCTION("""COMPUTED_VALUE"""),195.18)</f>
        <v>195.18</v>
      </c>
      <c r="C1022" s="1">
        <f ca="1">IFERROR(__xludf.DUMMYFUNCTION("""COMPUTED_VALUE"""),398.9)</f>
        <v>398.9</v>
      </c>
      <c r="D1022" s="1">
        <f ca="1">IFERROR(__xludf.DUMMYFUNCTION("""COMPUTED_VALUE"""),156.02)</f>
        <v>156.02000000000001</v>
      </c>
      <c r="E1022" s="1">
        <f ca="1">IFERROR(__xludf.DUMMYFUNCTION("""COMPUTED_VALUE"""),59.87)</f>
        <v>59.87</v>
      </c>
      <c r="F1022" s="1">
        <f ca="1">IFERROR(__xludf.DUMMYFUNCTION("""COMPUTED_VALUE"""),385.2)</f>
        <v>385.2</v>
      </c>
      <c r="G1022" s="1">
        <f ca="1">IFERROR(__xludf.DUMMYFUNCTION("""COMPUTED_VALUE"""),148.68)</f>
        <v>148.68</v>
      </c>
      <c r="H1022" s="1">
        <f ca="1">IFERROR(__xludf.DUMMYFUNCTION("""COMPUTED_VALUE"""),209.14)</f>
        <v>209.14</v>
      </c>
      <c r="I1022" s="1">
        <f ca="1">IFERROR(__xludf.DUMMYFUNCTION("""COMPUTED_VALUE"""),167.64)</f>
        <v>167.64</v>
      </c>
      <c r="J1022" s="1">
        <f ca="1">IFERROR(__xludf.DUMMYFUNCTION("""COMPUTED_VALUE"""),687.59)</f>
        <v>687.59</v>
      </c>
      <c r="K1022" s="1">
        <f ca="1">IFERROR(__xludf.DUMMYFUNCTION("""COMPUTED_VALUE"""),122.63)</f>
        <v>122.63</v>
      </c>
      <c r="L1022" s="1">
        <f ca="1">IFERROR(__xludf.DUMMYFUNCTION("""COMPUTED_VALUE"""),597.18)</f>
        <v>597.17999999999995</v>
      </c>
      <c r="M1022" s="1">
        <f ca="1">IFERROR(__xludf.DUMMYFUNCTION("""COMPUTED_VALUE"""),492.19)</f>
        <v>492.19</v>
      </c>
      <c r="N1022" s="1">
        <f ca="1">IFERROR(__xludf.DUMMYFUNCTION("""COMPUTED_VALUE"""),168.99)</f>
        <v>168.99</v>
      </c>
      <c r="O1022" s="1">
        <f ca="1">IFERROR(__xludf.DUMMYFUNCTION("""COMPUTED_VALUE"""),271.26)</f>
        <v>271.26</v>
      </c>
      <c r="P1022" s="1">
        <f ca="1">IFERROR(__xludf.DUMMYFUNCTION("""COMPUTED_VALUE"""),159.81)</f>
        <v>159.81</v>
      </c>
      <c r="Q1022" s="1">
        <f ca="1">IFERROR(__xludf.DUMMYFUNCTION("""COMPUTED_VALUE"""),515.52)</f>
        <v>515.52</v>
      </c>
      <c r="R1022" s="1">
        <f ca="1">IFERROR(__xludf.DUMMYFUNCTION("""COMPUTED_VALUE"""),97.91)</f>
        <v>97.91</v>
      </c>
      <c r="S1022" s="1">
        <f ca="1">IFERROR(__xludf.DUMMYFUNCTION("""COMPUTED_VALUE"""),57.38)</f>
        <v>57.38</v>
      </c>
      <c r="T1022" s="1">
        <f ca="1">IFERROR(__xludf.DUMMYFUNCTION("""COMPUTED_VALUE"""),54.27)</f>
        <v>54.27</v>
      </c>
      <c r="U1022" s="1">
        <f ca="1">IFERROR(__xludf.DUMMYFUNCTION("""COMPUTED_VALUE"""),101.9)</f>
        <v>101.9</v>
      </c>
      <c r="V1022" s="1">
        <f ca="1">IFERROR(__xludf.DUMMYFUNCTION("""COMPUTED_VALUE"""),288.83)</f>
        <v>288.83</v>
      </c>
      <c r="W1022" s="1">
        <f ca="1">IFERROR(__xludf.DUMMYFUNCTION("""COMPUTED_VALUE"""),439.67)</f>
        <v>439.67</v>
      </c>
      <c r="X1022" s="1">
        <f ca="1">IFERROR(__xludf.DUMMYFUNCTION("""COMPUTED_VALUE"""),778.39)</f>
        <v>778.39</v>
      </c>
      <c r="Y1022" s="1">
        <f ca="1">IFERROR(__xludf.DUMMYFUNCTION("""COMPUTED_VALUE"""),114.13)</f>
        <v>114.13</v>
      </c>
      <c r="Z1022" s="1">
        <f ca="1">IFERROR(__xludf.DUMMYFUNCTION("""COMPUTED_VALUE"""),380.77)</f>
        <v>380.77</v>
      </c>
      <c r="AA1022" s="1">
        <f ca="1">IFERROR(__xludf.DUMMYFUNCTION("""COMPUTED_VALUE"""),28.43)</f>
        <v>28.43</v>
      </c>
      <c r="AB1022" s="1">
        <f ca="1">IFERROR(__xludf.DUMMYFUNCTION("""COMPUTED_VALUE"""),91.97)</f>
        <v>91.97</v>
      </c>
      <c r="AC1022" s="1">
        <f ca="1">IFERROR(__xludf.DUMMYFUNCTION("""COMPUTED_VALUE"""),168.42)</f>
        <v>168.42</v>
      </c>
    </row>
    <row r="1023" spans="1:29" x14ac:dyDescent="0.25">
      <c r="A1023" s="2">
        <f ca="1">IFERROR(__xludf.DUMMYFUNCTION("""COMPUTED_VALUE"""),45315.6666666666)</f>
        <v>45315.666666666599</v>
      </c>
      <c r="B1023" s="1">
        <f ca="1">IFERROR(__xludf.DUMMYFUNCTION("""COMPUTED_VALUE"""),194.5)</f>
        <v>194.5</v>
      </c>
      <c r="C1023" s="1">
        <f ca="1">IFERROR(__xludf.DUMMYFUNCTION("""COMPUTED_VALUE"""),402.56)</f>
        <v>402.56</v>
      </c>
      <c r="D1023" s="1">
        <f ca="1">IFERROR(__xludf.DUMMYFUNCTION("""COMPUTED_VALUE"""),156.87)</f>
        <v>156.87</v>
      </c>
      <c r="E1023" s="1">
        <f ca="1">IFERROR(__xludf.DUMMYFUNCTION("""COMPUTED_VALUE"""),61.36)</f>
        <v>61.36</v>
      </c>
      <c r="F1023" s="1">
        <f ca="1">IFERROR(__xludf.DUMMYFUNCTION("""COMPUTED_VALUE"""),390.7)</f>
        <v>390.7</v>
      </c>
      <c r="G1023" s="1">
        <f ca="1">IFERROR(__xludf.DUMMYFUNCTION("""COMPUTED_VALUE"""),150.35)</f>
        <v>150.35</v>
      </c>
      <c r="H1023" s="1">
        <f ca="1">IFERROR(__xludf.DUMMYFUNCTION("""COMPUTED_VALUE"""),207.83)</f>
        <v>207.83</v>
      </c>
      <c r="I1023" s="1">
        <f ca="1">IFERROR(__xludf.DUMMYFUNCTION("""COMPUTED_VALUE"""),165.6)</f>
        <v>165.6</v>
      </c>
      <c r="J1023" s="1">
        <f ca="1">IFERROR(__xludf.DUMMYFUNCTION("""COMPUTED_VALUE"""),686.51)</f>
        <v>686.51</v>
      </c>
      <c r="K1023" s="1">
        <f ca="1">IFERROR(__xludf.DUMMYFUNCTION("""COMPUTED_VALUE"""),125.39)</f>
        <v>125.39</v>
      </c>
      <c r="L1023" s="1">
        <f ca="1">IFERROR(__xludf.DUMMYFUNCTION("""COMPUTED_VALUE"""),606.48)</f>
        <v>606.48</v>
      </c>
      <c r="M1023" s="1">
        <f ca="1">IFERROR(__xludf.DUMMYFUNCTION("""COMPUTED_VALUE"""),544.87)</f>
        <v>544.87</v>
      </c>
      <c r="N1023" s="1">
        <f ca="1">IFERROR(__xludf.DUMMYFUNCTION("""COMPUTED_VALUE"""),170.5)</f>
        <v>170.5</v>
      </c>
      <c r="O1023" s="1">
        <f ca="1">IFERROR(__xludf.DUMMYFUNCTION("""COMPUTED_VALUE"""),271.65)</f>
        <v>271.64999999999998</v>
      </c>
      <c r="P1023" s="1">
        <f ca="1">IFERROR(__xludf.DUMMYFUNCTION("""COMPUTED_VALUE"""),158.96)</f>
        <v>158.96</v>
      </c>
      <c r="Q1023" s="1">
        <f ca="1">IFERROR(__xludf.DUMMYFUNCTION("""COMPUTED_VALUE"""),513.23)</f>
        <v>513.23</v>
      </c>
      <c r="R1023" s="1">
        <f ca="1">IFERROR(__xludf.DUMMYFUNCTION("""COMPUTED_VALUE"""),99.6)</f>
        <v>99.6</v>
      </c>
      <c r="S1023" s="1">
        <f ca="1">IFERROR(__xludf.DUMMYFUNCTION("""COMPUTED_VALUE"""),57.01)</f>
        <v>57.01</v>
      </c>
      <c r="T1023" s="1">
        <f ca="1">IFERROR(__xludf.DUMMYFUNCTION("""COMPUTED_VALUE"""),53.5)</f>
        <v>53.5</v>
      </c>
      <c r="U1023" s="1">
        <f ca="1">IFERROR(__xludf.DUMMYFUNCTION("""COMPUTED_VALUE"""),100.76)</f>
        <v>100.76</v>
      </c>
      <c r="V1023" s="1">
        <f ca="1">IFERROR(__xludf.DUMMYFUNCTION("""COMPUTED_VALUE"""),290.68)</f>
        <v>290.68</v>
      </c>
      <c r="W1023" s="1">
        <f ca="1">IFERROR(__xludf.DUMMYFUNCTION("""COMPUTED_VALUE"""),431.65)</f>
        <v>431.65</v>
      </c>
      <c r="X1023" s="1">
        <f ca="1">IFERROR(__xludf.DUMMYFUNCTION("""COMPUTED_VALUE"""),847.31)</f>
        <v>847.31</v>
      </c>
      <c r="Y1023" s="1">
        <f ca="1">IFERROR(__xludf.DUMMYFUNCTION("""COMPUTED_VALUE"""),116.52)</f>
        <v>116.52</v>
      </c>
      <c r="Z1023" s="1">
        <f ca="1">IFERROR(__xludf.DUMMYFUNCTION("""COMPUTED_VALUE"""),379.4)</f>
        <v>379.4</v>
      </c>
      <c r="AA1023" s="1">
        <f ca="1">IFERROR(__xludf.DUMMYFUNCTION("""COMPUTED_VALUE"""),28.33)</f>
        <v>28.33</v>
      </c>
      <c r="AB1023" s="1">
        <f ca="1">IFERROR(__xludf.DUMMYFUNCTION("""COMPUTED_VALUE"""),92.04)</f>
        <v>92.04</v>
      </c>
      <c r="AC1023" s="1">
        <f ca="1">IFERROR(__xludf.DUMMYFUNCTION("""COMPUTED_VALUE"""),178.29)</f>
        <v>178.29</v>
      </c>
    </row>
    <row r="1024" spans="1:29" x14ac:dyDescent="0.25">
      <c r="A1024" s="2">
        <f ca="1">IFERROR(__xludf.DUMMYFUNCTION("""COMPUTED_VALUE"""),45316.6666666666)</f>
        <v>45316.666666666599</v>
      </c>
      <c r="B1024" s="1">
        <f ca="1">IFERROR(__xludf.DUMMYFUNCTION("""COMPUTED_VALUE"""),194.17)</f>
        <v>194.17</v>
      </c>
      <c r="C1024" s="1">
        <f ca="1">IFERROR(__xludf.DUMMYFUNCTION("""COMPUTED_VALUE"""),404.87)</f>
        <v>404.87</v>
      </c>
      <c r="D1024" s="1">
        <f ca="1">IFERROR(__xludf.DUMMYFUNCTION("""COMPUTED_VALUE"""),157.75)</f>
        <v>157.75</v>
      </c>
      <c r="E1024" s="1">
        <f ca="1">IFERROR(__xludf.DUMMYFUNCTION("""COMPUTED_VALUE"""),61.62)</f>
        <v>61.62</v>
      </c>
      <c r="F1024" s="1">
        <f ca="1">IFERROR(__xludf.DUMMYFUNCTION("""COMPUTED_VALUE"""),393.18)</f>
        <v>393.18</v>
      </c>
      <c r="G1024" s="1">
        <f ca="1">IFERROR(__xludf.DUMMYFUNCTION("""COMPUTED_VALUE"""),153.64)</f>
        <v>153.63999999999999</v>
      </c>
      <c r="H1024" s="1">
        <f ca="1">IFERROR(__xludf.DUMMYFUNCTION("""COMPUTED_VALUE"""),182.63)</f>
        <v>182.63</v>
      </c>
      <c r="I1024" s="1">
        <f ca="1">IFERROR(__xludf.DUMMYFUNCTION("""COMPUTED_VALUE"""),166.56)</f>
        <v>166.56</v>
      </c>
      <c r="J1024" s="1">
        <f ca="1">IFERROR(__xludf.DUMMYFUNCTION("""COMPUTED_VALUE"""),679.9)</f>
        <v>679.9</v>
      </c>
      <c r="K1024" s="1">
        <f ca="1">IFERROR(__xludf.DUMMYFUNCTION("""COMPUTED_VALUE"""),123)</f>
        <v>123</v>
      </c>
      <c r="L1024" s="1">
        <f ca="1">IFERROR(__xludf.DUMMYFUNCTION("""COMPUTED_VALUE"""),622.58)</f>
        <v>622.58000000000004</v>
      </c>
      <c r="M1024" s="1">
        <f ca="1">IFERROR(__xludf.DUMMYFUNCTION("""COMPUTED_VALUE"""),562)</f>
        <v>562</v>
      </c>
      <c r="N1024" s="1">
        <f ca="1">IFERROR(__xludf.DUMMYFUNCTION("""COMPUTED_VALUE"""),172.94)</f>
        <v>172.94</v>
      </c>
      <c r="O1024" s="1">
        <f ca="1">IFERROR(__xludf.DUMMYFUNCTION("""COMPUTED_VALUE"""),272.61)</f>
        <v>272.61</v>
      </c>
      <c r="P1024" s="1">
        <f ca="1">IFERROR(__xludf.DUMMYFUNCTION("""COMPUTED_VALUE"""),159.56)</f>
        <v>159.56</v>
      </c>
      <c r="Q1024" s="1">
        <f ca="1">IFERROR(__xludf.DUMMYFUNCTION("""COMPUTED_VALUE"""),493.4)</f>
        <v>493.4</v>
      </c>
      <c r="R1024" s="1">
        <f ca="1">IFERROR(__xludf.DUMMYFUNCTION("""COMPUTED_VALUE"""),102.13)</f>
        <v>102.13</v>
      </c>
      <c r="S1024" s="1">
        <f ca="1">IFERROR(__xludf.DUMMYFUNCTION("""COMPUTED_VALUE"""),57.98)</f>
        <v>57.98</v>
      </c>
      <c r="T1024" s="1">
        <f ca="1">IFERROR(__xludf.DUMMYFUNCTION("""COMPUTED_VALUE"""),54.28)</f>
        <v>54.28</v>
      </c>
      <c r="U1024" s="1">
        <f ca="1">IFERROR(__xludf.DUMMYFUNCTION("""COMPUTED_VALUE"""),100.77)</f>
        <v>100.77</v>
      </c>
      <c r="V1024" s="1">
        <f ca="1">IFERROR(__xludf.DUMMYFUNCTION("""COMPUTED_VALUE"""),300.77)</f>
        <v>300.77</v>
      </c>
      <c r="W1024" s="1">
        <f ca="1">IFERROR(__xludf.DUMMYFUNCTION("""COMPUTED_VALUE"""),431.04)</f>
        <v>431.04</v>
      </c>
      <c r="X1024" s="1">
        <f ca="1">IFERROR(__xludf.DUMMYFUNCTION("""COMPUTED_VALUE"""),869.08)</f>
        <v>869.08</v>
      </c>
      <c r="Y1024" s="1">
        <f ca="1">IFERROR(__xludf.DUMMYFUNCTION("""COMPUTED_VALUE"""),116.56)</f>
        <v>116.56</v>
      </c>
      <c r="Z1024" s="1">
        <f ca="1">IFERROR(__xludf.DUMMYFUNCTION("""COMPUTED_VALUE"""),382.7)</f>
        <v>382.7</v>
      </c>
      <c r="AA1024" s="1">
        <f ca="1">IFERROR(__xludf.DUMMYFUNCTION("""COMPUTED_VALUE"""),27.47)</f>
        <v>27.47</v>
      </c>
      <c r="AB1024" s="1">
        <f ca="1">IFERROR(__xludf.DUMMYFUNCTION("""COMPUTED_VALUE"""),92.61)</f>
        <v>92.61</v>
      </c>
      <c r="AC1024" s="1">
        <f ca="1">IFERROR(__xludf.DUMMYFUNCTION("""COMPUTED_VALUE"""),180.33)</f>
        <v>180.33</v>
      </c>
    </row>
    <row r="1025" spans="1:29" x14ac:dyDescent="0.25">
      <c r="A1025" s="2">
        <f ca="1">IFERROR(__xludf.DUMMYFUNCTION("""COMPUTED_VALUE"""),45317.6666666666)</f>
        <v>45317.666666666599</v>
      </c>
      <c r="B1025" s="1">
        <f ca="1">IFERROR(__xludf.DUMMYFUNCTION("""COMPUTED_VALUE"""),192.42)</f>
        <v>192.42</v>
      </c>
      <c r="C1025" s="1">
        <f ca="1">IFERROR(__xludf.DUMMYFUNCTION("""COMPUTED_VALUE"""),403.93)</f>
        <v>403.93</v>
      </c>
      <c r="D1025" s="1">
        <f ca="1">IFERROR(__xludf.DUMMYFUNCTION("""COMPUTED_VALUE"""),159.12)</f>
        <v>159.12</v>
      </c>
      <c r="E1025" s="1">
        <f ca="1">IFERROR(__xludf.DUMMYFUNCTION("""COMPUTED_VALUE"""),61.03)</f>
        <v>61.03</v>
      </c>
      <c r="F1025" s="1">
        <f ca="1">IFERROR(__xludf.DUMMYFUNCTION("""COMPUTED_VALUE"""),394.14)</f>
        <v>394.14</v>
      </c>
      <c r="G1025" s="1">
        <f ca="1">IFERROR(__xludf.DUMMYFUNCTION("""COMPUTED_VALUE"""),153.79)</f>
        <v>153.79</v>
      </c>
      <c r="H1025" s="1">
        <f ca="1">IFERROR(__xludf.DUMMYFUNCTION("""COMPUTED_VALUE"""),183.25)</f>
        <v>183.25</v>
      </c>
      <c r="I1025" s="1">
        <f ca="1">IFERROR(__xludf.DUMMYFUNCTION("""COMPUTED_VALUE"""),167.86)</f>
        <v>167.86</v>
      </c>
      <c r="J1025" s="1">
        <f ca="1">IFERROR(__xludf.DUMMYFUNCTION("""COMPUTED_VALUE"""),686.88)</f>
        <v>686.88</v>
      </c>
      <c r="K1025" s="1">
        <f ca="1">IFERROR(__xludf.DUMMYFUNCTION("""COMPUTED_VALUE"""),120.49)</f>
        <v>120.49</v>
      </c>
      <c r="L1025" s="1">
        <f ca="1">IFERROR(__xludf.DUMMYFUNCTION("""COMPUTED_VALUE"""),613.93)</f>
        <v>613.92999999999995</v>
      </c>
      <c r="M1025" s="1">
        <f ca="1">IFERROR(__xludf.DUMMYFUNCTION("""COMPUTED_VALUE"""),570.42)</f>
        <v>570.41999999999996</v>
      </c>
      <c r="N1025" s="1">
        <f ca="1">IFERROR(__xludf.DUMMYFUNCTION("""COMPUTED_VALUE"""),172.28)</f>
        <v>172.28</v>
      </c>
      <c r="O1025" s="1">
        <f ca="1">IFERROR(__xludf.DUMMYFUNCTION("""COMPUTED_VALUE"""),267.94)</f>
        <v>267.94</v>
      </c>
      <c r="P1025" s="1">
        <f ca="1">IFERROR(__xludf.DUMMYFUNCTION("""COMPUTED_VALUE"""),159.5)</f>
        <v>159.5</v>
      </c>
      <c r="Q1025" s="1">
        <f ca="1">IFERROR(__xludf.DUMMYFUNCTION("""COMPUTED_VALUE"""),503.2)</f>
        <v>503.2</v>
      </c>
      <c r="R1025" s="1">
        <f ca="1">IFERROR(__xludf.DUMMYFUNCTION("""COMPUTED_VALUE"""),103)</f>
        <v>103</v>
      </c>
      <c r="S1025" s="1">
        <f ca="1">IFERROR(__xludf.DUMMYFUNCTION("""COMPUTED_VALUE"""),58.48)</f>
        <v>58.48</v>
      </c>
      <c r="T1025" s="1">
        <f ca="1">IFERROR(__xludf.DUMMYFUNCTION("""COMPUTED_VALUE"""),54.76)</f>
        <v>54.76</v>
      </c>
      <c r="U1025" s="1">
        <f ca="1">IFERROR(__xludf.DUMMYFUNCTION("""COMPUTED_VALUE"""),102.75)</f>
        <v>102.75</v>
      </c>
      <c r="V1025" s="1">
        <f ca="1">IFERROR(__xludf.DUMMYFUNCTION("""COMPUTED_VALUE"""),299.43)</f>
        <v>299.43</v>
      </c>
      <c r="W1025" s="1">
        <f ca="1">IFERROR(__xludf.DUMMYFUNCTION("""COMPUTED_VALUE"""),429.91)</f>
        <v>429.91</v>
      </c>
      <c r="X1025" s="1">
        <f ca="1">IFERROR(__xludf.DUMMYFUNCTION("""COMPUTED_VALUE"""),867.75)</f>
        <v>867.75</v>
      </c>
      <c r="Y1025" s="1">
        <f ca="1">IFERROR(__xludf.DUMMYFUNCTION("""COMPUTED_VALUE"""),117.26)</f>
        <v>117.26</v>
      </c>
      <c r="Z1025" s="1">
        <f ca="1">IFERROR(__xludf.DUMMYFUNCTION("""COMPUTED_VALUE"""),377.79)</f>
        <v>377.79</v>
      </c>
      <c r="AA1025" s="1">
        <f ca="1">IFERROR(__xludf.DUMMYFUNCTION("""COMPUTED_VALUE"""),27.47)</f>
        <v>27.47</v>
      </c>
      <c r="AB1025" s="1">
        <f ca="1">IFERROR(__xludf.DUMMYFUNCTION("""COMPUTED_VALUE"""),92.8)</f>
        <v>92.8</v>
      </c>
      <c r="AC1025" s="1">
        <f ca="1">IFERROR(__xludf.DUMMYFUNCTION("""COMPUTED_VALUE"""),177.25)</f>
        <v>177.25</v>
      </c>
    </row>
    <row r="1026" spans="1:29" x14ac:dyDescent="0.25">
      <c r="A1026" s="2">
        <f ca="1">IFERROR(__xludf.DUMMYFUNCTION("""COMPUTED_VALUE"""),45320.6666666666)</f>
        <v>45320.666666666599</v>
      </c>
      <c r="B1026" s="1">
        <f ca="1">IFERROR(__xludf.DUMMYFUNCTION("""COMPUTED_VALUE"""),191.73)</f>
        <v>191.73</v>
      </c>
      <c r="C1026" s="1">
        <f ca="1">IFERROR(__xludf.DUMMYFUNCTION("""COMPUTED_VALUE"""),409.72)</f>
        <v>409.72</v>
      </c>
      <c r="D1026" s="1">
        <f ca="1">IFERROR(__xludf.DUMMYFUNCTION("""COMPUTED_VALUE"""),161.26)</f>
        <v>161.26</v>
      </c>
      <c r="E1026" s="1">
        <f ca="1">IFERROR(__xludf.DUMMYFUNCTION("""COMPUTED_VALUE"""),62.47)</f>
        <v>62.47</v>
      </c>
      <c r="F1026" s="1">
        <f ca="1">IFERROR(__xludf.DUMMYFUNCTION("""COMPUTED_VALUE"""),401.02)</f>
        <v>401.02</v>
      </c>
      <c r="G1026" s="1">
        <f ca="1">IFERROR(__xludf.DUMMYFUNCTION("""COMPUTED_VALUE"""),154.84)</f>
        <v>154.84</v>
      </c>
      <c r="H1026" s="1">
        <f ca="1">IFERROR(__xludf.DUMMYFUNCTION("""COMPUTED_VALUE"""),190.93)</f>
        <v>190.93</v>
      </c>
      <c r="I1026" s="1">
        <f ca="1">IFERROR(__xludf.DUMMYFUNCTION("""COMPUTED_VALUE"""),168.15)</f>
        <v>168.15</v>
      </c>
      <c r="J1026" s="1">
        <f ca="1">IFERROR(__xludf.DUMMYFUNCTION("""COMPUTED_VALUE"""),694.01)</f>
        <v>694.01</v>
      </c>
      <c r="K1026" s="1">
        <f ca="1">IFERROR(__xludf.DUMMYFUNCTION("""COMPUTED_VALUE"""),121.78)</f>
        <v>121.78</v>
      </c>
      <c r="L1026" s="1">
        <f ca="1">IFERROR(__xludf.DUMMYFUNCTION("""COMPUTED_VALUE"""),630.23)</f>
        <v>630.23</v>
      </c>
      <c r="M1026" s="1">
        <f ca="1">IFERROR(__xludf.DUMMYFUNCTION("""COMPUTED_VALUE"""),575.79)</f>
        <v>575.79</v>
      </c>
      <c r="N1026" s="1">
        <f ca="1">IFERROR(__xludf.DUMMYFUNCTION("""COMPUTED_VALUE"""),172.73)</f>
        <v>172.73</v>
      </c>
      <c r="O1026" s="1">
        <f ca="1">IFERROR(__xludf.DUMMYFUNCTION("""COMPUTED_VALUE"""),273.66)</f>
        <v>273.66000000000003</v>
      </c>
      <c r="P1026" s="1">
        <f ca="1">IFERROR(__xludf.DUMMYFUNCTION("""COMPUTED_VALUE"""),159.36)</f>
        <v>159.36000000000001</v>
      </c>
      <c r="Q1026" s="1">
        <f ca="1">IFERROR(__xludf.DUMMYFUNCTION("""COMPUTED_VALUE"""),504.54)</f>
        <v>504.54</v>
      </c>
      <c r="R1026" s="1">
        <f ca="1">IFERROR(__xludf.DUMMYFUNCTION("""COMPUTED_VALUE"""),103.13)</f>
        <v>103.13</v>
      </c>
      <c r="S1026" s="1">
        <f ca="1">IFERROR(__xludf.DUMMYFUNCTION("""COMPUTED_VALUE"""),59.57)</f>
        <v>59.57</v>
      </c>
      <c r="T1026" s="1">
        <f ca="1">IFERROR(__xludf.DUMMYFUNCTION("""COMPUTED_VALUE"""),55.01)</f>
        <v>55.01</v>
      </c>
      <c r="U1026" s="1">
        <f ca="1">IFERROR(__xludf.DUMMYFUNCTION("""COMPUTED_VALUE"""),103.88)</f>
        <v>103.88</v>
      </c>
      <c r="V1026" s="1">
        <f ca="1">IFERROR(__xludf.DUMMYFUNCTION("""COMPUTED_VALUE"""),303.25)</f>
        <v>303.25</v>
      </c>
      <c r="W1026" s="1">
        <f ca="1">IFERROR(__xludf.DUMMYFUNCTION("""COMPUTED_VALUE"""),428.01)</f>
        <v>428.01</v>
      </c>
      <c r="X1026" s="1">
        <f ca="1">IFERROR(__xludf.DUMMYFUNCTION("""COMPUTED_VALUE"""),882.62)</f>
        <v>882.62</v>
      </c>
      <c r="Y1026" s="1">
        <f ca="1">IFERROR(__xludf.DUMMYFUNCTION("""COMPUTED_VALUE"""),116.98)</f>
        <v>116.98</v>
      </c>
      <c r="Z1026" s="1">
        <f ca="1">IFERROR(__xludf.DUMMYFUNCTION("""COMPUTED_VALUE"""),380.56)</f>
        <v>380.56</v>
      </c>
      <c r="AA1026" s="1">
        <f ca="1">IFERROR(__xludf.DUMMYFUNCTION("""COMPUTED_VALUE"""),27.48)</f>
        <v>27.48</v>
      </c>
      <c r="AB1026" s="1">
        <f ca="1">IFERROR(__xludf.DUMMYFUNCTION("""COMPUTED_VALUE"""),93.8)</f>
        <v>93.8</v>
      </c>
      <c r="AC1026" s="1">
        <f ca="1">IFERROR(__xludf.DUMMYFUNCTION("""COMPUTED_VALUE"""),177.83)</f>
        <v>177.83</v>
      </c>
    </row>
    <row r="1027" spans="1:29" x14ac:dyDescent="0.25">
      <c r="A1027" s="2">
        <f ca="1">IFERROR(__xludf.DUMMYFUNCTION("""COMPUTED_VALUE"""),45321.6666666666)</f>
        <v>45321.666666666599</v>
      </c>
      <c r="B1027" s="1">
        <f ca="1">IFERROR(__xludf.DUMMYFUNCTION("""COMPUTED_VALUE"""),188.04)</f>
        <v>188.04</v>
      </c>
      <c r="C1027" s="1">
        <f ca="1">IFERROR(__xludf.DUMMYFUNCTION("""COMPUTED_VALUE"""),408.59)</f>
        <v>408.59</v>
      </c>
      <c r="D1027" s="1">
        <f ca="1">IFERROR(__xludf.DUMMYFUNCTION("""COMPUTED_VALUE"""),159)</f>
        <v>159</v>
      </c>
      <c r="E1027" s="1">
        <f ca="1">IFERROR(__xludf.DUMMYFUNCTION("""COMPUTED_VALUE"""),62.77)</f>
        <v>62.77</v>
      </c>
      <c r="F1027" s="1">
        <f ca="1">IFERROR(__xludf.DUMMYFUNCTION("""COMPUTED_VALUE"""),400.06)</f>
        <v>400.06</v>
      </c>
      <c r="G1027" s="1">
        <f ca="1">IFERROR(__xludf.DUMMYFUNCTION("""COMPUTED_VALUE"""),153.05)</f>
        <v>153.05000000000001</v>
      </c>
      <c r="H1027" s="1">
        <f ca="1">IFERROR(__xludf.DUMMYFUNCTION("""COMPUTED_VALUE"""),191.59)</f>
        <v>191.59</v>
      </c>
      <c r="I1027" s="1">
        <f ca="1">IFERROR(__xludf.DUMMYFUNCTION("""COMPUTED_VALUE"""),169.62)</f>
        <v>169.62</v>
      </c>
      <c r="J1027" s="1">
        <f ca="1">IFERROR(__xludf.DUMMYFUNCTION("""COMPUTED_VALUE"""),700.74)</f>
        <v>700.74</v>
      </c>
      <c r="K1027" s="1">
        <f ca="1">IFERROR(__xludf.DUMMYFUNCTION("""COMPUTED_VALUE"""),120.82)</f>
        <v>120.82</v>
      </c>
      <c r="L1027" s="1">
        <f ca="1">IFERROR(__xludf.DUMMYFUNCTION("""COMPUTED_VALUE"""),627.96)</f>
        <v>627.96</v>
      </c>
      <c r="M1027" s="1">
        <f ca="1">IFERROR(__xludf.DUMMYFUNCTION("""COMPUTED_VALUE"""),562.85)</f>
        <v>562.85</v>
      </c>
      <c r="N1027" s="1">
        <f ca="1">IFERROR(__xludf.DUMMYFUNCTION("""COMPUTED_VALUE"""),176.27)</f>
        <v>176.27</v>
      </c>
      <c r="O1027" s="1">
        <f ca="1">IFERROR(__xludf.DUMMYFUNCTION("""COMPUTED_VALUE"""),277.15)</f>
        <v>277.14999999999998</v>
      </c>
      <c r="P1027" s="1">
        <f ca="1">IFERROR(__xludf.DUMMYFUNCTION("""COMPUTED_VALUE"""),158.77)</f>
        <v>158.77000000000001</v>
      </c>
      <c r="Q1027" s="1">
        <f ca="1">IFERROR(__xludf.DUMMYFUNCTION("""COMPUTED_VALUE"""),503.61)</f>
        <v>503.61</v>
      </c>
      <c r="R1027" s="1">
        <f ca="1">IFERROR(__xludf.DUMMYFUNCTION("""COMPUTED_VALUE"""),104.85)</f>
        <v>104.85</v>
      </c>
      <c r="S1027" s="1">
        <f ca="1">IFERROR(__xludf.DUMMYFUNCTION("""COMPUTED_VALUE"""),59.28)</f>
        <v>59.28</v>
      </c>
      <c r="T1027" s="1">
        <f ca="1">IFERROR(__xludf.DUMMYFUNCTION("""COMPUTED_VALUE"""),55.2)</f>
        <v>55.2</v>
      </c>
      <c r="U1027" s="1">
        <f ca="1">IFERROR(__xludf.DUMMYFUNCTION("""COMPUTED_VALUE"""),104.18)</f>
        <v>104.18</v>
      </c>
      <c r="V1027" s="1">
        <f ca="1">IFERROR(__xludf.DUMMYFUNCTION("""COMPUTED_VALUE"""),304.76)</f>
        <v>304.76</v>
      </c>
      <c r="W1027" s="1">
        <f ca="1">IFERROR(__xludf.DUMMYFUNCTION("""COMPUTED_VALUE"""),431.68)</f>
        <v>431.68</v>
      </c>
      <c r="X1027" s="1">
        <f ca="1">IFERROR(__xludf.DUMMYFUNCTION("""COMPUTED_VALUE"""),868.03)</f>
        <v>868.03</v>
      </c>
      <c r="Y1027" s="1">
        <f ca="1">IFERROR(__xludf.DUMMYFUNCTION("""COMPUTED_VALUE"""),116.06)</f>
        <v>116.06</v>
      </c>
      <c r="Z1027" s="1">
        <f ca="1">IFERROR(__xludf.DUMMYFUNCTION("""COMPUTED_VALUE"""),386.87)</f>
        <v>386.87</v>
      </c>
      <c r="AA1027" s="1">
        <f ca="1">IFERROR(__xludf.DUMMYFUNCTION("""COMPUTED_VALUE"""),27.02)</f>
        <v>27.02</v>
      </c>
      <c r="AB1027" s="1">
        <f ca="1">IFERROR(__xludf.DUMMYFUNCTION("""COMPUTED_VALUE"""),94.08)</f>
        <v>94.08</v>
      </c>
      <c r="AC1027" s="1">
        <f ca="1">IFERROR(__xludf.DUMMYFUNCTION("""COMPUTED_VALUE"""),172.06)</f>
        <v>172.06</v>
      </c>
    </row>
    <row r="1028" spans="1:29" x14ac:dyDescent="0.25">
      <c r="A1028" s="2">
        <f ca="1">IFERROR(__xludf.DUMMYFUNCTION("""COMPUTED_VALUE"""),45322.6666666666)</f>
        <v>45322.666666666599</v>
      </c>
      <c r="B1028" s="1">
        <f ca="1">IFERROR(__xludf.DUMMYFUNCTION("""COMPUTED_VALUE"""),184.4)</f>
        <v>184.4</v>
      </c>
      <c r="C1028" s="1">
        <f ca="1">IFERROR(__xludf.DUMMYFUNCTION("""COMPUTED_VALUE"""),397.58)</f>
        <v>397.58</v>
      </c>
      <c r="D1028" s="1">
        <f ca="1">IFERROR(__xludf.DUMMYFUNCTION("""COMPUTED_VALUE"""),155.2)</f>
        <v>155.19999999999999</v>
      </c>
      <c r="E1028" s="1">
        <f ca="1">IFERROR(__xludf.DUMMYFUNCTION("""COMPUTED_VALUE"""),61.53)</f>
        <v>61.53</v>
      </c>
      <c r="F1028" s="1">
        <f ca="1">IFERROR(__xludf.DUMMYFUNCTION("""COMPUTED_VALUE"""),390.14)</f>
        <v>390.14</v>
      </c>
      <c r="G1028" s="1">
        <f ca="1">IFERROR(__xludf.DUMMYFUNCTION("""COMPUTED_VALUE"""),141.8)</f>
        <v>141.80000000000001</v>
      </c>
      <c r="H1028" s="1">
        <f ca="1">IFERROR(__xludf.DUMMYFUNCTION("""COMPUTED_VALUE"""),187.29)</f>
        <v>187.29</v>
      </c>
      <c r="I1028" s="1">
        <f ca="1">IFERROR(__xludf.DUMMYFUNCTION("""COMPUTED_VALUE"""),168.53)</f>
        <v>168.53</v>
      </c>
      <c r="J1028" s="1">
        <f ca="1">IFERROR(__xludf.DUMMYFUNCTION("""COMPUTED_VALUE"""),694.88)</f>
        <v>694.88</v>
      </c>
      <c r="K1028" s="1">
        <f ca="1">IFERROR(__xludf.DUMMYFUNCTION("""COMPUTED_VALUE"""),118)</f>
        <v>118</v>
      </c>
      <c r="L1028" s="1">
        <f ca="1">IFERROR(__xludf.DUMMYFUNCTION("""COMPUTED_VALUE"""),617.78)</f>
        <v>617.78</v>
      </c>
      <c r="M1028" s="1">
        <f ca="1">IFERROR(__xludf.DUMMYFUNCTION("""COMPUTED_VALUE"""),564.11)</f>
        <v>564.11</v>
      </c>
      <c r="N1028" s="1">
        <f ca="1">IFERROR(__xludf.DUMMYFUNCTION("""COMPUTED_VALUE"""),174.36)</f>
        <v>174.36</v>
      </c>
      <c r="O1028" s="1">
        <f ca="1">IFERROR(__xludf.DUMMYFUNCTION("""COMPUTED_VALUE"""),273.26)</f>
        <v>273.26</v>
      </c>
      <c r="P1028" s="1">
        <f ca="1">IFERROR(__xludf.DUMMYFUNCTION("""COMPUTED_VALUE"""),158.9)</f>
        <v>158.9</v>
      </c>
      <c r="Q1028" s="1">
        <f ca="1">IFERROR(__xludf.DUMMYFUNCTION("""COMPUTED_VALUE"""),511.74)</f>
        <v>511.74</v>
      </c>
      <c r="R1028" s="1">
        <f ca="1">IFERROR(__xludf.DUMMYFUNCTION("""COMPUTED_VALUE"""),102.81)</f>
        <v>102.81</v>
      </c>
      <c r="S1028" s="1">
        <f ca="1">IFERROR(__xludf.DUMMYFUNCTION("""COMPUTED_VALUE"""),58.63)</f>
        <v>58.63</v>
      </c>
      <c r="T1028" s="1">
        <f ca="1">IFERROR(__xludf.DUMMYFUNCTION("""COMPUTED_VALUE"""),55.08)</f>
        <v>55.08</v>
      </c>
      <c r="U1028" s="1">
        <f ca="1">IFERROR(__xludf.DUMMYFUNCTION("""COMPUTED_VALUE"""),101.53)</f>
        <v>101.53</v>
      </c>
      <c r="V1028" s="1">
        <f ca="1">IFERROR(__xludf.DUMMYFUNCTION("""COMPUTED_VALUE"""),300.31)</f>
        <v>300.31</v>
      </c>
      <c r="W1028" s="1">
        <f ca="1">IFERROR(__xludf.DUMMYFUNCTION("""COMPUTED_VALUE"""),429.41)</f>
        <v>429.41</v>
      </c>
      <c r="X1028" s="1">
        <f ca="1">IFERROR(__xludf.DUMMYFUNCTION("""COMPUTED_VALUE"""),869.82)</f>
        <v>869.82</v>
      </c>
      <c r="Y1028" s="1">
        <f ca="1">IFERROR(__xludf.DUMMYFUNCTION("""COMPUTED_VALUE"""),112.96)</f>
        <v>112.96</v>
      </c>
      <c r="Z1028" s="1">
        <f ca="1">IFERROR(__xludf.DUMMYFUNCTION("""COMPUTED_VALUE"""),384.01)</f>
        <v>384.01</v>
      </c>
      <c r="AA1028" s="1">
        <f ca="1">IFERROR(__xludf.DUMMYFUNCTION("""COMPUTED_VALUE"""),27.08)</f>
        <v>27.08</v>
      </c>
      <c r="AB1028" s="1">
        <f ca="1">IFERROR(__xludf.DUMMYFUNCTION("""COMPUTED_VALUE"""),93.03)</f>
        <v>93.03</v>
      </c>
      <c r="AC1028" s="1">
        <f ca="1">IFERROR(__xludf.DUMMYFUNCTION("""COMPUTED_VALUE"""),167.69)</f>
        <v>167.69</v>
      </c>
    </row>
    <row r="1029" spans="1:29" x14ac:dyDescent="0.25">
      <c r="A1029" s="2">
        <f ca="1">IFERROR(__xludf.DUMMYFUNCTION("""COMPUTED_VALUE"""),45323.6666666666)</f>
        <v>45323.666666666599</v>
      </c>
      <c r="B1029" s="1">
        <f ca="1">IFERROR(__xludf.DUMMYFUNCTION("""COMPUTED_VALUE"""),186.86)</f>
        <v>186.86</v>
      </c>
      <c r="C1029" s="1">
        <f ca="1">IFERROR(__xludf.DUMMYFUNCTION("""COMPUTED_VALUE"""),403.78)</f>
        <v>403.78</v>
      </c>
      <c r="D1029" s="1">
        <f ca="1">IFERROR(__xludf.DUMMYFUNCTION("""COMPUTED_VALUE"""),159.28)</f>
        <v>159.28</v>
      </c>
      <c r="E1029" s="1">
        <f ca="1">IFERROR(__xludf.DUMMYFUNCTION("""COMPUTED_VALUE"""),63.03)</f>
        <v>63.03</v>
      </c>
      <c r="F1029" s="1">
        <f ca="1">IFERROR(__xludf.DUMMYFUNCTION("""COMPUTED_VALUE"""),394.78)</f>
        <v>394.78</v>
      </c>
      <c r="G1029" s="1">
        <f ca="1">IFERROR(__xludf.DUMMYFUNCTION("""COMPUTED_VALUE"""),142.71)</f>
        <v>142.71</v>
      </c>
      <c r="H1029" s="1">
        <f ca="1">IFERROR(__xludf.DUMMYFUNCTION("""COMPUTED_VALUE"""),188.86)</f>
        <v>188.86</v>
      </c>
      <c r="I1029" s="1">
        <f ca="1">IFERROR(__xludf.DUMMYFUNCTION("""COMPUTED_VALUE"""),171.7)</f>
        <v>171.7</v>
      </c>
      <c r="J1029" s="1">
        <f ca="1">IFERROR(__xludf.DUMMYFUNCTION("""COMPUTED_VALUE"""),704.48)</f>
        <v>704.48</v>
      </c>
      <c r="K1029" s="1">
        <f ca="1">IFERROR(__xludf.DUMMYFUNCTION("""COMPUTED_VALUE"""),120)</f>
        <v>120</v>
      </c>
      <c r="L1029" s="1">
        <f ca="1">IFERROR(__xludf.DUMMYFUNCTION("""COMPUTED_VALUE"""),627.91)</f>
        <v>627.91</v>
      </c>
      <c r="M1029" s="1">
        <f ca="1">IFERROR(__xludf.DUMMYFUNCTION("""COMPUTED_VALUE"""),567.51)</f>
        <v>567.51</v>
      </c>
      <c r="N1029" s="1">
        <f ca="1">IFERROR(__xludf.DUMMYFUNCTION("""COMPUTED_VALUE"""),173.73)</f>
        <v>173.73</v>
      </c>
      <c r="O1029" s="1">
        <f ca="1">IFERROR(__xludf.DUMMYFUNCTION("""COMPUTED_VALUE"""),277.05)</f>
        <v>277.05</v>
      </c>
      <c r="P1029" s="1">
        <f ca="1">IFERROR(__xludf.DUMMYFUNCTION("""COMPUTED_VALUE"""),158.36)</f>
        <v>158.36000000000001</v>
      </c>
      <c r="Q1029" s="1">
        <f ca="1">IFERROR(__xludf.DUMMYFUNCTION("""COMPUTED_VALUE"""),507.14)</f>
        <v>507.14</v>
      </c>
      <c r="R1029" s="1">
        <f ca="1">IFERROR(__xludf.DUMMYFUNCTION("""COMPUTED_VALUE"""),102.39)</f>
        <v>102.39</v>
      </c>
      <c r="S1029" s="1">
        <f ca="1">IFERROR(__xludf.DUMMYFUNCTION("""COMPUTED_VALUE"""),59.75)</f>
        <v>59.75</v>
      </c>
      <c r="T1029" s="1">
        <f ca="1">IFERROR(__xludf.DUMMYFUNCTION("""COMPUTED_VALUE"""),56.1)</f>
        <v>56.1</v>
      </c>
      <c r="U1029" s="1">
        <f ca="1">IFERROR(__xludf.DUMMYFUNCTION("""COMPUTED_VALUE"""),101.76)</f>
        <v>101.76</v>
      </c>
      <c r="V1029" s="1">
        <f ca="1">IFERROR(__xludf.DUMMYFUNCTION("""COMPUTED_VALUE"""),307.69)</f>
        <v>307.69</v>
      </c>
      <c r="W1029" s="1">
        <f ca="1">IFERROR(__xludf.DUMMYFUNCTION("""COMPUTED_VALUE"""),429.77)</f>
        <v>429.77</v>
      </c>
      <c r="X1029" s="1">
        <f ca="1">IFERROR(__xludf.DUMMYFUNCTION("""COMPUTED_VALUE"""),890.54)</f>
        <v>890.54</v>
      </c>
      <c r="Y1029" s="1">
        <f ca="1">IFERROR(__xludf.DUMMYFUNCTION("""COMPUTED_VALUE"""),113.39)</f>
        <v>113.39</v>
      </c>
      <c r="Z1029" s="1">
        <f ca="1">IFERROR(__xludf.DUMMYFUNCTION("""COMPUTED_VALUE"""),383.85)</f>
        <v>383.85</v>
      </c>
      <c r="AA1029" s="1">
        <f ca="1">IFERROR(__xludf.DUMMYFUNCTION("""COMPUTED_VALUE"""),27.29)</f>
        <v>27.29</v>
      </c>
      <c r="AB1029" s="1">
        <f ca="1">IFERROR(__xludf.DUMMYFUNCTION("""COMPUTED_VALUE"""),93.37)</f>
        <v>93.37</v>
      </c>
      <c r="AC1029" s="1">
        <f ca="1">IFERROR(__xludf.DUMMYFUNCTION("""COMPUTED_VALUE"""),170.48)</f>
        <v>170.48</v>
      </c>
    </row>
    <row r="1030" spans="1:29" x14ac:dyDescent="0.25">
      <c r="A1030" s="2">
        <f ca="1">IFERROR(__xludf.DUMMYFUNCTION("""COMPUTED_VALUE"""),45324.6666666666)</f>
        <v>45324.666666666599</v>
      </c>
      <c r="B1030" s="1">
        <f ca="1">IFERROR(__xludf.DUMMYFUNCTION("""COMPUTED_VALUE"""),185.85)</f>
        <v>185.85</v>
      </c>
      <c r="C1030" s="1">
        <f ca="1">IFERROR(__xludf.DUMMYFUNCTION("""COMPUTED_VALUE"""),411.22)</f>
        <v>411.22</v>
      </c>
      <c r="D1030" s="1">
        <f ca="1">IFERROR(__xludf.DUMMYFUNCTION("""COMPUTED_VALUE"""),171.81)</f>
        <v>171.81</v>
      </c>
      <c r="E1030" s="1">
        <f ca="1">IFERROR(__xludf.DUMMYFUNCTION("""COMPUTED_VALUE"""),66.16)</f>
        <v>66.16</v>
      </c>
      <c r="F1030" s="1">
        <f ca="1">IFERROR(__xludf.DUMMYFUNCTION("""COMPUTED_VALUE"""),474.99)</f>
        <v>474.99</v>
      </c>
      <c r="G1030" s="1">
        <f ca="1">IFERROR(__xludf.DUMMYFUNCTION("""COMPUTED_VALUE"""),143.54)</f>
        <v>143.54</v>
      </c>
      <c r="H1030" s="1">
        <f ca="1">IFERROR(__xludf.DUMMYFUNCTION("""COMPUTED_VALUE"""),187.91)</f>
        <v>187.91</v>
      </c>
      <c r="I1030" s="1">
        <f ca="1">IFERROR(__xludf.DUMMYFUNCTION("""COMPUTED_VALUE"""),170.97)</f>
        <v>170.97</v>
      </c>
      <c r="J1030" s="1">
        <f ca="1">IFERROR(__xludf.DUMMYFUNCTION("""COMPUTED_VALUE"""),709.48)</f>
        <v>709.48</v>
      </c>
      <c r="K1030" s="1">
        <f ca="1">IFERROR(__xludf.DUMMYFUNCTION("""COMPUTED_VALUE"""),122.43)</f>
        <v>122.43</v>
      </c>
      <c r="L1030" s="1">
        <f ca="1">IFERROR(__xludf.DUMMYFUNCTION("""COMPUTED_VALUE"""),634.76)</f>
        <v>634.76</v>
      </c>
      <c r="M1030" s="1">
        <f ca="1">IFERROR(__xludf.DUMMYFUNCTION("""COMPUTED_VALUE"""),564.64)</f>
        <v>564.64</v>
      </c>
      <c r="N1030" s="1">
        <f ca="1">IFERROR(__xludf.DUMMYFUNCTION("""COMPUTED_VALUE"""),174.73)</f>
        <v>174.73</v>
      </c>
      <c r="O1030" s="1">
        <f ca="1">IFERROR(__xludf.DUMMYFUNCTION("""COMPUTED_VALUE"""),277.18)</f>
        <v>277.18</v>
      </c>
      <c r="P1030" s="1">
        <f ca="1">IFERROR(__xludf.DUMMYFUNCTION("""COMPUTED_VALUE"""),156.61)</f>
        <v>156.61000000000001</v>
      </c>
      <c r="Q1030" s="1">
        <f ca="1">IFERROR(__xludf.DUMMYFUNCTION("""COMPUTED_VALUE"""),510.23)</f>
        <v>510.23</v>
      </c>
      <c r="R1030" s="1">
        <f ca="1">IFERROR(__xludf.DUMMYFUNCTION("""COMPUTED_VALUE"""),101.97)</f>
        <v>101.97</v>
      </c>
      <c r="S1030" s="1">
        <f ca="1">IFERROR(__xludf.DUMMYFUNCTION("""COMPUTED_VALUE"""),58.15)</f>
        <v>58.15</v>
      </c>
      <c r="T1030" s="1">
        <f ca="1">IFERROR(__xludf.DUMMYFUNCTION("""COMPUTED_VALUE"""),56.52)</f>
        <v>56.52</v>
      </c>
      <c r="U1030" s="1">
        <f ca="1">IFERROR(__xludf.DUMMYFUNCTION("""COMPUTED_VALUE"""),100.71)</f>
        <v>100.71</v>
      </c>
      <c r="V1030" s="1">
        <f ca="1">IFERROR(__xludf.DUMMYFUNCTION("""COMPUTED_VALUE"""),315.09)</f>
        <v>315.08999999999997</v>
      </c>
      <c r="W1030" s="1">
        <f ca="1">IFERROR(__xludf.DUMMYFUNCTION("""COMPUTED_VALUE"""),425.97)</f>
        <v>425.97</v>
      </c>
      <c r="X1030" s="1">
        <f ca="1">IFERROR(__xludf.DUMMYFUNCTION("""COMPUTED_VALUE"""),890.66)</f>
        <v>890.66</v>
      </c>
      <c r="Y1030" s="1">
        <f ca="1">IFERROR(__xludf.DUMMYFUNCTION("""COMPUTED_VALUE"""),115.75)</f>
        <v>115.75</v>
      </c>
      <c r="Z1030" s="1">
        <f ca="1">IFERROR(__xludf.DUMMYFUNCTION("""COMPUTED_VALUE"""),387.86)</f>
        <v>387.86</v>
      </c>
      <c r="AA1030" s="1">
        <f ca="1">IFERROR(__xludf.DUMMYFUNCTION("""COMPUTED_VALUE"""),26.93)</f>
        <v>26.93</v>
      </c>
      <c r="AB1030" s="1">
        <f ca="1">IFERROR(__xludf.DUMMYFUNCTION("""COMPUTED_VALUE"""),92.99)</f>
        <v>92.99</v>
      </c>
      <c r="AC1030" s="1">
        <f ca="1">IFERROR(__xludf.DUMMYFUNCTION("""COMPUTED_VALUE"""),177.66)</f>
        <v>177.66</v>
      </c>
    </row>
    <row r="1031" spans="1:29" x14ac:dyDescent="0.25">
      <c r="A1031" s="2">
        <f ca="1">IFERROR(__xludf.DUMMYFUNCTION("""COMPUTED_VALUE"""),45327.6666666666)</f>
        <v>45327.666666666599</v>
      </c>
      <c r="B1031" s="1">
        <f ca="1">IFERROR(__xludf.DUMMYFUNCTION("""COMPUTED_VALUE"""),187.68)</f>
        <v>187.68</v>
      </c>
      <c r="C1031" s="1">
        <f ca="1">IFERROR(__xludf.DUMMYFUNCTION("""COMPUTED_VALUE"""),405.65)</f>
        <v>405.65</v>
      </c>
      <c r="D1031" s="1">
        <f ca="1">IFERROR(__xludf.DUMMYFUNCTION("""COMPUTED_VALUE"""),170.31)</f>
        <v>170.31</v>
      </c>
      <c r="E1031" s="1">
        <f ca="1">IFERROR(__xludf.DUMMYFUNCTION("""COMPUTED_VALUE"""),69.33)</f>
        <v>69.33</v>
      </c>
      <c r="F1031" s="1">
        <f ca="1">IFERROR(__xludf.DUMMYFUNCTION("""COMPUTED_VALUE"""),459.41)</f>
        <v>459.41</v>
      </c>
      <c r="G1031" s="1">
        <f ca="1">IFERROR(__xludf.DUMMYFUNCTION("""COMPUTED_VALUE"""),144.93)</f>
        <v>144.93</v>
      </c>
      <c r="H1031" s="1">
        <f ca="1">IFERROR(__xludf.DUMMYFUNCTION("""COMPUTED_VALUE"""),181.06)</f>
        <v>181.06</v>
      </c>
      <c r="I1031" s="1">
        <f ca="1">IFERROR(__xludf.DUMMYFUNCTION("""COMPUTED_VALUE"""),170.92)</f>
        <v>170.92</v>
      </c>
      <c r="J1031" s="1">
        <f ca="1">IFERROR(__xludf.DUMMYFUNCTION("""COMPUTED_VALUE"""),711.16)</f>
        <v>711.16</v>
      </c>
      <c r="K1031" s="1">
        <f ca="1">IFERROR(__xludf.DUMMYFUNCTION("""COMPUTED_VALUE"""),124.31)</f>
        <v>124.31</v>
      </c>
      <c r="L1031" s="1">
        <f ca="1">IFERROR(__xludf.DUMMYFUNCTION("""COMPUTED_VALUE"""),630.5)</f>
        <v>630.5</v>
      </c>
      <c r="M1031" s="1">
        <f ca="1">IFERROR(__xludf.DUMMYFUNCTION("""COMPUTED_VALUE"""),562.06)</f>
        <v>562.05999999999995</v>
      </c>
      <c r="N1031" s="1">
        <f ca="1">IFERROR(__xludf.DUMMYFUNCTION("""COMPUTED_VALUE"""),174.5)</f>
        <v>174.5</v>
      </c>
      <c r="O1031" s="1">
        <f ca="1">IFERROR(__xludf.DUMMYFUNCTION("""COMPUTED_VALUE"""),275.58)</f>
        <v>275.58</v>
      </c>
      <c r="P1031" s="1">
        <f ca="1">IFERROR(__xludf.DUMMYFUNCTION("""COMPUTED_VALUE"""),155.8)</f>
        <v>155.80000000000001</v>
      </c>
      <c r="Q1031" s="1">
        <f ca="1">IFERROR(__xludf.DUMMYFUNCTION("""COMPUTED_VALUE"""),502.96)</f>
        <v>502.96</v>
      </c>
      <c r="R1031" s="1">
        <f ca="1">IFERROR(__xludf.DUMMYFUNCTION("""COMPUTED_VALUE"""),101.55)</f>
        <v>101.55</v>
      </c>
      <c r="S1031" s="1">
        <f ca="1">IFERROR(__xludf.DUMMYFUNCTION("""COMPUTED_VALUE"""),55.97)</f>
        <v>55.97</v>
      </c>
      <c r="T1031" s="1">
        <f ca="1">IFERROR(__xludf.DUMMYFUNCTION("""COMPUTED_VALUE"""),56.22)</f>
        <v>56.22</v>
      </c>
      <c r="U1031" s="1">
        <f ca="1">IFERROR(__xludf.DUMMYFUNCTION("""COMPUTED_VALUE"""),99.68)</f>
        <v>99.68</v>
      </c>
      <c r="V1031" s="1">
        <f ca="1">IFERROR(__xludf.DUMMYFUNCTION("""COMPUTED_VALUE"""),321.4)</f>
        <v>321.39999999999998</v>
      </c>
      <c r="W1031" s="1">
        <f ca="1">IFERROR(__xludf.DUMMYFUNCTION("""COMPUTED_VALUE"""),421.7)</f>
        <v>421.7</v>
      </c>
      <c r="X1031" s="1">
        <f ca="1">IFERROR(__xludf.DUMMYFUNCTION("""COMPUTED_VALUE"""),898.54)</f>
        <v>898.54</v>
      </c>
      <c r="Y1031" s="1">
        <f ca="1">IFERROR(__xludf.DUMMYFUNCTION("""COMPUTED_VALUE"""),118.79)</f>
        <v>118.79</v>
      </c>
      <c r="Z1031" s="1">
        <f ca="1">IFERROR(__xludf.DUMMYFUNCTION("""COMPUTED_VALUE"""),383.02)</f>
        <v>383.02</v>
      </c>
      <c r="AA1031" s="1">
        <f ca="1">IFERROR(__xludf.DUMMYFUNCTION("""COMPUTED_VALUE"""),26.57)</f>
        <v>26.57</v>
      </c>
      <c r="AB1031" s="1">
        <f ca="1">IFERROR(__xludf.DUMMYFUNCTION("""COMPUTED_VALUE"""),92.51)</f>
        <v>92.51</v>
      </c>
      <c r="AC1031" s="1">
        <f ca="1">IFERROR(__xludf.DUMMYFUNCTION("""COMPUTED_VALUE"""),174.23)</f>
        <v>174.23</v>
      </c>
    </row>
    <row r="1032" spans="1:29" x14ac:dyDescent="0.25">
      <c r="A1032" s="2">
        <f ca="1">IFERROR(__xludf.DUMMYFUNCTION("""COMPUTED_VALUE"""),45328.6666666666)</f>
        <v>45328.666666666599</v>
      </c>
      <c r="B1032" s="1">
        <f ca="1">IFERROR(__xludf.DUMMYFUNCTION("""COMPUTED_VALUE"""),189.3)</f>
        <v>189.3</v>
      </c>
      <c r="C1032" s="1">
        <f ca="1">IFERROR(__xludf.DUMMYFUNCTION("""COMPUTED_VALUE"""),405.49)</f>
        <v>405.49</v>
      </c>
      <c r="D1032" s="1">
        <f ca="1">IFERROR(__xludf.DUMMYFUNCTION("""COMPUTED_VALUE"""),169.15)</f>
        <v>169.15</v>
      </c>
      <c r="E1032" s="1">
        <f ca="1">IFERROR(__xludf.DUMMYFUNCTION("""COMPUTED_VALUE"""),68.22)</f>
        <v>68.22</v>
      </c>
      <c r="F1032" s="1">
        <f ca="1">IFERROR(__xludf.DUMMYFUNCTION("""COMPUTED_VALUE"""),454.72)</f>
        <v>454.72</v>
      </c>
      <c r="G1032" s="1">
        <f ca="1">IFERROR(__xludf.DUMMYFUNCTION("""COMPUTED_VALUE"""),145.41)</f>
        <v>145.41</v>
      </c>
      <c r="H1032" s="1">
        <f ca="1">IFERROR(__xludf.DUMMYFUNCTION("""COMPUTED_VALUE"""),185.1)</f>
        <v>185.1</v>
      </c>
      <c r="I1032" s="1">
        <f ca="1">IFERROR(__xludf.DUMMYFUNCTION("""COMPUTED_VALUE"""),171.42)</f>
        <v>171.42</v>
      </c>
      <c r="J1032" s="1">
        <f ca="1">IFERROR(__xludf.DUMMYFUNCTION("""COMPUTED_VALUE"""),710.79)</f>
        <v>710.79</v>
      </c>
      <c r="K1032" s="1">
        <f ca="1">IFERROR(__xludf.DUMMYFUNCTION("""COMPUTED_VALUE"""),122.27)</f>
        <v>122.27</v>
      </c>
      <c r="L1032" s="1">
        <f ca="1">IFERROR(__xludf.DUMMYFUNCTION("""COMPUTED_VALUE"""),607.14)</f>
        <v>607.14</v>
      </c>
      <c r="M1032" s="1">
        <f ca="1">IFERROR(__xludf.DUMMYFUNCTION("""COMPUTED_VALUE"""),555.88)</f>
        <v>555.88</v>
      </c>
      <c r="N1032" s="1">
        <f ca="1">IFERROR(__xludf.DUMMYFUNCTION("""COMPUTED_VALUE"""),175.1)</f>
        <v>175.1</v>
      </c>
      <c r="O1032" s="1">
        <f ca="1">IFERROR(__xludf.DUMMYFUNCTION("""COMPUTED_VALUE"""),276.76)</f>
        <v>276.76</v>
      </c>
      <c r="P1032" s="1">
        <f ca="1">IFERROR(__xludf.DUMMYFUNCTION("""COMPUTED_VALUE"""),158.06)</f>
        <v>158.06</v>
      </c>
      <c r="Q1032" s="1">
        <f ca="1">IFERROR(__xludf.DUMMYFUNCTION("""COMPUTED_VALUE"""),510.67)</f>
        <v>510.67</v>
      </c>
      <c r="R1032" s="1">
        <f ca="1">IFERROR(__xludf.DUMMYFUNCTION("""COMPUTED_VALUE"""),102.25)</f>
        <v>102.25</v>
      </c>
      <c r="S1032" s="1">
        <f ca="1">IFERROR(__xludf.DUMMYFUNCTION("""COMPUTED_VALUE"""),56.23)</f>
        <v>56.23</v>
      </c>
      <c r="T1032" s="1">
        <f ca="1">IFERROR(__xludf.DUMMYFUNCTION("""COMPUTED_VALUE"""),56.6)</f>
        <v>56.6</v>
      </c>
      <c r="U1032" s="1">
        <f ca="1">IFERROR(__xludf.DUMMYFUNCTION("""COMPUTED_VALUE"""),102.61)</f>
        <v>102.61</v>
      </c>
      <c r="V1032" s="1">
        <f ca="1">IFERROR(__xludf.DUMMYFUNCTION("""COMPUTED_VALUE"""),322.72)</f>
        <v>322.72000000000003</v>
      </c>
      <c r="W1032" s="1">
        <f ca="1">IFERROR(__xludf.DUMMYFUNCTION("""COMPUTED_VALUE"""),426.95)</f>
        <v>426.95</v>
      </c>
      <c r="X1032" s="1">
        <f ca="1">IFERROR(__xludf.DUMMYFUNCTION("""COMPUTED_VALUE"""),904.89)</f>
        <v>904.89</v>
      </c>
      <c r="Y1032" s="1">
        <f ca="1">IFERROR(__xludf.DUMMYFUNCTION("""COMPUTED_VALUE"""),119.38)</f>
        <v>119.38</v>
      </c>
      <c r="Z1032" s="1">
        <f ca="1">IFERROR(__xludf.DUMMYFUNCTION("""COMPUTED_VALUE"""),384.99)</f>
        <v>384.99</v>
      </c>
      <c r="AA1032" s="1">
        <f ca="1">IFERROR(__xludf.DUMMYFUNCTION("""COMPUTED_VALUE"""),27.5)</f>
        <v>27.5</v>
      </c>
      <c r="AB1032" s="1">
        <f ca="1">IFERROR(__xludf.DUMMYFUNCTION("""COMPUTED_VALUE"""),95.67)</f>
        <v>95.67</v>
      </c>
      <c r="AC1032" s="1">
        <f ca="1">IFERROR(__xludf.DUMMYFUNCTION("""COMPUTED_VALUE"""),167.88)</f>
        <v>167.88</v>
      </c>
    </row>
    <row r="1033" spans="1:29" x14ac:dyDescent="0.25">
      <c r="A1033" s="2">
        <f ca="1">IFERROR(__xludf.DUMMYFUNCTION("""COMPUTED_VALUE"""),45329.6666666666)</f>
        <v>45329.666666666599</v>
      </c>
      <c r="B1033" s="1">
        <f ca="1">IFERROR(__xludf.DUMMYFUNCTION("""COMPUTED_VALUE"""),189.41)</f>
        <v>189.41</v>
      </c>
      <c r="C1033" s="1">
        <f ca="1">IFERROR(__xludf.DUMMYFUNCTION("""COMPUTED_VALUE"""),414.05)</f>
        <v>414.05</v>
      </c>
      <c r="D1033" s="1">
        <f ca="1">IFERROR(__xludf.DUMMYFUNCTION("""COMPUTED_VALUE"""),170.53)</f>
        <v>170.53</v>
      </c>
      <c r="E1033" s="1">
        <f ca="1">IFERROR(__xludf.DUMMYFUNCTION("""COMPUTED_VALUE"""),70.1)</f>
        <v>70.099999999999994</v>
      </c>
      <c r="F1033" s="1">
        <f ca="1">IFERROR(__xludf.DUMMYFUNCTION("""COMPUTED_VALUE"""),469.59)</f>
        <v>469.59</v>
      </c>
      <c r="G1033" s="1">
        <f ca="1">IFERROR(__xludf.DUMMYFUNCTION("""COMPUTED_VALUE"""),146.68)</f>
        <v>146.68</v>
      </c>
      <c r="H1033" s="1">
        <f ca="1">IFERROR(__xludf.DUMMYFUNCTION("""COMPUTED_VALUE"""),187.58)</f>
        <v>187.58</v>
      </c>
      <c r="I1033" s="1">
        <f ca="1">IFERROR(__xludf.DUMMYFUNCTION("""COMPUTED_VALUE"""),171.47)</f>
        <v>171.47</v>
      </c>
      <c r="J1033" s="1">
        <f ca="1">IFERROR(__xludf.DUMMYFUNCTION("""COMPUTED_VALUE"""),719.78)</f>
        <v>719.78</v>
      </c>
      <c r="K1033" s="1">
        <f ca="1">IFERROR(__xludf.DUMMYFUNCTION("""COMPUTED_VALUE"""),125.71)</f>
        <v>125.71</v>
      </c>
      <c r="L1033" s="1">
        <f ca="1">IFERROR(__xludf.DUMMYFUNCTION("""COMPUTED_VALUE"""),615.85)</f>
        <v>615.85</v>
      </c>
      <c r="M1033" s="1">
        <f ca="1">IFERROR(__xludf.DUMMYFUNCTION("""COMPUTED_VALUE"""),559.3)</f>
        <v>559.29999999999995</v>
      </c>
      <c r="N1033" s="1">
        <f ca="1">IFERROR(__xludf.DUMMYFUNCTION("""COMPUTED_VALUE"""),175.43)</f>
        <v>175.43</v>
      </c>
      <c r="O1033" s="1">
        <f ca="1">IFERROR(__xludf.DUMMYFUNCTION("""COMPUTED_VALUE"""),279.39)</f>
        <v>279.39</v>
      </c>
      <c r="P1033" s="1">
        <f ca="1">IFERROR(__xludf.DUMMYFUNCTION("""COMPUTED_VALUE"""),157.98)</f>
        <v>157.97999999999999</v>
      </c>
      <c r="Q1033" s="1">
        <f ca="1">IFERROR(__xludf.DUMMYFUNCTION("""COMPUTED_VALUE"""),519.39)</f>
        <v>519.39</v>
      </c>
      <c r="R1033" s="1">
        <f ca="1">IFERROR(__xludf.DUMMYFUNCTION("""COMPUTED_VALUE"""),102.22)</f>
        <v>102.22</v>
      </c>
      <c r="S1033" s="1">
        <f ca="1">IFERROR(__xludf.DUMMYFUNCTION("""COMPUTED_VALUE"""),56.38)</f>
        <v>56.38</v>
      </c>
      <c r="T1033" s="1">
        <f ca="1">IFERROR(__xludf.DUMMYFUNCTION("""COMPUTED_VALUE"""),56.46)</f>
        <v>56.46</v>
      </c>
      <c r="U1033" s="1">
        <f ca="1">IFERROR(__xludf.DUMMYFUNCTION("""COMPUTED_VALUE"""),103.79)</f>
        <v>103.79</v>
      </c>
      <c r="V1033" s="1">
        <f ca="1">IFERROR(__xludf.DUMMYFUNCTION("""COMPUTED_VALUE"""),323.59)</f>
        <v>323.58999999999997</v>
      </c>
      <c r="W1033" s="1">
        <f ca="1">IFERROR(__xludf.DUMMYFUNCTION("""COMPUTED_VALUE"""),430.1)</f>
        <v>430.1</v>
      </c>
      <c r="X1033" s="1">
        <f ca="1">IFERROR(__xludf.DUMMYFUNCTION("""COMPUTED_VALUE"""),922.23)</f>
        <v>922.23</v>
      </c>
      <c r="Y1033" s="1">
        <f ca="1">IFERROR(__xludf.DUMMYFUNCTION("""COMPUTED_VALUE"""),124.98)</f>
        <v>124.98</v>
      </c>
      <c r="Z1033" s="1">
        <f ca="1">IFERROR(__xludf.DUMMYFUNCTION("""COMPUTED_VALUE"""),386.66)</f>
        <v>386.66</v>
      </c>
      <c r="AA1033" s="1">
        <f ca="1">IFERROR(__xludf.DUMMYFUNCTION("""COMPUTED_VALUE"""),27.56)</f>
        <v>27.56</v>
      </c>
      <c r="AB1033" s="1">
        <f ca="1">IFERROR(__xludf.DUMMYFUNCTION("""COMPUTED_VALUE"""),95.31)</f>
        <v>95.31</v>
      </c>
      <c r="AC1033" s="1">
        <f ca="1">IFERROR(__xludf.DUMMYFUNCTION("""COMPUTED_VALUE"""),170.94)</f>
        <v>170.94</v>
      </c>
    </row>
    <row r="1034" spans="1:29" x14ac:dyDescent="0.25">
      <c r="A1034" s="2">
        <f ca="1">IFERROR(__xludf.DUMMYFUNCTION("""COMPUTED_VALUE"""),45330.6666666666)</f>
        <v>45330.666666666599</v>
      </c>
      <c r="B1034" s="1">
        <f ca="1">IFERROR(__xludf.DUMMYFUNCTION("""COMPUTED_VALUE"""),188.32)</f>
        <v>188.32</v>
      </c>
      <c r="C1034" s="1">
        <f ca="1">IFERROR(__xludf.DUMMYFUNCTION("""COMPUTED_VALUE"""),414.11)</f>
        <v>414.11</v>
      </c>
      <c r="D1034" s="1">
        <f ca="1">IFERROR(__xludf.DUMMYFUNCTION("""COMPUTED_VALUE"""),169.84)</f>
        <v>169.84</v>
      </c>
      <c r="E1034" s="1">
        <f ca="1">IFERROR(__xludf.DUMMYFUNCTION("""COMPUTED_VALUE"""),69.64)</f>
        <v>69.64</v>
      </c>
      <c r="F1034" s="1">
        <f ca="1">IFERROR(__xludf.DUMMYFUNCTION("""COMPUTED_VALUE"""),470)</f>
        <v>470</v>
      </c>
      <c r="G1034" s="1">
        <f ca="1">IFERROR(__xludf.DUMMYFUNCTION("""COMPUTED_VALUE"""),147.22)</f>
        <v>147.22</v>
      </c>
      <c r="H1034" s="1">
        <f ca="1">IFERROR(__xludf.DUMMYFUNCTION("""COMPUTED_VALUE"""),189.56)</f>
        <v>189.56</v>
      </c>
      <c r="I1034" s="1">
        <f ca="1">IFERROR(__xludf.DUMMYFUNCTION("""COMPUTED_VALUE"""),173.85)</f>
        <v>173.85</v>
      </c>
      <c r="J1034" s="1">
        <f ca="1">IFERROR(__xludf.DUMMYFUNCTION("""COMPUTED_VALUE"""),724.16)</f>
        <v>724.16</v>
      </c>
      <c r="K1034" s="1">
        <f ca="1">IFERROR(__xludf.DUMMYFUNCTION("""COMPUTED_VALUE"""),127.48)</f>
        <v>127.48</v>
      </c>
      <c r="L1034" s="1">
        <f ca="1">IFERROR(__xludf.DUMMYFUNCTION("""COMPUTED_VALUE"""),615.86)</f>
        <v>615.86</v>
      </c>
      <c r="M1034" s="1">
        <f ca="1">IFERROR(__xludf.DUMMYFUNCTION("""COMPUTED_VALUE"""),558.53)</f>
        <v>558.53</v>
      </c>
      <c r="N1034" s="1">
        <f ca="1">IFERROR(__xludf.DUMMYFUNCTION("""COMPUTED_VALUE"""),174.8)</f>
        <v>174.8</v>
      </c>
      <c r="O1034" s="1">
        <f ca="1">IFERROR(__xludf.DUMMYFUNCTION("""COMPUTED_VALUE"""),275.78)</f>
        <v>275.77999999999997</v>
      </c>
      <c r="P1034" s="1">
        <f ca="1">IFERROR(__xludf.DUMMYFUNCTION("""COMPUTED_VALUE"""),156.4)</f>
        <v>156.4</v>
      </c>
      <c r="Q1034" s="1">
        <f ca="1">IFERROR(__xludf.DUMMYFUNCTION("""COMPUTED_VALUE"""),520.09)</f>
        <v>520.09</v>
      </c>
      <c r="R1034" s="1">
        <f ca="1">IFERROR(__xludf.DUMMYFUNCTION("""COMPUTED_VALUE"""),103.97)</f>
        <v>103.97</v>
      </c>
      <c r="S1034" s="1">
        <f ca="1">IFERROR(__xludf.DUMMYFUNCTION("""COMPUTED_VALUE"""),56.29)</f>
        <v>56.29</v>
      </c>
      <c r="T1034" s="1">
        <f ca="1">IFERROR(__xludf.DUMMYFUNCTION("""COMPUTED_VALUE"""),56.46)</f>
        <v>56.46</v>
      </c>
      <c r="U1034" s="1">
        <f ca="1">IFERROR(__xludf.DUMMYFUNCTION("""COMPUTED_VALUE"""),103.77)</f>
        <v>103.77</v>
      </c>
      <c r="V1034" s="1">
        <f ca="1">IFERROR(__xludf.DUMMYFUNCTION("""COMPUTED_VALUE"""),322)</f>
        <v>322</v>
      </c>
      <c r="W1034" s="1">
        <f ca="1">IFERROR(__xludf.DUMMYFUNCTION("""COMPUTED_VALUE"""),427)</f>
        <v>427</v>
      </c>
      <c r="X1034" s="1">
        <f ca="1">IFERROR(__xludf.DUMMYFUNCTION("""COMPUTED_VALUE"""),922.94)</f>
        <v>922.94</v>
      </c>
      <c r="Y1034" s="1">
        <f ca="1">IFERROR(__xludf.DUMMYFUNCTION("""COMPUTED_VALUE"""),133.73)</f>
        <v>133.72999999999999</v>
      </c>
      <c r="Z1034" s="1">
        <f ca="1">IFERROR(__xludf.DUMMYFUNCTION("""COMPUTED_VALUE"""),385.04)</f>
        <v>385.04</v>
      </c>
      <c r="AA1034" s="1">
        <f ca="1">IFERROR(__xludf.DUMMYFUNCTION("""COMPUTED_VALUE"""),27.57)</f>
        <v>27.57</v>
      </c>
      <c r="AB1034" s="1">
        <f ca="1">IFERROR(__xludf.DUMMYFUNCTION("""COMPUTED_VALUE"""),96.59)</f>
        <v>96.59</v>
      </c>
      <c r="AC1034" s="1">
        <f ca="1">IFERROR(__xludf.DUMMYFUNCTION("""COMPUTED_VALUE"""),169.35)</f>
        <v>169.35</v>
      </c>
    </row>
    <row r="1035" spans="1:29" x14ac:dyDescent="0.25">
      <c r="A1035" s="2">
        <f ca="1">IFERROR(__xludf.DUMMYFUNCTION("""COMPUTED_VALUE"""),45331.6666666666)</f>
        <v>45331.666666666599</v>
      </c>
      <c r="B1035" s="1">
        <f ca="1">IFERROR(__xludf.DUMMYFUNCTION("""COMPUTED_VALUE"""),188.85)</f>
        <v>188.85</v>
      </c>
      <c r="C1035" s="1">
        <f ca="1">IFERROR(__xludf.DUMMYFUNCTION("""COMPUTED_VALUE"""),420.55)</f>
        <v>420.55</v>
      </c>
      <c r="D1035" s="1">
        <f ca="1">IFERROR(__xludf.DUMMYFUNCTION("""COMPUTED_VALUE"""),174.45)</f>
        <v>174.45</v>
      </c>
      <c r="E1035" s="1">
        <f ca="1">IFERROR(__xludf.DUMMYFUNCTION("""COMPUTED_VALUE"""),72.13)</f>
        <v>72.13</v>
      </c>
      <c r="F1035" s="1">
        <f ca="1">IFERROR(__xludf.DUMMYFUNCTION("""COMPUTED_VALUE"""),468.11)</f>
        <v>468.11</v>
      </c>
      <c r="G1035" s="1">
        <f ca="1">IFERROR(__xludf.DUMMYFUNCTION("""COMPUTED_VALUE"""),150.22)</f>
        <v>150.22</v>
      </c>
      <c r="H1035" s="1">
        <f ca="1">IFERROR(__xludf.DUMMYFUNCTION("""COMPUTED_VALUE"""),193.57)</f>
        <v>193.57</v>
      </c>
      <c r="I1035" s="1">
        <f ca="1">IFERROR(__xludf.DUMMYFUNCTION("""COMPUTED_VALUE"""),167.67)</f>
        <v>167.67</v>
      </c>
      <c r="J1035" s="1">
        <f ca="1">IFERROR(__xludf.DUMMYFUNCTION("""COMPUTED_VALUE"""),723.4)</f>
        <v>723.4</v>
      </c>
      <c r="K1035" s="1">
        <f ca="1">IFERROR(__xludf.DUMMYFUNCTION("""COMPUTED_VALUE"""),128.34)</f>
        <v>128.34</v>
      </c>
      <c r="L1035" s="1">
        <f ca="1">IFERROR(__xludf.DUMMYFUNCTION("""COMPUTED_VALUE"""),627.21)</f>
        <v>627.21</v>
      </c>
      <c r="M1035" s="1">
        <f ca="1">IFERROR(__xludf.DUMMYFUNCTION("""COMPUTED_VALUE"""),561.32)</f>
        <v>561.32000000000005</v>
      </c>
      <c r="N1035" s="1">
        <f ca="1">IFERROR(__xludf.DUMMYFUNCTION("""COMPUTED_VALUE"""),175.01)</f>
        <v>175.01</v>
      </c>
      <c r="O1035" s="1">
        <f ca="1">IFERROR(__xludf.DUMMYFUNCTION("""COMPUTED_VALUE"""),276.43)</f>
        <v>276.43</v>
      </c>
      <c r="P1035" s="1">
        <f ca="1">IFERROR(__xludf.DUMMYFUNCTION("""COMPUTED_VALUE"""),156.76)</f>
        <v>156.76</v>
      </c>
      <c r="Q1035" s="1">
        <f ca="1">IFERROR(__xludf.DUMMYFUNCTION("""COMPUTED_VALUE"""),518.22)</f>
        <v>518.22</v>
      </c>
      <c r="R1035" s="1">
        <f ca="1">IFERROR(__xludf.DUMMYFUNCTION("""COMPUTED_VALUE"""),101.77)</f>
        <v>101.77</v>
      </c>
      <c r="S1035" s="1">
        <f ca="1">IFERROR(__xludf.DUMMYFUNCTION("""COMPUTED_VALUE"""),56.58)</f>
        <v>56.58</v>
      </c>
      <c r="T1035" s="1">
        <f ca="1">IFERROR(__xludf.DUMMYFUNCTION("""COMPUTED_VALUE"""),56.43)</f>
        <v>56.43</v>
      </c>
      <c r="U1035" s="1">
        <f ca="1">IFERROR(__xludf.DUMMYFUNCTION("""COMPUTED_VALUE"""),104.5)</f>
        <v>104.5</v>
      </c>
      <c r="V1035" s="1">
        <f ca="1">IFERROR(__xludf.DUMMYFUNCTION("""COMPUTED_VALUE"""),317.16)</f>
        <v>317.16000000000003</v>
      </c>
      <c r="W1035" s="1">
        <f ca="1">IFERROR(__xludf.DUMMYFUNCTION("""COMPUTED_VALUE"""),426.5)</f>
        <v>426.5</v>
      </c>
      <c r="X1035" s="1">
        <f ca="1">IFERROR(__xludf.DUMMYFUNCTION("""COMPUTED_VALUE"""),949.6)</f>
        <v>949.6</v>
      </c>
      <c r="Y1035" s="1">
        <f ca="1">IFERROR(__xludf.DUMMYFUNCTION("""COMPUTED_VALUE"""),133.11)</f>
        <v>133.11000000000001</v>
      </c>
      <c r="Z1035" s="1">
        <f ca="1">IFERROR(__xludf.DUMMYFUNCTION("""COMPUTED_VALUE"""),384.26)</f>
        <v>384.26</v>
      </c>
      <c r="AA1035" s="1">
        <f ca="1">IFERROR(__xludf.DUMMYFUNCTION("""COMPUTED_VALUE"""),27.56)</f>
        <v>27.56</v>
      </c>
      <c r="AB1035" s="1">
        <f ca="1">IFERROR(__xludf.DUMMYFUNCTION("""COMPUTED_VALUE"""),97.3)</f>
        <v>97.3</v>
      </c>
      <c r="AC1035" s="1">
        <f ca="1">IFERROR(__xludf.DUMMYFUNCTION("""COMPUTED_VALUE"""),172.48)</f>
        <v>172.48</v>
      </c>
    </row>
    <row r="1036" spans="1:29" x14ac:dyDescent="0.25">
      <c r="A1036" s="2">
        <f ca="1">IFERROR(__xludf.DUMMYFUNCTION("""COMPUTED_VALUE"""),45334.6666666666)</f>
        <v>45334.666666666599</v>
      </c>
      <c r="B1036" s="1">
        <f ca="1">IFERROR(__xludf.DUMMYFUNCTION("""COMPUTED_VALUE"""),187.15)</f>
        <v>187.15</v>
      </c>
      <c r="C1036" s="1">
        <f ca="1">IFERROR(__xludf.DUMMYFUNCTION("""COMPUTED_VALUE"""),415.26)</f>
        <v>415.26</v>
      </c>
      <c r="D1036" s="1">
        <f ca="1">IFERROR(__xludf.DUMMYFUNCTION("""COMPUTED_VALUE"""),172.34)</f>
        <v>172.34</v>
      </c>
      <c r="E1036" s="1">
        <f ca="1">IFERROR(__xludf.DUMMYFUNCTION("""COMPUTED_VALUE"""),72.25)</f>
        <v>72.25</v>
      </c>
      <c r="F1036" s="1">
        <f ca="1">IFERROR(__xludf.DUMMYFUNCTION("""COMPUTED_VALUE"""),468.9)</f>
        <v>468.9</v>
      </c>
      <c r="G1036" s="1">
        <f ca="1">IFERROR(__xludf.DUMMYFUNCTION("""COMPUTED_VALUE"""),148.73)</f>
        <v>148.72999999999999</v>
      </c>
      <c r="H1036" s="1">
        <f ca="1">IFERROR(__xludf.DUMMYFUNCTION("""COMPUTED_VALUE"""),188.13)</f>
        <v>188.13</v>
      </c>
      <c r="I1036" s="1">
        <f ca="1">IFERROR(__xludf.DUMMYFUNCTION("""COMPUTED_VALUE"""),170.61)</f>
        <v>170.61</v>
      </c>
      <c r="J1036" s="1">
        <f ca="1">IFERROR(__xludf.DUMMYFUNCTION("""COMPUTED_VALUE"""),722.41)</f>
        <v>722.41</v>
      </c>
      <c r="K1036" s="1">
        <f ca="1">IFERROR(__xludf.DUMMYFUNCTION("""COMPUTED_VALUE"""),126.5)</f>
        <v>126.5</v>
      </c>
      <c r="L1036" s="1">
        <f ca="1">IFERROR(__xludf.DUMMYFUNCTION("""COMPUTED_VALUE"""),611.84)</f>
        <v>611.84</v>
      </c>
      <c r="M1036" s="1">
        <f ca="1">IFERROR(__xludf.DUMMYFUNCTION("""COMPUTED_VALUE"""),557.85)</f>
        <v>557.85</v>
      </c>
      <c r="N1036" s="1">
        <f ca="1">IFERROR(__xludf.DUMMYFUNCTION("""COMPUTED_VALUE"""),175.79)</f>
        <v>175.79</v>
      </c>
      <c r="O1036" s="1">
        <f ca="1">IFERROR(__xludf.DUMMYFUNCTION("""COMPUTED_VALUE"""),275.07)</f>
        <v>275.07</v>
      </c>
      <c r="P1036" s="1">
        <f ca="1">IFERROR(__xludf.DUMMYFUNCTION("""COMPUTED_VALUE"""),157.85)</f>
        <v>157.85</v>
      </c>
      <c r="Q1036" s="1">
        <f ca="1">IFERROR(__xludf.DUMMYFUNCTION("""COMPUTED_VALUE"""),517.64)</f>
        <v>517.64</v>
      </c>
      <c r="R1036" s="1">
        <f ca="1">IFERROR(__xludf.DUMMYFUNCTION("""COMPUTED_VALUE"""),103.17)</f>
        <v>103.17</v>
      </c>
      <c r="S1036" s="1">
        <f ca="1">IFERROR(__xludf.DUMMYFUNCTION("""COMPUTED_VALUE"""),57.55)</f>
        <v>57.55</v>
      </c>
      <c r="T1036" s="1">
        <f ca="1">IFERROR(__xludf.DUMMYFUNCTION("""COMPUTED_VALUE"""),56.77)</f>
        <v>56.77</v>
      </c>
      <c r="U1036" s="1">
        <f ca="1">IFERROR(__xludf.DUMMYFUNCTION("""COMPUTED_VALUE"""),107.18)</f>
        <v>107.18</v>
      </c>
      <c r="V1036" s="1">
        <f ca="1">IFERROR(__xludf.DUMMYFUNCTION("""COMPUTED_VALUE"""),321.63)</f>
        <v>321.63</v>
      </c>
      <c r="W1036" s="1">
        <f ca="1">IFERROR(__xludf.DUMMYFUNCTION("""COMPUTED_VALUE"""),428.07)</f>
        <v>428.07</v>
      </c>
      <c r="X1036" s="1">
        <f ca="1">IFERROR(__xludf.DUMMYFUNCTION("""COMPUTED_VALUE"""),929.21)</f>
        <v>929.21</v>
      </c>
      <c r="Y1036" s="1">
        <f ca="1">IFERROR(__xludf.DUMMYFUNCTION("""COMPUTED_VALUE"""),130.46)</f>
        <v>130.46</v>
      </c>
      <c r="Z1036" s="1">
        <f ca="1">IFERROR(__xludf.DUMMYFUNCTION("""COMPUTED_VALUE"""),392.64)</f>
        <v>392.64</v>
      </c>
      <c r="AA1036" s="1">
        <f ca="1">IFERROR(__xludf.DUMMYFUNCTION("""COMPUTED_VALUE"""),27.66)</f>
        <v>27.66</v>
      </c>
      <c r="AB1036" s="1">
        <f ca="1">IFERROR(__xludf.DUMMYFUNCTION("""COMPUTED_VALUE"""),95.47)</f>
        <v>95.47</v>
      </c>
      <c r="AC1036" s="1">
        <f ca="1">IFERROR(__xludf.DUMMYFUNCTION("""COMPUTED_VALUE"""),171.91)</f>
        <v>171.91</v>
      </c>
    </row>
    <row r="1037" spans="1:29" x14ac:dyDescent="0.25">
      <c r="A1037" s="2">
        <f ca="1">IFERROR(__xludf.DUMMYFUNCTION("""COMPUTED_VALUE"""),45335.6666666666)</f>
        <v>45335.666666666599</v>
      </c>
      <c r="B1037" s="1">
        <f ca="1">IFERROR(__xludf.DUMMYFUNCTION("""COMPUTED_VALUE"""),185.04)</f>
        <v>185.04</v>
      </c>
      <c r="C1037" s="1">
        <f ca="1">IFERROR(__xludf.DUMMYFUNCTION("""COMPUTED_VALUE"""),406.32)</f>
        <v>406.32</v>
      </c>
      <c r="D1037" s="1">
        <f ca="1">IFERROR(__xludf.DUMMYFUNCTION("""COMPUTED_VALUE"""),168.64)</f>
        <v>168.64</v>
      </c>
      <c r="E1037" s="1">
        <f ca="1">IFERROR(__xludf.DUMMYFUNCTION("""COMPUTED_VALUE"""),72.13)</f>
        <v>72.13</v>
      </c>
      <c r="F1037" s="1">
        <f ca="1">IFERROR(__xludf.DUMMYFUNCTION("""COMPUTED_VALUE"""),460.12)</f>
        <v>460.12</v>
      </c>
      <c r="G1037" s="1">
        <f ca="1">IFERROR(__xludf.DUMMYFUNCTION("""COMPUTED_VALUE"""),146.37)</f>
        <v>146.37</v>
      </c>
      <c r="H1037" s="1">
        <f ca="1">IFERROR(__xludf.DUMMYFUNCTION("""COMPUTED_VALUE"""),184.02)</f>
        <v>184.02</v>
      </c>
      <c r="I1037" s="1">
        <f ca="1">IFERROR(__xludf.DUMMYFUNCTION("""COMPUTED_VALUE"""),168.88)</f>
        <v>168.88</v>
      </c>
      <c r="J1037" s="1">
        <f ca="1">IFERROR(__xludf.DUMMYFUNCTION("""COMPUTED_VALUE"""),714.25)</f>
        <v>714.25</v>
      </c>
      <c r="K1037" s="1">
        <f ca="1">IFERROR(__xludf.DUMMYFUNCTION("""COMPUTED_VALUE"""),125.17)</f>
        <v>125.17</v>
      </c>
      <c r="L1037" s="1">
        <f ca="1">IFERROR(__xludf.DUMMYFUNCTION("""COMPUTED_VALUE"""),601.89)</f>
        <v>601.89</v>
      </c>
      <c r="M1037" s="1">
        <f ca="1">IFERROR(__xludf.DUMMYFUNCTION("""COMPUTED_VALUE"""),554.52)</f>
        <v>554.52</v>
      </c>
      <c r="N1037" s="1">
        <f ca="1">IFERROR(__xludf.DUMMYFUNCTION("""COMPUTED_VALUE"""),174.26)</f>
        <v>174.26</v>
      </c>
      <c r="O1037" s="1">
        <f ca="1">IFERROR(__xludf.DUMMYFUNCTION("""COMPUTED_VALUE"""),275.81)</f>
        <v>275.81</v>
      </c>
      <c r="P1037" s="1">
        <f ca="1">IFERROR(__xludf.DUMMYFUNCTION("""COMPUTED_VALUE"""),156.47)</f>
        <v>156.47</v>
      </c>
      <c r="Q1037" s="1">
        <f ca="1">IFERROR(__xludf.DUMMYFUNCTION("""COMPUTED_VALUE"""),516.85)</f>
        <v>516.85</v>
      </c>
      <c r="R1037" s="1">
        <f ca="1">IFERROR(__xludf.DUMMYFUNCTION("""COMPUTED_VALUE"""),101.34)</f>
        <v>101.34</v>
      </c>
      <c r="S1037" s="1">
        <f ca="1">IFERROR(__xludf.DUMMYFUNCTION("""COMPUTED_VALUE"""),55.25)</f>
        <v>55.25</v>
      </c>
      <c r="T1037" s="1">
        <f ca="1">IFERROR(__xludf.DUMMYFUNCTION("""COMPUTED_VALUE"""),56.38)</f>
        <v>56.38</v>
      </c>
      <c r="U1037" s="1">
        <f ca="1">IFERROR(__xludf.DUMMYFUNCTION("""COMPUTED_VALUE"""),105)</f>
        <v>105</v>
      </c>
      <c r="V1037" s="1">
        <f ca="1">IFERROR(__xludf.DUMMYFUNCTION("""COMPUTED_VALUE"""),312.84)</f>
        <v>312.83999999999997</v>
      </c>
      <c r="W1037" s="1">
        <f ca="1">IFERROR(__xludf.DUMMYFUNCTION("""COMPUTED_VALUE"""),426.52)</f>
        <v>426.52</v>
      </c>
      <c r="X1037" s="1">
        <f ca="1">IFERROR(__xludf.DUMMYFUNCTION("""COMPUTED_VALUE"""),903.32)</f>
        <v>903.32</v>
      </c>
      <c r="Y1037" s="1">
        <f ca="1">IFERROR(__xludf.DUMMYFUNCTION("""COMPUTED_VALUE"""),127.55)</f>
        <v>127.55</v>
      </c>
      <c r="Z1037" s="1">
        <f ca="1">IFERROR(__xludf.DUMMYFUNCTION("""COMPUTED_VALUE"""),378.75)</f>
        <v>378.75</v>
      </c>
      <c r="AA1037" s="1">
        <f ca="1">IFERROR(__xludf.DUMMYFUNCTION("""COMPUTED_VALUE"""),26.97)</f>
        <v>26.97</v>
      </c>
      <c r="AB1037" s="1">
        <f ca="1">IFERROR(__xludf.DUMMYFUNCTION("""COMPUTED_VALUE"""),93.87)</f>
        <v>93.87</v>
      </c>
      <c r="AC1037" s="1">
        <f ca="1">IFERROR(__xludf.DUMMYFUNCTION("""COMPUTED_VALUE"""),171.54)</f>
        <v>171.54</v>
      </c>
    </row>
    <row r="1038" spans="1:29" x14ac:dyDescent="0.25">
      <c r="A1038" s="2">
        <f ca="1">IFERROR(__xludf.DUMMYFUNCTION("""COMPUTED_VALUE"""),45336.6666666666)</f>
        <v>45336.666666666599</v>
      </c>
      <c r="B1038" s="1">
        <f ca="1">IFERROR(__xludf.DUMMYFUNCTION("""COMPUTED_VALUE"""),184.15)</f>
        <v>184.15</v>
      </c>
      <c r="C1038" s="1">
        <f ca="1">IFERROR(__xludf.DUMMYFUNCTION("""COMPUTED_VALUE"""),409.49)</f>
        <v>409.49</v>
      </c>
      <c r="D1038" s="1">
        <f ca="1">IFERROR(__xludf.DUMMYFUNCTION("""COMPUTED_VALUE"""),170.98)</f>
        <v>170.98</v>
      </c>
      <c r="E1038" s="1">
        <f ca="1">IFERROR(__xludf.DUMMYFUNCTION("""COMPUTED_VALUE"""),73.9)</f>
        <v>73.900000000000006</v>
      </c>
      <c r="F1038" s="1">
        <f ca="1">IFERROR(__xludf.DUMMYFUNCTION("""COMPUTED_VALUE"""),473.28)</f>
        <v>473.28</v>
      </c>
      <c r="G1038" s="1">
        <f ca="1">IFERROR(__xludf.DUMMYFUNCTION("""COMPUTED_VALUE"""),147.14)</f>
        <v>147.13999999999999</v>
      </c>
      <c r="H1038" s="1">
        <f ca="1">IFERROR(__xludf.DUMMYFUNCTION("""COMPUTED_VALUE"""),188.71)</f>
        <v>188.71</v>
      </c>
      <c r="I1038" s="1">
        <f ca="1">IFERROR(__xludf.DUMMYFUNCTION("""COMPUTED_VALUE"""),167.52)</f>
        <v>167.52</v>
      </c>
      <c r="J1038" s="1">
        <f ca="1">IFERROR(__xludf.DUMMYFUNCTION("""COMPUTED_VALUE"""),722.18)</f>
        <v>722.18</v>
      </c>
      <c r="K1038" s="1">
        <f ca="1">IFERROR(__xludf.DUMMYFUNCTION("""COMPUTED_VALUE"""),126.22)</f>
        <v>126.22</v>
      </c>
      <c r="L1038" s="1">
        <f ca="1">IFERROR(__xludf.DUMMYFUNCTION("""COMPUTED_VALUE"""),604.66)</f>
        <v>604.66</v>
      </c>
      <c r="M1038" s="1">
        <f ca="1">IFERROR(__xludf.DUMMYFUNCTION("""COMPUTED_VALUE"""),579.33)</f>
        <v>579.33000000000004</v>
      </c>
      <c r="N1038" s="1">
        <f ca="1">IFERROR(__xludf.DUMMYFUNCTION("""COMPUTED_VALUE"""),176.03)</f>
        <v>176.03</v>
      </c>
      <c r="O1038" s="1">
        <f ca="1">IFERROR(__xludf.DUMMYFUNCTION("""COMPUTED_VALUE"""),277.56)</f>
        <v>277.56</v>
      </c>
      <c r="P1038" s="1">
        <f ca="1">IFERROR(__xludf.DUMMYFUNCTION("""COMPUTED_VALUE"""),155.74)</f>
        <v>155.74</v>
      </c>
      <c r="Q1038" s="1">
        <f ca="1">IFERROR(__xludf.DUMMYFUNCTION("""COMPUTED_VALUE"""),516.94)</f>
        <v>516.94000000000005</v>
      </c>
      <c r="R1038" s="1">
        <f ca="1">IFERROR(__xludf.DUMMYFUNCTION("""COMPUTED_VALUE"""),100.84)</f>
        <v>100.84</v>
      </c>
      <c r="S1038" s="1">
        <f ca="1">IFERROR(__xludf.DUMMYFUNCTION("""COMPUTED_VALUE"""),56.01)</f>
        <v>56.01</v>
      </c>
      <c r="T1038" s="1">
        <f ca="1">IFERROR(__xludf.DUMMYFUNCTION("""COMPUTED_VALUE"""),56.2)</f>
        <v>56.2</v>
      </c>
      <c r="U1038" s="1">
        <f ca="1">IFERROR(__xludf.DUMMYFUNCTION("""COMPUTED_VALUE"""),106.33)</f>
        <v>106.33</v>
      </c>
      <c r="V1038" s="1">
        <f ca="1">IFERROR(__xludf.DUMMYFUNCTION("""COMPUTED_VALUE"""),316.71)</f>
        <v>316.70999999999998</v>
      </c>
      <c r="W1038" s="1">
        <f ca="1">IFERROR(__xludf.DUMMYFUNCTION("""COMPUTED_VALUE"""),418.19)</f>
        <v>418.19</v>
      </c>
      <c r="X1038" s="1">
        <f ca="1">IFERROR(__xludf.DUMMYFUNCTION("""COMPUTED_VALUE"""),924.44)</f>
        <v>924.44</v>
      </c>
      <c r="Y1038" s="1">
        <f ca="1">IFERROR(__xludf.DUMMYFUNCTION("""COMPUTED_VALUE"""),129.27)</f>
        <v>129.27000000000001</v>
      </c>
      <c r="Z1038" s="1">
        <f ca="1">IFERROR(__xludf.DUMMYFUNCTION("""COMPUTED_VALUE"""),378.04)</f>
        <v>378.04</v>
      </c>
      <c r="AA1038" s="1">
        <f ca="1">IFERROR(__xludf.DUMMYFUNCTION("""COMPUTED_VALUE"""),27.11)</f>
        <v>27.11</v>
      </c>
      <c r="AB1038" s="1">
        <f ca="1">IFERROR(__xludf.DUMMYFUNCTION("""COMPUTED_VALUE"""),94.07)</f>
        <v>94.07</v>
      </c>
      <c r="AC1038" s="1">
        <f ca="1">IFERROR(__xludf.DUMMYFUNCTION("""COMPUTED_VALUE"""),178.7)</f>
        <v>178.7</v>
      </c>
    </row>
    <row r="1039" spans="1:29" x14ac:dyDescent="0.25">
      <c r="A1039" s="2">
        <f ca="1">IFERROR(__xludf.DUMMYFUNCTION("""COMPUTED_VALUE"""),45337.6666666666)</f>
        <v>45337.666666666599</v>
      </c>
      <c r="B1039" s="1">
        <f ca="1">IFERROR(__xludf.DUMMYFUNCTION("""COMPUTED_VALUE"""),183.86)</f>
        <v>183.86</v>
      </c>
      <c r="C1039" s="1">
        <f ca="1">IFERROR(__xludf.DUMMYFUNCTION("""COMPUTED_VALUE"""),406.56)</f>
        <v>406.56</v>
      </c>
      <c r="D1039" s="1">
        <f ca="1">IFERROR(__xludf.DUMMYFUNCTION("""COMPUTED_VALUE"""),169.8)</f>
        <v>169.8</v>
      </c>
      <c r="E1039" s="1">
        <f ca="1">IFERROR(__xludf.DUMMYFUNCTION("""COMPUTED_VALUE"""),72.66)</f>
        <v>72.66</v>
      </c>
      <c r="F1039" s="1">
        <f ca="1">IFERROR(__xludf.DUMMYFUNCTION("""COMPUTED_VALUE"""),484.03)</f>
        <v>484.03</v>
      </c>
      <c r="G1039" s="1">
        <f ca="1">IFERROR(__xludf.DUMMYFUNCTION("""COMPUTED_VALUE"""),143.94)</f>
        <v>143.94</v>
      </c>
      <c r="H1039" s="1">
        <f ca="1">IFERROR(__xludf.DUMMYFUNCTION("""COMPUTED_VALUE"""),200.45)</f>
        <v>200.45</v>
      </c>
      <c r="I1039" s="1">
        <f ca="1">IFERROR(__xludf.DUMMYFUNCTION("""COMPUTED_VALUE"""),167.86)</f>
        <v>167.86</v>
      </c>
      <c r="J1039" s="1">
        <f ca="1">IFERROR(__xludf.DUMMYFUNCTION("""COMPUTED_VALUE"""),724.51)</f>
        <v>724.51</v>
      </c>
      <c r="K1039" s="1">
        <f ca="1">IFERROR(__xludf.DUMMYFUNCTION("""COMPUTED_VALUE"""),126.51)</f>
        <v>126.51</v>
      </c>
      <c r="L1039" s="1">
        <f ca="1">IFERROR(__xludf.DUMMYFUNCTION("""COMPUTED_VALUE"""),590.44)</f>
        <v>590.44000000000005</v>
      </c>
      <c r="M1039" s="1">
        <f ca="1">IFERROR(__xludf.DUMMYFUNCTION("""COMPUTED_VALUE"""),593.46)</f>
        <v>593.46</v>
      </c>
      <c r="N1039" s="1">
        <f ca="1">IFERROR(__xludf.DUMMYFUNCTION("""COMPUTED_VALUE"""),179.87)</f>
        <v>179.87</v>
      </c>
      <c r="O1039" s="1">
        <f ca="1">IFERROR(__xludf.DUMMYFUNCTION("""COMPUTED_VALUE"""),280.98)</f>
        <v>280.98</v>
      </c>
      <c r="P1039" s="1">
        <f ca="1">IFERROR(__xludf.DUMMYFUNCTION("""COMPUTED_VALUE"""),157.92)</f>
        <v>157.91999999999999</v>
      </c>
      <c r="Q1039" s="1">
        <f ca="1">IFERROR(__xludf.DUMMYFUNCTION("""COMPUTED_VALUE"""),520.88)</f>
        <v>520.88</v>
      </c>
      <c r="R1039" s="1">
        <f ca="1">IFERROR(__xludf.DUMMYFUNCTION("""COMPUTED_VALUE"""),103.73)</f>
        <v>103.73</v>
      </c>
      <c r="S1039" s="1">
        <f ca="1">IFERROR(__xludf.DUMMYFUNCTION("""COMPUTED_VALUE"""),57.27)</f>
        <v>57.27</v>
      </c>
      <c r="T1039" s="1">
        <f ca="1">IFERROR(__xludf.DUMMYFUNCTION("""COMPUTED_VALUE"""),56.43)</f>
        <v>56.43</v>
      </c>
      <c r="U1039" s="1">
        <f ca="1">IFERROR(__xludf.DUMMYFUNCTION("""COMPUTED_VALUE"""),106.05)</f>
        <v>106.05</v>
      </c>
      <c r="V1039" s="1">
        <f ca="1">IFERROR(__xludf.DUMMYFUNCTION("""COMPUTED_VALUE"""),323.07)</f>
        <v>323.07</v>
      </c>
      <c r="W1039" s="1">
        <f ca="1">IFERROR(__xludf.DUMMYFUNCTION("""COMPUTED_VALUE"""),423.12)</f>
        <v>423.12</v>
      </c>
      <c r="X1039" s="1">
        <f ca="1">IFERROR(__xludf.DUMMYFUNCTION("""COMPUTED_VALUE"""),929.84)</f>
        <v>929.84</v>
      </c>
      <c r="Y1039" s="1">
        <f ca="1">IFERROR(__xludf.DUMMYFUNCTION("""COMPUTED_VALUE"""),129.03)</f>
        <v>129.03</v>
      </c>
      <c r="Z1039" s="1">
        <f ca="1">IFERROR(__xludf.DUMMYFUNCTION("""COMPUTED_VALUE"""),385.42)</f>
        <v>385.42</v>
      </c>
      <c r="AA1039" s="1">
        <f ca="1">IFERROR(__xludf.DUMMYFUNCTION("""COMPUTED_VALUE"""),27.51)</f>
        <v>27.51</v>
      </c>
      <c r="AB1039" s="1">
        <f ca="1">IFERROR(__xludf.DUMMYFUNCTION("""COMPUTED_VALUE"""),93.22)</f>
        <v>93.22</v>
      </c>
      <c r="AC1039" s="1">
        <f ca="1">IFERROR(__xludf.DUMMYFUNCTION("""COMPUTED_VALUE"""),176.76)</f>
        <v>176.76</v>
      </c>
    </row>
    <row r="1040" spans="1:29" x14ac:dyDescent="0.25">
      <c r="A1040" s="2">
        <f ca="1">IFERROR(__xludf.DUMMYFUNCTION("""COMPUTED_VALUE"""),45338.6666666666)</f>
        <v>45338.666666666599</v>
      </c>
      <c r="B1040" s="1">
        <f ca="1">IFERROR(__xludf.DUMMYFUNCTION("""COMPUTED_VALUE"""),182.31)</f>
        <v>182.31</v>
      </c>
      <c r="C1040" s="1">
        <f ca="1">IFERROR(__xludf.DUMMYFUNCTION("""COMPUTED_VALUE"""),404.06)</f>
        <v>404.06</v>
      </c>
      <c r="D1040" s="1">
        <f ca="1">IFERROR(__xludf.DUMMYFUNCTION("""COMPUTED_VALUE"""),169.51)</f>
        <v>169.51</v>
      </c>
      <c r="E1040" s="1">
        <f ca="1">IFERROR(__xludf.DUMMYFUNCTION("""COMPUTED_VALUE"""),72.61)</f>
        <v>72.61</v>
      </c>
      <c r="F1040" s="1">
        <f ca="1">IFERROR(__xludf.DUMMYFUNCTION("""COMPUTED_VALUE"""),473.32)</f>
        <v>473.32</v>
      </c>
      <c r="G1040" s="1">
        <f ca="1">IFERROR(__xludf.DUMMYFUNCTION("""COMPUTED_VALUE"""),141.76)</f>
        <v>141.76</v>
      </c>
      <c r="H1040" s="1">
        <f ca="1">IFERROR(__xludf.DUMMYFUNCTION("""COMPUTED_VALUE"""),199.95)</f>
        <v>199.95</v>
      </c>
      <c r="I1040" s="1">
        <f ca="1">IFERROR(__xludf.DUMMYFUNCTION("""COMPUTED_VALUE"""),166.32)</f>
        <v>166.32</v>
      </c>
      <c r="J1040" s="1">
        <f ca="1">IFERROR(__xludf.DUMMYFUNCTION("""COMPUTED_VALUE"""),723.99)</f>
        <v>723.99</v>
      </c>
      <c r="K1040" s="1">
        <f ca="1">IFERROR(__xludf.DUMMYFUNCTION("""COMPUTED_VALUE"""),124.55)</f>
        <v>124.55</v>
      </c>
      <c r="L1040" s="1">
        <f ca="1">IFERROR(__xludf.DUMMYFUNCTION("""COMPUTED_VALUE"""),546.66)</f>
        <v>546.66</v>
      </c>
      <c r="M1040" s="1">
        <f ca="1">IFERROR(__xludf.DUMMYFUNCTION("""COMPUTED_VALUE"""),583.95)</f>
        <v>583.95000000000005</v>
      </c>
      <c r="N1040" s="1">
        <f ca="1">IFERROR(__xludf.DUMMYFUNCTION("""COMPUTED_VALUE"""),179.03)</f>
        <v>179.03</v>
      </c>
      <c r="O1040" s="1">
        <f ca="1">IFERROR(__xludf.DUMMYFUNCTION("""COMPUTED_VALUE"""),278.56)</f>
        <v>278.56</v>
      </c>
      <c r="P1040" s="1">
        <f ca="1">IFERROR(__xludf.DUMMYFUNCTION("""COMPUTED_VALUE"""),156.55)</f>
        <v>156.55000000000001</v>
      </c>
      <c r="Q1040" s="1">
        <f ca="1">IFERROR(__xludf.DUMMYFUNCTION("""COMPUTED_VALUE"""),521.55)</f>
        <v>521.54999999999995</v>
      </c>
      <c r="R1040" s="1">
        <f ca="1">IFERROR(__xludf.DUMMYFUNCTION("""COMPUTED_VALUE"""),103.73)</f>
        <v>103.73</v>
      </c>
      <c r="S1040" s="1">
        <f ca="1">IFERROR(__xludf.DUMMYFUNCTION("""COMPUTED_VALUE"""),57.03)</f>
        <v>57.03</v>
      </c>
      <c r="T1040" s="1">
        <f ca="1">IFERROR(__xludf.DUMMYFUNCTION("""COMPUTED_VALUE"""),56.79)</f>
        <v>56.79</v>
      </c>
      <c r="U1040" s="1">
        <f ca="1">IFERROR(__xludf.DUMMYFUNCTION("""COMPUTED_VALUE"""),103.51)</f>
        <v>103.51</v>
      </c>
      <c r="V1040" s="1">
        <f ca="1">IFERROR(__xludf.DUMMYFUNCTION("""COMPUTED_VALUE"""),321.91)</f>
        <v>321.91000000000003</v>
      </c>
      <c r="W1040" s="1">
        <f ca="1">IFERROR(__xludf.DUMMYFUNCTION("""COMPUTED_VALUE"""),424.07)</f>
        <v>424.07</v>
      </c>
      <c r="X1040" s="1">
        <f ca="1">IFERROR(__xludf.DUMMYFUNCTION("""COMPUTED_VALUE"""),928.94)</f>
        <v>928.94</v>
      </c>
      <c r="Y1040" s="1">
        <f ca="1">IFERROR(__xludf.DUMMYFUNCTION("""COMPUTED_VALUE"""),126.69)</f>
        <v>126.69</v>
      </c>
      <c r="Z1040" s="1">
        <f ca="1">IFERROR(__xludf.DUMMYFUNCTION("""COMPUTED_VALUE"""),384.44)</f>
        <v>384.44</v>
      </c>
      <c r="AA1040" s="1">
        <f ca="1">IFERROR(__xludf.DUMMYFUNCTION("""COMPUTED_VALUE"""),27.62)</f>
        <v>27.62</v>
      </c>
      <c r="AB1040" s="1">
        <f ca="1">IFERROR(__xludf.DUMMYFUNCTION("""COMPUTED_VALUE"""),93.22)</f>
        <v>93.22</v>
      </c>
      <c r="AC1040" s="1">
        <f ca="1">IFERROR(__xludf.DUMMYFUNCTION("""COMPUTED_VALUE"""),173.87)</f>
        <v>173.87</v>
      </c>
    </row>
    <row r="1041" spans="1:29" x14ac:dyDescent="0.25">
      <c r="A1041" s="2">
        <f ca="1">IFERROR(__xludf.DUMMYFUNCTION("""COMPUTED_VALUE"""),45342.6666666666)</f>
        <v>45342.666666666599</v>
      </c>
      <c r="B1041" s="1">
        <f ca="1">IFERROR(__xludf.DUMMYFUNCTION("""COMPUTED_VALUE"""),181.56)</f>
        <v>181.56</v>
      </c>
      <c r="C1041" s="1">
        <f ca="1">IFERROR(__xludf.DUMMYFUNCTION("""COMPUTED_VALUE"""),402.79)</f>
        <v>402.79</v>
      </c>
      <c r="D1041" s="1">
        <f ca="1">IFERROR(__xludf.DUMMYFUNCTION("""COMPUTED_VALUE"""),167.08)</f>
        <v>167.08</v>
      </c>
      <c r="E1041" s="1">
        <f ca="1">IFERROR(__xludf.DUMMYFUNCTION("""COMPUTED_VALUE"""),69.45)</f>
        <v>69.45</v>
      </c>
      <c r="F1041" s="1">
        <f ca="1">IFERROR(__xludf.DUMMYFUNCTION("""COMPUTED_VALUE"""),471.75)</f>
        <v>471.75</v>
      </c>
      <c r="G1041" s="1">
        <f ca="1">IFERROR(__xludf.DUMMYFUNCTION("""COMPUTED_VALUE"""),142.2)</f>
        <v>142.19999999999999</v>
      </c>
      <c r="H1041" s="1">
        <f ca="1">IFERROR(__xludf.DUMMYFUNCTION("""COMPUTED_VALUE"""),193.76)</f>
        <v>193.76</v>
      </c>
      <c r="I1041" s="1">
        <f ca="1">IFERROR(__xludf.DUMMYFUNCTION("""COMPUTED_VALUE"""),168.65)</f>
        <v>168.65</v>
      </c>
      <c r="J1041" s="1">
        <f ca="1">IFERROR(__xludf.DUMMYFUNCTION("""COMPUTED_VALUE"""),725.69)</f>
        <v>725.69</v>
      </c>
      <c r="K1041" s="1">
        <f ca="1">IFERROR(__xludf.DUMMYFUNCTION("""COMPUTED_VALUE"""),122.66)</f>
        <v>122.66</v>
      </c>
      <c r="L1041" s="1">
        <f ca="1">IFERROR(__xludf.DUMMYFUNCTION("""COMPUTED_VALUE"""),541.91)</f>
        <v>541.91</v>
      </c>
      <c r="M1041" s="1">
        <f ca="1">IFERROR(__xludf.DUMMYFUNCTION("""COMPUTED_VALUE"""),575.13)</f>
        <v>575.13</v>
      </c>
      <c r="N1041" s="1">
        <f ca="1">IFERROR(__xludf.DUMMYFUNCTION("""COMPUTED_VALUE"""),179.73)</f>
        <v>179.73</v>
      </c>
      <c r="O1041" s="1">
        <f ca="1">IFERROR(__xludf.DUMMYFUNCTION("""COMPUTED_VALUE"""),275.15)</f>
        <v>275.14999999999998</v>
      </c>
      <c r="P1041" s="1">
        <f ca="1">IFERROR(__xludf.DUMMYFUNCTION("""COMPUTED_VALUE"""),157.86)</f>
        <v>157.86000000000001</v>
      </c>
      <c r="Q1041" s="1">
        <f ca="1">IFERROR(__xludf.DUMMYFUNCTION("""COMPUTED_VALUE"""),521.06)</f>
        <v>521.05999999999995</v>
      </c>
      <c r="R1041" s="1">
        <f ca="1">IFERROR(__xludf.DUMMYFUNCTION("""COMPUTED_VALUE"""),102.75)</f>
        <v>102.75</v>
      </c>
      <c r="S1041" s="1">
        <f ca="1">IFERROR(__xludf.DUMMYFUNCTION("""COMPUTED_VALUE"""),56.61)</f>
        <v>56.61</v>
      </c>
      <c r="T1041" s="1">
        <f ca="1">IFERROR(__xludf.DUMMYFUNCTION("""COMPUTED_VALUE"""),58.62)</f>
        <v>58.62</v>
      </c>
      <c r="U1041" s="1">
        <f ca="1">IFERROR(__xludf.DUMMYFUNCTION("""COMPUTED_VALUE"""),103.3)</f>
        <v>103.3</v>
      </c>
      <c r="V1041" s="1">
        <f ca="1">IFERROR(__xludf.DUMMYFUNCTION("""COMPUTED_VALUE"""),313.74)</f>
        <v>313.74</v>
      </c>
      <c r="W1041" s="1">
        <f ca="1">IFERROR(__xludf.DUMMYFUNCTION("""COMPUTED_VALUE"""),424.27)</f>
        <v>424.27</v>
      </c>
      <c r="X1041" s="1">
        <f ca="1">IFERROR(__xludf.DUMMYFUNCTION("""COMPUTED_VALUE"""),909.57)</f>
        <v>909.57</v>
      </c>
      <c r="Y1041" s="1">
        <f ca="1">IFERROR(__xludf.DUMMYFUNCTION("""COMPUTED_VALUE"""),125.33)</f>
        <v>125.33</v>
      </c>
      <c r="Z1041" s="1">
        <f ca="1">IFERROR(__xludf.DUMMYFUNCTION("""COMPUTED_VALUE"""),384.52)</f>
        <v>384.52</v>
      </c>
      <c r="AA1041" s="1">
        <f ca="1">IFERROR(__xludf.DUMMYFUNCTION("""COMPUTED_VALUE"""),27.59)</f>
        <v>27.59</v>
      </c>
      <c r="AB1041" s="1">
        <f ca="1">IFERROR(__xludf.DUMMYFUNCTION("""COMPUTED_VALUE"""),93.46)</f>
        <v>93.46</v>
      </c>
      <c r="AC1041" s="1">
        <f ca="1">IFERROR(__xludf.DUMMYFUNCTION("""COMPUTED_VALUE"""),165.69)</f>
        <v>165.69</v>
      </c>
    </row>
    <row r="1042" spans="1:29" x14ac:dyDescent="0.25">
      <c r="A1042" s="2">
        <f ca="1">IFERROR(__xludf.DUMMYFUNCTION("""COMPUTED_VALUE"""),45343.6666666666)</f>
        <v>45343.666666666599</v>
      </c>
      <c r="B1042" s="1">
        <f ca="1">IFERROR(__xludf.DUMMYFUNCTION("""COMPUTED_VALUE"""),182.32)</f>
        <v>182.32</v>
      </c>
      <c r="C1042" s="1">
        <f ca="1">IFERROR(__xludf.DUMMYFUNCTION("""COMPUTED_VALUE"""),402.18)</f>
        <v>402.18</v>
      </c>
      <c r="D1042" s="1">
        <f ca="1">IFERROR(__xludf.DUMMYFUNCTION("""COMPUTED_VALUE"""),168.59)</f>
        <v>168.59</v>
      </c>
      <c r="E1042" s="1">
        <f ca="1">IFERROR(__xludf.DUMMYFUNCTION("""COMPUTED_VALUE"""),67.47)</f>
        <v>67.47</v>
      </c>
      <c r="F1042" s="1">
        <f ca="1">IFERROR(__xludf.DUMMYFUNCTION("""COMPUTED_VALUE"""),468.03)</f>
        <v>468.03</v>
      </c>
      <c r="G1042" s="1">
        <f ca="1">IFERROR(__xludf.DUMMYFUNCTION("""COMPUTED_VALUE"""),143.84)</f>
        <v>143.84</v>
      </c>
      <c r="H1042" s="1">
        <f ca="1">IFERROR(__xludf.DUMMYFUNCTION("""COMPUTED_VALUE"""),194.77)</f>
        <v>194.77</v>
      </c>
      <c r="I1042" s="1">
        <f ca="1">IFERROR(__xludf.DUMMYFUNCTION("""COMPUTED_VALUE"""),168.83)</f>
        <v>168.83</v>
      </c>
      <c r="J1042" s="1">
        <f ca="1">IFERROR(__xludf.DUMMYFUNCTION("""COMPUTED_VALUE"""),723.02)</f>
        <v>723.02</v>
      </c>
      <c r="K1042" s="1">
        <f ca="1">IFERROR(__xludf.DUMMYFUNCTION("""COMPUTED_VALUE"""),122.75)</f>
        <v>122.75</v>
      </c>
      <c r="L1042" s="1">
        <f ca="1">IFERROR(__xludf.DUMMYFUNCTION("""COMPUTED_VALUE"""),538.52)</f>
        <v>538.52</v>
      </c>
      <c r="M1042" s="1">
        <f ca="1">IFERROR(__xludf.DUMMYFUNCTION("""COMPUTED_VALUE"""),573.35)</f>
        <v>573.35</v>
      </c>
      <c r="N1042" s="1">
        <f ca="1">IFERROR(__xludf.DUMMYFUNCTION("""COMPUTED_VALUE"""),180.9)</f>
        <v>180.9</v>
      </c>
      <c r="O1042" s="1">
        <f ca="1">IFERROR(__xludf.DUMMYFUNCTION("""COMPUTED_VALUE"""),276.76)</f>
        <v>276.76</v>
      </c>
      <c r="P1042" s="1">
        <f ca="1">IFERROR(__xludf.DUMMYFUNCTION("""COMPUTED_VALUE"""),158.68)</f>
        <v>158.68</v>
      </c>
      <c r="Q1042" s="1">
        <f ca="1">IFERROR(__xludf.DUMMYFUNCTION("""COMPUTED_VALUE"""),521.97)</f>
        <v>521.97</v>
      </c>
      <c r="R1042" s="1">
        <f ca="1">IFERROR(__xludf.DUMMYFUNCTION("""COMPUTED_VALUE"""),104.85)</f>
        <v>104.85</v>
      </c>
      <c r="S1042" s="1">
        <f ca="1">IFERROR(__xludf.DUMMYFUNCTION("""COMPUTED_VALUE"""),57.1)</f>
        <v>57.1</v>
      </c>
      <c r="T1042" s="1">
        <f ca="1">IFERROR(__xludf.DUMMYFUNCTION("""COMPUTED_VALUE"""),57.9)</f>
        <v>57.9</v>
      </c>
      <c r="U1042" s="1">
        <f ca="1">IFERROR(__xludf.DUMMYFUNCTION("""COMPUTED_VALUE"""),105.27)</f>
        <v>105.27</v>
      </c>
      <c r="V1042" s="1">
        <f ca="1">IFERROR(__xludf.DUMMYFUNCTION("""COMPUTED_VALUE"""),317.14)</f>
        <v>317.14</v>
      </c>
      <c r="W1042" s="1">
        <f ca="1">IFERROR(__xludf.DUMMYFUNCTION("""COMPUTED_VALUE"""),427.55)</f>
        <v>427.55</v>
      </c>
      <c r="X1042" s="1">
        <f ca="1">IFERROR(__xludf.DUMMYFUNCTION("""COMPUTED_VALUE"""),908.21)</f>
        <v>908.21</v>
      </c>
      <c r="Y1042" s="1">
        <f ca="1">IFERROR(__xludf.DUMMYFUNCTION("""COMPUTED_VALUE"""),125.34)</f>
        <v>125.34</v>
      </c>
      <c r="Z1042" s="1">
        <f ca="1">IFERROR(__xludf.DUMMYFUNCTION("""COMPUTED_VALUE"""),388.27)</f>
        <v>388.27</v>
      </c>
      <c r="AA1042" s="1">
        <f ca="1">IFERROR(__xludf.DUMMYFUNCTION("""COMPUTED_VALUE"""),27.67)</f>
        <v>27.67</v>
      </c>
      <c r="AB1042" s="1">
        <f ca="1">IFERROR(__xludf.DUMMYFUNCTION("""COMPUTED_VALUE"""),95.02)</f>
        <v>95.02</v>
      </c>
      <c r="AC1042" s="1">
        <f ca="1">IFERROR(__xludf.DUMMYFUNCTION("""COMPUTED_VALUE"""),164.29)</f>
        <v>164.29</v>
      </c>
    </row>
    <row r="1043" spans="1:29" x14ac:dyDescent="0.25">
      <c r="A1043" s="2">
        <f ca="1">IFERROR(__xludf.DUMMYFUNCTION("""COMPUTED_VALUE"""),45344.6666666666)</f>
        <v>45344.666666666599</v>
      </c>
      <c r="B1043" s="1">
        <f ca="1">IFERROR(__xludf.DUMMYFUNCTION("""COMPUTED_VALUE"""),184.37)</f>
        <v>184.37</v>
      </c>
      <c r="C1043" s="1">
        <f ca="1">IFERROR(__xludf.DUMMYFUNCTION("""COMPUTED_VALUE"""),411.65)</f>
        <v>411.65</v>
      </c>
      <c r="D1043" s="1">
        <f ca="1">IFERROR(__xludf.DUMMYFUNCTION("""COMPUTED_VALUE"""),174.58)</f>
        <v>174.58</v>
      </c>
      <c r="E1043" s="1">
        <f ca="1">IFERROR(__xludf.DUMMYFUNCTION("""COMPUTED_VALUE"""),78.54)</f>
        <v>78.540000000000006</v>
      </c>
      <c r="F1043" s="1">
        <f ca="1">IFERROR(__xludf.DUMMYFUNCTION("""COMPUTED_VALUE"""),486.13)</f>
        <v>486.13</v>
      </c>
      <c r="G1043" s="1">
        <f ca="1">IFERROR(__xludf.DUMMYFUNCTION("""COMPUTED_VALUE"""),145.32)</f>
        <v>145.32</v>
      </c>
      <c r="H1043" s="1">
        <f ca="1">IFERROR(__xludf.DUMMYFUNCTION("""COMPUTED_VALUE"""),197.41)</f>
        <v>197.41</v>
      </c>
      <c r="I1043" s="1">
        <f ca="1">IFERROR(__xludf.DUMMYFUNCTION("""COMPUTED_VALUE"""),168.25)</f>
        <v>168.25</v>
      </c>
      <c r="J1043" s="1">
        <f ca="1">IFERROR(__xludf.DUMMYFUNCTION("""COMPUTED_VALUE"""),734.4)</f>
        <v>734.4</v>
      </c>
      <c r="K1043" s="1">
        <f ca="1">IFERROR(__xludf.DUMMYFUNCTION("""COMPUTED_VALUE"""),130.49)</f>
        <v>130.49</v>
      </c>
      <c r="L1043" s="1">
        <f ca="1">IFERROR(__xludf.DUMMYFUNCTION("""COMPUTED_VALUE"""),537.57)</f>
        <v>537.57000000000005</v>
      </c>
      <c r="M1043" s="1">
        <f ca="1">IFERROR(__xludf.DUMMYFUNCTION("""COMPUTED_VALUE"""),588.47)</f>
        <v>588.47</v>
      </c>
      <c r="N1043" s="1">
        <f ca="1">IFERROR(__xludf.DUMMYFUNCTION("""COMPUTED_VALUE"""),183.07)</f>
        <v>183.07</v>
      </c>
      <c r="O1043" s="1">
        <f ca="1">IFERROR(__xludf.DUMMYFUNCTION("""COMPUTED_VALUE"""),283.75)</f>
        <v>283.75</v>
      </c>
      <c r="P1043" s="1">
        <f ca="1">IFERROR(__xludf.DUMMYFUNCTION("""COMPUTED_VALUE"""),160.45)</f>
        <v>160.44999999999999</v>
      </c>
      <c r="Q1043" s="1">
        <f ca="1">IFERROR(__xludf.DUMMYFUNCTION("""COMPUTED_VALUE"""),526.5)</f>
        <v>526.5</v>
      </c>
      <c r="R1043" s="1">
        <f ca="1">IFERROR(__xludf.DUMMYFUNCTION("""COMPUTED_VALUE"""),104.76)</f>
        <v>104.76</v>
      </c>
      <c r="S1043" s="1">
        <f ca="1">IFERROR(__xludf.DUMMYFUNCTION("""COMPUTED_VALUE"""),56.67)</f>
        <v>56.67</v>
      </c>
      <c r="T1043" s="1">
        <f ca="1">IFERROR(__xludf.DUMMYFUNCTION("""COMPUTED_VALUE"""),58.47)</f>
        <v>58.47</v>
      </c>
      <c r="U1043" s="1">
        <f ca="1">IFERROR(__xludf.DUMMYFUNCTION("""COMPUTED_VALUE"""),105.08)</f>
        <v>105.08</v>
      </c>
      <c r="V1043" s="1">
        <f ca="1">IFERROR(__xludf.DUMMYFUNCTION("""COMPUTED_VALUE"""),322.09)</f>
        <v>322.08999999999997</v>
      </c>
      <c r="W1043" s="1">
        <f ca="1">IFERROR(__xludf.DUMMYFUNCTION("""COMPUTED_VALUE"""),428.89)</f>
        <v>428.89</v>
      </c>
      <c r="X1043" s="1">
        <f ca="1">IFERROR(__xludf.DUMMYFUNCTION("""COMPUTED_VALUE"""),951.85)</f>
        <v>951.85</v>
      </c>
      <c r="Y1043" s="1">
        <f ca="1">IFERROR(__xludf.DUMMYFUNCTION("""COMPUTED_VALUE"""),129.07)</f>
        <v>129.07</v>
      </c>
      <c r="Z1043" s="1">
        <f ca="1">IFERROR(__xludf.DUMMYFUNCTION("""COMPUTED_VALUE"""),390.47)</f>
        <v>390.47</v>
      </c>
      <c r="AA1043" s="1">
        <f ca="1">IFERROR(__xludf.DUMMYFUNCTION("""COMPUTED_VALUE"""),27.55)</f>
        <v>27.55</v>
      </c>
      <c r="AB1043" s="1">
        <f ca="1">IFERROR(__xludf.DUMMYFUNCTION("""COMPUTED_VALUE"""),95.78)</f>
        <v>95.78</v>
      </c>
      <c r="AC1043" s="1">
        <f ca="1">IFERROR(__xludf.DUMMYFUNCTION("""COMPUTED_VALUE"""),181.86)</f>
        <v>181.86</v>
      </c>
    </row>
    <row r="1044" spans="1:29" x14ac:dyDescent="0.25">
      <c r="A1044" s="2">
        <f ca="1">IFERROR(__xludf.DUMMYFUNCTION("""COMPUTED_VALUE"""),45345.6666666666)</f>
        <v>45345.666666666599</v>
      </c>
      <c r="B1044" s="1">
        <f ca="1">IFERROR(__xludf.DUMMYFUNCTION("""COMPUTED_VALUE"""),182.52)</f>
        <v>182.52</v>
      </c>
      <c r="C1044" s="1">
        <f ca="1">IFERROR(__xludf.DUMMYFUNCTION("""COMPUTED_VALUE"""),410.34)</f>
        <v>410.34</v>
      </c>
      <c r="D1044" s="1">
        <f ca="1">IFERROR(__xludf.DUMMYFUNCTION("""COMPUTED_VALUE"""),174.99)</f>
        <v>174.99</v>
      </c>
      <c r="E1044" s="1">
        <f ca="1">IFERROR(__xludf.DUMMYFUNCTION("""COMPUTED_VALUE"""),78.82)</f>
        <v>78.819999999999993</v>
      </c>
      <c r="F1044" s="1">
        <f ca="1">IFERROR(__xludf.DUMMYFUNCTION("""COMPUTED_VALUE"""),484.03)</f>
        <v>484.03</v>
      </c>
      <c r="G1044" s="1">
        <f ca="1">IFERROR(__xludf.DUMMYFUNCTION("""COMPUTED_VALUE"""),145.29)</f>
        <v>145.29</v>
      </c>
      <c r="H1044" s="1">
        <f ca="1">IFERROR(__xludf.DUMMYFUNCTION("""COMPUTED_VALUE"""),191.97)</f>
        <v>191.97</v>
      </c>
      <c r="I1044" s="1">
        <f ca="1">IFERROR(__xludf.DUMMYFUNCTION("""COMPUTED_VALUE"""),169.6)</f>
        <v>169.6</v>
      </c>
      <c r="J1044" s="1">
        <f ca="1">IFERROR(__xludf.DUMMYFUNCTION("""COMPUTED_VALUE"""),737.93)</f>
        <v>737.93</v>
      </c>
      <c r="K1044" s="1">
        <f ca="1">IFERROR(__xludf.DUMMYFUNCTION("""COMPUTED_VALUE"""),129.64)</f>
        <v>129.63999999999999</v>
      </c>
      <c r="L1044" s="1">
        <f ca="1">IFERROR(__xludf.DUMMYFUNCTION("""COMPUTED_VALUE"""),553.44)</f>
        <v>553.44000000000005</v>
      </c>
      <c r="M1044" s="1">
        <f ca="1">IFERROR(__xludf.DUMMYFUNCTION("""COMPUTED_VALUE"""),583.56)</f>
        <v>583.55999999999995</v>
      </c>
      <c r="N1044" s="1">
        <f ca="1">IFERROR(__xludf.DUMMYFUNCTION("""COMPUTED_VALUE"""),183.99)</f>
        <v>183.99</v>
      </c>
      <c r="O1044" s="1">
        <f ca="1">IFERROR(__xludf.DUMMYFUNCTION("""COMPUTED_VALUE"""),283.6)</f>
        <v>283.60000000000002</v>
      </c>
      <c r="P1044" s="1">
        <f ca="1">IFERROR(__xludf.DUMMYFUNCTION("""COMPUTED_VALUE"""),161.84)</f>
        <v>161.84</v>
      </c>
      <c r="Q1044" s="1">
        <f ca="1">IFERROR(__xludf.DUMMYFUNCTION("""COMPUTED_VALUE"""),527.24)</f>
        <v>527.24</v>
      </c>
      <c r="R1044" s="1">
        <f ca="1">IFERROR(__xludf.DUMMYFUNCTION("""COMPUTED_VALUE"""),103.84)</f>
        <v>103.84</v>
      </c>
      <c r="S1044" s="1">
        <f ca="1">IFERROR(__xludf.DUMMYFUNCTION("""COMPUTED_VALUE"""),56.78)</f>
        <v>56.78</v>
      </c>
      <c r="T1044" s="1">
        <f ca="1">IFERROR(__xludf.DUMMYFUNCTION("""COMPUTED_VALUE"""),58.52)</f>
        <v>58.52</v>
      </c>
      <c r="U1044" s="1">
        <f ca="1">IFERROR(__xludf.DUMMYFUNCTION("""COMPUTED_VALUE"""),105.63)</f>
        <v>105.63</v>
      </c>
      <c r="V1044" s="1">
        <f ca="1">IFERROR(__xludf.DUMMYFUNCTION("""COMPUTED_VALUE"""),323.88)</f>
        <v>323.88</v>
      </c>
      <c r="W1044" s="1">
        <f ca="1">IFERROR(__xludf.DUMMYFUNCTION("""COMPUTED_VALUE"""),431.12)</f>
        <v>431.12</v>
      </c>
      <c r="X1044" s="1">
        <f ca="1">IFERROR(__xludf.DUMMYFUNCTION("""COMPUTED_VALUE"""),933.25)</f>
        <v>933.25</v>
      </c>
      <c r="Y1044" s="1">
        <f ca="1">IFERROR(__xludf.DUMMYFUNCTION("""COMPUTED_VALUE"""),129.53)</f>
        <v>129.53</v>
      </c>
      <c r="Z1044" s="1">
        <f ca="1">IFERROR(__xludf.DUMMYFUNCTION("""COMPUTED_VALUE"""),391.05)</f>
        <v>391.05</v>
      </c>
      <c r="AA1044" s="1">
        <f ca="1">IFERROR(__xludf.DUMMYFUNCTION("""COMPUTED_VALUE"""),27.76)</f>
        <v>27.76</v>
      </c>
      <c r="AB1044" s="1">
        <f ca="1">IFERROR(__xludf.DUMMYFUNCTION("""COMPUTED_VALUE"""),95.62)</f>
        <v>95.62</v>
      </c>
      <c r="AC1044" s="1">
        <f ca="1">IFERROR(__xludf.DUMMYFUNCTION("""COMPUTED_VALUE"""),176.52)</f>
        <v>176.52</v>
      </c>
    </row>
    <row r="1045" spans="1:29" x14ac:dyDescent="0.25">
      <c r="A1045" s="2">
        <f ca="1">IFERROR(__xludf.DUMMYFUNCTION("""COMPUTED_VALUE"""),45348.6666666666)</f>
        <v>45348.666666666599</v>
      </c>
      <c r="B1045" s="1">
        <f ca="1">IFERROR(__xludf.DUMMYFUNCTION("""COMPUTED_VALUE"""),181.16)</f>
        <v>181.16</v>
      </c>
      <c r="C1045" s="1">
        <f ca="1">IFERROR(__xludf.DUMMYFUNCTION("""COMPUTED_VALUE"""),407.54)</f>
        <v>407.54</v>
      </c>
      <c r="D1045" s="1">
        <f ca="1">IFERROR(__xludf.DUMMYFUNCTION("""COMPUTED_VALUE"""),174.73)</f>
        <v>174.73</v>
      </c>
      <c r="E1045" s="1">
        <f ca="1">IFERROR(__xludf.DUMMYFUNCTION("""COMPUTED_VALUE"""),79.09)</f>
        <v>79.09</v>
      </c>
      <c r="F1045" s="1">
        <f ca="1">IFERROR(__xludf.DUMMYFUNCTION("""COMPUTED_VALUE"""),481.74)</f>
        <v>481.74</v>
      </c>
      <c r="G1045" s="1">
        <f ca="1">IFERROR(__xludf.DUMMYFUNCTION("""COMPUTED_VALUE"""),138.75)</f>
        <v>138.75</v>
      </c>
      <c r="H1045" s="1">
        <f ca="1">IFERROR(__xludf.DUMMYFUNCTION("""COMPUTED_VALUE"""),199.4)</f>
        <v>199.4</v>
      </c>
      <c r="I1045" s="1">
        <f ca="1">IFERROR(__xludf.DUMMYFUNCTION("""COMPUTED_VALUE"""),168.26)</f>
        <v>168.26</v>
      </c>
      <c r="J1045" s="1">
        <f ca="1">IFERROR(__xludf.DUMMYFUNCTION("""COMPUTED_VALUE"""),745.35)</f>
        <v>745.35</v>
      </c>
      <c r="K1045" s="1">
        <f ca="1">IFERROR(__xludf.DUMMYFUNCTION("""COMPUTED_VALUE"""),130.91)</f>
        <v>130.91</v>
      </c>
      <c r="L1045" s="1">
        <f ca="1">IFERROR(__xludf.DUMMYFUNCTION("""COMPUTED_VALUE"""),560.48)</f>
        <v>560.48</v>
      </c>
      <c r="M1045" s="1">
        <f ca="1">IFERROR(__xludf.DUMMYFUNCTION("""COMPUTED_VALUE"""),587.65)</f>
        <v>587.65</v>
      </c>
      <c r="N1045" s="1">
        <f ca="1">IFERROR(__xludf.DUMMYFUNCTION("""COMPUTED_VALUE"""),183.36)</f>
        <v>183.36</v>
      </c>
      <c r="O1045" s="1">
        <f ca="1">IFERROR(__xludf.DUMMYFUNCTION("""COMPUTED_VALUE"""),284.15)</f>
        <v>284.14999999999998</v>
      </c>
      <c r="P1045" s="1">
        <f ca="1">IFERROR(__xludf.DUMMYFUNCTION("""COMPUTED_VALUE"""),160.79)</f>
        <v>160.79</v>
      </c>
      <c r="Q1045" s="1">
        <f ca="1">IFERROR(__xludf.DUMMYFUNCTION("""COMPUTED_VALUE"""),525.32)</f>
        <v>525.32000000000005</v>
      </c>
      <c r="R1045" s="1">
        <f ca="1">IFERROR(__xludf.DUMMYFUNCTION("""COMPUTED_VALUE"""),104.25)</f>
        <v>104.25</v>
      </c>
      <c r="S1045" s="1">
        <f ca="1">IFERROR(__xludf.DUMMYFUNCTION("""COMPUTED_VALUE"""),55.15)</f>
        <v>55.15</v>
      </c>
      <c r="T1045" s="1">
        <f ca="1">IFERROR(__xludf.DUMMYFUNCTION("""COMPUTED_VALUE"""),59.6)</f>
        <v>59.6</v>
      </c>
      <c r="U1045" s="1">
        <f ca="1">IFERROR(__xludf.DUMMYFUNCTION("""COMPUTED_VALUE"""),104.54)</f>
        <v>104.54</v>
      </c>
      <c r="V1045" s="1">
        <f ca="1">IFERROR(__xludf.DUMMYFUNCTION("""COMPUTED_VALUE"""),325.38)</f>
        <v>325.38</v>
      </c>
      <c r="W1045" s="1">
        <f ca="1">IFERROR(__xludf.DUMMYFUNCTION("""COMPUTED_VALUE"""),429.18)</f>
        <v>429.18</v>
      </c>
      <c r="X1045" s="1">
        <f ca="1">IFERROR(__xludf.DUMMYFUNCTION("""COMPUTED_VALUE"""),947.59)</f>
        <v>947.59</v>
      </c>
      <c r="Y1045" s="1">
        <f ca="1">IFERROR(__xludf.DUMMYFUNCTION("""COMPUTED_VALUE"""),130.64)</f>
        <v>130.63999999999999</v>
      </c>
      <c r="Z1045" s="1">
        <f ca="1">IFERROR(__xludf.DUMMYFUNCTION("""COMPUTED_VALUE"""),390.22)</f>
        <v>390.22</v>
      </c>
      <c r="AA1045" s="1">
        <f ca="1">IFERROR(__xludf.DUMMYFUNCTION("""COMPUTED_VALUE"""),27.18)</f>
        <v>27.18</v>
      </c>
      <c r="AB1045" s="1">
        <f ca="1">IFERROR(__xludf.DUMMYFUNCTION("""COMPUTED_VALUE"""),94.28)</f>
        <v>94.28</v>
      </c>
      <c r="AC1045" s="1">
        <f ca="1">IFERROR(__xludf.DUMMYFUNCTION("""COMPUTED_VALUE"""),176.01)</f>
        <v>176.01</v>
      </c>
    </row>
    <row r="1046" spans="1:29" x14ac:dyDescent="0.25">
      <c r="A1046" s="2">
        <f ca="1">IFERROR(__xludf.DUMMYFUNCTION("""COMPUTED_VALUE"""),45349.6666666666)</f>
        <v>45349.666666666599</v>
      </c>
      <c r="B1046" s="1">
        <f ca="1">IFERROR(__xludf.DUMMYFUNCTION("""COMPUTED_VALUE"""),182.63)</f>
        <v>182.63</v>
      </c>
      <c r="C1046" s="1">
        <f ca="1">IFERROR(__xludf.DUMMYFUNCTION("""COMPUTED_VALUE"""),407.48)</f>
        <v>407.48</v>
      </c>
      <c r="D1046" s="1">
        <f ca="1">IFERROR(__xludf.DUMMYFUNCTION("""COMPUTED_VALUE"""),173.54)</f>
        <v>173.54</v>
      </c>
      <c r="E1046" s="1">
        <f ca="1">IFERROR(__xludf.DUMMYFUNCTION("""COMPUTED_VALUE"""),78.7)</f>
        <v>78.7</v>
      </c>
      <c r="F1046" s="1">
        <f ca="1">IFERROR(__xludf.DUMMYFUNCTION("""COMPUTED_VALUE"""),487.05)</f>
        <v>487.05</v>
      </c>
      <c r="G1046" s="1">
        <f ca="1">IFERROR(__xludf.DUMMYFUNCTION("""COMPUTED_VALUE"""),140.1)</f>
        <v>140.1</v>
      </c>
      <c r="H1046" s="1">
        <f ca="1">IFERROR(__xludf.DUMMYFUNCTION("""COMPUTED_VALUE"""),199.73)</f>
        <v>199.73</v>
      </c>
      <c r="I1046" s="1">
        <f ca="1">IFERROR(__xludf.DUMMYFUNCTION("""COMPUTED_VALUE"""),168.16)</f>
        <v>168.16</v>
      </c>
      <c r="J1046" s="1">
        <f ca="1">IFERROR(__xludf.DUMMYFUNCTION("""COMPUTED_VALUE"""),744.71)</f>
        <v>744.71</v>
      </c>
      <c r="K1046" s="1">
        <f ca="1">IFERROR(__xludf.DUMMYFUNCTION("""COMPUTED_VALUE"""),129.62)</f>
        <v>129.62</v>
      </c>
      <c r="L1046" s="1">
        <f ca="1">IFERROR(__xludf.DUMMYFUNCTION("""COMPUTED_VALUE"""),552.49)</f>
        <v>552.49</v>
      </c>
      <c r="M1046" s="1">
        <f ca="1">IFERROR(__xludf.DUMMYFUNCTION("""COMPUTED_VALUE"""),601.67)</f>
        <v>601.66999999999996</v>
      </c>
      <c r="N1046" s="1">
        <f ca="1">IFERROR(__xludf.DUMMYFUNCTION("""COMPUTED_VALUE"""),183.45)</f>
        <v>183.45</v>
      </c>
      <c r="O1046" s="1">
        <f ca="1">IFERROR(__xludf.DUMMYFUNCTION("""COMPUTED_VALUE"""),283.17)</f>
        <v>283.17</v>
      </c>
      <c r="P1046" s="1">
        <f ca="1">IFERROR(__xludf.DUMMYFUNCTION("""COMPUTED_VALUE"""),160.98)</f>
        <v>160.97999999999999</v>
      </c>
      <c r="Q1046" s="1">
        <f ca="1">IFERROR(__xludf.DUMMYFUNCTION("""COMPUTED_VALUE"""),513.42)</f>
        <v>513.41999999999996</v>
      </c>
      <c r="R1046" s="1">
        <f ca="1">IFERROR(__xludf.DUMMYFUNCTION("""COMPUTED_VALUE"""),104.03)</f>
        <v>104.03</v>
      </c>
      <c r="S1046" s="1">
        <f ca="1">IFERROR(__xludf.DUMMYFUNCTION("""COMPUTED_VALUE"""),55.56)</f>
        <v>55.56</v>
      </c>
      <c r="T1046" s="1">
        <f ca="1">IFERROR(__xludf.DUMMYFUNCTION("""COMPUTED_VALUE"""),59.59)</f>
        <v>59.59</v>
      </c>
      <c r="U1046" s="1">
        <f ca="1">IFERROR(__xludf.DUMMYFUNCTION("""COMPUTED_VALUE"""),105.15)</f>
        <v>105.15</v>
      </c>
      <c r="V1046" s="1">
        <f ca="1">IFERROR(__xludf.DUMMYFUNCTION("""COMPUTED_VALUE"""),327.63)</f>
        <v>327.63</v>
      </c>
      <c r="W1046" s="1">
        <f ca="1">IFERROR(__xludf.DUMMYFUNCTION("""COMPUTED_VALUE"""),430.43)</f>
        <v>430.43</v>
      </c>
      <c r="X1046" s="1">
        <f ca="1">IFERROR(__xludf.DUMMYFUNCTION("""COMPUTED_VALUE"""),941.37)</f>
        <v>941.37</v>
      </c>
      <c r="Y1046" s="1">
        <f ca="1">IFERROR(__xludf.DUMMYFUNCTION("""COMPUTED_VALUE"""),128.59)</f>
        <v>128.59</v>
      </c>
      <c r="Z1046" s="1">
        <f ca="1">IFERROR(__xludf.DUMMYFUNCTION("""COMPUTED_VALUE"""),390.81)</f>
        <v>390.81</v>
      </c>
      <c r="AA1046" s="1">
        <f ca="1">IFERROR(__xludf.DUMMYFUNCTION("""COMPUTED_VALUE"""),26.89)</f>
        <v>26.89</v>
      </c>
      <c r="AB1046" s="1">
        <f ca="1">IFERROR(__xludf.DUMMYFUNCTION("""COMPUTED_VALUE"""),94.13)</f>
        <v>94.13</v>
      </c>
      <c r="AC1046" s="1">
        <f ca="1">IFERROR(__xludf.DUMMYFUNCTION("""COMPUTED_VALUE"""),178)</f>
        <v>178</v>
      </c>
    </row>
    <row r="1047" spans="1:29" x14ac:dyDescent="0.25">
      <c r="A1047" s="2">
        <f ca="1">IFERROR(__xludf.DUMMYFUNCTION("""COMPUTED_VALUE"""),45350.6666666666)</f>
        <v>45350.666666666599</v>
      </c>
      <c r="B1047" s="1">
        <f ca="1">IFERROR(__xludf.DUMMYFUNCTION("""COMPUTED_VALUE"""),181.42)</f>
        <v>181.42</v>
      </c>
      <c r="C1047" s="1">
        <f ca="1">IFERROR(__xludf.DUMMYFUNCTION("""COMPUTED_VALUE"""),407.72)</f>
        <v>407.72</v>
      </c>
      <c r="D1047" s="1">
        <f ca="1">IFERROR(__xludf.DUMMYFUNCTION("""COMPUTED_VALUE"""),173.16)</f>
        <v>173.16</v>
      </c>
      <c r="E1047" s="1">
        <f ca="1">IFERROR(__xludf.DUMMYFUNCTION("""COMPUTED_VALUE"""),77.66)</f>
        <v>77.66</v>
      </c>
      <c r="F1047" s="1">
        <f ca="1">IFERROR(__xludf.DUMMYFUNCTION("""COMPUTED_VALUE"""),484.02)</f>
        <v>484.02</v>
      </c>
      <c r="G1047" s="1">
        <f ca="1">IFERROR(__xludf.DUMMYFUNCTION("""COMPUTED_VALUE"""),137.43)</f>
        <v>137.43</v>
      </c>
      <c r="H1047" s="1">
        <f ca="1">IFERROR(__xludf.DUMMYFUNCTION("""COMPUTED_VALUE"""),202.04)</f>
        <v>202.04</v>
      </c>
      <c r="I1047" s="1">
        <f ca="1">IFERROR(__xludf.DUMMYFUNCTION("""COMPUTED_VALUE"""),167.03)</f>
        <v>167.03</v>
      </c>
      <c r="J1047" s="1">
        <f ca="1">IFERROR(__xludf.DUMMYFUNCTION("""COMPUTED_VALUE"""),747.96)</f>
        <v>747.96</v>
      </c>
      <c r="K1047" s="1">
        <f ca="1">IFERROR(__xludf.DUMMYFUNCTION("""COMPUTED_VALUE"""),128.94)</f>
        <v>128.94</v>
      </c>
      <c r="L1047" s="1">
        <f ca="1">IFERROR(__xludf.DUMMYFUNCTION("""COMPUTED_VALUE"""),551.82)</f>
        <v>551.82000000000005</v>
      </c>
      <c r="M1047" s="1">
        <f ca="1">IFERROR(__xludf.DUMMYFUNCTION("""COMPUTED_VALUE"""),596.48)</f>
        <v>596.48</v>
      </c>
      <c r="N1047" s="1">
        <f ca="1">IFERROR(__xludf.DUMMYFUNCTION("""COMPUTED_VALUE"""),184.38)</f>
        <v>184.38</v>
      </c>
      <c r="O1047" s="1">
        <f ca="1">IFERROR(__xludf.DUMMYFUNCTION("""COMPUTED_VALUE"""),285.63)</f>
        <v>285.63</v>
      </c>
      <c r="P1047" s="1">
        <f ca="1">IFERROR(__xludf.DUMMYFUNCTION("""COMPUTED_VALUE"""),161.55)</f>
        <v>161.55000000000001</v>
      </c>
      <c r="Q1047" s="1">
        <f ca="1">IFERROR(__xludf.DUMMYFUNCTION("""COMPUTED_VALUE"""),498.28)</f>
        <v>498.28</v>
      </c>
      <c r="R1047" s="1">
        <f ca="1">IFERROR(__xludf.DUMMYFUNCTION("""COMPUTED_VALUE"""),104.32)</f>
        <v>104.32</v>
      </c>
      <c r="S1047" s="1">
        <f ca="1">IFERROR(__xludf.DUMMYFUNCTION("""COMPUTED_VALUE"""),55.04)</f>
        <v>55.04</v>
      </c>
      <c r="T1047" s="1">
        <f ca="1">IFERROR(__xludf.DUMMYFUNCTION("""COMPUTED_VALUE"""),59.62)</f>
        <v>59.62</v>
      </c>
      <c r="U1047" s="1">
        <f ca="1">IFERROR(__xludf.DUMMYFUNCTION("""COMPUTED_VALUE"""),104.35)</f>
        <v>104.35</v>
      </c>
      <c r="V1047" s="1">
        <f ca="1">IFERROR(__xludf.DUMMYFUNCTION("""COMPUTED_VALUE"""),329.56)</f>
        <v>329.56</v>
      </c>
      <c r="W1047" s="1">
        <f ca="1">IFERROR(__xludf.DUMMYFUNCTION("""COMPUTED_VALUE"""),432.48)</f>
        <v>432.48</v>
      </c>
      <c r="X1047" s="1">
        <f ca="1">IFERROR(__xludf.DUMMYFUNCTION("""COMPUTED_VALUE"""),939.5)</f>
        <v>939.5</v>
      </c>
      <c r="Y1047" s="1">
        <f ca="1">IFERROR(__xludf.DUMMYFUNCTION("""COMPUTED_VALUE"""),127.38)</f>
        <v>127.38</v>
      </c>
      <c r="Z1047" s="1">
        <f ca="1">IFERROR(__xludf.DUMMYFUNCTION("""COMPUTED_VALUE"""),393.18)</f>
        <v>393.18</v>
      </c>
      <c r="AA1047" s="1">
        <f ca="1">IFERROR(__xludf.DUMMYFUNCTION("""COMPUTED_VALUE"""),27.04)</f>
        <v>27.04</v>
      </c>
      <c r="AB1047" s="1">
        <f ca="1">IFERROR(__xludf.DUMMYFUNCTION("""COMPUTED_VALUE"""),93)</f>
        <v>93</v>
      </c>
      <c r="AC1047" s="1">
        <f ca="1">IFERROR(__xludf.DUMMYFUNCTION("""COMPUTED_VALUE"""),176.54)</f>
        <v>176.54</v>
      </c>
    </row>
    <row r="1048" spans="1:29" x14ac:dyDescent="0.25">
      <c r="A1048" s="2">
        <f ca="1">IFERROR(__xludf.DUMMYFUNCTION("""COMPUTED_VALUE"""),45351.6666666666)</f>
        <v>45351.666666666599</v>
      </c>
      <c r="B1048" s="1">
        <f ca="1">IFERROR(__xludf.DUMMYFUNCTION("""COMPUTED_VALUE"""),180.75)</f>
        <v>180.75</v>
      </c>
      <c r="C1048" s="1">
        <f ca="1">IFERROR(__xludf.DUMMYFUNCTION("""COMPUTED_VALUE"""),413.64)</f>
        <v>413.64</v>
      </c>
      <c r="D1048" s="1">
        <f ca="1">IFERROR(__xludf.DUMMYFUNCTION("""COMPUTED_VALUE"""),176.76)</f>
        <v>176.76</v>
      </c>
      <c r="E1048" s="1">
        <f ca="1">IFERROR(__xludf.DUMMYFUNCTION("""COMPUTED_VALUE"""),79.11)</f>
        <v>79.11</v>
      </c>
      <c r="F1048" s="1">
        <f ca="1">IFERROR(__xludf.DUMMYFUNCTION("""COMPUTED_VALUE"""),490.13)</f>
        <v>490.13</v>
      </c>
      <c r="G1048" s="1">
        <f ca="1">IFERROR(__xludf.DUMMYFUNCTION("""COMPUTED_VALUE"""),139.78)</f>
        <v>139.78</v>
      </c>
      <c r="H1048" s="1">
        <f ca="1">IFERROR(__xludf.DUMMYFUNCTION("""COMPUTED_VALUE"""),201.88)</f>
        <v>201.88</v>
      </c>
      <c r="I1048" s="1">
        <f ca="1">IFERROR(__xludf.DUMMYFUNCTION("""COMPUTED_VALUE"""),165.34)</f>
        <v>165.34</v>
      </c>
      <c r="J1048" s="1">
        <f ca="1">IFERROR(__xludf.DUMMYFUNCTION("""COMPUTED_VALUE"""),743.89)</f>
        <v>743.89</v>
      </c>
      <c r="K1048" s="1">
        <f ca="1">IFERROR(__xludf.DUMMYFUNCTION("""COMPUTED_VALUE"""),130.05)</f>
        <v>130.05000000000001</v>
      </c>
      <c r="L1048" s="1">
        <f ca="1">IFERROR(__xludf.DUMMYFUNCTION("""COMPUTED_VALUE"""),560.28)</f>
        <v>560.28</v>
      </c>
      <c r="M1048" s="1">
        <f ca="1">IFERROR(__xludf.DUMMYFUNCTION("""COMPUTED_VALUE"""),602.92)</f>
        <v>602.91999999999996</v>
      </c>
      <c r="N1048" s="1">
        <f ca="1">IFERROR(__xludf.DUMMYFUNCTION("""COMPUTED_VALUE"""),186.06)</f>
        <v>186.06</v>
      </c>
      <c r="O1048" s="1">
        <f ca="1">IFERROR(__xludf.DUMMYFUNCTION("""COMPUTED_VALUE"""),282.64)</f>
        <v>282.64</v>
      </c>
      <c r="P1048" s="1">
        <f ca="1">IFERROR(__xludf.DUMMYFUNCTION("""COMPUTED_VALUE"""),161.38)</f>
        <v>161.38</v>
      </c>
      <c r="Q1048" s="1">
        <f ca="1">IFERROR(__xludf.DUMMYFUNCTION("""COMPUTED_VALUE"""),493.6)</f>
        <v>493.6</v>
      </c>
      <c r="R1048" s="1">
        <f ca="1">IFERROR(__xludf.DUMMYFUNCTION("""COMPUTED_VALUE"""),104.52)</f>
        <v>104.52</v>
      </c>
      <c r="S1048" s="1">
        <f ca="1">IFERROR(__xludf.DUMMYFUNCTION("""COMPUTED_VALUE"""),55.19)</f>
        <v>55.19</v>
      </c>
      <c r="T1048" s="1">
        <f ca="1">IFERROR(__xludf.DUMMYFUNCTION("""COMPUTED_VALUE"""),58.61)</f>
        <v>58.61</v>
      </c>
      <c r="U1048" s="1">
        <f ca="1">IFERROR(__xludf.DUMMYFUNCTION("""COMPUTED_VALUE"""),103.93)</f>
        <v>103.93</v>
      </c>
      <c r="V1048" s="1">
        <f ca="1">IFERROR(__xludf.DUMMYFUNCTION("""COMPUTED_VALUE"""),333.96)</f>
        <v>333.96</v>
      </c>
      <c r="W1048" s="1">
        <f ca="1">IFERROR(__xludf.DUMMYFUNCTION("""COMPUTED_VALUE"""),428.24)</f>
        <v>428.24</v>
      </c>
      <c r="X1048" s="1">
        <f ca="1">IFERROR(__xludf.DUMMYFUNCTION("""COMPUTED_VALUE"""),951.68)</f>
        <v>951.68</v>
      </c>
      <c r="Y1048" s="1">
        <f ca="1">IFERROR(__xludf.DUMMYFUNCTION("""COMPUTED_VALUE"""),128.67)</f>
        <v>128.66999999999999</v>
      </c>
      <c r="Z1048" s="1">
        <f ca="1">IFERROR(__xludf.DUMMYFUNCTION("""COMPUTED_VALUE"""),389.05)</f>
        <v>389.05</v>
      </c>
      <c r="AA1048" s="1">
        <f ca="1">IFERROR(__xludf.DUMMYFUNCTION("""COMPUTED_VALUE"""),26.56)</f>
        <v>26.56</v>
      </c>
      <c r="AB1048" s="1">
        <f ca="1">IFERROR(__xludf.DUMMYFUNCTION("""COMPUTED_VALUE"""),94.9)</f>
        <v>94.9</v>
      </c>
      <c r="AC1048" s="1">
        <f ca="1">IFERROR(__xludf.DUMMYFUNCTION("""COMPUTED_VALUE"""),192.53)</f>
        <v>192.53</v>
      </c>
    </row>
    <row r="1049" spans="1:29" x14ac:dyDescent="0.25">
      <c r="A1049" s="2">
        <f ca="1">IFERROR(__xludf.DUMMYFUNCTION("""COMPUTED_VALUE"""),45352.6666666666)</f>
        <v>45352.666666666599</v>
      </c>
      <c r="B1049" s="1">
        <f ca="1">IFERROR(__xludf.DUMMYFUNCTION("""COMPUTED_VALUE"""),179.66)</f>
        <v>179.66</v>
      </c>
      <c r="C1049" s="1">
        <f ca="1">IFERROR(__xludf.DUMMYFUNCTION("""COMPUTED_VALUE"""),415.5)</f>
        <v>415.5</v>
      </c>
      <c r="D1049" s="1">
        <f ca="1">IFERROR(__xludf.DUMMYFUNCTION("""COMPUTED_VALUE"""),178.22)</f>
        <v>178.22</v>
      </c>
      <c r="E1049" s="1">
        <f ca="1">IFERROR(__xludf.DUMMYFUNCTION("""COMPUTED_VALUE"""),82.28)</f>
        <v>82.28</v>
      </c>
      <c r="F1049" s="1">
        <f ca="1">IFERROR(__xludf.DUMMYFUNCTION("""COMPUTED_VALUE"""),502.3)</f>
        <v>502.3</v>
      </c>
      <c r="G1049" s="1">
        <f ca="1">IFERROR(__xludf.DUMMYFUNCTION("""COMPUTED_VALUE"""),138.08)</f>
        <v>138.08000000000001</v>
      </c>
      <c r="H1049" s="1">
        <f ca="1">IFERROR(__xludf.DUMMYFUNCTION("""COMPUTED_VALUE"""),202.64)</f>
        <v>202.64</v>
      </c>
      <c r="I1049" s="1">
        <f ca="1">IFERROR(__xludf.DUMMYFUNCTION("""COMPUTED_VALUE"""),164.59)</f>
        <v>164.59</v>
      </c>
      <c r="J1049" s="1">
        <f ca="1">IFERROR(__xludf.DUMMYFUNCTION("""COMPUTED_VALUE"""),749.44)</f>
        <v>749.44</v>
      </c>
      <c r="K1049" s="1">
        <f ca="1">IFERROR(__xludf.DUMMYFUNCTION("""COMPUTED_VALUE"""),139.92)</f>
        <v>139.91999999999999</v>
      </c>
      <c r="L1049" s="1">
        <f ca="1">IFERROR(__xludf.DUMMYFUNCTION("""COMPUTED_VALUE"""),570.93)</f>
        <v>570.92999999999995</v>
      </c>
      <c r="M1049" s="1">
        <f ca="1">IFERROR(__xludf.DUMMYFUNCTION("""COMPUTED_VALUE"""),619.34)</f>
        <v>619.34</v>
      </c>
      <c r="N1049" s="1">
        <f ca="1">IFERROR(__xludf.DUMMYFUNCTION("""COMPUTED_VALUE"""),185.29)</f>
        <v>185.29</v>
      </c>
      <c r="O1049" s="1">
        <f ca="1">IFERROR(__xludf.DUMMYFUNCTION("""COMPUTED_VALUE"""),283.16)</f>
        <v>283.16000000000003</v>
      </c>
      <c r="P1049" s="1">
        <f ca="1">IFERROR(__xludf.DUMMYFUNCTION("""COMPUTED_VALUE"""),162.12)</f>
        <v>162.12</v>
      </c>
      <c r="Q1049" s="1">
        <f ca="1">IFERROR(__xludf.DUMMYFUNCTION("""COMPUTED_VALUE"""),489.53)</f>
        <v>489.53</v>
      </c>
      <c r="R1049" s="1">
        <f ca="1">IFERROR(__xludf.DUMMYFUNCTION("""COMPUTED_VALUE"""),105.84)</f>
        <v>105.84</v>
      </c>
      <c r="S1049" s="1">
        <f ca="1">IFERROR(__xludf.DUMMYFUNCTION("""COMPUTED_VALUE"""),55.21)</f>
        <v>55.21</v>
      </c>
      <c r="T1049" s="1">
        <f ca="1">IFERROR(__xludf.DUMMYFUNCTION("""COMPUTED_VALUE"""),58.76)</f>
        <v>58.76</v>
      </c>
      <c r="U1049" s="1">
        <f ca="1">IFERROR(__xludf.DUMMYFUNCTION("""COMPUTED_VALUE"""),101.88)</f>
        <v>101.88</v>
      </c>
      <c r="V1049" s="1">
        <f ca="1">IFERROR(__xludf.DUMMYFUNCTION("""COMPUTED_VALUE"""),336.7)</f>
        <v>336.7</v>
      </c>
      <c r="W1049" s="1">
        <f ca="1">IFERROR(__xludf.DUMMYFUNCTION("""COMPUTED_VALUE"""),426.46)</f>
        <v>426.46</v>
      </c>
      <c r="X1049" s="1">
        <f ca="1">IFERROR(__xludf.DUMMYFUNCTION("""COMPUTED_VALUE"""),990.94)</f>
        <v>990.94</v>
      </c>
      <c r="Y1049" s="1">
        <f ca="1">IFERROR(__xludf.DUMMYFUNCTION("""COMPUTED_VALUE"""),133.9)</f>
        <v>133.9</v>
      </c>
      <c r="Z1049" s="1">
        <f ca="1">IFERROR(__xludf.DUMMYFUNCTION("""COMPUTED_VALUE"""),388.1)</f>
        <v>388.1</v>
      </c>
      <c r="AA1049" s="1">
        <f ca="1">IFERROR(__xludf.DUMMYFUNCTION("""COMPUTED_VALUE"""),26.59)</f>
        <v>26.59</v>
      </c>
      <c r="AB1049" s="1">
        <f ca="1">IFERROR(__xludf.DUMMYFUNCTION("""COMPUTED_VALUE"""),93.16)</f>
        <v>93.16</v>
      </c>
      <c r="AC1049" s="1">
        <f ca="1">IFERROR(__xludf.DUMMYFUNCTION("""COMPUTED_VALUE"""),202.64)</f>
        <v>202.64</v>
      </c>
    </row>
    <row r="1050" spans="1:29" x14ac:dyDescent="0.25">
      <c r="A1050" s="2">
        <f ca="1">IFERROR(__xludf.DUMMYFUNCTION("""COMPUTED_VALUE"""),45355.6666666666)</f>
        <v>45355.666666666599</v>
      </c>
      <c r="B1050" s="1">
        <f ca="1">IFERROR(__xludf.DUMMYFUNCTION("""COMPUTED_VALUE"""),175.1)</f>
        <v>175.1</v>
      </c>
      <c r="C1050" s="1">
        <f ca="1">IFERROR(__xludf.DUMMYFUNCTION("""COMPUTED_VALUE"""),414.92)</f>
        <v>414.92</v>
      </c>
      <c r="D1050" s="1">
        <f ca="1">IFERROR(__xludf.DUMMYFUNCTION("""COMPUTED_VALUE"""),177.58)</f>
        <v>177.58</v>
      </c>
      <c r="E1050" s="1">
        <f ca="1">IFERROR(__xludf.DUMMYFUNCTION("""COMPUTED_VALUE"""),85.24)</f>
        <v>85.24</v>
      </c>
      <c r="F1050" s="1">
        <f ca="1">IFERROR(__xludf.DUMMYFUNCTION("""COMPUTED_VALUE"""),498.19)</f>
        <v>498.19</v>
      </c>
      <c r="G1050" s="1">
        <f ca="1">IFERROR(__xludf.DUMMYFUNCTION("""COMPUTED_VALUE"""),134.2)</f>
        <v>134.19999999999999</v>
      </c>
      <c r="H1050" s="1">
        <f ca="1">IFERROR(__xludf.DUMMYFUNCTION("""COMPUTED_VALUE"""),188.14)</f>
        <v>188.14</v>
      </c>
      <c r="I1050" s="1">
        <f ca="1">IFERROR(__xludf.DUMMYFUNCTION("""COMPUTED_VALUE"""),165.37)</f>
        <v>165.37</v>
      </c>
      <c r="J1050" s="1">
        <f ca="1">IFERROR(__xludf.DUMMYFUNCTION("""COMPUTED_VALUE"""),759.18)</f>
        <v>759.18</v>
      </c>
      <c r="K1050" s="1">
        <f ca="1">IFERROR(__xludf.DUMMYFUNCTION("""COMPUTED_VALUE"""),140.23)</f>
        <v>140.22999999999999</v>
      </c>
      <c r="L1050" s="1">
        <f ca="1">IFERROR(__xludf.DUMMYFUNCTION("""COMPUTED_VALUE"""),567.94)</f>
        <v>567.94000000000005</v>
      </c>
      <c r="M1050" s="1">
        <f ca="1">IFERROR(__xludf.DUMMYFUNCTION("""COMPUTED_VALUE"""),615.83)</f>
        <v>615.83000000000004</v>
      </c>
      <c r="N1050" s="1">
        <f ca="1">IFERROR(__xludf.DUMMYFUNCTION("""COMPUTED_VALUE"""),186.68)</f>
        <v>186.68</v>
      </c>
      <c r="O1050" s="1">
        <f ca="1">IFERROR(__xludf.DUMMYFUNCTION("""COMPUTED_VALUE"""),280.53)</f>
        <v>280.52999999999997</v>
      </c>
      <c r="P1050" s="1">
        <f ca="1">IFERROR(__xludf.DUMMYFUNCTION("""COMPUTED_VALUE"""),159.84)</f>
        <v>159.84</v>
      </c>
      <c r="Q1050" s="1">
        <f ca="1">IFERROR(__xludf.DUMMYFUNCTION("""COMPUTED_VALUE"""),481.87)</f>
        <v>481.87</v>
      </c>
      <c r="R1050" s="1">
        <f ca="1">IFERROR(__xludf.DUMMYFUNCTION("""COMPUTED_VALUE"""),104.36)</f>
        <v>104.36</v>
      </c>
      <c r="S1050" s="1">
        <f ca="1">IFERROR(__xludf.DUMMYFUNCTION("""COMPUTED_VALUE"""),54.97)</f>
        <v>54.97</v>
      </c>
      <c r="T1050" s="1">
        <f ca="1">IFERROR(__xludf.DUMMYFUNCTION("""COMPUTED_VALUE"""),59.3)</f>
        <v>59.3</v>
      </c>
      <c r="U1050" s="1">
        <f ca="1">IFERROR(__xludf.DUMMYFUNCTION("""COMPUTED_VALUE"""),99.54)</f>
        <v>99.54</v>
      </c>
      <c r="V1050" s="1">
        <f ca="1">IFERROR(__xludf.DUMMYFUNCTION("""COMPUTED_VALUE"""),338.65)</f>
        <v>338.65</v>
      </c>
      <c r="W1050" s="1">
        <f ca="1">IFERROR(__xludf.DUMMYFUNCTION("""COMPUTED_VALUE"""),431.94)</f>
        <v>431.94</v>
      </c>
      <c r="X1050" s="1">
        <f ca="1">IFERROR(__xludf.DUMMYFUNCTION("""COMPUTED_VALUE"""),998.04)</f>
        <v>998.04</v>
      </c>
      <c r="Y1050" s="1">
        <f ca="1">IFERROR(__xludf.DUMMYFUNCTION("""COMPUTED_VALUE"""),138.26)</f>
        <v>138.26</v>
      </c>
      <c r="Z1050" s="1">
        <f ca="1">IFERROR(__xludf.DUMMYFUNCTION("""COMPUTED_VALUE"""),392.25)</f>
        <v>392.25</v>
      </c>
      <c r="AA1050" s="1">
        <f ca="1">IFERROR(__xludf.DUMMYFUNCTION("""COMPUTED_VALUE"""),25.89)</f>
        <v>25.89</v>
      </c>
      <c r="AB1050" s="1">
        <f ca="1">IFERROR(__xludf.DUMMYFUNCTION("""COMPUTED_VALUE"""),92.46)</f>
        <v>92.46</v>
      </c>
      <c r="AC1050" s="1">
        <f ca="1">IFERROR(__xludf.DUMMYFUNCTION("""COMPUTED_VALUE"""),205.36)</f>
        <v>205.36</v>
      </c>
    </row>
    <row r="1051" spans="1:29" x14ac:dyDescent="0.25">
      <c r="A1051" s="2">
        <f ca="1">IFERROR(__xludf.DUMMYFUNCTION("""COMPUTED_VALUE"""),45356.6666666666)</f>
        <v>45356.666666666599</v>
      </c>
      <c r="B1051" s="1">
        <f ca="1">IFERROR(__xludf.DUMMYFUNCTION("""COMPUTED_VALUE"""),170.12)</f>
        <v>170.12</v>
      </c>
      <c r="C1051" s="1">
        <f ca="1">IFERROR(__xludf.DUMMYFUNCTION("""COMPUTED_VALUE"""),402.65)</f>
        <v>402.65</v>
      </c>
      <c r="D1051" s="1">
        <f ca="1">IFERROR(__xludf.DUMMYFUNCTION("""COMPUTED_VALUE"""),174.12)</f>
        <v>174.12</v>
      </c>
      <c r="E1051" s="1">
        <f ca="1">IFERROR(__xludf.DUMMYFUNCTION("""COMPUTED_VALUE"""),85.96)</f>
        <v>85.96</v>
      </c>
      <c r="F1051" s="1">
        <f ca="1">IFERROR(__xludf.DUMMYFUNCTION("""COMPUTED_VALUE"""),490.22)</f>
        <v>490.22</v>
      </c>
      <c r="G1051" s="1">
        <f ca="1">IFERROR(__xludf.DUMMYFUNCTION("""COMPUTED_VALUE"""),133.78)</f>
        <v>133.78</v>
      </c>
      <c r="H1051" s="1">
        <f ca="1">IFERROR(__xludf.DUMMYFUNCTION("""COMPUTED_VALUE"""),180.74)</f>
        <v>180.74</v>
      </c>
      <c r="I1051" s="1">
        <f ca="1">IFERROR(__xludf.DUMMYFUNCTION("""COMPUTED_VALUE"""),162.04)</f>
        <v>162.04</v>
      </c>
      <c r="J1051" s="1">
        <f ca="1">IFERROR(__xludf.DUMMYFUNCTION("""COMPUTED_VALUE"""),759.95)</f>
        <v>759.95</v>
      </c>
      <c r="K1051" s="1">
        <f ca="1">IFERROR(__xludf.DUMMYFUNCTION("""COMPUTED_VALUE"""),134.28)</f>
        <v>134.28</v>
      </c>
      <c r="L1051" s="1">
        <f ca="1">IFERROR(__xludf.DUMMYFUNCTION("""COMPUTED_VALUE"""),544.84)</f>
        <v>544.84</v>
      </c>
      <c r="M1051" s="1">
        <f ca="1">IFERROR(__xludf.DUMMYFUNCTION("""COMPUTED_VALUE"""),598.5)</f>
        <v>598.5</v>
      </c>
      <c r="N1051" s="1">
        <f ca="1">IFERROR(__xludf.DUMMYFUNCTION("""COMPUTED_VALUE"""),188.55)</f>
        <v>188.55</v>
      </c>
      <c r="O1051" s="1">
        <f ca="1">IFERROR(__xludf.DUMMYFUNCTION("""COMPUTED_VALUE"""),279.38)</f>
        <v>279.38</v>
      </c>
      <c r="P1051" s="1">
        <f ca="1">IFERROR(__xludf.DUMMYFUNCTION("""COMPUTED_VALUE"""),159.97)</f>
        <v>159.97</v>
      </c>
      <c r="Q1051" s="1">
        <f ca="1">IFERROR(__xludf.DUMMYFUNCTION("""COMPUTED_VALUE"""),473.15)</f>
        <v>473.15</v>
      </c>
      <c r="R1051" s="1">
        <f ca="1">IFERROR(__xludf.DUMMYFUNCTION("""COMPUTED_VALUE"""),105.64)</f>
        <v>105.64</v>
      </c>
      <c r="S1051" s="1">
        <f ca="1">IFERROR(__xludf.DUMMYFUNCTION("""COMPUTED_VALUE"""),55.4)</f>
        <v>55.4</v>
      </c>
      <c r="T1051" s="1">
        <f ca="1">IFERROR(__xludf.DUMMYFUNCTION("""COMPUTED_VALUE"""),60.04)</f>
        <v>60.04</v>
      </c>
      <c r="U1051" s="1">
        <f ca="1">IFERROR(__xludf.DUMMYFUNCTION("""COMPUTED_VALUE"""),98.31)</f>
        <v>98.31</v>
      </c>
      <c r="V1051" s="1">
        <f ca="1">IFERROR(__xludf.DUMMYFUNCTION("""COMPUTED_VALUE"""),333.53)</f>
        <v>333.53</v>
      </c>
      <c r="W1051" s="1">
        <f ca="1">IFERROR(__xludf.DUMMYFUNCTION("""COMPUTED_VALUE"""),431.98)</f>
        <v>431.98</v>
      </c>
      <c r="X1051" s="1">
        <f ca="1">IFERROR(__xludf.DUMMYFUNCTION("""COMPUTED_VALUE"""),968.84)</f>
        <v>968.84</v>
      </c>
      <c r="Y1051" s="1">
        <f ca="1">IFERROR(__xludf.DUMMYFUNCTION("""COMPUTED_VALUE"""),134.97)</f>
        <v>134.97</v>
      </c>
      <c r="Z1051" s="1">
        <f ca="1">IFERROR(__xludf.DUMMYFUNCTION("""COMPUTED_VALUE"""),390.91)</f>
        <v>390.91</v>
      </c>
      <c r="AA1051" s="1">
        <f ca="1">IFERROR(__xludf.DUMMYFUNCTION("""COMPUTED_VALUE"""),26.08)</f>
        <v>26.08</v>
      </c>
      <c r="AB1051" s="1">
        <f ca="1">IFERROR(__xludf.DUMMYFUNCTION("""COMPUTED_VALUE"""),91.22)</f>
        <v>91.22</v>
      </c>
      <c r="AC1051" s="1">
        <f ca="1">IFERROR(__xludf.DUMMYFUNCTION("""COMPUTED_VALUE"""),205.13)</f>
        <v>205.13</v>
      </c>
    </row>
    <row r="1052" spans="1:29" x14ac:dyDescent="0.25">
      <c r="A1052" s="2">
        <f ca="1">IFERROR(__xludf.DUMMYFUNCTION("""COMPUTED_VALUE"""),45357.6666666666)</f>
        <v>45357.666666666599</v>
      </c>
      <c r="B1052" s="1">
        <f ca="1">IFERROR(__xludf.DUMMYFUNCTION("""COMPUTED_VALUE"""),169.12)</f>
        <v>169.12</v>
      </c>
      <c r="C1052" s="1">
        <f ca="1">IFERROR(__xludf.DUMMYFUNCTION("""COMPUTED_VALUE"""),402.09)</f>
        <v>402.09</v>
      </c>
      <c r="D1052" s="1">
        <f ca="1">IFERROR(__xludf.DUMMYFUNCTION("""COMPUTED_VALUE"""),173.51)</f>
        <v>173.51</v>
      </c>
      <c r="E1052" s="1">
        <f ca="1">IFERROR(__xludf.DUMMYFUNCTION("""COMPUTED_VALUE"""),88.7)</f>
        <v>88.7</v>
      </c>
      <c r="F1052" s="1">
        <f ca="1">IFERROR(__xludf.DUMMYFUNCTION("""COMPUTED_VALUE"""),496.09)</f>
        <v>496.09</v>
      </c>
      <c r="G1052" s="1">
        <f ca="1">IFERROR(__xludf.DUMMYFUNCTION("""COMPUTED_VALUE"""),132.56)</f>
        <v>132.56</v>
      </c>
      <c r="H1052" s="1">
        <f ca="1">IFERROR(__xludf.DUMMYFUNCTION("""COMPUTED_VALUE"""),176.54)</f>
        <v>176.54</v>
      </c>
      <c r="I1052" s="1">
        <f ca="1">IFERROR(__xludf.DUMMYFUNCTION("""COMPUTED_VALUE"""),163)</f>
        <v>163</v>
      </c>
      <c r="J1052" s="1">
        <f ca="1">IFERROR(__xludf.DUMMYFUNCTION("""COMPUTED_VALUE"""),773.24)</f>
        <v>773.24</v>
      </c>
      <c r="K1052" s="1">
        <f ca="1">IFERROR(__xludf.DUMMYFUNCTION("""COMPUTED_VALUE"""),135)</f>
        <v>135</v>
      </c>
      <c r="L1052" s="1">
        <f ca="1">IFERROR(__xludf.DUMMYFUNCTION("""COMPUTED_VALUE"""),543.09)</f>
        <v>543.09</v>
      </c>
      <c r="M1052" s="1">
        <f ca="1">IFERROR(__xludf.DUMMYFUNCTION("""COMPUTED_VALUE"""),597.69)</f>
        <v>597.69000000000005</v>
      </c>
      <c r="N1052" s="1">
        <f ca="1">IFERROR(__xludf.DUMMYFUNCTION("""COMPUTED_VALUE"""),189.53)</f>
        <v>189.53</v>
      </c>
      <c r="O1052" s="1">
        <f ca="1">IFERROR(__xludf.DUMMYFUNCTION("""COMPUTED_VALUE"""),280.43)</f>
        <v>280.43</v>
      </c>
      <c r="P1052" s="1">
        <f ca="1">IFERROR(__xludf.DUMMYFUNCTION("""COMPUTED_VALUE"""),159.34)</f>
        <v>159.34</v>
      </c>
      <c r="Q1052" s="1">
        <f ca="1">IFERROR(__xludf.DUMMYFUNCTION("""COMPUTED_VALUE"""),472.6)</f>
        <v>472.6</v>
      </c>
      <c r="R1052" s="1">
        <f ca="1">IFERROR(__xludf.DUMMYFUNCTION("""COMPUTED_VALUE"""),106.77)</f>
        <v>106.77</v>
      </c>
      <c r="S1052" s="1">
        <f ca="1">IFERROR(__xludf.DUMMYFUNCTION("""COMPUTED_VALUE"""),55.53)</f>
        <v>55.53</v>
      </c>
      <c r="T1052" s="1">
        <f ca="1">IFERROR(__xludf.DUMMYFUNCTION("""COMPUTED_VALUE"""),60.57)</f>
        <v>60.57</v>
      </c>
      <c r="U1052" s="1">
        <f ca="1">IFERROR(__xludf.DUMMYFUNCTION("""COMPUTED_VALUE"""),97.63)</f>
        <v>97.63</v>
      </c>
      <c r="V1052" s="1">
        <f ca="1">IFERROR(__xludf.DUMMYFUNCTION("""COMPUTED_VALUE"""),335.63)</f>
        <v>335.63</v>
      </c>
      <c r="W1052" s="1">
        <f ca="1">IFERROR(__xludf.DUMMYFUNCTION("""COMPUTED_VALUE"""),433.48)</f>
        <v>433.48</v>
      </c>
      <c r="X1052" s="1">
        <f ca="1">IFERROR(__xludf.DUMMYFUNCTION("""COMPUTED_VALUE"""),1003.93)</f>
        <v>1003.93</v>
      </c>
      <c r="Y1052" s="1">
        <f ca="1">IFERROR(__xludf.DUMMYFUNCTION("""COMPUTED_VALUE"""),141.57)</f>
        <v>141.57</v>
      </c>
      <c r="Z1052" s="1">
        <f ca="1">IFERROR(__xludf.DUMMYFUNCTION("""COMPUTED_VALUE"""),389.57)</f>
        <v>389.57</v>
      </c>
      <c r="AA1052" s="1">
        <f ca="1">IFERROR(__xludf.DUMMYFUNCTION("""COMPUTED_VALUE"""),27.19)</f>
        <v>27.19</v>
      </c>
      <c r="AB1052" s="1">
        <f ca="1">IFERROR(__xludf.DUMMYFUNCTION("""COMPUTED_VALUE"""),91.65)</f>
        <v>91.65</v>
      </c>
      <c r="AC1052" s="1">
        <f ca="1">IFERROR(__xludf.DUMMYFUNCTION("""COMPUTED_VALUE"""),210.63)</f>
        <v>210.63</v>
      </c>
    </row>
    <row r="1053" spans="1:29" x14ac:dyDescent="0.25">
      <c r="A1053" s="2">
        <f ca="1">IFERROR(__xludf.DUMMYFUNCTION("""COMPUTED_VALUE"""),45358.6666666666)</f>
        <v>45358.666666666599</v>
      </c>
      <c r="B1053" s="1">
        <f ca="1">IFERROR(__xludf.DUMMYFUNCTION("""COMPUTED_VALUE"""),169)</f>
        <v>169</v>
      </c>
      <c r="C1053" s="1">
        <f ca="1">IFERROR(__xludf.DUMMYFUNCTION("""COMPUTED_VALUE"""),409.14)</f>
        <v>409.14</v>
      </c>
      <c r="D1053" s="1">
        <f ca="1">IFERROR(__xludf.DUMMYFUNCTION("""COMPUTED_VALUE"""),176.82)</f>
        <v>176.82</v>
      </c>
      <c r="E1053" s="1">
        <f ca="1">IFERROR(__xludf.DUMMYFUNCTION("""COMPUTED_VALUE"""),92.67)</f>
        <v>92.67</v>
      </c>
      <c r="F1053" s="1">
        <f ca="1">IFERROR(__xludf.DUMMYFUNCTION("""COMPUTED_VALUE"""),512.19)</f>
        <v>512.19000000000005</v>
      </c>
      <c r="G1053" s="1">
        <f ca="1">IFERROR(__xludf.DUMMYFUNCTION("""COMPUTED_VALUE"""),135.24)</f>
        <v>135.24</v>
      </c>
      <c r="H1053" s="1">
        <f ca="1">IFERROR(__xludf.DUMMYFUNCTION("""COMPUTED_VALUE"""),178.65)</f>
        <v>178.65</v>
      </c>
      <c r="I1053" s="1">
        <f ca="1">IFERROR(__xludf.DUMMYFUNCTION("""COMPUTED_VALUE"""),163.11)</f>
        <v>163.11000000000001</v>
      </c>
      <c r="J1053" s="1">
        <f ca="1">IFERROR(__xludf.DUMMYFUNCTION("""COMPUTED_VALUE"""),785.59)</f>
        <v>785.59</v>
      </c>
      <c r="K1053" s="1">
        <f ca="1">IFERROR(__xludf.DUMMYFUNCTION("""COMPUTED_VALUE"""),140.7)</f>
        <v>140.69999999999999</v>
      </c>
      <c r="L1053" s="1">
        <f ca="1">IFERROR(__xludf.DUMMYFUNCTION("""COMPUTED_VALUE"""),556.04)</f>
        <v>556.04</v>
      </c>
      <c r="M1053" s="1">
        <f ca="1">IFERROR(__xludf.DUMMYFUNCTION("""COMPUTED_VALUE"""),608.51)</f>
        <v>608.51</v>
      </c>
      <c r="N1053" s="1">
        <f ca="1">IFERROR(__xludf.DUMMYFUNCTION("""COMPUTED_VALUE"""),187.87)</f>
        <v>187.87</v>
      </c>
      <c r="O1053" s="1">
        <f ca="1">IFERROR(__xludf.DUMMYFUNCTION("""COMPUTED_VALUE"""),278.26)</f>
        <v>278.26</v>
      </c>
      <c r="P1053" s="1">
        <f ca="1">IFERROR(__xludf.DUMMYFUNCTION("""COMPUTED_VALUE"""),158.87)</f>
        <v>158.87</v>
      </c>
      <c r="Q1053" s="1">
        <f ca="1">IFERROR(__xludf.DUMMYFUNCTION("""COMPUTED_VALUE"""),478.78)</f>
        <v>478.78</v>
      </c>
      <c r="R1053" s="1">
        <f ca="1">IFERROR(__xludf.DUMMYFUNCTION("""COMPUTED_VALUE"""),107.37)</f>
        <v>107.37</v>
      </c>
      <c r="S1053" s="1">
        <f ca="1">IFERROR(__xludf.DUMMYFUNCTION("""COMPUTED_VALUE"""),56.25)</f>
        <v>56.25</v>
      </c>
      <c r="T1053" s="1">
        <f ca="1">IFERROR(__xludf.DUMMYFUNCTION("""COMPUTED_VALUE"""),60.36)</f>
        <v>60.36</v>
      </c>
      <c r="U1053" s="1">
        <f ca="1">IFERROR(__xludf.DUMMYFUNCTION("""COMPUTED_VALUE"""),98.19)</f>
        <v>98.19</v>
      </c>
      <c r="V1053" s="1">
        <f ca="1">IFERROR(__xludf.DUMMYFUNCTION("""COMPUTED_VALUE"""),340.22)</f>
        <v>340.22</v>
      </c>
      <c r="W1053" s="1">
        <f ca="1">IFERROR(__xludf.DUMMYFUNCTION("""COMPUTED_VALUE"""),429.99)</f>
        <v>429.99</v>
      </c>
      <c r="X1053" s="1">
        <f ca="1">IFERROR(__xludf.DUMMYFUNCTION("""COMPUTED_VALUE"""),1047.39)</f>
        <v>1047.3900000000001</v>
      </c>
      <c r="Y1053" s="1">
        <f ca="1">IFERROR(__xludf.DUMMYFUNCTION("""COMPUTED_VALUE"""),149.2)</f>
        <v>149.19999999999999</v>
      </c>
      <c r="Z1053" s="1">
        <f ca="1">IFERROR(__xludf.DUMMYFUNCTION("""COMPUTED_VALUE"""),388.43)</f>
        <v>388.43</v>
      </c>
      <c r="AA1053" s="1">
        <f ca="1">IFERROR(__xludf.DUMMYFUNCTION("""COMPUTED_VALUE"""),26.79)</f>
        <v>26.79</v>
      </c>
      <c r="AB1053" s="1">
        <f ca="1">IFERROR(__xludf.DUMMYFUNCTION("""COMPUTED_VALUE"""),90.95)</f>
        <v>90.95</v>
      </c>
      <c r="AC1053" s="1">
        <f ca="1">IFERROR(__xludf.DUMMYFUNCTION("""COMPUTED_VALUE"""),211.38)</f>
        <v>211.38</v>
      </c>
    </row>
    <row r="1054" spans="1:29" x14ac:dyDescent="0.25">
      <c r="A1054" s="2">
        <f ca="1">IFERROR(__xludf.DUMMYFUNCTION("""COMPUTED_VALUE"""),45359.6666666666)</f>
        <v>45359.666666666599</v>
      </c>
      <c r="B1054" s="1">
        <f ca="1">IFERROR(__xludf.DUMMYFUNCTION("""COMPUTED_VALUE"""),170.73)</f>
        <v>170.73</v>
      </c>
      <c r="C1054" s="1">
        <f ca="1">IFERROR(__xludf.DUMMYFUNCTION("""COMPUTED_VALUE"""),406.22)</f>
        <v>406.22</v>
      </c>
      <c r="D1054" s="1">
        <f ca="1">IFERROR(__xludf.DUMMYFUNCTION("""COMPUTED_VALUE"""),175.35)</f>
        <v>175.35</v>
      </c>
      <c r="E1054" s="1">
        <f ca="1">IFERROR(__xludf.DUMMYFUNCTION("""COMPUTED_VALUE"""),87.53)</f>
        <v>87.53</v>
      </c>
      <c r="F1054" s="1">
        <f ca="1">IFERROR(__xludf.DUMMYFUNCTION("""COMPUTED_VALUE"""),505.95)</f>
        <v>505.95</v>
      </c>
      <c r="G1054" s="1">
        <f ca="1">IFERROR(__xludf.DUMMYFUNCTION("""COMPUTED_VALUE"""),136.29)</f>
        <v>136.29</v>
      </c>
      <c r="H1054" s="1">
        <f ca="1">IFERROR(__xludf.DUMMYFUNCTION("""COMPUTED_VALUE"""),175.34)</f>
        <v>175.34</v>
      </c>
      <c r="I1054" s="1">
        <f ca="1">IFERROR(__xludf.DUMMYFUNCTION("""COMPUTED_VALUE"""),163.05)</f>
        <v>163.05000000000001</v>
      </c>
      <c r="J1054" s="1">
        <f ca="1">IFERROR(__xludf.DUMMYFUNCTION("""COMPUTED_VALUE"""),725.56)</f>
        <v>725.56</v>
      </c>
      <c r="K1054" s="1">
        <f ca="1">IFERROR(__xludf.DUMMYFUNCTION("""COMPUTED_VALUE"""),130.87)</f>
        <v>130.87</v>
      </c>
      <c r="L1054" s="1">
        <f ca="1">IFERROR(__xludf.DUMMYFUNCTION("""COMPUTED_VALUE"""),551.69)</f>
        <v>551.69000000000005</v>
      </c>
      <c r="M1054" s="1">
        <f ca="1">IFERROR(__xludf.DUMMYFUNCTION("""COMPUTED_VALUE"""),604.82)</f>
        <v>604.82000000000005</v>
      </c>
      <c r="N1054" s="1">
        <f ca="1">IFERROR(__xludf.DUMMYFUNCTION("""COMPUTED_VALUE"""),188.22)</f>
        <v>188.22</v>
      </c>
      <c r="O1054" s="1">
        <f ca="1">IFERROR(__xludf.DUMMYFUNCTION("""COMPUTED_VALUE"""),280.04)</f>
        <v>280.04000000000002</v>
      </c>
      <c r="P1054" s="1">
        <f ca="1">IFERROR(__xludf.DUMMYFUNCTION("""COMPUTED_VALUE"""),159.52)</f>
        <v>159.52000000000001</v>
      </c>
      <c r="Q1054" s="1">
        <f ca="1">IFERROR(__xludf.DUMMYFUNCTION("""COMPUTED_VALUE"""),476.57)</f>
        <v>476.57</v>
      </c>
      <c r="R1054" s="1">
        <f ca="1">IFERROR(__xludf.DUMMYFUNCTION("""COMPUTED_VALUE"""),108.38)</f>
        <v>108.38</v>
      </c>
      <c r="S1054" s="1">
        <f ca="1">IFERROR(__xludf.DUMMYFUNCTION("""COMPUTED_VALUE"""),57.81)</f>
        <v>57.81</v>
      </c>
      <c r="T1054" s="1">
        <f ca="1">IFERROR(__xludf.DUMMYFUNCTION("""COMPUTED_VALUE"""),60.12)</f>
        <v>60.12</v>
      </c>
      <c r="U1054" s="1">
        <f ca="1">IFERROR(__xludf.DUMMYFUNCTION("""COMPUTED_VALUE"""),99.16)</f>
        <v>99.16</v>
      </c>
      <c r="V1054" s="1">
        <f ca="1">IFERROR(__xludf.DUMMYFUNCTION("""COMPUTED_VALUE"""),339.19)</f>
        <v>339.19</v>
      </c>
      <c r="W1054" s="1">
        <f ca="1">IFERROR(__xludf.DUMMYFUNCTION("""COMPUTED_VALUE"""),432.9)</f>
        <v>432.9</v>
      </c>
      <c r="X1054" s="1">
        <f ca="1">IFERROR(__xludf.DUMMYFUNCTION("""COMPUTED_VALUE"""),994.33)</f>
        <v>994.33</v>
      </c>
      <c r="Y1054" s="1">
        <f ca="1">IFERROR(__xludf.DUMMYFUNCTION("""COMPUTED_VALUE"""),146.37)</f>
        <v>146.37</v>
      </c>
      <c r="Z1054" s="1">
        <f ca="1">IFERROR(__xludf.DUMMYFUNCTION("""COMPUTED_VALUE"""),386.99)</f>
        <v>386.99</v>
      </c>
      <c r="AA1054" s="1">
        <f ca="1">IFERROR(__xludf.DUMMYFUNCTION("""COMPUTED_VALUE"""),27.22)</f>
        <v>27.22</v>
      </c>
      <c r="AB1054" s="1">
        <f ca="1">IFERROR(__xludf.DUMMYFUNCTION("""COMPUTED_VALUE"""),91.06)</f>
        <v>91.06</v>
      </c>
      <c r="AC1054" s="1">
        <f ca="1">IFERROR(__xludf.DUMMYFUNCTION("""COMPUTED_VALUE"""),207.39)</f>
        <v>207.39</v>
      </c>
    </row>
    <row r="1055" spans="1:29" x14ac:dyDescent="0.25">
      <c r="A1055" s="2">
        <f ca="1">IFERROR(__xludf.DUMMYFUNCTION("""COMPUTED_VALUE"""),45362.6666666666)</f>
        <v>45362.666666666599</v>
      </c>
      <c r="B1055" s="1">
        <f ca="1">IFERROR(__xludf.DUMMYFUNCTION("""COMPUTED_VALUE"""),172.75)</f>
        <v>172.75</v>
      </c>
      <c r="C1055" s="1">
        <f ca="1">IFERROR(__xludf.DUMMYFUNCTION("""COMPUTED_VALUE"""),404.52)</f>
        <v>404.52</v>
      </c>
      <c r="D1055" s="1">
        <f ca="1">IFERROR(__xludf.DUMMYFUNCTION("""COMPUTED_VALUE"""),171.96)</f>
        <v>171.96</v>
      </c>
      <c r="E1055" s="1">
        <f ca="1">IFERROR(__xludf.DUMMYFUNCTION("""COMPUTED_VALUE"""),85.77)</f>
        <v>85.77</v>
      </c>
      <c r="F1055" s="1">
        <f ca="1">IFERROR(__xludf.DUMMYFUNCTION("""COMPUTED_VALUE"""),483.59)</f>
        <v>483.59</v>
      </c>
      <c r="G1055" s="1">
        <f ca="1">IFERROR(__xludf.DUMMYFUNCTION("""COMPUTED_VALUE"""),138.94)</f>
        <v>138.94</v>
      </c>
      <c r="H1055" s="1">
        <f ca="1">IFERROR(__xludf.DUMMYFUNCTION("""COMPUTED_VALUE"""),177.77)</f>
        <v>177.77</v>
      </c>
      <c r="I1055" s="1">
        <f ca="1">IFERROR(__xludf.DUMMYFUNCTION("""COMPUTED_VALUE"""),164.73)</f>
        <v>164.73</v>
      </c>
      <c r="J1055" s="1">
        <f ca="1">IFERROR(__xludf.DUMMYFUNCTION("""COMPUTED_VALUE"""),714.08)</f>
        <v>714.08</v>
      </c>
      <c r="K1055" s="1">
        <f ca="1">IFERROR(__xludf.DUMMYFUNCTION("""COMPUTED_VALUE"""),129.31)</f>
        <v>129.31</v>
      </c>
      <c r="L1055" s="1">
        <f ca="1">IFERROR(__xludf.DUMMYFUNCTION("""COMPUTED_VALUE"""),560.42)</f>
        <v>560.41999999999996</v>
      </c>
      <c r="M1055" s="1">
        <f ca="1">IFERROR(__xludf.DUMMYFUNCTION("""COMPUTED_VALUE"""),600.93)</f>
        <v>600.92999999999995</v>
      </c>
      <c r="N1055" s="1">
        <f ca="1">IFERROR(__xludf.DUMMYFUNCTION("""COMPUTED_VALUE"""),188.29)</f>
        <v>188.29</v>
      </c>
      <c r="O1055" s="1">
        <f ca="1">IFERROR(__xludf.DUMMYFUNCTION("""COMPUTED_VALUE"""),280.56)</f>
        <v>280.56</v>
      </c>
      <c r="P1055" s="1">
        <f ca="1">IFERROR(__xludf.DUMMYFUNCTION("""COMPUTED_VALUE"""),161.23)</f>
        <v>161.22999999999999</v>
      </c>
      <c r="Q1055" s="1">
        <f ca="1">IFERROR(__xludf.DUMMYFUNCTION("""COMPUTED_VALUE"""),489.15)</f>
        <v>489.15</v>
      </c>
      <c r="R1055" s="1">
        <f ca="1">IFERROR(__xludf.DUMMYFUNCTION("""COMPUTED_VALUE"""),109.02)</f>
        <v>109.02</v>
      </c>
      <c r="S1055" s="1">
        <f ca="1">IFERROR(__xludf.DUMMYFUNCTION("""COMPUTED_VALUE"""),57.87)</f>
        <v>57.87</v>
      </c>
      <c r="T1055" s="1">
        <f ca="1">IFERROR(__xludf.DUMMYFUNCTION("""COMPUTED_VALUE"""),60.66)</f>
        <v>60.66</v>
      </c>
      <c r="U1055" s="1">
        <f ca="1">IFERROR(__xludf.DUMMYFUNCTION("""COMPUTED_VALUE"""),101.08)</f>
        <v>101.08</v>
      </c>
      <c r="V1055" s="1">
        <f ca="1">IFERROR(__xludf.DUMMYFUNCTION("""COMPUTED_VALUE"""),334.97)</f>
        <v>334.97</v>
      </c>
      <c r="W1055" s="1">
        <f ca="1">IFERROR(__xludf.DUMMYFUNCTION("""COMPUTED_VALUE"""),434.75)</f>
        <v>434.75</v>
      </c>
      <c r="X1055" s="1">
        <f ca="1">IFERROR(__xludf.DUMMYFUNCTION("""COMPUTED_VALUE"""),962.67)</f>
        <v>962.67</v>
      </c>
      <c r="Y1055" s="1">
        <f ca="1">IFERROR(__xludf.DUMMYFUNCTION("""COMPUTED_VALUE"""),139.02)</f>
        <v>139.02000000000001</v>
      </c>
      <c r="Z1055" s="1">
        <f ca="1">IFERROR(__xludf.DUMMYFUNCTION("""COMPUTED_VALUE"""),386.16)</f>
        <v>386.16</v>
      </c>
      <c r="AA1055" s="1">
        <f ca="1">IFERROR(__xludf.DUMMYFUNCTION("""COMPUTED_VALUE"""),28.37)</f>
        <v>28.37</v>
      </c>
      <c r="AB1055" s="1">
        <f ca="1">IFERROR(__xludf.DUMMYFUNCTION("""COMPUTED_VALUE"""),92.07)</f>
        <v>92.07</v>
      </c>
      <c r="AC1055" s="1">
        <f ca="1">IFERROR(__xludf.DUMMYFUNCTION("""COMPUTED_VALUE"""),198.39)</f>
        <v>198.39</v>
      </c>
    </row>
    <row r="1056" spans="1:29" x14ac:dyDescent="0.25">
      <c r="A1056" s="2">
        <f ca="1">IFERROR(__xludf.DUMMYFUNCTION("""COMPUTED_VALUE"""),45363.6666666666)</f>
        <v>45363.666666666599</v>
      </c>
      <c r="B1056" s="1">
        <f ca="1">IFERROR(__xludf.DUMMYFUNCTION("""COMPUTED_VALUE"""),173.23)</f>
        <v>173.23</v>
      </c>
      <c r="C1056" s="1">
        <f ca="1">IFERROR(__xludf.DUMMYFUNCTION("""COMPUTED_VALUE"""),415.28)</f>
        <v>415.28</v>
      </c>
      <c r="D1056" s="1">
        <f ca="1">IFERROR(__xludf.DUMMYFUNCTION("""COMPUTED_VALUE"""),175.39)</f>
        <v>175.39</v>
      </c>
      <c r="E1056" s="1">
        <f ca="1">IFERROR(__xludf.DUMMYFUNCTION("""COMPUTED_VALUE"""),91.91)</f>
        <v>91.91</v>
      </c>
      <c r="F1056" s="1">
        <f ca="1">IFERROR(__xludf.DUMMYFUNCTION("""COMPUTED_VALUE"""),499.75)</f>
        <v>499.75</v>
      </c>
      <c r="G1056" s="1">
        <f ca="1">IFERROR(__xludf.DUMMYFUNCTION("""COMPUTED_VALUE"""),139.62)</f>
        <v>139.62</v>
      </c>
      <c r="H1056" s="1">
        <f ca="1">IFERROR(__xludf.DUMMYFUNCTION("""COMPUTED_VALUE"""),177.54)</f>
        <v>177.54</v>
      </c>
      <c r="I1056" s="1">
        <f ca="1">IFERROR(__xludf.DUMMYFUNCTION("""COMPUTED_VALUE"""),164.54)</f>
        <v>164.54</v>
      </c>
      <c r="J1056" s="1">
        <f ca="1">IFERROR(__xludf.DUMMYFUNCTION("""COMPUTED_VALUE"""),736.88)</f>
        <v>736.88</v>
      </c>
      <c r="K1056" s="1">
        <f ca="1">IFERROR(__xludf.DUMMYFUNCTION("""COMPUTED_VALUE"""),129.19)</f>
        <v>129.19</v>
      </c>
      <c r="L1056" s="1">
        <f ca="1">IFERROR(__xludf.DUMMYFUNCTION("""COMPUTED_VALUE"""),579.14)</f>
        <v>579.14</v>
      </c>
      <c r="M1056" s="1">
        <f ca="1">IFERROR(__xludf.DUMMYFUNCTION("""COMPUTED_VALUE"""),611.08)</f>
        <v>611.08000000000004</v>
      </c>
      <c r="N1056" s="1">
        <f ca="1">IFERROR(__xludf.DUMMYFUNCTION("""COMPUTED_VALUE"""),189.84)</f>
        <v>189.84</v>
      </c>
      <c r="O1056" s="1">
        <f ca="1">IFERROR(__xludf.DUMMYFUNCTION("""COMPUTED_VALUE"""),283.92)</f>
        <v>283.92</v>
      </c>
      <c r="P1056" s="1">
        <f ca="1">IFERROR(__xludf.DUMMYFUNCTION("""COMPUTED_VALUE"""),162.74)</f>
        <v>162.74</v>
      </c>
      <c r="Q1056" s="1">
        <f ca="1">IFERROR(__xludf.DUMMYFUNCTION("""COMPUTED_VALUE"""),489.35)</f>
        <v>489.35</v>
      </c>
      <c r="R1056" s="1">
        <f ca="1">IFERROR(__xludf.DUMMYFUNCTION("""COMPUTED_VALUE"""),108.32)</f>
        <v>108.32</v>
      </c>
      <c r="S1056" s="1">
        <f ca="1">IFERROR(__xludf.DUMMYFUNCTION("""COMPUTED_VALUE"""),57.15)</f>
        <v>57.15</v>
      </c>
      <c r="T1056" s="1">
        <f ca="1">IFERROR(__xludf.DUMMYFUNCTION("""COMPUTED_VALUE"""),61.41)</f>
        <v>61.41</v>
      </c>
      <c r="U1056" s="1">
        <f ca="1">IFERROR(__xludf.DUMMYFUNCTION("""COMPUTED_VALUE"""),100.18)</f>
        <v>100.18</v>
      </c>
      <c r="V1056" s="1">
        <f ca="1">IFERROR(__xludf.DUMMYFUNCTION("""COMPUTED_VALUE"""),337.24)</f>
        <v>337.24</v>
      </c>
      <c r="W1056" s="1">
        <f ca="1">IFERROR(__xludf.DUMMYFUNCTION("""COMPUTED_VALUE"""),434.91)</f>
        <v>434.91</v>
      </c>
      <c r="X1056" s="1">
        <f ca="1">IFERROR(__xludf.DUMMYFUNCTION("""COMPUTED_VALUE"""),984.29)</f>
        <v>984.29</v>
      </c>
      <c r="Y1056" s="1">
        <f ca="1">IFERROR(__xludf.DUMMYFUNCTION("""COMPUTED_VALUE"""),144.4)</f>
        <v>144.4</v>
      </c>
      <c r="Z1056" s="1">
        <f ca="1">IFERROR(__xludf.DUMMYFUNCTION("""COMPUTED_VALUE"""),388.18)</f>
        <v>388.18</v>
      </c>
      <c r="AA1056" s="1">
        <f ca="1">IFERROR(__xludf.DUMMYFUNCTION("""COMPUTED_VALUE"""),28.01)</f>
        <v>28.01</v>
      </c>
      <c r="AB1056" s="1">
        <f ca="1">IFERROR(__xludf.DUMMYFUNCTION("""COMPUTED_VALUE"""),92.4)</f>
        <v>92.4</v>
      </c>
      <c r="AC1056" s="1">
        <f ca="1">IFERROR(__xludf.DUMMYFUNCTION("""COMPUTED_VALUE"""),202.76)</f>
        <v>202.76</v>
      </c>
    </row>
    <row r="1057" spans="1:29" x14ac:dyDescent="0.25">
      <c r="A1057" s="2">
        <f ca="1">IFERROR(__xludf.DUMMYFUNCTION("""COMPUTED_VALUE"""),45364.6666666666)</f>
        <v>45364.666666666599</v>
      </c>
      <c r="B1057" s="1">
        <f ca="1">IFERROR(__xludf.DUMMYFUNCTION("""COMPUTED_VALUE"""),171.13)</f>
        <v>171.13</v>
      </c>
      <c r="C1057" s="1">
        <f ca="1">IFERROR(__xludf.DUMMYFUNCTION("""COMPUTED_VALUE"""),415.1)</f>
        <v>415.1</v>
      </c>
      <c r="D1057" s="1">
        <f ca="1">IFERROR(__xludf.DUMMYFUNCTION("""COMPUTED_VALUE"""),176.56)</f>
        <v>176.56</v>
      </c>
      <c r="E1057" s="1">
        <f ca="1">IFERROR(__xludf.DUMMYFUNCTION("""COMPUTED_VALUE"""),90.89)</f>
        <v>90.89</v>
      </c>
      <c r="F1057" s="1">
        <f ca="1">IFERROR(__xludf.DUMMYFUNCTION("""COMPUTED_VALUE"""),495.57)</f>
        <v>495.57</v>
      </c>
      <c r="G1057" s="1">
        <f ca="1">IFERROR(__xludf.DUMMYFUNCTION("""COMPUTED_VALUE"""),140.77)</f>
        <v>140.77000000000001</v>
      </c>
      <c r="H1057" s="1">
        <f ca="1">IFERROR(__xludf.DUMMYFUNCTION("""COMPUTED_VALUE"""),169.48)</f>
        <v>169.48</v>
      </c>
      <c r="I1057" s="1">
        <f ca="1">IFERROR(__xludf.DUMMYFUNCTION("""COMPUTED_VALUE"""),165.3)</f>
        <v>165.3</v>
      </c>
      <c r="J1057" s="1">
        <f ca="1">IFERROR(__xludf.DUMMYFUNCTION("""COMPUTED_VALUE"""),734.2)</f>
        <v>734.2</v>
      </c>
      <c r="K1057" s="1">
        <f ca="1">IFERROR(__xludf.DUMMYFUNCTION("""COMPUTED_VALUE"""),125.79)</f>
        <v>125.79</v>
      </c>
      <c r="L1057" s="1">
        <f ca="1">IFERROR(__xludf.DUMMYFUNCTION("""COMPUTED_VALUE"""),573.55)</f>
        <v>573.54999999999995</v>
      </c>
      <c r="M1057" s="1">
        <f ca="1">IFERROR(__xludf.DUMMYFUNCTION("""COMPUTED_VALUE"""),609.45)</f>
        <v>609.45000000000005</v>
      </c>
      <c r="N1057" s="1">
        <f ca="1">IFERROR(__xludf.DUMMYFUNCTION("""COMPUTED_VALUE"""),191.38)</f>
        <v>191.38</v>
      </c>
      <c r="O1057" s="1">
        <f ca="1">IFERROR(__xludf.DUMMYFUNCTION("""COMPUTED_VALUE"""),285.14)</f>
        <v>285.14</v>
      </c>
      <c r="P1057" s="1">
        <f ca="1">IFERROR(__xludf.DUMMYFUNCTION("""COMPUTED_VALUE"""),161.1)</f>
        <v>161.1</v>
      </c>
      <c r="Q1057" s="1">
        <f ca="1">IFERROR(__xludf.DUMMYFUNCTION("""COMPUTED_VALUE"""),488)</f>
        <v>488</v>
      </c>
      <c r="R1057" s="1">
        <f ca="1">IFERROR(__xludf.DUMMYFUNCTION("""COMPUTED_VALUE"""),109.53)</f>
        <v>109.53</v>
      </c>
      <c r="S1057" s="1">
        <f ca="1">IFERROR(__xludf.DUMMYFUNCTION("""COMPUTED_VALUE"""),59.54)</f>
        <v>59.54</v>
      </c>
      <c r="T1057" s="1">
        <f ca="1">IFERROR(__xludf.DUMMYFUNCTION("""COMPUTED_VALUE"""),61.28)</f>
        <v>61.28</v>
      </c>
      <c r="U1057" s="1">
        <f ca="1">IFERROR(__xludf.DUMMYFUNCTION("""COMPUTED_VALUE"""),101.36)</f>
        <v>101.36</v>
      </c>
      <c r="V1057" s="1">
        <f ca="1">IFERROR(__xludf.DUMMYFUNCTION("""COMPUTED_VALUE"""),341.52)</f>
        <v>341.52</v>
      </c>
      <c r="W1057" s="1">
        <f ca="1">IFERROR(__xludf.DUMMYFUNCTION("""COMPUTED_VALUE"""),434.6)</f>
        <v>434.6</v>
      </c>
      <c r="X1057" s="1">
        <f ca="1">IFERROR(__xludf.DUMMYFUNCTION("""COMPUTED_VALUE"""),968.78)</f>
        <v>968.78</v>
      </c>
      <c r="Y1057" s="1">
        <f ca="1">IFERROR(__xludf.DUMMYFUNCTION("""COMPUTED_VALUE"""),142.14)</f>
        <v>142.13999999999999</v>
      </c>
      <c r="Z1057" s="1">
        <f ca="1">IFERROR(__xludf.DUMMYFUNCTION("""COMPUTED_VALUE"""),392.31)</f>
        <v>392.31</v>
      </c>
      <c r="AA1057" s="1">
        <f ca="1">IFERROR(__xludf.DUMMYFUNCTION("""COMPUTED_VALUE"""),28.22)</f>
        <v>28.22</v>
      </c>
      <c r="AB1057" s="1">
        <f ca="1">IFERROR(__xludf.DUMMYFUNCTION("""COMPUTED_VALUE"""),91.61)</f>
        <v>91.61</v>
      </c>
      <c r="AC1057" s="1">
        <f ca="1">IFERROR(__xludf.DUMMYFUNCTION("""COMPUTED_VALUE"""),194.79)</f>
        <v>194.79</v>
      </c>
    </row>
    <row r="1058" spans="1:29" x14ac:dyDescent="0.25">
      <c r="A1058" s="2">
        <f ca="1">IFERROR(__xludf.DUMMYFUNCTION("""COMPUTED_VALUE"""),45365.6666666666)</f>
        <v>45365.666666666599</v>
      </c>
      <c r="B1058" s="1">
        <f ca="1">IFERROR(__xludf.DUMMYFUNCTION("""COMPUTED_VALUE"""),173)</f>
        <v>173</v>
      </c>
      <c r="C1058" s="1">
        <f ca="1">IFERROR(__xludf.DUMMYFUNCTION("""COMPUTED_VALUE"""),425.22)</f>
        <v>425.22</v>
      </c>
      <c r="D1058" s="1">
        <f ca="1">IFERROR(__xludf.DUMMYFUNCTION("""COMPUTED_VALUE"""),178.75)</f>
        <v>178.75</v>
      </c>
      <c r="E1058" s="1">
        <f ca="1">IFERROR(__xludf.DUMMYFUNCTION("""COMPUTED_VALUE"""),87.94)</f>
        <v>87.94</v>
      </c>
      <c r="F1058" s="1">
        <f ca="1">IFERROR(__xludf.DUMMYFUNCTION("""COMPUTED_VALUE"""),491.83)</f>
        <v>491.83</v>
      </c>
      <c r="G1058" s="1">
        <f ca="1">IFERROR(__xludf.DUMMYFUNCTION("""COMPUTED_VALUE"""),144.34)</f>
        <v>144.34</v>
      </c>
      <c r="H1058" s="1">
        <f ca="1">IFERROR(__xludf.DUMMYFUNCTION("""COMPUTED_VALUE"""),162.5)</f>
        <v>162.5</v>
      </c>
      <c r="I1058" s="1">
        <f ca="1">IFERROR(__xludf.DUMMYFUNCTION("""COMPUTED_VALUE"""),164.78)</f>
        <v>164.78</v>
      </c>
      <c r="J1058" s="1">
        <f ca="1">IFERROR(__xludf.DUMMYFUNCTION("""COMPUTED_VALUE"""),731.95)</f>
        <v>731.95</v>
      </c>
      <c r="K1058" s="1">
        <f ca="1">IFERROR(__xludf.DUMMYFUNCTION("""COMPUTED_VALUE"""),126.23)</f>
        <v>126.23</v>
      </c>
      <c r="L1058" s="1">
        <f ca="1">IFERROR(__xludf.DUMMYFUNCTION("""COMPUTED_VALUE"""),570.45)</f>
        <v>570.45000000000005</v>
      </c>
      <c r="M1058" s="1">
        <f ca="1">IFERROR(__xludf.DUMMYFUNCTION("""COMPUTED_VALUE"""),613.01)</f>
        <v>613.01</v>
      </c>
      <c r="N1058" s="1">
        <f ca="1">IFERROR(__xludf.DUMMYFUNCTION("""COMPUTED_VALUE"""),187.97)</f>
        <v>187.97</v>
      </c>
      <c r="O1058" s="1">
        <f ca="1">IFERROR(__xludf.DUMMYFUNCTION("""COMPUTED_VALUE"""),286.41)</f>
        <v>286.41000000000003</v>
      </c>
      <c r="P1058" s="1">
        <f ca="1">IFERROR(__xludf.DUMMYFUNCTION("""COMPUTED_VALUE"""),159.21)</f>
        <v>159.21</v>
      </c>
      <c r="Q1058" s="1">
        <f ca="1">IFERROR(__xludf.DUMMYFUNCTION("""COMPUTED_VALUE"""),489)</f>
        <v>489</v>
      </c>
      <c r="R1058" s="1">
        <f ca="1">IFERROR(__xludf.DUMMYFUNCTION("""COMPUTED_VALUE"""),111.47)</f>
        <v>111.47</v>
      </c>
      <c r="S1058" s="1">
        <f ca="1">IFERROR(__xludf.DUMMYFUNCTION("""COMPUTED_VALUE"""),59.54)</f>
        <v>59.54</v>
      </c>
      <c r="T1058" s="1">
        <f ca="1">IFERROR(__xludf.DUMMYFUNCTION("""COMPUTED_VALUE"""),61.02)</f>
        <v>61.02</v>
      </c>
      <c r="U1058" s="1">
        <f ca="1">IFERROR(__xludf.DUMMYFUNCTION("""COMPUTED_VALUE"""),100.26)</f>
        <v>100.26</v>
      </c>
      <c r="V1058" s="1">
        <f ca="1">IFERROR(__xludf.DUMMYFUNCTION("""COMPUTED_VALUE"""),341.92)</f>
        <v>341.92</v>
      </c>
      <c r="W1058" s="1">
        <f ca="1">IFERROR(__xludf.DUMMYFUNCTION("""COMPUTED_VALUE"""),435.77)</f>
        <v>435.77</v>
      </c>
      <c r="X1058" s="1">
        <f ca="1">IFERROR(__xludf.DUMMYFUNCTION("""COMPUTED_VALUE"""),959.78)</f>
        <v>959.78</v>
      </c>
      <c r="Y1058" s="1">
        <f ca="1">IFERROR(__xludf.DUMMYFUNCTION("""COMPUTED_VALUE"""),139.62)</f>
        <v>139.62</v>
      </c>
      <c r="Z1058" s="1">
        <f ca="1">IFERROR(__xludf.DUMMYFUNCTION("""COMPUTED_VALUE"""),388.61)</f>
        <v>388.61</v>
      </c>
      <c r="AA1058" s="1">
        <f ca="1">IFERROR(__xludf.DUMMYFUNCTION("""COMPUTED_VALUE"""),28.13)</f>
        <v>28.13</v>
      </c>
      <c r="AB1058" s="1">
        <f ca="1">IFERROR(__xludf.DUMMYFUNCTION("""COMPUTED_VALUE"""),91.66)</f>
        <v>91.66</v>
      </c>
      <c r="AC1058" s="1">
        <f ca="1">IFERROR(__xludf.DUMMYFUNCTION("""COMPUTED_VALUE"""),187.06)</f>
        <v>187.06</v>
      </c>
    </row>
    <row r="1059" spans="1:29" x14ac:dyDescent="0.25">
      <c r="A1059" s="2">
        <f ca="1">IFERROR(__xludf.DUMMYFUNCTION("""COMPUTED_VALUE"""),45366.6666666666)</f>
        <v>45366.666666666599</v>
      </c>
      <c r="B1059" s="1">
        <f ca="1">IFERROR(__xludf.DUMMYFUNCTION("""COMPUTED_VALUE"""),172.62)</f>
        <v>172.62</v>
      </c>
      <c r="C1059" s="1">
        <f ca="1">IFERROR(__xludf.DUMMYFUNCTION("""COMPUTED_VALUE"""),416.42)</f>
        <v>416.42</v>
      </c>
      <c r="D1059" s="1">
        <f ca="1">IFERROR(__xludf.DUMMYFUNCTION("""COMPUTED_VALUE"""),174.42)</f>
        <v>174.42</v>
      </c>
      <c r="E1059" s="1">
        <f ca="1">IFERROR(__xludf.DUMMYFUNCTION("""COMPUTED_VALUE"""),87.84)</f>
        <v>87.84</v>
      </c>
      <c r="F1059" s="1">
        <f ca="1">IFERROR(__xludf.DUMMYFUNCTION("""COMPUTED_VALUE"""),484.1)</f>
        <v>484.1</v>
      </c>
      <c r="G1059" s="1">
        <f ca="1">IFERROR(__xludf.DUMMYFUNCTION("""COMPUTED_VALUE"""),142.17)</f>
        <v>142.16999999999999</v>
      </c>
      <c r="H1059" s="1">
        <f ca="1">IFERROR(__xludf.DUMMYFUNCTION("""COMPUTED_VALUE"""),163.57)</f>
        <v>163.57</v>
      </c>
      <c r="I1059" s="1">
        <f ca="1">IFERROR(__xludf.DUMMYFUNCTION("""COMPUTED_VALUE"""),164.66)</f>
        <v>164.66</v>
      </c>
      <c r="J1059" s="1">
        <f ca="1">IFERROR(__xludf.DUMMYFUNCTION("""COMPUTED_VALUE"""),725.63)</f>
        <v>725.63</v>
      </c>
      <c r="K1059" s="1">
        <f ca="1">IFERROR(__xludf.DUMMYFUNCTION("""COMPUTED_VALUE"""),123.55)</f>
        <v>123.55</v>
      </c>
      <c r="L1059" s="1">
        <f ca="1">IFERROR(__xludf.DUMMYFUNCTION("""COMPUTED_VALUE"""),492.46)</f>
        <v>492.46</v>
      </c>
      <c r="M1059" s="1">
        <f ca="1">IFERROR(__xludf.DUMMYFUNCTION("""COMPUTED_VALUE"""),605.88)</f>
        <v>605.88</v>
      </c>
      <c r="N1059" s="1">
        <f ca="1">IFERROR(__xludf.DUMMYFUNCTION("""COMPUTED_VALUE"""),190.3)</f>
        <v>190.3</v>
      </c>
      <c r="O1059" s="1">
        <f ca="1">IFERROR(__xludf.DUMMYFUNCTION("""COMPUTED_VALUE"""),283.04)</f>
        <v>283.04000000000002</v>
      </c>
      <c r="P1059" s="1">
        <f ca="1">IFERROR(__xludf.DUMMYFUNCTION("""COMPUTED_VALUE"""),158.18)</f>
        <v>158.18</v>
      </c>
      <c r="Q1059" s="1">
        <f ca="1">IFERROR(__xludf.DUMMYFUNCTION("""COMPUTED_VALUE"""),490.82)</f>
        <v>490.82</v>
      </c>
      <c r="R1059" s="1">
        <f ca="1">IFERROR(__xludf.DUMMYFUNCTION("""COMPUTED_VALUE"""),111.27)</f>
        <v>111.27</v>
      </c>
      <c r="S1059" s="1">
        <f ca="1">IFERROR(__xludf.DUMMYFUNCTION("""COMPUTED_VALUE"""),60.08)</f>
        <v>60.08</v>
      </c>
      <c r="T1059" s="1">
        <f ca="1">IFERROR(__xludf.DUMMYFUNCTION("""COMPUTED_VALUE"""),60.68)</f>
        <v>60.68</v>
      </c>
      <c r="U1059" s="1">
        <f ca="1">IFERROR(__xludf.DUMMYFUNCTION("""COMPUTED_VALUE"""),99.64)</f>
        <v>99.64</v>
      </c>
      <c r="V1059" s="1">
        <f ca="1">IFERROR(__xludf.DUMMYFUNCTION("""COMPUTED_VALUE"""),346.97)</f>
        <v>346.97</v>
      </c>
      <c r="W1059" s="1">
        <f ca="1">IFERROR(__xludf.DUMMYFUNCTION("""COMPUTED_VALUE"""),435.82)</f>
        <v>435.82</v>
      </c>
      <c r="X1059" s="1">
        <f ca="1">IFERROR(__xludf.DUMMYFUNCTION("""COMPUTED_VALUE"""),940.21)</f>
        <v>940.21</v>
      </c>
      <c r="Y1059" s="1">
        <f ca="1">IFERROR(__xludf.DUMMYFUNCTION("""COMPUTED_VALUE"""),136.98)</f>
        <v>136.97999999999999</v>
      </c>
      <c r="Z1059" s="1">
        <f ca="1">IFERROR(__xludf.DUMMYFUNCTION("""COMPUTED_VALUE"""),387.21)</f>
        <v>387.21</v>
      </c>
      <c r="AA1059" s="1">
        <f ca="1">IFERROR(__xludf.DUMMYFUNCTION("""COMPUTED_VALUE"""),27.94)</f>
        <v>27.94</v>
      </c>
      <c r="AB1059" s="1">
        <f ca="1">IFERROR(__xludf.DUMMYFUNCTION("""COMPUTED_VALUE"""),90.12)</f>
        <v>90.12</v>
      </c>
      <c r="AC1059" s="1">
        <f ca="1">IFERROR(__xludf.DUMMYFUNCTION("""COMPUTED_VALUE"""),191.06)</f>
        <v>191.06</v>
      </c>
    </row>
    <row r="1060" spans="1:29" x14ac:dyDescent="0.25">
      <c r="A1060" s="2">
        <f ca="1">IFERROR(__xludf.DUMMYFUNCTION("""COMPUTED_VALUE"""),45369.6666666666)</f>
        <v>45369.666666666599</v>
      </c>
      <c r="B1060" s="1">
        <f ca="1">IFERROR(__xludf.DUMMYFUNCTION("""COMPUTED_VALUE"""),173.72)</f>
        <v>173.72</v>
      </c>
      <c r="C1060" s="1">
        <f ca="1">IFERROR(__xludf.DUMMYFUNCTION("""COMPUTED_VALUE"""),417.32)</f>
        <v>417.32</v>
      </c>
      <c r="D1060" s="1">
        <f ca="1">IFERROR(__xludf.DUMMYFUNCTION("""COMPUTED_VALUE"""),174.48)</f>
        <v>174.48</v>
      </c>
      <c r="E1060" s="1">
        <f ca="1">IFERROR(__xludf.DUMMYFUNCTION("""COMPUTED_VALUE"""),88.46)</f>
        <v>88.46</v>
      </c>
      <c r="F1060" s="1">
        <f ca="1">IFERROR(__xludf.DUMMYFUNCTION("""COMPUTED_VALUE"""),496.98)</f>
        <v>496.98</v>
      </c>
      <c r="G1060" s="1">
        <f ca="1">IFERROR(__xludf.DUMMYFUNCTION("""COMPUTED_VALUE"""),148.48)</f>
        <v>148.47999999999999</v>
      </c>
      <c r="H1060" s="1">
        <f ca="1">IFERROR(__xludf.DUMMYFUNCTION("""COMPUTED_VALUE"""),173.8)</f>
        <v>173.8</v>
      </c>
      <c r="I1060" s="1">
        <f ca="1">IFERROR(__xludf.DUMMYFUNCTION("""COMPUTED_VALUE"""),171.26)</f>
        <v>171.26</v>
      </c>
      <c r="J1060" s="1">
        <f ca="1">IFERROR(__xludf.DUMMYFUNCTION("""COMPUTED_VALUE"""),731.54)</f>
        <v>731.54</v>
      </c>
      <c r="K1060" s="1">
        <f ca="1">IFERROR(__xludf.DUMMYFUNCTION("""COMPUTED_VALUE"""),123.72)</f>
        <v>123.72</v>
      </c>
      <c r="L1060" s="1">
        <f ca="1">IFERROR(__xludf.DUMMYFUNCTION("""COMPUTED_VALUE"""),513.86)</f>
        <v>513.86</v>
      </c>
      <c r="M1060" s="1">
        <f ca="1">IFERROR(__xludf.DUMMYFUNCTION("""COMPUTED_VALUE"""),618.39)</f>
        <v>618.39</v>
      </c>
      <c r="N1060" s="1">
        <f ca="1">IFERROR(__xludf.DUMMYFUNCTION("""COMPUTED_VALUE"""),192.66)</f>
        <v>192.66</v>
      </c>
      <c r="O1060" s="1">
        <f ca="1">IFERROR(__xludf.DUMMYFUNCTION("""COMPUTED_VALUE"""),285.05)</f>
        <v>285.05</v>
      </c>
      <c r="P1060" s="1">
        <f ca="1">IFERROR(__xludf.DUMMYFUNCTION("""COMPUTED_VALUE"""),156.76)</f>
        <v>156.76</v>
      </c>
      <c r="Q1060" s="1">
        <f ca="1">IFERROR(__xludf.DUMMYFUNCTION("""COMPUTED_VALUE"""),487.05)</f>
        <v>487.05</v>
      </c>
      <c r="R1060" s="1">
        <f ca="1">IFERROR(__xludf.DUMMYFUNCTION("""COMPUTED_VALUE"""),112.3)</f>
        <v>112.3</v>
      </c>
      <c r="S1060" s="1">
        <f ca="1">IFERROR(__xludf.DUMMYFUNCTION("""COMPUTED_VALUE"""),60.17)</f>
        <v>60.17</v>
      </c>
      <c r="T1060" s="1">
        <f ca="1">IFERROR(__xludf.DUMMYFUNCTION("""COMPUTED_VALUE"""),60.86)</f>
        <v>60.86</v>
      </c>
      <c r="U1060" s="1">
        <f ca="1">IFERROR(__xludf.DUMMYFUNCTION("""COMPUTED_VALUE"""),98.74)</f>
        <v>98.74</v>
      </c>
      <c r="V1060" s="1">
        <f ca="1">IFERROR(__xludf.DUMMYFUNCTION("""COMPUTED_VALUE"""),351.9)</f>
        <v>351.9</v>
      </c>
      <c r="W1060" s="1">
        <f ca="1">IFERROR(__xludf.DUMMYFUNCTION("""COMPUTED_VALUE"""),433.2)</f>
        <v>433.2</v>
      </c>
      <c r="X1060" s="1">
        <f ca="1">IFERROR(__xludf.DUMMYFUNCTION("""COMPUTED_VALUE"""),941.34)</f>
        <v>941.34</v>
      </c>
      <c r="Y1060" s="1">
        <f ca="1">IFERROR(__xludf.DUMMYFUNCTION("""COMPUTED_VALUE"""),136.64)</f>
        <v>136.63999999999999</v>
      </c>
      <c r="Z1060" s="1">
        <f ca="1">IFERROR(__xludf.DUMMYFUNCTION("""COMPUTED_VALUE"""),384.37)</f>
        <v>384.37</v>
      </c>
      <c r="AA1060" s="1">
        <f ca="1">IFERROR(__xludf.DUMMYFUNCTION("""COMPUTED_VALUE"""),27.72)</f>
        <v>27.72</v>
      </c>
      <c r="AB1060" s="1">
        <f ca="1">IFERROR(__xludf.DUMMYFUNCTION("""COMPUTED_VALUE"""),91.01)</f>
        <v>91.01</v>
      </c>
      <c r="AC1060" s="1">
        <f ca="1">IFERROR(__xludf.DUMMYFUNCTION("""COMPUTED_VALUE"""),190.65)</f>
        <v>190.65</v>
      </c>
    </row>
    <row r="1061" spans="1:29" x14ac:dyDescent="0.25">
      <c r="A1061" s="2">
        <f ca="1">IFERROR(__xludf.DUMMYFUNCTION("""COMPUTED_VALUE"""),45370.6666666666)</f>
        <v>45370.666666666599</v>
      </c>
      <c r="B1061" s="1">
        <f ca="1">IFERROR(__xludf.DUMMYFUNCTION("""COMPUTED_VALUE"""),176.08)</f>
        <v>176.08</v>
      </c>
      <c r="C1061" s="1">
        <f ca="1">IFERROR(__xludf.DUMMYFUNCTION("""COMPUTED_VALUE"""),421.41)</f>
        <v>421.41</v>
      </c>
      <c r="D1061" s="1">
        <f ca="1">IFERROR(__xludf.DUMMYFUNCTION("""COMPUTED_VALUE"""),175.9)</f>
        <v>175.9</v>
      </c>
      <c r="E1061" s="1">
        <f ca="1">IFERROR(__xludf.DUMMYFUNCTION("""COMPUTED_VALUE"""),89.4)</f>
        <v>89.4</v>
      </c>
      <c r="F1061" s="1">
        <f ca="1">IFERROR(__xludf.DUMMYFUNCTION("""COMPUTED_VALUE"""),496.24)</f>
        <v>496.24</v>
      </c>
      <c r="G1061" s="1">
        <f ca="1">IFERROR(__xludf.DUMMYFUNCTION("""COMPUTED_VALUE"""),147.92)</f>
        <v>147.91999999999999</v>
      </c>
      <c r="H1061" s="1">
        <f ca="1">IFERROR(__xludf.DUMMYFUNCTION("""COMPUTED_VALUE"""),171.32)</f>
        <v>171.32</v>
      </c>
      <c r="I1061" s="1">
        <f ca="1">IFERROR(__xludf.DUMMYFUNCTION("""COMPUTED_VALUE"""),171.8)</f>
        <v>171.8</v>
      </c>
      <c r="J1061" s="1">
        <f ca="1">IFERROR(__xludf.DUMMYFUNCTION("""COMPUTED_VALUE"""),732.17)</f>
        <v>732.17</v>
      </c>
      <c r="K1061" s="1">
        <f ca="1">IFERROR(__xludf.DUMMYFUNCTION("""COMPUTED_VALUE"""),123.8)</f>
        <v>123.8</v>
      </c>
      <c r="L1061" s="1">
        <f ca="1">IFERROR(__xludf.DUMMYFUNCTION("""COMPUTED_VALUE"""),521.19)</f>
        <v>521.19000000000005</v>
      </c>
      <c r="M1061" s="1">
        <f ca="1">IFERROR(__xludf.DUMMYFUNCTION("""COMPUTED_VALUE"""),620.74)</f>
        <v>620.74</v>
      </c>
      <c r="N1061" s="1">
        <f ca="1">IFERROR(__xludf.DUMMYFUNCTION("""COMPUTED_VALUE"""),193.79)</f>
        <v>193.79</v>
      </c>
      <c r="O1061" s="1">
        <f ca="1">IFERROR(__xludf.DUMMYFUNCTION("""COMPUTED_VALUE"""),287.35)</f>
        <v>287.35000000000002</v>
      </c>
      <c r="P1061" s="1">
        <f ca="1">IFERROR(__xludf.DUMMYFUNCTION("""COMPUTED_VALUE"""),156.21)</f>
        <v>156.21</v>
      </c>
      <c r="Q1061" s="1">
        <f ca="1">IFERROR(__xludf.DUMMYFUNCTION("""COMPUTED_VALUE"""),493.32)</f>
        <v>493.32</v>
      </c>
      <c r="R1061" s="1">
        <f ca="1">IFERROR(__xludf.DUMMYFUNCTION("""COMPUTED_VALUE"""),113.09)</f>
        <v>113.09</v>
      </c>
      <c r="S1061" s="1">
        <f ca="1">IFERROR(__xludf.DUMMYFUNCTION("""COMPUTED_VALUE"""),61.27)</f>
        <v>61.27</v>
      </c>
      <c r="T1061" s="1">
        <f ca="1">IFERROR(__xludf.DUMMYFUNCTION("""COMPUTED_VALUE"""),60.87)</f>
        <v>60.87</v>
      </c>
      <c r="U1061" s="1">
        <f ca="1">IFERROR(__xludf.DUMMYFUNCTION("""COMPUTED_VALUE"""),99.96)</f>
        <v>99.96</v>
      </c>
      <c r="V1061" s="1">
        <f ca="1">IFERROR(__xludf.DUMMYFUNCTION("""COMPUTED_VALUE"""),353.9)</f>
        <v>353.9</v>
      </c>
      <c r="W1061" s="1">
        <f ca="1">IFERROR(__xludf.DUMMYFUNCTION("""COMPUTED_VALUE"""),437.19)</f>
        <v>437.19</v>
      </c>
      <c r="X1061" s="1">
        <f ca="1">IFERROR(__xludf.DUMMYFUNCTION("""COMPUTED_VALUE"""),951.91)</f>
        <v>951.91</v>
      </c>
      <c r="Y1061" s="1">
        <f ca="1">IFERROR(__xludf.DUMMYFUNCTION("""COMPUTED_VALUE"""),134.87)</f>
        <v>134.87</v>
      </c>
      <c r="Z1061" s="1">
        <f ca="1">IFERROR(__xludf.DUMMYFUNCTION("""COMPUTED_VALUE"""),388.66)</f>
        <v>388.66</v>
      </c>
      <c r="AA1061" s="1">
        <f ca="1">IFERROR(__xludf.DUMMYFUNCTION("""COMPUTED_VALUE"""),27.63)</f>
        <v>27.63</v>
      </c>
      <c r="AB1061" s="1">
        <f ca="1">IFERROR(__xludf.DUMMYFUNCTION("""COMPUTED_VALUE"""),91.59)</f>
        <v>91.59</v>
      </c>
      <c r="AC1061" s="1">
        <f ca="1">IFERROR(__xludf.DUMMYFUNCTION("""COMPUTED_VALUE"""),181.42)</f>
        <v>181.42</v>
      </c>
    </row>
    <row r="1062" spans="1:29" x14ac:dyDescent="0.25">
      <c r="A1062" s="2">
        <f ca="1">IFERROR(__xludf.DUMMYFUNCTION("""COMPUTED_VALUE"""),45371.6666666666)</f>
        <v>45371.666666666599</v>
      </c>
      <c r="B1062" s="1">
        <f ca="1">IFERROR(__xludf.DUMMYFUNCTION("""COMPUTED_VALUE"""),178.67)</f>
        <v>178.67</v>
      </c>
      <c r="C1062" s="1">
        <f ca="1">IFERROR(__xludf.DUMMYFUNCTION("""COMPUTED_VALUE"""),425.23)</f>
        <v>425.23</v>
      </c>
      <c r="D1062" s="1">
        <f ca="1">IFERROR(__xludf.DUMMYFUNCTION("""COMPUTED_VALUE"""),178.15)</f>
        <v>178.15</v>
      </c>
      <c r="E1062" s="1">
        <f ca="1">IFERROR(__xludf.DUMMYFUNCTION("""COMPUTED_VALUE"""),90.37)</f>
        <v>90.37</v>
      </c>
      <c r="F1062" s="1">
        <f ca="1">IFERROR(__xludf.DUMMYFUNCTION("""COMPUTED_VALUE"""),505.52)</f>
        <v>505.52</v>
      </c>
      <c r="G1062" s="1">
        <f ca="1">IFERROR(__xludf.DUMMYFUNCTION("""COMPUTED_VALUE"""),149.68)</f>
        <v>149.68</v>
      </c>
      <c r="H1062" s="1">
        <f ca="1">IFERROR(__xludf.DUMMYFUNCTION("""COMPUTED_VALUE"""),175.66)</f>
        <v>175.66</v>
      </c>
      <c r="I1062" s="1">
        <f ca="1">IFERROR(__xludf.DUMMYFUNCTION("""COMPUTED_VALUE"""),171.86)</f>
        <v>171.86</v>
      </c>
      <c r="J1062" s="1">
        <f ca="1">IFERROR(__xludf.DUMMYFUNCTION("""COMPUTED_VALUE"""),740.72)</f>
        <v>740.72</v>
      </c>
      <c r="K1062" s="1">
        <f ca="1">IFERROR(__xludf.DUMMYFUNCTION("""COMPUTED_VALUE"""),127.6)</f>
        <v>127.6</v>
      </c>
      <c r="L1062" s="1">
        <f ca="1">IFERROR(__xludf.DUMMYFUNCTION("""COMPUTED_VALUE"""),519.14)</f>
        <v>519.14</v>
      </c>
      <c r="M1062" s="1">
        <f ca="1">IFERROR(__xludf.DUMMYFUNCTION("""COMPUTED_VALUE"""),627.69)</f>
        <v>627.69000000000005</v>
      </c>
      <c r="N1062" s="1">
        <f ca="1">IFERROR(__xludf.DUMMYFUNCTION("""COMPUTED_VALUE"""),196.33)</f>
        <v>196.33</v>
      </c>
      <c r="O1062" s="1">
        <f ca="1">IFERROR(__xludf.DUMMYFUNCTION("""COMPUTED_VALUE"""),289.28)</f>
        <v>289.27999999999997</v>
      </c>
      <c r="P1062" s="1">
        <f ca="1">IFERROR(__xludf.DUMMYFUNCTION("""COMPUTED_VALUE"""),155.76)</f>
        <v>155.76</v>
      </c>
      <c r="Q1062" s="1">
        <f ca="1">IFERROR(__xludf.DUMMYFUNCTION("""COMPUTED_VALUE"""),494.23)</f>
        <v>494.23</v>
      </c>
      <c r="R1062" s="1">
        <f ca="1">IFERROR(__xludf.DUMMYFUNCTION("""COMPUTED_VALUE"""),112.99)</f>
        <v>112.99</v>
      </c>
      <c r="S1062" s="1">
        <f ca="1">IFERROR(__xludf.DUMMYFUNCTION("""COMPUTED_VALUE"""),62.2)</f>
        <v>62.2</v>
      </c>
      <c r="T1062" s="1">
        <f ca="1">IFERROR(__xludf.DUMMYFUNCTION("""COMPUTED_VALUE"""),61.25)</f>
        <v>61.25</v>
      </c>
      <c r="U1062" s="1">
        <f ca="1">IFERROR(__xludf.DUMMYFUNCTION("""COMPUTED_VALUE"""),100.27)</f>
        <v>100.27</v>
      </c>
      <c r="V1062" s="1">
        <f ca="1">IFERROR(__xludf.DUMMYFUNCTION("""COMPUTED_VALUE"""),356.45)</f>
        <v>356.45</v>
      </c>
      <c r="W1062" s="1">
        <f ca="1">IFERROR(__xludf.DUMMYFUNCTION("""COMPUTED_VALUE"""),440.41)</f>
        <v>440.41</v>
      </c>
      <c r="X1062" s="1">
        <f ca="1">IFERROR(__xludf.DUMMYFUNCTION("""COMPUTED_VALUE"""),970.92)</f>
        <v>970.92</v>
      </c>
      <c r="Y1062" s="1">
        <f ca="1">IFERROR(__xludf.DUMMYFUNCTION("""COMPUTED_VALUE"""),136.75)</f>
        <v>136.75</v>
      </c>
      <c r="Z1062" s="1">
        <f ca="1">IFERROR(__xludf.DUMMYFUNCTION("""COMPUTED_VALUE"""),396.47)</f>
        <v>396.47</v>
      </c>
      <c r="AA1062" s="1">
        <f ca="1">IFERROR(__xludf.DUMMYFUNCTION("""COMPUTED_VALUE"""),27.7)</f>
        <v>27.7</v>
      </c>
      <c r="AB1062" s="1">
        <f ca="1">IFERROR(__xludf.DUMMYFUNCTION("""COMPUTED_VALUE"""),92.6)</f>
        <v>92.6</v>
      </c>
      <c r="AC1062" s="1">
        <f ca="1">IFERROR(__xludf.DUMMYFUNCTION("""COMPUTED_VALUE"""),179.73)</f>
        <v>179.73</v>
      </c>
    </row>
    <row r="1063" spans="1:29" x14ac:dyDescent="0.25">
      <c r="A1063" s="2">
        <f ca="1">IFERROR(__xludf.DUMMYFUNCTION("""COMPUTED_VALUE"""),45372.6666666666)</f>
        <v>45372.666666666599</v>
      </c>
      <c r="B1063" s="1">
        <f ca="1">IFERROR(__xludf.DUMMYFUNCTION("""COMPUTED_VALUE"""),171.37)</f>
        <v>171.37</v>
      </c>
      <c r="C1063" s="1">
        <f ca="1">IFERROR(__xludf.DUMMYFUNCTION("""COMPUTED_VALUE"""),429.37)</f>
        <v>429.37</v>
      </c>
      <c r="D1063" s="1">
        <f ca="1">IFERROR(__xludf.DUMMYFUNCTION("""COMPUTED_VALUE"""),178.15)</f>
        <v>178.15</v>
      </c>
      <c r="E1063" s="1">
        <f ca="1">IFERROR(__xludf.DUMMYFUNCTION("""COMPUTED_VALUE"""),91.44)</f>
        <v>91.44</v>
      </c>
      <c r="F1063" s="1">
        <f ca="1">IFERROR(__xludf.DUMMYFUNCTION("""COMPUTED_VALUE"""),507.76)</f>
        <v>507.76</v>
      </c>
      <c r="G1063" s="1">
        <f ca="1">IFERROR(__xludf.DUMMYFUNCTION("""COMPUTED_VALUE"""),148.74)</f>
        <v>148.74</v>
      </c>
      <c r="H1063" s="1">
        <f ca="1">IFERROR(__xludf.DUMMYFUNCTION("""COMPUTED_VALUE"""),172.82)</f>
        <v>172.82</v>
      </c>
      <c r="I1063" s="1">
        <f ca="1">IFERROR(__xludf.DUMMYFUNCTION("""COMPUTED_VALUE"""),172.45)</f>
        <v>172.45</v>
      </c>
      <c r="J1063" s="1">
        <f ca="1">IFERROR(__xludf.DUMMYFUNCTION("""COMPUTED_VALUE"""),742.56)</f>
        <v>742.56</v>
      </c>
      <c r="K1063" s="1">
        <f ca="1">IFERROR(__xludf.DUMMYFUNCTION("""COMPUTED_VALUE"""),134.8)</f>
        <v>134.80000000000001</v>
      </c>
      <c r="L1063" s="1">
        <f ca="1">IFERROR(__xludf.DUMMYFUNCTION("""COMPUTED_VALUE"""),511.25)</f>
        <v>511.25</v>
      </c>
      <c r="M1063" s="1">
        <f ca="1">IFERROR(__xludf.DUMMYFUNCTION("""COMPUTED_VALUE"""),622.71)</f>
        <v>622.71</v>
      </c>
      <c r="N1063" s="1">
        <f ca="1">IFERROR(__xludf.DUMMYFUNCTION("""COMPUTED_VALUE"""),199.06)</f>
        <v>199.06</v>
      </c>
      <c r="O1063" s="1">
        <f ca="1">IFERROR(__xludf.DUMMYFUNCTION("""COMPUTED_VALUE"""),290.37)</f>
        <v>290.37</v>
      </c>
      <c r="P1063" s="1">
        <f ca="1">IFERROR(__xludf.DUMMYFUNCTION("""COMPUTED_VALUE"""),155.75)</f>
        <v>155.75</v>
      </c>
      <c r="Q1063" s="1">
        <f ca="1">IFERROR(__xludf.DUMMYFUNCTION("""COMPUTED_VALUE"""),491.69)</f>
        <v>491.69</v>
      </c>
      <c r="R1063" s="1">
        <f ca="1">IFERROR(__xludf.DUMMYFUNCTION("""COMPUTED_VALUE"""),113.49)</f>
        <v>113.49</v>
      </c>
      <c r="S1063" s="1">
        <f ca="1">IFERROR(__xludf.DUMMYFUNCTION("""COMPUTED_VALUE"""),61.36)</f>
        <v>61.36</v>
      </c>
      <c r="T1063" s="1">
        <f ca="1">IFERROR(__xludf.DUMMYFUNCTION("""COMPUTED_VALUE"""),61.45)</f>
        <v>61.45</v>
      </c>
      <c r="U1063" s="1">
        <f ca="1">IFERROR(__xludf.DUMMYFUNCTION("""COMPUTED_VALUE"""),100.82)</f>
        <v>100.82</v>
      </c>
      <c r="V1063" s="1">
        <f ca="1">IFERROR(__xludf.DUMMYFUNCTION("""COMPUTED_VALUE"""),364.56)</f>
        <v>364.56</v>
      </c>
      <c r="W1063" s="1">
        <f ca="1">IFERROR(__xludf.DUMMYFUNCTION("""COMPUTED_VALUE"""),443.16)</f>
        <v>443.16</v>
      </c>
      <c r="X1063" s="1">
        <f ca="1">IFERROR(__xludf.DUMMYFUNCTION("""COMPUTED_VALUE"""),990.79)</f>
        <v>990.79</v>
      </c>
      <c r="Y1063" s="1">
        <f ca="1">IFERROR(__xludf.DUMMYFUNCTION("""COMPUTED_VALUE"""),139.45)</f>
        <v>139.44999999999999</v>
      </c>
      <c r="Z1063" s="1">
        <f ca="1">IFERROR(__xludf.DUMMYFUNCTION("""COMPUTED_VALUE"""),413.71)</f>
        <v>413.71</v>
      </c>
      <c r="AA1063" s="1">
        <f ca="1">IFERROR(__xludf.DUMMYFUNCTION("""COMPUTED_VALUE"""),27.66)</f>
        <v>27.66</v>
      </c>
      <c r="AB1063" s="1">
        <f ca="1">IFERROR(__xludf.DUMMYFUNCTION("""COMPUTED_VALUE"""),91.66)</f>
        <v>91.66</v>
      </c>
      <c r="AC1063" s="1">
        <f ca="1">IFERROR(__xludf.DUMMYFUNCTION("""COMPUTED_VALUE"""),178.68)</f>
        <v>178.68</v>
      </c>
    </row>
    <row r="1064" spans="1:29" x14ac:dyDescent="0.25">
      <c r="A1064" s="2">
        <f ca="1">IFERROR(__xludf.DUMMYFUNCTION("""COMPUTED_VALUE"""),45373.6666666666)</f>
        <v>45373.666666666599</v>
      </c>
      <c r="B1064" s="1">
        <f ca="1">IFERROR(__xludf.DUMMYFUNCTION("""COMPUTED_VALUE"""),172.28)</f>
        <v>172.28</v>
      </c>
      <c r="C1064" s="1">
        <f ca="1">IFERROR(__xludf.DUMMYFUNCTION("""COMPUTED_VALUE"""),428.74)</f>
        <v>428.74</v>
      </c>
      <c r="D1064" s="1">
        <f ca="1">IFERROR(__xludf.DUMMYFUNCTION("""COMPUTED_VALUE"""),178.87)</f>
        <v>178.87</v>
      </c>
      <c r="E1064" s="1">
        <f ca="1">IFERROR(__xludf.DUMMYFUNCTION("""COMPUTED_VALUE"""),94.29)</f>
        <v>94.29</v>
      </c>
      <c r="F1064" s="1">
        <f ca="1">IFERROR(__xludf.DUMMYFUNCTION("""COMPUTED_VALUE"""),509.58)</f>
        <v>509.58</v>
      </c>
      <c r="G1064" s="1">
        <f ca="1">IFERROR(__xludf.DUMMYFUNCTION("""COMPUTED_VALUE"""),151.77)</f>
        <v>151.77000000000001</v>
      </c>
      <c r="H1064" s="1">
        <f ca="1">IFERROR(__xludf.DUMMYFUNCTION("""COMPUTED_VALUE"""),170.83)</f>
        <v>170.83</v>
      </c>
      <c r="I1064" s="1">
        <f ca="1">IFERROR(__xludf.DUMMYFUNCTION("""COMPUTED_VALUE"""),172.02)</f>
        <v>172.02</v>
      </c>
      <c r="J1064" s="1">
        <f ca="1">IFERROR(__xludf.DUMMYFUNCTION("""COMPUTED_VALUE"""),734.8)</f>
        <v>734.8</v>
      </c>
      <c r="K1064" s="1">
        <f ca="1">IFERROR(__xludf.DUMMYFUNCTION("""COMPUTED_VALUE"""),135.35)</f>
        <v>135.35</v>
      </c>
      <c r="L1064" s="1">
        <f ca="1">IFERROR(__xludf.DUMMYFUNCTION("""COMPUTED_VALUE"""),499.52)</f>
        <v>499.52</v>
      </c>
      <c r="M1064" s="1">
        <f ca="1">IFERROR(__xludf.DUMMYFUNCTION("""COMPUTED_VALUE"""),628.01)</f>
        <v>628.01</v>
      </c>
      <c r="N1064" s="1">
        <f ca="1">IFERROR(__xludf.DUMMYFUNCTION("""COMPUTED_VALUE"""),196.62)</f>
        <v>196.62</v>
      </c>
      <c r="O1064" s="1">
        <f ca="1">IFERROR(__xludf.DUMMYFUNCTION("""COMPUTED_VALUE"""),283.26)</f>
        <v>283.26</v>
      </c>
      <c r="P1064" s="1">
        <f ca="1">IFERROR(__xludf.DUMMYFUNCTION("""COMPUTED_VALUE"""),155.23)</f>
        <v>155.22999999999999</v>
      </c>
      <c r="Q1064" s="1">
        <f ca="1">IFERROR(__xludf.DUMMYFUNCTION("""COMPUTED_VALUE"""),490.07)</f>
        <v>490.07</v>
      </c>
      <c r="R1064" s="1">
        <f ca="1">IFERROR(__xludf.DUMMYFUNCTION("""COMPUTED_VALUE"""),113.49)</f>
        <v>113.49</v>
      </c>
      <c r="S1064" s="1">
        <f ca="1">IFERROR(__xludf.DUMMYFUNCTION("""COMPUTED_VALUE"""),61.78)</f>
        <v>61.78</v>
      </c>
      <c r="T1064" s="1">
        <f ca="1">IFERROR(__xludf.DUMMYFUNCTION("""COMPUTED_VALUE"""),60.87)</f>
        <v>60.87</v>
      </c>
      <c r="U1064" s="1">
        <f ca="1">IFERROR(__xludf.DUMMYFUNCTION("""COMPUTED_VALUE"""),93.86)</f>
        <v>93.86</v>
      </c>
      <c r="V1064" s="1">
        <f ca="1">IFERROR(__xludf.DUMMYFUNCTION("""COMPUTED_VALUE"""),358.11)</f>
        <v>358.11</v>
      </c>
      <c r="W1064" s="1">
        <f ca="1">IFERROR(__xludf.DUMMYFUNCTION("""COMPUTED_VALUE"""),445.88)</f>
        <v>445.88</v>
      </c>
      <c r="X1064" s="1">
        <f ca="1">IFERROR(__xludf.DUMMYFUNCTION("""COMPUTED_VALUE"""),979.96)</f>
        <v>979.96</v>
      </c>
      <c r="Y1064" s="1">
        <f ca="1">IFERROR(__xludf.DUMMYFUNCTION("""COMPUTED_VALUE"""),140.54)</f>
        <v>140.54</v>
      </c>
      <c r="Z1064" s="1">
        <f ca="1">IFERROR(__xludf.DUMMYFUNCTION("""COMPUTED_VALUE"""),406.82)</f>
        <v>406.82</v>
      </c>
      <c r="AA1064" s="1">
        <f ca="1">IFERROR(__xludf.DUMMYFUNCTION("""COMPUTED_VALUE"""),27.36)</f>
        <v>27.36</v>
      </c>
      <c r="AB1064" s="1">
        <f ca="1">IFERROR(__xludf.DUMMYFUNCTION("""COMPUTED_VALUE"""),90.71)</f>
        <v>90.71</v>
      </c>
      <c r="AC1064" s="1">
        <f ca="1">IFERROR(__xludf.DUMMYFUNCTION("""COMPUTED_VALUE"""),179.65)</f>
        <v>179.65</v>
      </c>
    </row>
    <row r="1065" spans="1:29" x14ac:dyDescent="0.25">
      <c r="A1065" s="2">
        <f ca="1">IFERROR(__xludf.DUMMYFUNCTION("""COMPUTED_VALUE"""),45376.6666666666)</f>
        <v>45376.666666666599</v>
      </c>
      <c r="B1065" s="1">
        <f ca="1">IFERROR(__xludf.DUMMYFUNCTION("""COMPUTED_VALUE"""),170.85)</f>
        <v>170.85</v>
      </c>
      <c r="C1065" s="1">
        <f ca="1">IFERROR(__xludf.DUMMYFUNCTION("""COMPUTED_VALUE"""),422.86)</f>
        <v>422.86</v>
      </c>
      <c r="D1065" s="1">
        <f ca="1">IFERROR(__xludf.DUMMYFUNCTION("""COMPUTED_VALUE"""),179.71)</f>
        <v>179.71</v>
      </c>
      <c r="E1065" s="1">
        <f ca="1">IFERROR(__xludf.DUMMYFUNCTION("""COMPUTED_VALUE"""),95)</f>
        <v>95</v>
      </c>
      <c r="F1065" s="1">
        <f ca="1">IFERROR(__xludf.DUMMYFUNCTION("""COMPUTED_VALUE"""),503.02)</f>
        <v>503.02</v>
      </c>
      <c r="G1065" s="1">
        <f ca="1">IFERROR(__xludf.DUMMYFUNCTION("""COMPUTED_VALUE"""),151.15)</f>
        <v>151.15</v>
      </c>
      <c r="H1065" s="1">
        <f ca="1">IFERROR(__xludf.DUMMYFUNCTION("""COMPUTED_VALUE"""),172.63)</f>
        <v>172.63</v>
      </c>
      <c r="I1065" s="1">
        <f ca="1">IFERROR(__xludf.DUMMYFUNCTION("""COMPUTED_VALUE"""),172.6)</f>
        <v>172.6</v>
      </c>
      <c r="J1065" s="1">
        <f ca="1">IFERROR(__xludf.DUMMYFUNCTION("""COMPUTED_VALUE"""),730.96)</f>
        <v>730.96</v>
      </c>
      <c r="K1065" s="1">
        <f ca="1">IFERROR(__xludf.DUMMYFUNCTION("""COMPUTED_VALUE"""),135.16)</f>
        <v>135.16</v>
      </c>
      <c r="L1065" s="1">
        <f ca="1">IFERROR(__xludf.DUMMYFUNCTION("""COMPUTED_VALUE"""),507.23)</f>
        <v>507.23</v>
      </c>
      <c r="M1065" s="1">
        <f ca="1">IFERROR(__xludf.DUMMYFUNCTION("""COMPUTED_VALUE"""),627.46)</f>
        <v>627.46</v>
      </c>
      <c r="N1065" s="1">
        <f ca="1">IFERROR(__xludf.DUMMYFUNCTION("""COMPUTED_VALUE"""),194.82)</f>
        <v>194.82</v>
      </c>
      <c r="O1065" s="1">
        <f ca="1">IFERROR(__xludf.DUMMYFUNCTION("""COMPUTED_VALUE"""),281.21)</f>
        <v>281.20999999999998</v>
      </c>
      <c r="P1065" s="1">
        <f ca="1">IFERROR(__xludf.DUMMYFUNCTION("""COMPUTED_VALUE"""),155.22)</f>
        <v>155.22</v>
      </c>
      <c r="Q1065" s="1">
        <f ca="1">IFERROR(__xludf.DUMMYFUNCTION("""COMPUTED_VALUE"""),485.88)</f>
        <v>485.88</v>
      </c>
      <c r="R1065" s="1">
        <f ca="1">IFERROR(__xludf.DUMMYFUNCTION("""COMPUTED_VALUE"""),114.65)</f>
        <v>114.65</v>
      </c>
      <c r="S1065" s="1">
        <f ca="1">IFERROR(__xludf.DUMMYFUNCTION("""COMPUTED_VALUE"""),62.61)</f>
        <v>62.61</v>
      </c>
      <c r="T1065" s="1">
        <f ca="1">IFERROR(__xludf.DUMMYFUNCTION("""COMPUTED_VALUE"""),60.57)</f>
        <v>60.57</v>
      </c>
      <c r="U1065" s="1">
        <f ca="1">IFERROR(__xludf.DUMMYFUNCTION("""COMPUTED_VALUE"""),93.75)</f>
        <v>93.75</v>
      </c>
      <c r="V1065" s="1">
        <f ca="1">IFERROR(__xludf.DUMMYFUNCTION("""COMPUTED_VALUE"""),355.95)</f>
        <v>355.95</v>
      </c>
      <c r="W1065" s="1">
        <f ca="1">IFERROR(__xludf.DUMMYFUNCTION("""COMPUTED_VALUE"""),446.31)</f>
        <v>446.31</v>
      </c>
      <c r="X1065" s="1">
        <f ca="1">IFERROR(__xludf.DUMMYFUNCTION("""COMPUTED_VALUE"""),978.93)</f>
        <v>978.93</v>
      </c>
      <c r="Y1065" s="1">
        <f ca="1">IFERROR(__xludf.DUMMYFUNCTION("""COMPUTED_VALUE"""),140.23)</f>
        <v>140.22999999999999</v>
      </c>
      <c r="Z1065" s="1">
        <f ca="1">IFERROR(__xludf.DUMMYFUNCTION("""COMPUTED_VALUE"""),404.94)</f>
        <v>404.94</v>
      </c>
      <c r="AA1065" s="1">
        <f ca="1">IFERROR(__xludf.DUMMYFUNCTION("""COMPUTED_VALUE"""),27.43)</f>
        <v>27.43</v>
      </c>
      <c r="AB1065" s="1">
        <f ca="1">IFERROR(__xludf.DUMMYFUNCTION("""COMPUTED_VALUE"""),90.67)</f>
        <v>90.67</v>
      </c>
      <c r="AC1065" s="1">
        <f ca="1">IFERROR(__xludf.DUMMYFUNCTION("""COMPUTED_VALUE"""),178.63)</f>
        <v>178.63</v>
      </c>
    </row>
    <row r="1066" spans="1:29" x14ac:dyDescent="0.25">
      <c r="A1066" s="2">
        <f ca="1">IFERROR(__xludf.DUMMYFUNCTION("""COMPUTED_VALUE"""),45377.6666666666)</f>
        <v>45377.666666666599</v>
      </c>
      <c r="B1066" s="1">
        <f ca="1">IFERROR(__xludf.DUMMYFUNCTION("""COMPUTED_VALUE"""),169.71)</f>
        <v>169.71</v>
      </c>
      <c r="C1066" s="1">
        <f ca="1">IFERROR(__xludf.DUMMYFUNCTION("""COMPUTED_VALUE"""),421.65)</f>
        <v>421.65</v>
      </c>
      <c r="D1066" s="1">
        <f ca="1">IFERROR(__xludf.DUMMYFUNCTION("""COMPUTED_VALUE"""),178.3)</f>
        <v>178.3</v>
      </c>
      <c r="E1066" s="1">
        <f ca="1">IFERROR(__xludf.DUMMYFUNCTION("""COMPUTED_VALUE"""),92.56)</f>
        <v>92.56</v>
      </c>
      <c r="F1066" s="1">
        <f ca="1">IFERROR(__xludf.DUMMYFUNCTION("""COMPUTED_VALUE"""),495.89)</f>
        <v>495.89</v>
      </c>
      <c r="G1066" s="1">
        <f ca="1">IFERROR(__xludf.DUMMYFUNCTION("""COMPUTED_VALUE"""),151.7)</f>
        <v>151.69999999999999</v>
      </c>
      <c r="H1066" s="1">
        <f ca="1">IFERROR(__xludf.DUMMYFUNCTION("""COMPUTED_VALUE"""),177.67)</f>
        <v>177.67</v>
      </c>
      <c r="I1066" s="1">
        <f ca="1">IFERROR(__xludf.DUMMYFUNCTION("""COMPUTED_VALUE"""),172.73)</f>
        <v>172.73</v>
      </c>
      <c r="J1066" s="1">
        <f ca="1">IFERROR(__xludf.DUMMYFUNCTION("""COMPUTED_VALUE"""),730.98)</f>
        <v>730.98</v>
      </c>
      <c r="K1066" s="1">
        <f ca="1">IFERROR(__xludf.DUMMYFUNCTION("""COMPUTED_VALUE"""),133.15)</f>
        <v>133.15</v>
      </c>
      <c r="L1066" s="1">
        <f ca="1">IFERROR(__xludf.DUMMYFUNCTION("""COMPUTED_VALUE"""),507.6)</f>
        <v>507.6</v>
      </c>
      <c r="M1066" s="1">
        <f ca="1">IFERROR(__xludf.DUMMYFUNCTION("""COMPUTED_VALUE"""),629.24)</f>
        <v>629.24</v>
      </c>
      <c r="N1066" s="1">
        <f ca="1">IFERROR(__xludf.DUMMYFUNCTION("""COMPUTED_VALUE"""),195.73)</f>
        <v>195.73</v>
      </c>
      <c r="O1066" s="1">
        <f ca="1">IFERROR(__xludf.DUMMYFUNCTION("""COMPUTED_VALUE"""),280.6)</f>
        <v>280.60000000000002</v>
      </c>
      <c r="P1066" s="1">
        <f ca="1">IFERROR(__xludf.DUMMYFUNCTION("""COMPUTED_VALUE"""),155.77)</f>
        <v>155.77000000000001</v>
      </c>
      <c r="Q1066" s="1">
        <f ca="1">IFERROR(__xludf.DUMMYFUNCTION("""COMPUTED_VALUE"""),492.31)</f>
        <v>492.31</v>
      </c>
      <c r="R1066" s="1">
        <f ca="1">IFERROR(__xludf.DUMMYFUNCTION("""COMPUTED_VALUE"""),113.79)</f>
        <v>113.79</v>
      </c>
      <c r="S1066" s="1">
        <f ca="1">IFERROR(__xludf.DUMMYFUNCTION("""COMPUTED_VALUE"""),61.43)</f>
        <v>61.43</v>
      </c>
      <c r="T1066" s="1">
        <f ca="1">IFERROR(__xludf.DUMMYFUNCTION("""COMPUTED_VALUE"""),60.51)</f>
        <v>60.51</v>
      </c>
      <c r="U1066" s="1">
        <f ca="1">IFERROR(__xludf.DUMMYFUNCTION("""COMPUTED_VALUE"""),92.58)</f>
        <v>92.58</v>
      </c>
      <c r="V1066" s="1">
        <f ca="1">IFERROR(__xludf.DUMMYFUNCTION("""COMPUTED_VALUE"""),356.39)</f>
        <v>356.39</v>
      </c>
      <c r="W1066" s="1">
        <f ca="1">IFERROR(__xludf.DUMMYFUNCTION("""COMPUTED_VALUE"""),445.99)</f>
        <v>445.99</v>
      </c>
      <c r="X1066" s="1">
        <f ca="1">IFERROR(__xludf.DUMMYFUNCTION("""COMPUTED_VALUE"""),971.3)</f>
        <v>971.3</v>
      </c>
      <c r="Y1066" s="1">
        <f ca="1">IFERROR(__xludf.DUMMYFUNCTION("""COMPUTED_VALUE"""),138.84)</f>
        <v>138.84</v>
      </c>
      <c r="Z1066" s="1">
        <f ca="1">IFERROR(__xludf.DUMMYFUNCTION("""COMPUTED_VALUE"""),406.18)</f>
        <v>406.18</v>
      </c>
      <c r="AA1066" s="1">
        <f ca="1">IFERROR(__xludf.DUMMYFUNCTION("""COMPUTED_VALUE"""),27.59)</f>
        <v>27.59</v>
      </c>
      <c r="AB1066" s="1">
        <f ca="1">IFERROR(__xludf.DUMMYFUNCTION("""COMPUTED_VALUE"""),90.36)</f>
        <v>90.36</v>
      </c>
      <c r="AC1066" s="1">
        <f ca="1">IFERROR(__xludf.DUMMYFUNCTION("""COMPUTED_VALUE"""),177.87)</f>
        <v>177.87</v>
      </c>
    </row>
    <row r="1067" spans="1:29" x14ac:dyDescent="0.25">
      <c r="A1067" s="2">
        <f ca="1">IFERROR(__xludf.DUMMYFUNCTION("""COMPUTED_VALUE"""),45378.6666666666)</f>
        <v>45378.666666666599</v>
      </c>
      <c r="B1067" s="1">
        <f ca="1">IFERROR(__xludf.DUMMYFUNCTION("""COMPUTED_VALUE"""),173.31)</f>
        <v>173.31</v>
      </c>
      <c r="C1067" s="1">
        <f ca="1">IFERROR(__xludf.DUMMYFUNCTION("""COMPUTED_VALUE"""),421.43)</f>
        <v>421.43</v>
      </c>
      <c r="D1067" s="1">
        <f ca="1">IFERROR(__xludf.DUMMYFUNCTION("""COMPUTED_VALUE"""),179.83)</f>
        <v>179.83</v>
      </c>
      <c r="E1067" s="1">
        <f ca="1">IFERROR(__xludf.DUMMYFUNCTION("""COMPUTED_VALUE"""),90.25)</f>
        <v>90.25</v>
      </c>
      <c r="F1067" s="1">
        <f ca="1">IFERROR(__xludf.DUMMYFUNCTION("""COMPUTED_VALUE"""),493.86)</f>
        <v>493.86</v>
      </c>
      <c r="G1067" s="1">
        <f ca="1">IFERROR(__xludf.DUMMYFUNCTION("""COMPUTED_VALUE"""),151.94)</f>
        <v>151.94</v>
      </c>
      <c r="H1067" s="1">
        <f ca="1">IFERROR(__xludf.DUMMYFUNCTION("""COMPUTED_VALUE"""),179.83)</f>
        <v>179.83</v>
      </c>
      <c r="I1067" s="1">
        <f ca="1">IFERROR(__xludf.DUMMYFUNCTION("""COMPUTED_VALUE"""),173.57)</f>
        <v>173.57</v>
      </c>
      <c r="J1067" s="1">
        <f ca="1">IFERROR(__xludf.DUMMYFUNCTION("""COMPUTED_VALUE"""),732.08)</f>
        <v>732.08</v>
      </c>
      <c r="K1067" s="1">
        <f ca="1">IFERROR(__xludf.DUMMYFUNCTION("""COMPUTED_VALUE"""),131.87)</f>
        <v>131.87</v>
      </c>
      <c r="L1067" s="1">
        <f ca="1">IFERROR(__xludf.DUMMYFUNCTION("""COMPUTED_VALUE"""),504.4)</f>
        <v>504.4</v>
      </c>
      <c r="M1067" s="1">
        <f ca="1">IFERROR(__xludf.DUMMYFUNCTION("""COMPUTED_VALUE"""),613.53)</f>
        <v>613.53</v>
      </c>
      <c r="N1067" s="1">
        <f ca="1">IFERROR(__xludf.DUMMYFUNCTION("""COMPUTED_VALUE"""),199.52)</f>
        <v>199.52</v>
      </c>
      <c r="O1067" s="1">
        <f ca="1">IFERROR(__xludf.DUMMYFUNCTION("""COMPUTED_VALUE"""),279.02)</f>
        <v>279.02</v>
      </c>
      <c r="P1067" s="1">
        <f ca="1">IFERROR(__xludf.DUMMYFUNCTION("""COMPUTED_VALUE"""),157.96)</f>
        <v>157.96</v>
      </c>
      <c r="Q1067" s="1">
        <f ca="1">IFERROR(__xludf.DUMMYFUNCTION("""COMPUTED_VALUE"""),493.1)</f>
        <v>493.1</v>
      </c>
      <c r="R1067" s="1">
        <f ca="1">IFERROR(__xludf.DUMMYFUNCTION("""COMPUTED_VALUE"""),114.97)</f>
        <v>114.97</v>
      </c>
      <c r="S1067" s="1">
        <f ca="1">IFERROR(__xludf.DUMMYFUNCTION("""COMPUTED_VALUE"""),63.79)</f>
        <v>63.79</v>
      </c>
      <c r="T1067" s="1">
        <f ca="1">IFERROR(__xludf.DUMMYFUNCTION("""COMPUTED_VALUE"""),60.72)</f>
        <v>60.72</v>
      </c>
      <c r="U1067" s="1">
        <f ca="1">IFERROR(__xludf.DUMMYFUNCTION("""COMPUTED_VALUE"""),94.13)</f>
        <v>94.13</v>
      </c>
      <c r="V1067" s="1">
        <f ca="1">IFERROR(__xludf.DUMMYFUNCTION("""COMPUTED_VALUE"""),364.65)</f>
        <v>364.65</v>
      </c>
      <c r="W1067" s="1">
        <f ca="1">IFERROR(__xludf.DUMMYFUNCTION("""COMPUTED_VALUE"""),456.78)</f>
        <v>456.78</v>
      </c>
      <c r="X1067" s="1">
        <f ca="1">IFERROR(__xludf.DUMMYFUNCTION("""COMPUTED_VALUE"""),974.01)</f>
        <v>974.01</v>
      </c>
      <c r="Y1067" s="1">
        <f ca="1">IFERROR(__xludf.DUMMYFUNCTION("""COMPUTED_VALUE"""),136.69)</f>
        <v>136.69</v>
      </c>
      <c r="Z1067" s="1">
        <f ca="1">IFERROR(__xludf.DUMMYFUNCTION("""COMPUTED_VALUE"""),415.25)</f>
        <v>415.25</v>
      </c>
      <c r="AA1067" s="1">
        <f ca="1">IFERROR(__xludf.DUMMYFUNCTION("""COMPUTED_VALUE"""),27.78)</f>
        <v>27.78</v>
      </c>
      <c r="AB1067" s="1">
        <f ca="1">IFERROR(__xludf.DUMMYFUNCTION("""COMPUTED_VALUE"""),91.5)</f>
        <v>91.5</v>
      </c>
      <c r="AC1067" s="1">
        <f ca="1">IFERROR(__xludf.DUMMYFUNCTION("""COMPUTED_VALUE"""),179.59)</f>
        <v>179.59</v>
      </c>
    </row>
    <row r="1068" spans="1:29" x14ac:dyDescent="0.25">
      <c r="A1068" s="2">
        <f ca="1">IFERROR(__xludf.DUMMYFUNCTION("""COMPUTED_VALUE"""),45379.6666666666)</f>
        <v>45379.666666666599</v>
      </c>
      <c r="B1068" s="1">
        <f ca="1">IFERROR(__xludf.DUMMYFUNCTION("""COMPUTED_VALUE"""),171.48)</f>
        <v>171.48</v>
      </c>
      <c r="C1068" s="1">
        <f ca="1">IFERROR(__xludf.DUMMYFUNCTION("""COMPUTED_VALUE"""),420.72)</f>
        <v>420.72</v>
      </c>
      <c r="D1068" s="1">
        <f ca="1">IFERROR(__xludf.DUMMYFUNCTION("""COMPUTED_VALUE"""),180.38)</f>
        <v>180.38</v>
      </c>
      <c r="E1068" s="1">
        <f ca="1">IFERROR(__xludf.DUMMYFUNCTION("""COMPUTED_VALUE"""),90.36)</f>
        <v>90.36</v>
      </c>
      <c r="F1068" s="1">
        <f ca="1">IFERROR(__xludf.DUMMYFUNCTION("""COMPUTED_VALUE"""),485.58)</f>
        <v>485.58</v>
      </c>
      <c r="G1068" s="1">
        <f ca="1">IFERROR(__xludf.DUMMYFUNCTION("""COMPUTED_VALUE"""),152.26)</f>
        <v>152.26</v>
      </c>
      <c r="H1068" s="1">
        <f ca="1">IFERROR(__xludf.DUMMYFUNCTION("""COMPUTED_VALUE"""),175.79)</f>
        <v>175.79</v>
      </c>
      <c r="I1068" s="1">
        <f ca="1">IFERROR(__xludf.DUMMYFUNCTION("""COMPUTED_VALUE"""),175.01)</f>
        <v>175.01</v>
      </c>
      <c r="J1068" s="1">
        <f ca="1">IFERROR(__xludf.DUMMYFUNCTION("""COMPUTED_VALUE"""),732.63)</f>
        <v>732.63</v>
      </c>
      <c r="K1068" s="1">
        <f ca="1">IFERROR(__xludf.DUMMYFUNCTION("""COMPUTED_VALUE"""),132.54)</f>
        <v>132.54</v>
      </c>
      <c r="L1068" s="1">
        <f ca="1">IFERROR(__xludf.DUMMYFUNCTION("""COMPUTED_VALUE"""),504.6)</f>
        <v>504.6</v>
      </c>
      <c r="M1068" s="1">
        <f ca="1">IFERROR(__xludf.DUMMYFUNCTION("""COMPUTED_VALUE"""),607.33)</f>
        <v>607.33000000000004</v>
      </c>
      <c r="N1068" s="1">
        <f ca="1">IFERROR(__xludf.DUMMYFUNCTION("""COMPUTED_VALUE"""),200.3)</f>
        <v>200.3</v>
      </c>
      <c r="O1068" s="1">
        <f ca="1">IFERROR(__xludf.DUMMYFUNCTION("""COMPUTED_VALUE"""),279.08)</f>
        <v>279.08</v>
      </c>
      <c r="P1068" s="1">
        <f ca="1">IFERROR(__xludf.DUMMYFUNCTION("""COMPUTED_VALUE"""),158.19)</f>
        <v>158.19</v>
      </c>
      <c r="Q1068" s="1">
        <f ca="1">IFERROR(__xludf.DUMMYFUNCTION("""COMPUTED_VALUE"""),494.7)</f>
        <v>494.7</v>
      </c>
      <c r="R1068" s="1">
        <f ca="1">IFERROR(__xludf.DUMMYFUNCTION("""COMPUTED_VALUE"""),116.24)</f>
        <v>116.24</v>
      </c>
      <c r="S1068" s="1">
        <f ca="1">IFERROR(__xludf.DUMMYFUNCTION("""COMPUTED_VALUE"""),63.91)</f>
        <v>63.91</v>
      </c>
      <c r="T1068" s="1">
        <f ca="1">IFERROR(__xludf.DUMMYFUNCTION("""COMPUTED_VALUE"""),60.17)</f>
        <v>60.17</v>
      </c>
      <c r="U1068" s="1">
        <f ca="1">IFERROR(__xludf.DUMMYFUNCTION("""COMPUTED_VALUE"""),93.98)</f>
        <v>93.98</v>
      </c>
      <c r="V1068" s="1">
        <f ca="1">IFERROR(__xludf.DUMMYFUNCTION("""COMPUTED_VALUE"""),366.43)</f>
        <v>366.43</v>
      </c>
      <c r="W1068" s="1">
        <f ca="1">IFERROR(__xludf.DUMMYFUNCTION("""COMPUTED_VALUE"""),454.87)</f>
        <v>454.87</v>
      </c>
      <c r="X1068" s="1">
        <f ca="1">IFERROR(__xludf.DUMMYFUNCTION("""COMPUTED_VALUE"""),970.47)</f>
        <v>970.47</v>
      </c>
      <c r="Y1068" s="1">
        <f ca="1">IFERROR(__xludf.DUMMYFUNCTION("""COMPUTED_VALUE"""),136.05)</f>
        <v>136.05000000000001</v>
      </c>
      <c r="Z1068" s="1">
        <f ca="1">IFERROR(__xludf.DUMMYFUNCTION("""COMPUTED_VALUE"""),417.69)</f>
        <v>417.69</v>
      </c>
      <c r="AA1068" s="1">
        <f ca="1">IFERROR(__xludf.DUMMYFUNCTION("""COMPUTED_VALUE"""),27.75)</f>
        <v>27.75</v>
      </c>
      <c r="AB1068" s="1">
        <f ca="1">IFERROR(__xludf.DUMMYFUNCTION("""COMPUTED_VALUE"""),91.39)</f>
        <v>91.39</v>
      </c>
      <c r="AC1068" s="1">
        <f ca="1">IFERROR(__xludf.DUMMYFUNCTION("""COMPUTED_VALUE"""),180.49)</f>
        <v>180.49</v>
      </c>
    </row>
    <row r="1069" spans="1:29" x14ac:dyDescent="0.25">
      <c r="A1069" s="2">
        <f ca="1">IFERROR(__xludf.DUMMYFUNCTION("""COMPUTED_VALUE"""),45383.6666666666)</f>
        <v>45383.666666666599</v>
      </c>
      <c r="B1069" s="1">
        <f ca="1">IFERROR(__xludf.DUMMYFUNCTION("""COMPUTED_VALUE"""),170.03)</f>
        <v>170.03</v>
      </c>
      <c r="C1069" s="1">
        <f ca="1">IFERROR(__xludf.DUMMYFUNCTION("""COMPUTED_VALUE"""),424.57)</f>
        <v>424.57</v>
      </c>
      <c r="D1069" s="1">
        <f ca="1">IFERROR(__xludf.DUMMYFUNCTION("""COMPUTED_VALUE"""),180.97)</f>
        <v>180.97</v>
      </c>
      <c r="E1069" s="1">
        <f ca="1">IFERROR(__xludf.DUMMYFUNCTION("""COMPUTED_VALUE"""),90.36)</f>
        <v>90.36</v>
      </c>
      <c r="F1069" s="1">
        <f ca="1">IFERROR(__xludf.DUMMYFUNCTION("""COMPUTED_VALUE"""),491.35)</f>
        <v>491.35</v>
      </c>
      <c r="G1069" s="1">
        <f ca="1">IFERROR(__xludf.DUMMYFUNCTION("""COMPUTED_VALUE"""),156.5)</f>
        <v>156.5</v>
      </c>
      <c r="H1069" s="1">
        <f ca="1">IFERROR(__xludf.DUMMYFUNCTION("""COMPUTED_VALUE"""),175.22)</f>
        <v>175.22</v>
      </c>
      <c r="I1069" s="1">
        <f ca="1">IFERROR(__xludf.DUMMYFUNCTION("""COMPUTED_VALUE"""),172.98)</f>
        <v>172.98</v>
      </c>
      <c r="J1069" s="1">
        <f ca="1">IFERROR(__xludf.DUMMYFUNCTION("""COMPUTED_VALUE"""),721.24)</f>
        <v>721.24</v>
      </c>
      <c r="K1069" s="1">
        <f ca="1">IFERROR(__xludf.DUMMYFUNCTION("""COMPUTED_VALUE"""),135.03)</f>
        <v>135.03</v>
      </c>
      <c r="L1069" s="1">
        <f ca="1">IFERROR(__xludf.DUMMYFUNCTION("""COMPUTED_VALUE"""),502.09)</f>
        <v>502.09</v>
      </c>
      <c r="M1069" s="1">
        <f ca="1">IFERROR(__xludf.DUMMYFUNCTION("""COMPUTED_VALUE"""),614.31)</f>
        <v>614.30999999999995</v>
      </c>
      <c r="N1069" s="1">
        <f ca="1">IFERROR(__xludf.DUMMYFUNCTION("""COMPUTED_VALUE"""),198.94)</f>
        <v>198.94</v>
      </c>
      <c r="O1069" s="1">
        <f ca="1">IFERROR(__xludf.DUMMYFUNCTION("""COMPUTED_VALUE"""),278.28)</f>
        <v>278.27999999999997</v>
      </c>
      <c r="P1069" s="1">
        <f ca="1">IFERROR(__xludf.DUMMYFUNCTION("""COMPUTED_VALUE"""),157.78)</f>
        <v>157.78</v>
      </c>
      <c r="Q1069" s="1">
        <f ca="1">IFERROR(__xludf.DUMMYFUNCTION("""COMPUTED_VALUE"""),489.7)</f>
        <v>489.7</v>
      </c>
      <c r="R1069" s="1">
        <f ca="1">IFERROR(__xludf.DUMMYFUNCTION("""COMPUTED_VALUE"""),116.99)</f>
        <v>116.99</v>
      </c>
      <c r="S1069" s="1">
        <f ca="1">IFERROR(__xludf.DUMMYFUNCTION("""COMPUTED_VALUE"""),63.38)</f>
        <v>63.38</v>
      </c>
      <c r="T1069" s="1">
        <f ca="1">IFERROR(__xludf.DUMMYFUNCTION("""COMPUTED_VALUE"""),60)</f>
        <v>60</v>
      </c>
      <c r="U1069" s="1">
        <f ca="1">IFERROR(__xludf.DUMMYFUNCTION("""COMPUTED_VALUE"""),92.56)</f>
        <v>92.56</v>
      </c>
      <c r="V1069" s="1">
        <f ca="1">IFERROR(__xludf.DUMMYFUNCTION("""COMPUTED_VALUE"""),363.74)</f>
        <v>363.74</v>
      </c>
      <c r="W1069" s="1">
        <f ca="1">IFERROR(__xludf.DUMMYFUNCTION("""COMPUTED_VALUE"""),452.79)</f>
        <v>452.79</v>
      </c>
      <c r="X1069" s="1">
        <f ca="1">IFERROR(__xludf.DUMMYFUNCTION("""COMPUTED_VALUE"""),992.95)</f>
        <v>992.95</v>
      </c>
      <c r="Y1069" s="1">
        <f ca="1">IFERROR(__xludf.DUMMYFUNCTION("""COMPUTED_VALUE"""),141.49)</f>
        <v>141.49</v>
      </c>
      <c r="Z1069" s="1">
        <f ca="1">IFERROR(__xludf.DUMMYFUNCTION("""COMPUTED_VALUE"""),413.51)</f>
        <v>413.51</v>
      </c>
      <c r="AA1069" s="1">
        <f ca="1">IFERROR(__xludf.DUMMYFUNCTION("""COMPUTED_VALUE"""),27.72)</f>
        <v>27.72</v>
      </c>
      <c r="AB1069" s="1">
        <f ca="1">IFERROR(__xludf.DUMMYFUNCTION("""COMPUTED_VALUE"""),91.53)</f>
        <v>91.53</v>
      </c>
      <c r="AC1069" s="1">
        <f ca="1">IFERROR(__xludf.DUMMYFUNCTION("""COMPUTED_VALUE"""),183.34)</f>
        <v>183.34</v>
      </c>
    </row>
    <row r="1070" spans="1:29" x14ac:dyDescent="0.25">
      <c r="A1070" s="2">
        <f ca="1">IFERROR(__xludf.DUMMYFUNCTION("""COMPUTED_VALUE"""),45384.6666666666)</f>
        <v>45384.666666666599</v>
      </c>
      <c r="B1070" s="1">
        <f ca="1">IFERROR(__xludf.DUMMYFUNCTION("""COMPUTED_VALUE"""),168.84)</f>
        <v>168.84</v>
      </c>
      <c r="C1070" s="1">
        <f ca="1">IFERROR(__xludf.DUMMYFUNCTION("""COMPUTED_VALUE"""),421.44)</f>
        <v>421.44</v>
      </c>
      <c r="D1070" s="1">
        <f ca="1">IFERROR(__xludf.DUMMYFUNCTION("""COMPUTED_VALUE"""),180.69)</f>
        <v>180.69</v>
      </c>
      <c r="E1070" s="1">
        <f ca="1">IFERROR(__xludf.DUMMYFUNCTION("""COMPUTED_VALUE"""),89.45)</f>
        <v>89.45</v>
      </c>
      <c r="F1070" s="1">
        <f ca="1">IFERROR(__xludf.DUMMYFUNCTION("""COMPUTED_VALUE"""),497.37)</f>
        <v>497.37</v>
      </c>
      <c r="G1070" s="1">
        <f ca="1">IFERROR(__xludf.DUMMYFUNCTION("""COMPUTED_VALUE"""),155.87)</f>
        <v>155.87</v>
      </c>
      <c r="H1070" s="1">
        <f ca="1">IFERROR(__xludf.DUMMYFUNCTION("""COMPUTED_VALUE"""),166.63)</f>
        <v>166.63</v>
      </c>
      <c r="I1070" s="1">
        <f ca="1">IFERROR(__xludf.DUMMYFUNCTION("""COMPUTED_VALUE"""),171.44)</f>
        <v>171.44</v>
      </c>
      <c r="J1070" s="1">
        <f ca="1">IFERROR(__xludf.DUMMYFUNCTION("""COMPUTED_VALUE"""),711.3)</f>
        <v>711.3</v>
      </c>
      <c r="K1070" s="1">
        <f ca="1">IFERROR(__xludf.DUMMYFUNCTION("""COMPUTED_VALUE"""),133.88)</f>
        <v>133.88</v>
      </c>
      <c r="L1070" s="1">
        <f ca="1">IFERROR(__xludf.DUMMYFUNCTION("""COMPUTED_VALUE"""),499.21)</f>
        <v>499.21</v>
      </c>
      <c r="M1070" s="1">
        <f ca="1">IFERROR(__xludf.DUMMYFUNCTION("""COMPUTED_VALUE"""),614.21)</f>
        <v>614.21</v>
      </c>
      <c r="N1070" s="1">
        <f ca="1">IFERROR(__xludf.DUMMYFUNCTION("""COMPUTED_VALUE"""),198.86)</f>
        <v>198.86</v>
      </c>
      <c r="O1070" s="1">
        <f ca="1">IFERROR(__xludf.DUMMYFUNCTION("""COMPUTED_VALUE"""),278.44)</f>
        <v>278.44</v>
      </c>
      <c r="P1070" s="1">
        <f ca="1">IFERROR(__xludf.DUMMYFUNCTION("""COMPUTED_VALUE"""),157.73)</f>
        <v>157.72999999999999</v>
      </c>
      <c r="Q1070" s="1">
        <f ca="1">IFERROR(__xludf.DUMMYFUNCTION("""COMPUTED_VALUE"""),458.14)</f>
        <v>458.14</v>
      </c>
      <c r="R1070" s="1">
        <f ca="1">IFERROR(__xludf.DUMMYFUNCTION("""COMPUTED_VALUE"""),119.28)</f>
        <v>119.28</v>
      </c>
      <c r="S1070" s="1">
        <f ca="1">IFERROR(__xludf.DUMMYFUNCTION("""COMPUTED_VALUE"""),62.88)</f>
        <v>62.88</v>
      </c>
      <c r="T1070" s="1">
        <f ca="1">IFERROR(__xludf.DUMMYFUNCTION("""COMPUTED_VALUE"""),59.16)</f>
        <v>59.16</v>
      </c>
      <c r="U1070" s="1">
        <f ca="1">IFERROR(__xludf.DUMMYFUNCTION("""COMPUTED_VALUE"""),90.95)</f>
        <v>90.95</v>
      </c>
      <c r="V1070" s="1">
        <f ca="1">IFERROR(__xludf.DUMMYFUNCTION("""COMPUTED_VALUE"""),364.83)</f>
        <v>364.83</v>
      </c>
      <c r="W1070" s="1">
        <f ca="1">IFERROR(__xludf.DUMMYFUNCTION("""COMPUTED_VALUE"""),453.24)</f>
        <v>453.24</v>
      </c>
      <c r="X1070" s="1">
        <f ca="1">IFERROR(__xludf.DUMMYFUNCTION("""COMPUTED_VALUE"""),966.71)</f>
        <v>966.71</v>
      </c>
      <c r="Y1070" s="1">
        <f ca="1">IFERROR(__xludf.DUMMYFUNCTION("""COMPUTED_VALUE"""),140.22)</f>
        <v>140.22</v>
      </c>
      <c r="Z1070" s="1">
        <f ca="1">IFERROR(__xludf.DUMMYFUNCTION("""COMPUTED_VALUE"""),410.15)</f>
        <v>410.15</v>
      </c>
      <c r="AA1070" s="1">
        <f ca="1">IFERROR(__xludf.DUMMYFUNCTION("""COMPUTED_VALUE"""),27.55)</f>
        <v>27.55</v>
      </c>
      <c r="AB1070" s="1">
        <f ca="1">IFERROR(__xludf.DUMMYFUNCTION("""COMPUTED_VALUE"""),89.3)</f>
        <v>89.3</v>
      </c>
      <c r="AC1070" s="1">
        <f ca="1">IFERROR(__xludf.DUMMYFUNCTION("""COMPUTED_VALUE"""),178.7)</f>
        <v>178.7</v>
      </c>
    </row>
    <row r="1071" spans="1:29" x14ac:dyDescent="0.25">
      <c r="A1071" s="2">
        <f ca="1">IFERROR(__xludf.DUMMYFUNCTION("""COMPUTED_VALUE"""),45385.6666666666)</f>
        <v>45385.666666666599</v>
      </c>
      <c r="B1071" s="1">
        <f ca="1">IFERROR(__xludf.DUMMYFUNCTION("""COMPUTED_VALUE"""),169.65)</f>
        <v>169.65</v>
      </c>
      <c r="C1071" s="1">
        <f ca="1">IFERROR(__xludf.DUMMYFUNCTION("""COMPUTED_VALUE"""),420.45)</f>
        <v>420.45</v>
      </c>
      <c r="D1071" s="1">
        <f ca="1">IFERROR(__xludf.DUMMYFUNCTION("""COMPUTED_VALUE"""),182.41)</f>
        <v>182.41</v>
      </c>
      <c r="E1071" s="1">
        <f ca="1">IFERROR(__xludf.DUMMYFUNCTION("""COMPUTED_VALUE"""),88.96)</f>
        <v>88.96</v>
      </c>
      <c r="F1071" s="1">
        <f ca="1">IFERROR(__xludf.DUMMYFUNCTION("""COMPUTED_VALUE"""),506.74)</f>
        <v>506.74</v>
      </c>
      <c r="G1071" s="1">
        <f ca="1">IFERROR(__xludf.DUMMYFUNCTION("""COMPUTED_VALUE"""),156.37)</f>
        <v>156.37</v>
      </c>
      <c r="H1071" s="1">
        <f ca="1">IFERROR(__xludf.DUMMYFUNCTION("""COMPUTED_VALUE"""),168.38)</f>
        <v>168.38</v>
      </c>
      <c r="I1071" s="1">
        <f ca="1">IFERROR(__xludf.DUMMYFUNCTION("""COMPUTED_VALUE"""),169.68)</f>
        <v>169.68</v>
      </c>
      <c r="J1071" s="1">
        <f ca="1">IFERROR(__xludf.DUMMYFUNCTION("""COMPUTED_VALUE"""),705.69)</f>
        <v>705.69</v>
      </c>
      <c r="K1071" s="1">
        <f ca="1">IFERROR(__xludf.DUMMYFUNCTION("""COMPUTED_VALUE"""),136.32)</f>
        <v>136.32</v>
      </c>
      <c r="L1071" s="1">
        <f ca="1">IFERROR(__xludf.DUMMYFUNCTION("""COMPUTED_VALUE"""),497.01)</f>
        <v>497.01</v>
      </c>
      <c r="M1071" s="1">
        <f ca="1">IFERROR(__xludf.DUMMYFUNCTION("""COMPUTED_VALUE"""),630.08)</f>
        <v>630.08000000000004</v>
      </c>
      <c r="N1071" s="1">
        <f ca="1">IFERROR(__xludf.DUMMYFUNCTION("""COMPUTED_VALUE"""),198.3)</f>
        <v>198.3</v>
      </c>
      <c r="O1071" s="1">
        <f ca="1">IFERROR(__xludf.DUMMYFUNCTION("""COMPUTED_VALUE"""),276.96)</f>
        <v>276.95999999999998</v>
      </c>
      <c r="P1071" s="1">
        <f ca="1">IFERROR(__xludf.DUMMYFUNCTION("""COMPUTED_VALUE"""),154.26)</f>
        <v>154.26</v>
      </c>
      <c r="Q1071" s="1">
        <f ca="1">IFERROR(__xludf.DUMMYFUNCTION("""COMPUTED_VALUE"""),459.74)</f>
        <v>459.74</v>
      </c>
      <c r="R1071" s="1">
        <f ca="1">IFERROR(__xludf.DUMMYFUNCTION("""COMPUTED_VALUE"""),119.3)</f>
        <v>119.3</v>
      </c>
      <c r="S1071" s="1">
        <f ca="1">IFERROR(__xludf.DUMMYFUNCTION("""COMPUTED_VALUE"""),62.55)</f>
        <v>62.55</v>
      </c>
      <c r="T1071" s="1">
        <f ca="1">IFERROR(__xludf.DUMMYFUNCTION("""COMPUTED_VALUE"""),59.43)</f>
        <v>59.43</v>
      </c>
      <c r="U1071" s="1">
        <f ca="1">IFERROR(__xludf.DUMMYFUNCTION("""COMPUTED_VALUE"""),90.33)</f>
        <v>90.33</v>
      </c>
      <c r="V1071" s="1">
        <f ca="1">IFERROR(__xludf.DUMMYFUNCTION("""COMPUTED_VALUE"""),375.79)</f>
        <v>375.79</v>
      </c>
      <c r="W1071" s="1">
        <f ca="1">IFERROR(__xludf.DUMMYFUNCTION("""COMPUTED_VALUE"""),447.9)</f>
        <v>447.9</v>
      </c>
      <c r="X1071" s="1">
        <f ca="1">IFERROR(__xludf.DUMMYFUNCTION("""COMPUTED_VALUE"""),980.27)</f>
        <v>980.27</v>
      </c>
      <c r="Y1071" s="1">
        <f ca="1">IFERROR(__xludf.DUMMYFUNCTION("""COMPUTED_VALUE"""),142)</f>
        <v>142</v>
      </c>
      <c r="Z1071" s="1">
        <f ca="1">IFERROR(__xludf.DUMMYFUNCTION("""COMPUTED_VALUE"""),414)</f>
        <v>414</v>
      </c>
      <c r="AA1071" s="1">
        <f ca="1">IFERROR(__xludf.DUMMYFUNCTION("""COMPUTED_VALUE"""),27.22)</f>
        <v>27.22</v>
      </c>
      <c r="AB1071" s="1">
        <f ca="1">IFERROR(__xludf.DUMMYFUNCTION("""COMPUTED_VALUE"""),88.7)</f>
        <v>88.7</v>
      </c>
      <c r="AC1071" s="1">
        <f ca="1">IFERROR(__xludf.DUMMYFUNCTION("""COMPUTED_VALUE"""),180.77)</f>
        <v>180.77</v>
      </c>
    </row>
    <row r="1072" spans="1:29" x14ac:dyDescent="0.25">
      <c r="A1072" s="2">
        <f ca="1">IFERROR(__xludf.DUMMYFUNCTION("""COMPUTED_VALUE"""),45386.6666666666)</f>
        <v>45386.666666666599</v>
      </c>
      <c r="B1072" s="1">
        <f ca="1">IFERROR(__xludf.DUMMYFUNCTION("""COMPUTED_VALUE"""),168.82)</f>
        <v>168.82</v>
      </c>
      <c r="C1072" s="1">
        <f ca="1">IFERROR(__xludf.DUMMYFUNCTION("""COMPUTED_VALUE"""),417.88)</f>
        <v>417.88</v>
      </c>
      <c r="D1072" s="1">
        <f ca="1">IFERROR(__xludf.DUMMYFUNCTION("""COMPUTED_VALUE"""),180)</f>
        <v>180</v>
      </c>
      <c r="E1072" s="1">
        <f ca="1">IFERROR(__xludf.DUMMYFUNCTION("""COMPUTED_VALUE"""),85.91)</f>
        <v>85.91</v>
      </c>
      <c r="F1072" s="1">
        <f ca="1">IFERROR(__xludf.DUMMYFUNCTION("""COMPUTED_VALUE"""),510.92)</f>
        <v>510.92</v>
      </c>
      <c r="G1072" s="1">
        <f ca="1">IFERROR(__xludf.DUMMYFUNCTION("""COMPUTED_VALUE"""),151.94)</f>
        <v>151.94</v>
      </c>
      <c r="H1072" s="1">
        <f ca="1">IFERROR(__xludf.DUMMYFUNCTION("""COMPUTED_VALUE"""),171.11)</f>
        <v>171.11</v>
      </c>
      <c r="I1072" s="1">
        <f ca="1">IFERROR(__xludf.DUMMYFUNCTION("""COMPUTED_VALUE"""),169.65)</f>
        <v>169.65</v>
      </c>
      <c r="J1072" s="1">
        <f ca="1">IFERROR(__xludf.DUMMYFUNCTION("""COMPUTED_VALUE"""),704.88)</f>
        <v>704.88</v>
      </c>
      <c r="K1072" s="1">
        <f ca="1">IFERROR(__xludf.DUMMYFUNCTION("""COMPUTED_VALUE"""),131.75)</f>
        <v>131.75</v>
      </c>
      <c r="L1072" s="1">
        <f ca="1">IFERROR(__xludf.DUMMYFUNCTION("""COMPUTED_VALUE"""),487.11)</f>
        <v>487.11</v>
      </c>
      <c r="M1072" s="1">
        <f ca="1">IFERROR(__xludf.DUMMYFUNCTION("""COMPUTED_VALUE"""),617.14)</f>
        <v>617.14</v>
      </c>
      <c r="N1072" s="1">
        <f ca="1">IFERROR(__xludf.DUMMYFUNCTION("""COMPUTED_VALUE"""),195.65)</f>
        <v>195.65</v>
      </c>
      <c r="O1072" s="1">
        <f ca="1">IFERROR(__xludf.DUMMYFUNCTION("""COMPUTED_VALUE"""),274)</f>
        <v>274</v>
      </c>
      <c r="P1072" s="1">
        <f ca="1">IFERROR(__xludf.DUMMYFUNCTION("""COMPUTED_VALUE"""),152.5)</f>
        <v>152.5</v>
      </c>
      <c r="Q1072" s="1">
        <f ca="1">IFERROR(__xludf.DUMMYFUNCTION("""COMPUTED_VALUE"""),455.38)</f>
        <v>455.38</v>
      </c>
      <c r="R1072" s="1">
        <f ca="1">IFERROR(__xludf.DUMMYFUNCTION("""COMPUTED_VALUE"""),119.72)</f>
        <v>119.72</v>
      </c>
      <c r="S1072" s="1">
        <f ca="1">IFERROR(__xludf.DUMMYFUNCTION("""COMPUTED_VALUE"""),63.73)</f>
        <v>63.73</v>
      </c>
      <c r="T1072" s="1">
        <f ca="1">IFERROR(__xludf.DUMMYFUNCTION("""COMPUTED_VALUE"""),59.5)</f>
        <v>59.5</v>
      </c>
      <c r="U1072" s="1">
        <f ca="1">IFERROR(__xludf.DUMMYFUNCTION("""COMPUTED_VALUE"""),89.07)</f>
        <v>89.07</v>
      </c>
      <c r="V1072" s="1">
        <f ca="1">IFERROR(__xludf.DUMMYFUNCTION("""COMPUTED_VALUE"""),369.79)</f>
        <v>369.79</v>
      </c>
      <c r="W1072" s="1">
        <f ca="1">IFERROR(__xludf.DUMMYFUNCTION("""COMPUTED_VALUE"""),454.04)</f>
        <v>454.04</v>
      </c>
      <c r="X1072" s="1">
        <f ca="1">IFERROR(__xludf.DUMMYFUNCTION("""COMPUTED_VALUE"""),953.41)</f>
        <v>953.41</v>
      </c>
      <c r="Y1072" s="1">
        <f ca="1">IFERROR(__xludf.DUMMYFUNCTION("""COMPUTED_VALUE"""),139.66)</f>
        <v>139.66</v>
      </c>
      <c r="Z1072" s="1">
        <f ca="1">IFERROR(__xludf.DUMMYFUNCTION("""COMPUTED_VALUE"""),406.25)</f>
        <v>406.25</v>
      </c>
      <c r="AA1072" s="1">
        <f ca="1">IFERROR(__xludf.DUMMYFUNCTION("""COMPUTED_VALUE"""),26.65)</f>
        <v>26.65</v>
      </c>
      <c r="AB1072" s="1">
        <f ca="1">IFERROR(__xludf.DUMMYFUNCTION("""COMPUTED_VALUE"""),87.62)</f>
        <v>87.62</v>
      </c>
      <c r="AC1072" s="1">
        <f ca="1">IFERROR(__xludf.DUMMYFUNCTION("""COMPUTED_VALUE"""),165.83)</f>
        <v>165.83</v>
      </c>
    </row>
    <row r="1073" spans="1:29" x14ac:dyDescent="0.25">
      <c r="A1073" s="2">
        <f ca="1">IFERROR(__xludf.DUMMYFUNCTION("""COMPUTED_VALUE"""),45387.6666666666)</f>
        <v>45387.666666666599</v>
      </c>
      <c r="B1073" s="1">
        <f ca="1">IFERROR(__xludf.DUMMYFUNCTION("""COMPUTED_VALUE"""),169.58)</f>
        <v>169.58</v>
      </c>
      <c r="C1073" s="1">
        <f ca="1">IFERROR(__xludf.DUMMYFUNCTION("""COMPUTED_VALUE"""),425.52)</f>
        <v>425.52</v>
      </c>
      <c r="D1073" s="1">
        <f ca="1">IFERROR(__xludf.DUMMYFUNCTION("""COMPUTED_VALUE"""),185.07)</f>
        <v>185.07</v>
      </c>
      <c r="E1073" s="1">
        <f ca="1">IFERROR(__xludf.DUMMYFUNCTION("""COMPUTED_VALUE"""),88.01)</f>
        <v>88.01</v>
      </c>
      <c r="F1073" s="1">
        <f ca="1">IFERROR(__xludf.DUMMYFUNCTION("""COMPUTED_VALUE"""),527.34)</f>
        <v>527.34</v>
      </c>
      <c r="G1073" s="1">
        <f ca="1">IFERROR(__xludf.DUMMYFUNCTION("""COMPUTED_VALUE"""),153.94)</f>
        <v>153.94</v>
      </c>
      <c r="H1073" s="1">
        <f ca="1">IFERROR(__xludf.DUMMYFUNCTION("""COMPUTED_VALUE"""),164.9)</f>
        <v>164.9</v>
      </c>
      <c r="I1073" s="1">
        <f ca="1">IFERROR(__xludf.DUMMYFUNCTION("""COMPUTED_VALUE"""),169.14)</f>
        <v>169.14</v>
      </c>
      <c r="J1073" s="1">
        <f ca="1">IFERROR(__xludf.DUMMYFUNCTION("""COMPUTED_VALUE"""),713.72)</f>
        <v>713.72</v>
      </c>
      <c r="K1073" s="1">
        <f ca="1">IFERROR(__xludf.DUMMYFUNCTION("""COMPUTED_VALUE"""),133.94)</f>
        <v>133.94</v>
      </c>
      <c r="L1073" s="1">
        <f ca="1">IFERROR(__xludf.DUMMYFUNCTION("""COMPUTED_VALUE"""),485.12)</f>
        <v>485.12</v>
      </c>
      <c r="M1073" s="1">
        <f ca="1">IFERROR(__xludf.DUMMYFUNCTION("""COMPUTED_VALUE"""),636.18)</f>
        <v>636.17999999999995</v>
      </c>
      <c r="N1073" s="1">
        <f ca="1">IFERROR(__xludf.DUMMYFUNCTION("""COMPUTED_VALUE"""),197.45)</f>
        <v>197.45</v>
      </c>
      <c r="O1073" s="1">
        <f ca="1">IFERROR(__xludf.DUMMYFUNCTION("""COMPUTED_VALUE"""),277.14)</f>
        <v>277.14</v>
      </c>
      <c r="P1073" s="1">
        <f ca="1">IFERROR(__xludf.DUMMYFUNCTION("""COMPUTED_VALUE"""),152.39)</f>
        <v>152.38999999999999</v>
      </c>
      <c r="Q1073" s="1">
        <f ca="1">IFERROR(__xludf.DUMMYFUNCTION("""COMPUTED_VALUE"""),455.74)</f>
        <v>455.74</v>
      </c>
      <c r="R1073" s="1">
        <f ca="1">IFERROR(__xludf.DUMMYFUNCTION("""COMPUTED_VALUE"""),121.37)</f>
        <v>121.37</v>
      </c>
      <c r="S1073" s="1">
        <f ca="1">IFERROR(__xludf.DUMMYFUNCTION("""COMPUTED_VALUE"""),64.18)</f>
        <v>64.180000000000007</v>
      </c>
      <c r="T1073" s="1">
        <f ca="1">IFERROR(__xludf.DUMMYFUNCTION("""COMPUTED_VALUE"""),59.85)</f>
        <v>59.85</v>
      </c>
      <c r="U1073" s="1">
        <f ca="1">IFERROR(__xludf.DUMMYFUNCTION("""COMPUTED_VALUE"""),88.84)</f>
        <v>88.84</v>
      </c>
      <c r="V1073" s="1">
        <f ca="1">IFERROR(__xludf.DUMMYFUNCTION("""COMPUTED_VALUE"""),379.3)</f>
        <v>379.3</v>
      </c>
      <c r="W1073" s="1">
        <f ca="1">IFERROR(__xludf.DUMMYFUNCTION("""COMPUTED_VALUE"""),455.38)</f>
        <v>455.38</v>
      </c>
      <c r="X1073" s="1">
        <f ca="1">IFERROR(__xludf.DUMMYFUNCTION("""COMPUTED_VALUE"""),979.55)</f>
        <v>979.55</v>
      </c>
      <c r="Y1073" s="1">
        <f ca="1">IFERROR(__xludf.DUMMYFUNCTION("""COMPUTED_VALUE"""),141.36)</f>
        <v>141.36000000000001</v>
      </c>
      <c r="Z1073" s="1">
        <f ca="1">IFERROR(__xludf.DUMMYFUNCTION("""COMPUTED_VALUE"""),408.07)</f>
        <v>408.07</v>
      </c>
      <c r="AA1073" s="1">
        <f ca="1">IFERROR(__xludf.DUMMYFUNCTION("""COMPUTED_VALUE"""),26.66)</f>
        <v>26.66</v>
      </c>
      <c r="AB1073" s="1">
        <f ca="1">IFERROR(__xludf.DUMMYFUNCTION("""COMPUTED_VALUE"""),86.85)</f>
        <v>86.85</v>
      </c>
      <c r="AC1073" s="1">
        <f ca="1">IFERROR(__xludf.DUMMYFUNCTION("""COMPUTED_VALUE"""),170.42)</f>
        <v>170.42</v>
      </c>
    </row>
    <row r="1074" spans="1:29" x14ac:dyDescent="0.25">
      <c r="A1074" s="2">
        <f ca="1">IFERROR(__xludf.DUMMYFUNCTION("""COMPUTED_VALUE"""),45390.6666666666)</f>
        <v>45390.666666666599</v>
      </c>
      <c r="B1074" s="1">
        <f ca="1">IFERROR(__xludf.DUMMYFUNCTION("""COMPUTED_VALUE"""),168.45)</f>
        <v>168.45</v>
      </c>
      <c r="C1074" s="1">
        <f ca="1">IFERROR(__xludf.DUMMYFUNCTION("""COMPUTED_VALUE"""),424.59)</f>
        <v>424.59</v>
      </c>
      <c r="D1074" s="1">
        <f ca="1">IFERROR(__xludf.DUMMYFUNCTION("""COMPUTED_VALUE"""),185.19)</f>
        <v>185.19</v>
      </c>
      <c r="E1074" s="1">
        <f ca="1">IFERROR(__xludf.DUMMYFUNCTION("""COMPUTED_VALUE"""),87.13)</f>
        <v>87.13</v>
      </c>
      <c r="F1074" s="1">
        <f ca="1">IFERROR(__xludf.DUMMYFUNCTION("""COMPUTED_VALUE"""),519.25)</f>
        <v>519.25</v>
      </c>
      <c r="G1074" s="1">
        <f ca="1">IFERROR(__xludf.DUMMYFUNCTION("""COMPUTED_VALUE"""),156.14)</f>
        <v>156.13999999999999</v>
      </c>
      <c r="H1074" s="1">
        <f ca="1">IFERROR(__xludf.DUMMYFUNCTION("""COMPUTED_VALUE"""),172.98)</f>
        <v>172.98</v>
      </c>
      <c r="I1074" s="1">
        <f ca="1">IFERROR(__xludf.DUMMYFUNCTION("""COMPUTED_VALUE"""),169.58)</f>
        <v>169.58</v>
      </c>
      <c r="J1074" s="1">
        <f ca="1">IFERROR(__xludf.DUMMYFUNCTION("""COMPUTED_VALUE"""),711.81)</f>
        <v>711.81</v>
      </c>
      <c r="K1074" s="1">
        <f ca="1">IFERROR(__xludf.DUMMYFUNCTION("""COMPUTED_VALUE"""),133.61)</f>
        <v>133.61000000000001</v>
      </c>
      <c r="L1074" s="1">
        <f ca="1">IFERROR(__xludf.DUMMYFUNCTION("""COMPUTED_VALUE"""),484.28)</f>
        <v>484.28</v>
      </c>
      <c r="M1074" s="1">
        <f ca="1">IFERROR(__xludf.DUMMYFUNCTION("""COMPUTED_VALUE"""),628.41)</f>
        <v>628.41</v>
      </c>
      <c r="N1074" s="1">
        <f ca="1">IFERROR(__xludf.DUMMYFUNCTION("""COMPUTED_VALUE"""),198.48)</f>
        <v>198.48</v>
      </c>
      <c r="O1074" s="1">
        <f ca="1">IFERROR(__xludf.DUMMYFUNCTION("""COMPUTED_VALUE"""),277.76)</f>
        <v>277.76</v>
      </c>
      <c r="P1074" s="1">
        <f ca="1">IFERROR(__xludf.DUMMYFUNCTION("""COMPUTED_VALUE"""),151.59)</f>
        <v>151.59</v>
      </c>
      <c r="Q1074" s="1">
        <f ca="1">IFERROR(__xludf.DUMMYFUNCTION("""COMPUTED_VALUE"""),456)</f>
        <v>456</v>
      </c>
      <c r="R1074" s="1">
        <f ca="1">IFERROR(__xludf.DUMMYFUNCTION("""COMPUTED_VALUE"""),120.55)</f>
        <v>120.55</v>
      </c>
      <c r="S1074" s="1">
        <f ca="1">IFERROR(__xludf.DUMMYFUNCTION("""COMPUTED_VALUE"""),64.86)</f>
        <v>64.86</v>
      </c>
      <c r="T1074" s="1">
        <f ca="1">IFERROR(__xludf.DUMMYFUNCTION("""COMPUTED_VALUE"""),59.78)</f>
        <v>59.78</v>
      </c>
      <c r="U1074" s="1">
        <f ca="1">IFERROR(__xludf.DUMMYFUNCTION("""COMPUTED_VALUE"""),90)</f>
        <v>90</v>
      </c>
      <c r="V1074" s="1">
        <f ca="1">IFERROR(__xludf.DUMMYFUNCTION("""COMPUTED_VALUE"""),373.47)</f>
        <v>373.47</v>
      </c>
      <c r="W1074" s="1">
        <f ca="1">IFERROR(__xludf.DUMMYFUNCTION("""COMPUTED_VALUE"""),452.38)</f>
        <v>452.38</v>
      </c>
      <c r="X1074" s="1">
        <f ca="1">IFERROR(__xludf.DUMMYFUNCTION("""COMPUTED_VALUE"""),982.71)</f>
        <v>982.71</v>
      </c>
      <c r="Y1074" s="1">
        <f ca="1">IFERROR(__xludf.DUMMYFUNCTION("""COMPUTED_VALUE"""),142.79)</f>
        <v>142.79</v>
      </c>
      <c r="Z1074" s="1">
        <f ca="1">IFERROR(__xludf.DUMMYFUNCTION("""COMPUTED_VALUE"""),410.54)</f>
        <v>410.54</v>
      </c>
      <c r="AA1074" s="1">
        <f ca="1">IFERROR(__xludf.DUMMYFUNCTION("""COMPUTED_VALUE"""),26.58)</f>
        <v>26.58</v>
      </c>
      <c r="AB1074" s="1">
        <f ca="1">IFERROR(__xludf.DUMMYFUNCTION("""COMPUTED_VALUE"""),87.19)</f>
        <v>87.19</v>
      </c>
      <c r="AC1074" s="1">
        <f ca="1">IFERROR(__xludf.DUMMYFUNCTION("""COMPUTED_VALUE"""),169.9)</f>
        <v>169.9</v>
      </c>
    </row>
    <row r="1075" spans="1:29" x14ac:dyDescent="0.25">
      <c r="A1075" s="2">
        <f ca="1">IFERROR(__xludf.DUMMYFUNCTION("""COMPUTED_VALUE"""),45391.6666666666)</f>
        <v>45391.666666666599</v>
      </c>
      <c r="B1075" s="1">
        <f ca="1">IFERROR(__xludf.DUMMYFUNCTION("""COMPUTED_VALUE"""),169.67)</f>
        <v>169.67</v>
      </c>
      <c r="C1075" s="1">
        <f ca="1">IFERROR(__xludf.DUMMYFUNCTION("""COMPUTED_VALUE"""),426.28)</f>
        <v>426.28</v>
      </c>
      <c r="D1075" s="1">
        <f ca="1">IFERROR(__xludf.DUMMYFUNCTION("""COMPUTED_VALUE"""),185.67)</f>
        <v>185.67</v>
      </c>
      <c r="E1075" s="1">
        <f ca="1">IFERROR(__xludf.DUMMYFUNCTION("""COMPUTED_VALUE"""),85.35)</f>
        <v>85.35</v>
      </c>
      <c r="F1075" s="1">
        <f ca="1">IFERROR(__xludf.DUMMYFUNCTION("""COMPUTED_VALUE"""),516.9)</f>
        <v>516.9</v>
      </c>
      <c r="G1075" s="1">
        <f ca="1">IFERROR(__xludf.DUMMYFUNCTION("""COMPUTED_VALUE"""),158.14)</f>
        <v>158.13999999999999</v>
      </c>
      <c r="H1075" s="1">
        <f ca="1">IFERROR(__xludf.DUMMYFUNCTION("""COMPUTED_VALUE"""),176.88)</f>
        <v>176.88</v>
      </c>
      <c r="I1075" s="1">
        <f ca="1">IFERROR(__xludf.DUMMYFUNCTION("""COMPUTED_VALUE"""),170.61)</f>
        <v>170.61</v>
      </c>
      <c r="J1075" s="1">
        <f ca="1">IFERROR(__xludf.DUMMYFUNCTION("""COMPUTED_VALUE"""),718.59)</f>
        <v>718.59</v>
      </c>
      <c r="K1075" s="1">
        <f ca="1">IFERROR(__xludf.DUMMYFUNCTION("""COMPUTED_VALUE"""),133.41)</f>
        <v>133.41</v>
      </c>
      <c r="L1075" s="1">
        <f ca="1">IFERROR(__xludf.DUMMYFUNCTION("""COMPUTED_VALUE"""),492.55)</f>
        <v>492.55</v>
      </c>
      <c r="M1075" s="1">
        <f ca="1">IFERROR(__xludf.DUMMYFUNCTION("""COMPUTED_VALUE"""),618.2)</f>
        <v>618.20000000000005</v>
      </c>
      <c r="N1075" s="1">
        <f ca="1">IFERROR(__xludf.DUMMYFUNCTION("""COMPUTED_VALUE"""),197.15)</f>
        <v>197.15</v>
      </c>
      <c r="O1075" s="1">
        <f ca="1">IFERROR(__xludf.DUMMYFUNCTION("""COMPUTED_VALUE"""),276.72)</f>
        <v>276.72000000000003</v>
      </c>
      <c r="P1075" s="1">
        <f ca="1">IFERROR(__xludf.DUMMYFUNCTION("""COMPUTED_VALUE"""),152.29)</f>
        <v>152.29</v>
      </c>
      <c r="Q1075" s="1">
        <f ca="1">IFERROR(__xludf.DUMMYFUNCTION("""COMPUTED_VALUE"""),459.72)</f>
        <v>459.72</v>
      </c>
      <c r="R1075" s="1">
        <f ca="1">IFERROR(__xludf.DUMMYFUNCTION("""COMPUTED_VALUE"""),121.18)</f>
        <v>121.18</v>
      </c>
      <c r="S1075" s="1">
        <f ca="1">IFERROR(__xludf.DUMMYFUNCTION("""COMPUTED_VALUE"""),65.38)</f>
        <v>65.38</v>
      </c>
      <c r="T1075" s="1">
        <f ca="1">IFERROR(__xludf.DUMMYFUNCTION("""COMPUTED_VALUE"""),59.79)</f>
        <v>59.79</v>
      </c>
      <c r="U1075" s="1">
        <f ca="1">IFERROR(__xludf.DUMMYFUNCTION("""COMPUTED_VALUE"""),91)</f>
        <v>91</v>
      </c>
      <c r="V1075" s="1">
        <f ca="1">IFERROR(__xludf.DUMMYFUNCTION("""COMPUTED_VALUE"""),371.9)</f>
        <v>371.9</v>
      </c>
      <c r="W1075" s="1">
        <f ca="1">IFERROR(__xludf.DUMMYFUNCTION("""COMPUTED_VALUE"""),447.57)</f>
        <v>447.57</v>
      </c>
      <c r="X1075" s="1">
        <f ca="1">IFERROR(__xludf.DUMMYFUNCTION("""COMPUTED_VALUE"""),989.83)</f>
        <v>989.83</v>
      </c>
      <c r="Y1075" s="1">
        <f ca="1">IFERROR(__xludf.DUMMYFUNCTION("""COMPUTED_VALUE"""),145.4)</f>
        <v>145.4</v>
      </c>
      <c r="Z1075" s="1">
        <f ca="1">IFERROR(__xludf.DUMMYFUNCTION("""COMPUTED_VALUE"""),410.71)</f>
        <v>410.71</v>
      </c>
      <c r="AA1075" s="1">
        <f ca="1">IFERROR(__xludf.DUMMYFUNCTION("""COMPUTED_VALUE"""),26.78)</f>
        <v>26.78</v>
      </c>
      <c r="AB1075" s="1">
        <f ca="1">IFERROR(__xludf.DUMMYFUNCTION("""COMPUTED_VALUE"""),87.13)</f>
        <v>87.13</v>
      </c>
      <c r="AC1075" s="1">
        <f ca="1">IFERROR(__xludf.DUMMYFUNCTION("""COMPUTED_VALUE"""),170.78)</f>
        <v>170.78</v>
      </c>
    </row>
    <row r="1076" spans="1:29" x14ac:dyDescent="0.25">
      <c r="A1076" s="2">
        <f ca="1">IFERROR(__xludf.DUMMYFUNCTION("""COMPUTED_VALUE"""),45392.6666666666)</f>
        <v>45392.666666666599</v>
      </c>
      <c r="B1076" s="1">
        <f ca="1">IFERROR(__xludf.DUMMYFUNCTION("""COMPUTED_VALUE"""),167.78)</f>
        <v>167.78</v>
      </c>
      <c r="C1076" s="1">
        <f ca="1">IFERROR(__xludf.DUMMYFUNCTION("""COMPUTED_VALUE"""),423.26)</f>
        <v>423.26</v>
      </c>
      <c r="D1076" s="1">
        <f ca="1">IFERROR(__xludf.DUMMYFUNCTION("""COMPUTED_VALUE"""),185.95)</f>
        <v>185.95</v>
      </c>
      <c r="E1076" s="1">
        <f ca="1">IFERROR(__xludf.DUMMYFUNCTION("""COMPUTED_VALUE"""),87.04)</f>
        <v>87.04</v>
      </c>
      <c r="F1076" s="1">
        <f ca="1">IFERROR(__xludf.DUMMYFUNCTION("""COMPUTED_VALUE"""),519.83)</f>
        <v>519.83000000000004</v>
      </c>
      <c r="G1076" s="1">
        <f ca="1">IFERROR(__xludf.DUMMYFUNCTION("""COMPUTED_VALUE"""),157.66)</f>
        <v>157.66</v>
      </c>
      <c r="H1076" s="1">
        <f ca="1">IFERROR(__xludf.DUMMYFUNCTION("""COMPUTED_VALUE"""),171.76)</f>
        <v>171.76</v>
      </c>
      <c r="I1076" s="1">
        <f ca="1">IFERROR(__xludf.DUMMYFUNCTION("""COMPUTED_VALUE"""),168.95)</f>
        <v>168.95</v>
      </c>
      <c r="J1076" s="1">
        <f ca="1">IFERROR(__xludf.DUMMYFUNCTION("""COMPUTED_VALUE"""),722.58)</f>
        <v>722.58</v>
      </c>
      <c r="K1076" s="1">
        <f ca="1">IFERROR(__xludf.DUMMYFUNCTION("""COMPUTED_VALUE"""),132.24)</f>
        <v>132.24</v>
      </c>
      <c r="L1076" s="1">
        <f ca="1">IFERROR(__xludf.DUMMYFUNCTION("""COMPUTED_VALUE"""),487.22)</f>
        <v>487.22</v>
      </c>
      <c r="M1076" s="1">
        <f ca="1">IFERROR(__xludf.DUMMYFUNCTION("""COMPUTED_VALUE"""),618.58)</f>
        <v>618.58000000000004</v>
      </c>
      <c r="N1076" s="1">
        <f ca="1">IFERROR(__xludf.DUMMYFUNCTION("""COMPUTED_VALUE"""),195.47)</f>
        <v>195.47</v>
      </c>
      <c r="O1076" s="1">
        <f ca="1">IFERROR(__xludf.DUMMYFUNCTION("""COMPUTED_VALUE"""),274.48)</f>
        <v>274.48</v>
      </c>
      <c r="P1076" s="1">
        <f ca="1">IFERROR(__xludf.DUMMYFUNCTION("""COMPUTED_VALUE"""),150.2)</f>
        <v>150.19999999999999</v>
      </c>
      <c r="Q1076" s="1">
        <f ca="1">IFERROR(__xludf.DUMMYFUNCTION("""COMPUTED_VALUE"""),450.05)</f>
        <v>450.05</v>
      </c>
      <c r="R1076" s="1">
        <f ca="1">IFERROR(__xludf.DUMMYFUNCTION("""COMPUTED_VALUE"""),122.2)</f>
        <v>122.2</v>
      </c>
      <c r="S1076" s="1">
        <f ca="1">IFERROR(__xludf.DUMMYFUNCTION("""COMPUTED_VALUE"""),64.01)</f>
        <v>64.010000000000005</v>
      </c>
      <c r="T1076" s="1">
        <f ca="1">IFERROR(__xludf.DUMMYFUNCTION("""COMPUTED_VALUE"""),60.62)</f>
        <v>60.62</v>
      </c>
      <c r="U1076" s="1">
        <f ca="1">IFERROR(__xludf.DUMMYFUNCTION("""COMPUTED_VALUE"""),89)</f>
        <v>89</v>
      </c>
      <c r="V1076" s="1">
        <f ca="1">IFERROR(__xludf.DUMMYFUNCTION("""COMPUTED_VALUE"""),372.07)</f>
        <v>372.07</v>
      </c>
      <c r="W1076" s="1">
        <f ca="1">IFERROR(__xludf.DUMMYFUNCTION("""COMPUTED_VALUE"""),451.71)</f>
        <v>451.71</v>
      </c>
      <c r="X1076" s="1">
        <f ca="1">IFERROR(__xludf.DUMMYFUNCTION("""COMPUTED_VALUE"""),974.61)</f>
        <v>974.61</v>
      </c>
      <c r="Y1076" s="1">
        <f ca="1">IFERROR(__xludf.DUMMYFUNCTION("""COMPUTED_VALUE"""),146.22)</f>
        <v>146.22</v>
      </c>
      <c r="Z1076" s="1">
        <f ca="1">IFERROR(__xludf.DUMMYFUNCTION("""COMPUTED_VALUE"""),400.76)</f>
        <v>400.76</v>
      </c>
      <c r="AA1076" s="1">
        <f ca="1">IFERROR(__xludf.DUMMYFUNCTION("""COMPUTED_VALUE"""),26.32)</f>
        <v>26.32</v>
      </c>
      <c r="AB1076" s="1">
        <f ca="1">IFERROR(__xludf.DUMMYFUNCTION("""COMPUTED_VALUE"""),85.95)</f>
        <v>85.95</v>
      </c>
      <c r="AC1076" s="1">
        <f ca="1">IFERROR(__xludf.DUMMYFUNCTION("""COMPUTED_VALUE"""),167.14)</f>
        <v>167.14</v>
      </c>
    </row>
    <row r="1077" spans="1:29" x14ac:dyDescent="0.25">
      <c r="A1077" s="2">
        <f ca="1">IFERROR(__xludf.DUMMYFUNCTION("""COMPUTED_VALUE"""),45393.6666666666)</f>
        <v>45393.666666666599</v>
      </c>
      <c r="B1077" s="1">
        <f ca="1">IFERROR(__xludf.DUMMYFUNCTION("""COMPUTED_VALUE"""),175.04)</f>
        <v>175.04</v>
      </c>
      <c r="C1077" s="1">
        <f ca="1">IFERROR(__xludf.DUMMYFUNCTION("""COMPUTED_VALUE"""),427.93)</f>
        <v>427.93</v>
      </c>
      <c r="D1077" s="1">
        <f ca="1">IFERROR(__xludf.DUMMYFUNCTION("""COMPUTED_VALUE"""),189.05)</f>
        <v>189.05</v>
      </c>
      <c r="E1077" s="1">
        <f ca="1">IFERROR(__xludf.DUMMYFUNCTION("""COMPUTED_VALUE"""),90.62)</f>
        <v>90.62</v>
      </c>
      <c r="F1077" s="1">
        <f ca="1">IFERROR(__xludf.DUMMYFUNCTION("""COMPUTED_VALUE"""),523.16)</f>
        <v>523.16</v>
      </c>
      <c r="G1077" s="1">
        <f ca="1">IFERROR(__xludf.DUMMYFUNCTION("""COMPUTED_VALUE"""),160.79)</f>
        <v>160.79</v>
      </c>
      <c r="H1077" s="1">
        <f ca="1">IFERROR(__xludf.DUMMYFUNCTION("""COMPUTED_VALUE"""),174.6)</f>
        <v>174.6</v>
      </c>
      <c r="I1077" s="1">
        <f ca="1">IFERROR(__xludf.DUMMYFUNCTION("""COMPUTED_VALUE"""),168.36)</f>
        <v>168.36</v>
      </c>
      <c r="J1077" s="1">
        <f ca="1">IFERROR(__xludf.DUMMYFUNCTION("""COMPUTED_VALUE"""),732.35)</f>
        <v>732.35</v>
      </c>
      <c r="K1077" s="1">
        <f ca="1">IFERROR(__xludf.DUMMYFUNCTION("""COMPUTED_VALUE"""),138.25)</f>
        <v>138.25</v>
      </c>
      <c r="L1077" s="1">
        <f ca="1">IFERROR(__xludf.DUMMYFUNCTION("""COMPUTED_VALUE"""),484.28)</f>
        <v>484.28</v>
      </c>
      <c r="M1077" s="1">
        <f ca="1">IFERROR(__xludf.DUMMYFUNCTION("""COMPUTED_VALUE"""),628.78)</f>
        <v>628.78</v>
      </c>
      <c r="N1077" s="1">
        <f ca="1">IFERROR(__xludf.DUMMYFUNCTION("""COMPUTED_VALUE"""),195.43)</f>
        <v>195.43</v>
      </c>
      <c r="O1077" s="1">
        <f ca="1">IFERROR(__xludf.DUMMYFUNCTION("""COMPUTED_VALUE"""),275.68)</f>
        <v>275.68</v>
      </c>
      <c r="P1077" s="1">
        <f ca="1">IFERROR(__xludf.DUMMYFUNCTION("""COMPUTED_VALUE"""),148.79)</f>
        <v>148.79</v>
      </c>
      <c r="Q1077" s="1">
        <f ca="1">IFERROR(__xludf.DUMMYFUNCTION("""COMPUTED_VALUE"""),441.72)</f>
        <v>441.72</v>
      </c>
      <c r="R1077" s="1">
        <f ca="1">IFERROR(__xludf.DUMMYFUNCTION("""COMPUTED_VALUE"""),121.79)</f>
        <v>121.79</v>
      </c>
      <c r="S1077" s="1">
        <f ca="1">IFERROR(__xludf.DUMMYFUNCTION("""COMPUTED_VALUE"""),63.94)</f>
        <v>63.94</v>
      </c>
      <c r="T1077" s="1">
        <f ca="1">IFERROR(__xludf.DUMMYFUNCTION("""COMPUTED_VALUE"""),60.09)</f>
        <v>60.09</v>
      </c>
      <c r="U1077" s="1">
        <f ca="1">IFERROR(__xludf.DUMMYFUNCTION("""COMPUTED_VALUE"""),92)</f>
        <v>92</v>
      </c>
      <c r="V1077" s="1">
        <f ca="1">IFERROR(__xludf.DUMMYFUNCTION("""COMPUTED_VALUE"""),371.98)</f>
        <v>371.98</v>
      </c>
      <c r="W1077" s="1">
        <f ca="1">IFERROR(__xludf.DUMMYFUNCTION("""COMPUTED_VALUE"""),452.32)</f>
        <v>452.32</v>
      </c>
      <c r="X1077" s="1">
        <f ca="1">IFERROR(__xludf.DUMMYFUNCTION("""COMPUTED_VALUE"""),992.18)</f>
        <v>992.18</v>
      </c>
      <c r="Y1077" s="1">
        <f ca="1">IFERROR(__xludf.DUMMYFUNCTION("""COMPUTED_VALUE"""),147.2)</f>
        <v>147.19999999999999</v>
      </c>
      <c r="Z1077" s="1">
        <f ca="1">IFERROR(__xludf.DUMMYFUNCTION("""COMPUTED_VALUE"""),397.48)</f>
        <v>397.48</v>
      </c>
      <c r="AA1077" s="1">
        <f ca="1">IFERROR(__xludf.DUMMYFUNCTION("""COMPUTED_VALUE"""),26.34)</f>
        <v>26.34</v>
      </c>
      <c r="AB1077" s="1">
        <f ca="1">IFERROR(__xludf.DUMMYFUNCTION("""COMPUTED_VALUE"""),85.9)</f>
        <v>85.9</v>
      </c>
      <c r="AC1077" s="1">
        <f ca="1">IFERROR(__xludf.DUMMYFUNCTION("""COMPUTED_VALUE"""),170.5)</f>
        <v>170.5</v>
      </c>
    </row>
    <row r="1078" spans="1:29" x14ac:dyDescent="0.25">
      <c r="A1078" s="2">
        <f ca="1">IFERROR(__xludf.DUMMYFUNCTION("""COMPUTED_VALUE"""),45394.6666666666)</f>
        <v>45394.666666666599</v>
      </c>
      <c r="B1078" s="1">
        <f ca="1">IFERROR(__xludf.DUMMYFUNCTION("""COMPUTED_VALUE"""),176.55)</f>
        <v>176.55</v>
      </c>
      <c r="C1078" s="1">
        <f ca="1">IFERROR(__xludf.DUMMYFUNCTION("""COMPUTED_VALUE"""),421.9)</f>
        <v>421.9</v>
      </c>
      <c r="D1078" s="1">
        <f ca="1">IFERROR(__xludf.DUMMYFUNCTION("""COMPUTED_VALUE"""),186.13)</f>
        <v>186.13</v>
      </c>
      <c r="E1078" s="1">
        <f ca="1">IFERROR(__xludf.DUMMYFUNCTION("""COMPUTED_VALUE"""),88.19)</f>
        <v>88.19</v>
      </c>
      <c r="F1078" s="1">
        <f ca="1">IFERROR(__xludf.DUMMYFUNCTION("""COMPUTED_VALUE"""),511.9)</f>
        <v>511.9</v>
      </c>
      <c r="G1078" s="1">
        <f ca="1">IFERROR(__xludf.DUMMYFUNCTION("""COMPUTED_VALUE"""),159.19)</f>
        <v>159.19</v>
      </c>
      <c r="H1078" s="1">
        <f ca="1">IFERROR(__xludf.DUMMYFUNCTION("""COMPUTED_VALUE"""),171.05)</f>
        <v>171.05</v>
      </c>
      <c r="I1078" s="1">
        <f ca="1">IFERROR(__xludf.DUMMYFUNCTION("""COMPUTED_VALUE"""),168.1)</f>
        <v>168.1</v>
      </c>
      <c r="J1078" s="1">
        <f ca="1">IFERROR(__xludf.DUMMYFUNCTION("""COMPUTED_VALUE"""),731.31)</f>
        <v>731.31</v>
      </c>
      <c r="K1078" s="1">
        <f ca="1">IFERROR(__xludf.DUMMYFUNCTION("""COMPUTED_VALUE"""),134.41)</f>
        <v>134.41</v>
      </c>
      <c r="L1078" s="1">
        <f ca="1">IFERROR(__xludf.DUMMYFUNCTION("""COMPUTED_VALUE"""),474.09)</f>
        <v>474.09</v>
      </c>
      <c r="M1078" s="1">
        <f ca="1">IFERROR(__xludf.DUMMYFUNCTION("""COMPUTED_VALUE"""),622.83)</f>
        <v>622.83000000000004</v>
      </c>
      <c r="N1078" s="1">
        <f ca="1">IFERROR(__xludf.DUMMYFUNCTION("""COMPUTED_VALUE"""),182.79)</f>
        <v>182.79</v>
      </c>
      <c r="O1078" s="1">
        <f ca="1">IFERROR(__xludf.DUMMYFUNCTION("""COMPUTED_VALUE"""),275.96)</f>
        <v>275.95999999999998</v>
      </c>
      <c r="P1078" s="1">
        <f ca="1">IFERROR(__xludf.DUMMYFUNCTION("""COMPUTED_VALUE"""),147.52)</f>
        <v>147.52000000000001</v>
      </c>
      <c r="Q1078" s="1">
        <f ca="1">IFERROR(__xludf.DUMMYFUNCTION("""COMPUTED_VALUE"""),439.2)</f>
        <v>439.2</v>
      </c>
      <c r="R1078" s="1">
        <f ca="1">IFERROR(__xludf.DUMMYFUNCTION("""COMPUTED_VALUE"""),120.37)</f>
        <v>120.37</v>
      </c>
      <c r="S1078" s="1">
        <f ca="1">IFERROR(__xludf.DUMMYFUNCTION("""COMPUTED_VALUE"""),63.08)</f>
        <v>63.08</v>
      </c>
      <c r="T1078" s="1">
        <f ca="1">IFERROR(__xludf.DUMMYFUNCTION("""COMPUTED_VALUE"""),60.14)</f>
        <v>60.14</v>
      </c>
      <c r="U1078" s="1">
        <f ca="1">IFERROR(__xludf.DUMMYFUNCTION("""COMPUTED_VALUE"""),92)</f>
        <v>92</v>
      </c>
      <c r="V1078" s="1">
        <f ca="1">IFERROR(__xludf.DUMMYFUNCTION("""COMPUTED_VALUE"""),365.63)</f>
        <v>365.63</v>
      </c>
      <c r="W1078" s="1">
        <f ca="1">IFERROR(__xludf.DUMMYFUNCTION("""COMPUTED_VALUE"""),450.4)</f>
        <v>450.4</v>
      </c>
      <c r="X1078" s="1">
        <f ca="1">IFERROR(__xludf.DUMMYFUNCTION("""COMPUTED_VALUE"""),961.84)</f>
        <v>961.84</v>
      </c>
      <c r="Y1078" s="1">
        <f ca="1">IFERROR(__xludf.DUMMYFUNCTION("""COMPUTED_VALUE"""),142.52)</f>
        <v>142.52000000000001</v>
      </c>
      <c r="Z1078" s="1">
        <f ca="1">IFERROR(__xludf.DUMMYFUNCTION("""COMPUTED_VALUE"""),389.49)</f>
        <v>389.49</v>
      </c>
      <c r="AA1078" s="1">
        <f ca="1">IFERROR(__xludf.DUMMYFUNCTION("""COMPUTED_VALUE"""),25.86)</f>
        <v>25.86</v>
      </c>
      <c r="AB1078" s="1">
        <f ca="1">IFERROR(__xludf.DUMMYFUNCTION("""COMPUTED_VALUE"""),84.92)</f>
        <v>84.92</v>
      </c>
      <c r="AC1078" s="1">
        <f ca="1">IFERROR(__xludf.DUMMYFUNCTION("""COMPUTED_VALUE"""),163.28)</f>
        <v>163.28</v>
      </c>
    </row>
    <row r="1079" spans="1:29" x14ac:dyDescent="0.25">
      <c r="A1079" s="2">
        <f ca="1">IFERROR(__xludf.DUMMYFUNCTION("""COMPUTED_VALUE"""),45397.6666666666)</f>
        <v>45397.666666666599</v>
      </c>
      <c r="B1079" s="1">
        <f ca="1">IFERROR(__xludf.DUMMYFUNCTION("""COMPUTED_VALUE"""),172.69)</f>
        <v>172.69</v>
      </c>
      <c r="C1079" s="1">
        <f ca="1">IFERROR(__xludf.DUMMYFUNCTION("""COMPUTED_VALUE"""),413.64)</f>
        <v>413.64</v>
      </c>
      <c r="D1079" s="1">
        <f ca="1">IFERROR(__xludf.DUMMYFUNCTION("""COMPUTED_VALUE"""),183.62)</f>
        <v>183.62</v>
      </c>
      <c r="E1079" s="1">
        <f ca="1">IFERROR(__xludf.DUMMYFUNCTION("""COMPUTED_VALUE"""),86)</f>
        <v>86</v>
      </c>
      <c r="F1079" s="1">
        <f ca="1">IFERROR(__xludf.DUMMYFUNCTION("""COMPUTED_VALUE"""),500.23)</f>
        <v>500.23</v>
      </c>
      <c r="G1079" s="1">
        <f ca="1">IFERROR(__xludf.DUMMYFUNCTION("""COMPUTED_VALUE"""),156.33)</f>
        <v>156.33000000000001</v>
      </c>
      <c r="H1079" s="1">
        <f ca="1">IFERROR(__xludf.DUMMYFUNCTION("""COMPUTED_VALUE"""),161.48)</f>
        <v>161.47999999999999</v>
      </c>
      <c r="I1079" s="1">
        <f ca="1">IFERROR(__xludf.DUMMYFUNCTION("""COMPUTED_VALUE"""),166.95)</f>
        <v>166.95</v>
      </c>
      <c r="J1079" s="1">
        <f ca="1">IFERROR(__xludf.DUMMYFUNCTION("""COMPUTED_VALUE"""),718.28)</f>
        <v>718.28</v>
      </c>
      <c r="K1079" s="1">
        <f ca="1">IFERROR(__xludf.DUMMYFUNCTION("""COMPUTED_VALUE"""),131.07)</f>
        <v>131.07</v>
      </c>
      <c r="L1079" s="1">
        <f ca="1">IFERROR(__xludf.DUMMYFUNCTION("""COMPUTED_VALUE"""),470.1)</f>
        <v>470.1</v>
      </c>
      <c r="M1079" s="1">
        <f ca="1">IFERROR(__xludf.DUMMYFUNCTION("""COMPUTED_VALUE"""),607.15)</f>
        <v>607.15</v>
      </c>
      <c r="N1079" s="1">
        <f ca="1">IFERROR(__xludf.DUMMYFUNCTION("""COMPUTED_VALUE"""),182.89)</f>
        <v>182.89</v>
      </c>
      <c r="O1079" s="1">
        <f ca="1">IFERROR(__xludf.DUMMYFUNCTION("""COMPUTED_VALUE"""),271.28)</f>
        <v>271.27999999999997</v>
      </c>
      <c r="P1079" s="1">
        <f ca="1">IFERROR(__xludf.DUMMYFUNCTION("""COMPUTED_VALUE"""),147.59)</f>
        <v>147.59</v>
      </c>
      <c r="Q1079" s="1">
        <f ca="1">IFERROR(__xludf.DUMMYFUNCTION("""COMPUTED_VALUE"""),445.63)</f>
        <v>445.63</v>
      </c>
      <c r="R1079" s="1">
        <f ca="1">IFERROR(__xludf.DUMMYFUNCTION("""COMPUTED_VALUE"""),119.68)</f>
        <v>119.68</v>
      </c>
      <c r="S1079" s="1">
        <f ca="1">IFERROR(__xludf.DUMMYFUNCTION("""COMPUTED_VALUE"""),62.75)</f>
        <v>62.75</v>
      </c>
      <c r="T1079" s="1">
        <f ca="1">IFERROR(__xludf.DUMMYFUNCTION("""COMPUTED_VALUE"""),59.93)</f>
        <v>59.93</v>
      </c>
      <c r="U1079" s="1">
        <f ca="1">IFERROR(__xludf.DUMMYFUNCTION("""COMPUTED_VALUE"""),93.1)</f>
        <v>93.1</v>
      </c>
      <c r="V1079" s="1">
        <f ca="1">IFERROR(__xludf.DUMMYFUNCTION("""COMPUTED_VALUE"""),363.91)</f>
        <v>363.91</v>
      </c>
      <c r="W1079" s="1">
        <f ca="1">IFERROR(__xludf.DUMMYFUNCTION("""COMPUTED_VALUE"""),453.08)</f>
        <v>453.08</v>
      </c>
      <c r="X1079" s="1">
        <f ca="1">IFERROR(__xludf.DUMMYFUNCTION("""COMPUTED_VALUE"""),954.82)</f>
        <v>954.82</v>
      </c>
      <c r="Y1079" s="1">
        <f ca="1">IFERROR(__xludf.DUMMYFUNCTION("""COMPUTED_VALUE"""),140.14)</f>
        <v>140.13999999999999</v>
      </c>
      <c r="Z1079" s="1">
        <f ca="1">IFERROR(__xludf.DUMMYFUNCTION("""COMPUTED_VALUE"""),400.88)</f>
        <v>400.88</v>
      </c>
      <c r="AA1079" s="1">
        <f ca="1">IFERROR(__xludf.DUMMYFUNCTION("""COMPUTED_VALUE"""),25.91)</f>
        <v>25.91</v>
      </c>
      <c r="AB1079" s="1">
        <f ca="1">IFERROR(__xludf.DUMMYFUNCTION("""COMPUTED_VALUE"""),85.17)</f>
        <v>85.17</v>
      </c>
      <c r="AC1079" s="1">
        <f ca="1">IFERROR(__xludf.DUMMYFUNCTION("""COMPUTED_VALUE"""),160.32)</f>
        <v>160.32</v>
      </c>
    </row>
    <row r="1080" spans="1:29" x14ac:dyDescent="0.25">
      <c r="A1080" s="2">
        <f ca="1">IFERROR(__xludf.DUMMYFUNCTION("""COMPUTED_VALUE"""),45398.6666666666)</f>
        <v>45398.666666666599</v>
      </c>
      <c r="B1080" s="1">
        <f ca="1">IFERROR(__xludf.DUMMYFUNCTION("""COMPUTED_VALUE"""),169.38)</f>
        <v>169.38</v>
      </c>
      <c r="C1080" s="1">
        <f ca="1">IFERROR(__xludf.DUMMYFUNCTION("""COMPUTED_VALUE"""),414.58)</f>
        <v>414.58</v>
      </c>
      <c r="D1080" s="1">
        <f ca="1">IFERROR(__xludf.DUMMYFUNCTION("""COMPUTED_VALUE"""),183.32)</f>
        <v>183.32</v>
      </c>
      <c r="E1080" s="1">
        <f ca="1">IFERROR(__xludf.DUMMYFUNCTION("""COMPUTED_VALUE"""),87.42)</f>
        <v>87.42</v>
      </c>
      <c r="F1080" s="1">
        <f ca="1">IFERROR(__xludf.DUMMYFUNCTION("""COMPUTED_VALUE"""),499.76)</f>
        <v>499.76</v>
      </c>
      <c r="G1080" s="1">
        <f ca="1">IFERROR(__xludf.DUMMYFUNCTION("""COMPUTED_VALUE"""),156)</f>
        <v>156</v>
      </c>
      <c r="H1080" s="1">
        <f ca="1">IFERROR(__xludf.DUMMYFUNCTION("""COMPUTED_VALUE"""),157.11)</f>
        <v>157.11000000000001</v>
      </c>
      <c r="I1080" s="1">
        <f ca="1">IFERROR(__xludf.DUMMYFUNCTION("""COMPUTED_VALUE"""),167.5)</f>
        <v>167.5</v>
      </c>
      <c r="J1080" s="1">
        <f ca="1">IFERROR(__xludf.DUMMYFUNCTION("""COMPUTED_VALUE"""),715.97)</f>
        <v>715.97</v>
      </c>
      <c r="K1080" s="1">
        <f ca="1">IFERROR(__xludf.DUMMYFUNCTION("""COMPUTED_VALUE"""),132.91)</f>
        <v>132.91</v>
      </c>
      <c r="L1080" s="1">
        <f ca="1">IFERROR(__xludf.DUMMYFUNCTION("""COMPUTED_VALUE"""),476.22)</f>
        <v>476.22</v>
      </c>
      <c r="M1080" s="1">
        <f ca="1">IFERROR(__xludf.DUMMYFUNCTION("""COMPUTED_VALUE"""),617.52)</f>
        <v>617.52</v>
      </c>
      <c r="N1080" s="1">
        <f ca="1">IFERROR(__xludf.DUMMYFUNCTION("""COMPUTED_VALUE"""),180.8)</f>
        <v>180.8</v>
      </c>
      <c r="O1080" s="1">
        <f ca="1">IFERROR(__xludf.DUMMYFUNCTION("""COMPUTED_VALUE"""),271.35)</f>
        <v>271.35000000000002</v>
      </c>
      <c r="P1080" s="1">
        <f ca="1">IFERROR(__xludf.DUMMYFUNCTION("""COMPUTED_VALUE"""),144.45)</f>
        <v>144.44999999999999</v>
      </c>
      <c r="Q1080" s="1">
        <f ca="1">IFERROR(__xludf.DUMMYFUNCTION("""COMPUTED_VALUE"""),468.89)</f>
        <v>468.89</v>
      </c>
      <c r="R1080" s="1">
        <f ca="1">IFERROR(__xludf.DUMMYFUNCTION("""COMPUTED_VALUE"""),118.69)</f>
        <v>118.69</v>
      </c>
      <c r="S1080" s="1">
        <f ca="1">IFERROR(__xludf.DUMMYFUNCTION("""COMPUTED_VALUE"""),61.7)</f>
        <v>61.7</v>
      </c>
      <c r="T1080" s="1">
        <f ca="1">IFERROR(__xludf.DUMMYFUNCTION("""COMPUTED_VALUE"""),59.84)</f>
        <v>59.84</v>
      </c>
      <c r="U1080" s="1">
        <f ca="1">IFERROR(__xludf.DUMMYFUNCTION("""COMPUTED_VALUE"""),93.39)</f>
        <v>93.39</v>
      </c>
      <c r="V1080" s="1">
        <f ca="1">IFERROR(__xludf.DUMMYFUNCTION("""COMPUTED_VALUE"""),359.88)</f>
        <v>359.88</v>
      </c>
      <c r="W1080" s="1">
        <f ca="1">IFERROR(__xludf.DUMMYFUNCTION("""COMPUTED_VALUE"""),454.31)</f>
        <v>454.31</v>
      </c>
      <c r="X1080" s="1">
        <f ca="1">IFERROR(__xludf.DUMMYFUNCTION("""COMPUTED_VALUE"""),976.92)</f>
        <v>976.92</v>
      </c>
      <c r="Y1080" s="1">
        <f ca="1">IFERROR(__xludf.DUMMYFUNCTION("""COMPUTED_VALUE"""),139.8)</f>
        <v>139.80000000000001</v>
      </c>
      <c r="Z1080" s="1">
        <f ca="1">IFERROR(__xludf.DUMMYFUNCTION("""COMPUTED_VALUE"""),396.86)</f>
        <v>396.86</v>
      </c>
      <c r="AA1080" s="1">
        <f ca="1">IFERROR(__xludf.DUMMYFUNCTION("""COMPUTED_VALUE"""),25.69)</f>
        <v>25.69</v>
      </c>
      <c r="AB1080" s="1">
        <f ca="1">IFERROR(__xludf.DUMMYFUNCTION("""COMPUTED_VALUE"""),85.42)</f>
        <v>85.42</v>
      </c>
      <c r="AC1080" s="1">
        <f ca="1">IFERROR(__xludf.DUMMYFUNCTION("""COMPUTED_VALUE"""),163.46)</f>
        <v>163.46</v>
      </c>
    </row>
    <row r="1081" spans="1:29" x14ac:dyDescent="0.25">
      <c r="A1081" s="2">
        <f ca="1">IFERROR(__xludf.DUMMYFUNCTION("""COMPUTED_VALUE"""),45399.6666666666)</f>
        <v>45399.666666666599</v>
      </c>
      <c r="B1081" s="1">
        <f ca="1">IFERROR(__xludf.DUMMYFUNCTION("""COMPUTED_VALUE"""),168)</f>
        <v>168</v>
      </c>
      <c r="C1081" s="1">
        <f ca="1">IFERROR(__xludf.DUMMYFUNCTION("""COMPUTED_VALUE"""),411.84)</f>
        <v>411.84</v>
      </c>
      <c r="D1081" s="1">
        <f ca="1">IFERROR(__xludf.DUMMYFUNCTION("""COMPUTED_VALUE"""),181.28)</f>
        <v>181.28</v>
      </c>
      <c r="E1081" s="1">
        <f ca="1">IFERROR(__xludf.DUMMYFUNCTION("""COMPUTED_VALUE"""),84.04)</f>
        <v>84.04</v>
      </c>
      <c r="F1081" s="1">
        <f ca="1">IFERROR(__xludf.DUMMYFUNCTION("""COMPUTED_VALUE"""),494.17)</f>
        <v>494.17</v>
      </c>
      <c r="G1081" s="1">
        <f ca="1">IFERROR(__xludf.DUMMYFUNCTION("""COMPUTED_VALUE"""),156.88)</f>
        <v>156.88</v>
      </c>
      <c r="H1081" s="1">
        <f ca="1">IFERROR(__xludf.DUMMYFUNCTION("""COMPUTED_VALUE"""),155.45)</f>
        <v>155.44999999999999</v>
      </c>
      <c r="I1081" s="1">
        <f ca="1">IFERROR(__xludf.DUMMYFUNCTION("""COMPUTED_VALUE"""),169.48)</f>
        <v>169.48</v>
      </c>
      <c r="J1081" s="1">
        <f ca="1">IFERROR(__xludf.DUMMYFUNCTION("""COMPUTED_VALUE"""),715.19)</f>
        <v>715.19</v>
      </c>
      <c r="K1081" s="1">
        <f ca="1">IFERROR(__xludf.DUMMYFUNCTION("""COMPUTED_VALUE"""),128.26)</f>
        <v>128.26</v>
      </c>
      <c r="L1081" s="1">
        <f ca="1">IFERROR(__xludf.DUMMYFUNCTION("""COMPUTED_VALUE"""),474.45)</f>
        <v>474.45</v>
      </c>
      <c r="M1081" s="1">
        <f ca="1">IFERROR(__xludf.DUMMYFUNCTION("""COMPUTED_VALUE"""),613.69)</f>
        <v>613.69000000000005</v>
      </c>
      <c r="N1081" s="1">
        <f ca="1">IFERROR(__xludf.DUMMYFUNCTION("""COMPUTED_VALUE"""),180.08)</f>
        <v>180.08</v>
      </c>
      <c r="O1081" s="1">
        <f ca="1">IFERROR(__xludf.DUMMYFUNCTION("""COMPUTED_VALUE"""),272.69)</f>
        <v>272.69</v>
      </c>
      <c r="P1081" s="1">
        <f ca="1">IFERROR(__xludf.DUMMYFUNCTION("""COMPUTED_VALUE"""),144.77)</f>
        <v>144.77000000000001</v>
      </c>
      <c r="Q1081" s="1">
        <f ca="1">IFERROR(__xludf.DUMMYFUNCTION("""COMPUTED_VALUE"""),478.99)</f>
        <v>478.99</v>
      </c>
      <c r="R1081" s="1">
        <f ca="1">IFERROR(__xludf.DUMMYFUNCTION("""COMPUTED_VALUE"""),118.63)</f>
        <v>118.63</v>
      </c>
      <c r="S1081" s="1">
        <f ca="1">IFERROR(__xludf.DUMMYFUNCTION("""COMPUTED_VALUE"""),63.79)</f>
        <v>63.79</v>
      </c>
      <c r="T1081" s="1">
        <f ca="1">IFERROR(__xludf.DUMMYFUNCTION("""COMPUTED_VALUE"""),59.65)</f>
        <v>59.65</v>
      </c>
      <c r="U1081" s="1">
        <f ca="1">IFERROR(__xludf.DUMMYFUNCTION("""COMPUTED_VALUE"""),94.84)</f>
        <v>94.84</v>
      </c>
      <c r="V1081" s="1">
        <f ca="1">IFERROR(__xludf.DUMMYFUNCTION("""COMPUTED_VALUE"""),358.32)</f>
        <v>358.32</v>
      </c>
      <c r="W1081" s="1">
        <f ca="1">IFERROR(__xludf.DUMMYFUNCTION("""COMPUTED_VALUE"""),456.05)</f>
        <v>456.05</v>
      </c>
      <c r="X1081" s="1">
        <f ca="1">IFERROR(__xludf.DUMMYFUNCTION("""COMPUTED_VALUE"""),907.61)</f>
        <v>907.61</v>
      </c>
      <c r="Y1081" s="1">
        <f ca="1">IFERROR(__xludf.DUMMYFUNCTION("""COMPUTED_VALUE"""),139.03)</f>
        <v>139.03</v>
      </c>
      <c r="Z1081" s="1">
        <f ca="1">IFERROR(__xludf.DUMMYFUNCTION("""COMPUTED_VALUE"""),403.91)</f>
        <v>403.91</v>
      </c>
      <c r="AA1081" s="1">
        <f ca="1">IFERROR(__xludf.DUMMYFUNCTION("""COMPUTED_VALUE"""),25.42)</f>
        <v>25.42</v>
      </c>
      <c r="AB1081" s="1">
        <f ca="1">IFERROR(__xludf.DUMMYFUNCTION("""COMPUTED_VALUE"""),86.21)</f>
        <v>86.21</v>
      </c>
      <c r="AC1081" s="1">
        <f ca="1">IFERROR(__xludf.DUMMYFUNCTION("""COMPUTED_VALUE"""),154.02)</f>
        <v>154.02000000000001</v>
      </c>
    </row>
    <row r="1082" spans="1:29" x14ac:dyDescent="0.25">
      <c r="A1082" s="2">
        <f ca="1">IFERROR(__xludf.DUMMYFUNCTION("""COMPUTED_VALUE"""),45400.6666666666)</f>
        <v>45400.666666666599</v>
      </c>
      <c r="B1082" s="1">
        <f ca="1">IFERROR(__xludf.DUMMYFUNCTION("""COMPUTED_VALUE"""),167.04)</f>
        <v>167.04</v>
      </c>
      <c r="C1082" s="1">
        <f ca="1">IFERROR(__xludf.DUMMYFUNCTION("""COMPUTED_VALUE"""),404.27)</f>
        <v>404.27</v>
      </c>
      <c r="D1082" s="1">
        <f ca="1">IFERROR(__xludf.DUMMYFUNCTION("""COMPUTED_VALUE"""),179.22)</f>
        <v>179.22</v>
      </c>
      <c r="E1082" s="1">
        <f ca="1">IFERROR(__xludf.DUMMYFUNCTION("""COMPUTED_VALUE"""),84.67)</f>
        <v>84.67</v>
      </c>
      <c r="F1082" s="1">
        <f ca="1">IFERROR(__xludf.DUMMYFUNCTION("""COMPUTED_VALUE"""),501.8)</f>
        <v>501.8</v>
      </c>
      <c r="G1082" s="1">
        <f ca="1">IFERROR(__xludf.DUMMYFUNCTION("""COMPUTED_VALUE"""),157.46)</f>
        <v>157.46</v>
      </c>
      <c r="H1082" s="1">
        <f ca="1">IFERROR(__xludf.DUMMYFUNCTION("""COMPUTED_VALUE"""),149.93)</f>
        <v>149.93</v>
      </c>
      <c r="I1082" s="1">
        <f ca="1">IFERROR(__xludf.DUMMYFUNCTION("""COMPUTED_VALUE"""),172.27)</f>
        <v>172.27</v>
      </c>
      <c r="J1082" s="1">
        <f ca="1">IFERROR(__xludf.DUMMYFUNCTION("""COMPUTED_VALUE"""),711.25)</f>
        <v>711.25</v>
      </c>
      <c r="K1082" s="1">
        <f ca="1">IFERROR(__xludf.DUMMYFUNCTION("""COMPUTED_VALUE"""),125.9)</f>
        <v>125.9</v>
      </c>
      <c r="L1082" s="1">
        <f ca="1">IFERROR(__xludf.DUMMYFUNCTION("""COMPUTED_VALUE"""),473.18)</f>
        <v>473.18</v>
      </c>
      <c r="M1082" s="1">
        <f ca="1">IFERROR(__xludf.DUMMYFUNCTION("""COMPUTED_VALUE"""),610.56)</f>
        <v>610.55999999999995</v>
      </c>
      <c r="N1082" s="1">
        <f ca="1">IFERROR(__xludf.DUMMYFUNCTION("""COMPUTED_VALUE"""),181.25)</f>
        <v>181.25</v>
      </c>
      <c r="O1082" s="1">
        <f ca="1">IFERROR(__xludf.DUMMYFUNCTION("""COMPUTED_VALUE"""),271.37)</f>
        <v>271.37</v>
      </c>
      <c r="P1082" s="1">
        <f ca="1">IFERROR(__xludf.DUMMYFUNCTION("""COMPUTED_VALUE"""),145.74)</f>
        <v>145.74</v>
      </c>
      <c r="Q1082" s="1">
        <f ca="1">IFERROR(__xludf.DUMMYFUNCTION("""COMPUTED_VALUE"""),493.18)</f>
        <v>493.18</v>
      </c>
      <c r="R1082" s="1">
        <f ca="1">IFERROR(__xludf.DUMMYFUNCTION("""COMPUTED_VALUE"""),118.52)</f>
        <v>118.52</v>
      </c>
      <c r="S1082" s="1">
        <f ca="1">IFERROR(__xludf.DUMMYFUNCTION("""COMPUTED_VALUE"""),64.01)</f>
        <v>64.010000000000005</v>
      </c>
      <c r="T1082" s="1">
        <f ca="1">IFERROR(__xludf.DUMMYFUNCTION("""COMPUTED_VALUE"""),59.26)</f>
        <v>59.26</v>
      </c>
      <c r="U1082" s="1">
        <f ca="1">IFERROR(__xludf.DUMMYFUNCTION("""COMPUTED_VALUE"""),95.74)</f>
        <v>95.74</v>
      </c>
      <c r="V1082" s="1">
        <f ca="1">IFERROR(__xludf.DUMMYFUNCTION("""COMPUTED_VALUE"""),357.93)</f>
        <v>357.93</v>
      </c>
      <c r="W1082" s="1">
        <f ca="1">IFERROR(__xludf.DUMMYFUNCTION("""COMPUTED_VALUE"""),456.09)</f>
        <v>456.09</v>
      </c>
      <c r="X1082" s="1">
        <f ca="1">IFERROR(__xludf.DUMMYFUNCTION("""COMPUTED_VALUE"""),889.03)</f>
        <v>889.03</v>
      </c>
      <c r="Y1082" s="1">
        <f ca="1">IFERROR(__xludf.DUMMYFUNCTION("""COMPUTED_VALUE"""),132.27)</f>
        <v>132.27000000000001</v>
      </c>
      <c r="Z1082" s="1">
        <f ca="1">IFERROR(__xludf.DUMMYFUNCTION("""COMPUTED_VALUE"""),403.11)</f>
        <v>403.11</v>
      </c>
      <c r="AA1082" s="1">
        <f ca="1">IFERROR(__xludf.DUMMYFUNCTION("""COMPUTED_VALUE"""),25.39)</f>
        <v>25.39</v>
      </c>
      <c r="AB1082" s="1">
        <f ca="1">IFERROR(__xludf.DUMMYFUNCTION("""COMPUTED_VALUE"""),87.15)</f>
        <v>87.15</v>
      </c>
      <c r="AC1082" s="1">
        <f ca="1">IFERROR(__xludf.DUMMYFUNCTION("""COMPUTED_VALUE"""),155.08)</f>
        <v>155.08000000000001</v>
      </c>
    </row>
    <row r="1083" spans="1:29" x14ac:dyDescent="0.25">
      <c r="A1083" s="2">
        <f ca="1">IFERROR(__xludf.DUMMYFUNCTION("""COMPUTED_VALUE"""),45401.6666666666)</f>
        <v>45401.666666666599</v>
      </c>
      <c r="B1083" s="1">
        <f ca="1">IFERROR(__xludf.DUMMYFUNCTION("""COMPUTED_VALUE"""),165)</f>
        <v>165</v>
      </c>
      <c r="C1083" s="1">
        <f ca="1">IFERROR(__xludf.DUMMYFUNCTION("""COMPUTED_VALUE"""),399.12)</f>
        <v>399.12</v>
      </c>
      <c r="D1083" s="1">
        <f ca="1">IFERROR(__xludf.DUMMYFUNCTION("""COMPUTED_VALUE"""),174.63)</f>
        <v>174.63</v>
      </c>
      <c r="E1083" s="1">
        <f ca="1">IFERROR(__xludf.DUMMYFUNCTION("""COMPUTED_VALUE"""),76.2)</f>
        <v>76.2</v>
      </c>
      <c r="F1083" s="1">
        <f ca="1">IFERROR(__xludf.DUMMYFUNCTION("""COMPUTED_VALUE"""),481.07)</f>
        <v>481.07</v>
      </c>
      <c r="G1083" s="1">
        <f ca="1">IFERROR(__xludf.DUMMYFUNCTION("""COMPUTED_VALUE"""),155.72)</f>
        <v>155.72</v>
      </c>
      <c r="H1083" s="1">
        <f ca="1">IFERROR(__xludf.DUMMYFUNCTION("""COMPUTED_VALUE"""),147.05)</f>
        <v>147.05000000000001</v>
      </c>
      <c r="I1083" s="1">
        <f ca="1">IFERROR(__xludf.DUMMYFUNCTION("""COMPUTED_VALUE"""),174.13)</f>
        <v>174.13</v>
      </c>
      <c r="J1083" s="1">
        <f ca="1">IFERROR(__xludf.DUMMYFUNCTION("""COMPUTED_VALUE"""),709.51)</f>
        <v>709.51</v>
      </c>
      <c r="K1083" s="1">
        <f ca="1">IFERROR(__xludf.DUMMYFUNCTION("""COMPUTED_VALUE"""),120.47)</f>
        <v>120.47</v>
      </c>
      <c r="L1083" s="1">
        <f ca="1">IFERROR(__xludf.DUMMYFUNCTION("""COMPUTED_VALUE"""),465.02)</f>
        <v>465.02</v>
      </c>
      <c r="M1083" s="1">
        <f ca="1">IFERROR(__xludf.DUMMYFUNCTION("""COMPUTED_VALUE"""),555.04)</f>
        <v>555.04</v>
      </c>
      <c r="N1083" s="1">
        <f ca="1">IFERROR(__xludf.DUMMYFUNCTION("""COMPUTED_VALUE"""),185.8)</f>
        <v>185.8</v>
      </c>
      <c r="O1083" s="1">
        <f ca="1">IFERROR(__xludf.DUMMYFUNCTION("""COMPUTED_VALUE"""),269.78)</f>
        <v>269.77999999999997</v>
      </c>
      <c r="P1083" s="1">
        <f ca="1">IFERROR(__xludf.DUMMYFUNCTION("""COMPUTED_VALUE"""),147.91)</f>
        <v>147.91</v>
      </c>
      <c r="Q1083" s="1">
        <f ca="1">IFERROR(__xludf.DUMMYFUNCTION("""COMPUTED_VALUE"""),501.13)</f>
        <v>501.13</v>
      </c>
      <c r="R1083" s="1">
        <f ca="1">IFERROR(__xludf.DUMMYFUNCTION("""COMPUTED_VALUE"""),119.88)</f>
        <v>119.88</v>
      </c>
      <c r="S1083" s="1">
        <f ca="1">IFERROR(__xludf.DUMMYFUNCTION("""COMPUTED_VALUE"""),64.3)</f>
        <v>64.3</v>
      </c>
      <c r="T1083" s="1">
        <f ca="1">IFERROR(__xludf.DUMMYFUNCTION("""COMPUTED_VALUE"""),59.53)</f>
        <v>59.53</v>
      </c>
      <c r="U1083" s="1">
        <f ca="1">IFERROR(__xludf.DUMMYFUNCTION("""COMPUTED_VALUE"""),94.53)</f>
        <v>94.53</v>
      </c>
      <c r="V1083" s="1">
        <f ca="1">IFERROR(__xludf.DUMMYFUNCTION("""COMPUTED_VALUE"""),354.66)</f>
        <v>354.66</v>
      </c>
      <c r="W1083" s="1">
        <f ca="1">IFERROR(__xludf.DUMMYFUNCTION("""COMPUTED_VALUE"""),463.87)</f>
        <v>463.87</v>
      </c>
      <c r="X1083" s="1">
        <f ca="1">IFERROR(__xludf.DUMMYFUNCTION("""COMPUTED_VALUE"""),859.54)</f>
        <v>859.54</v>
      </c>
      <c r="Y1083" s="1">
        <f ca="1">IFERROR(__xludf.DUMMYFUNCTION("""COMPUTED_VALUE"""),127.7)</f>
        <v>127.7</v>
      </c>
      <c r="Z1083" s="1">
        <f ca="1">IFERROR(__xludf.DUMMYFUNCTION("""COMPUTED_VALUE"""),404)</f>
        <v>404</v>
      </c>
      <c r="AA1083" s="1">
        <f ca="1">IFERROR(__xludf.DUMMYFUNCTION("""COMPUTED_VALUE"""),26)</f>
        <v>26</v>
      </c>
      <c r="AB1083" s="1">
        <f ca="1">IFERROR(__xludf.DUMMYFUNCTION("""COMPUTED_VALUE"""),87.61)</f>
        <v>87.61</v>
      </c>
      <c r="AC1083" s="1">
        <f ca="1">IFERROR(__xludf.DUMMYFUNCTION("""COMPUTED_VALUE"""),146.64)</f>
        <v>146.63999999999999</v>
      </c>
    </row>
    <row r="1084" spans="1:29" x14ac:dyDescent="0.25">
      <c r="A1084" s="2">
        <f ca="1">IFERROR(__xludf.DUMMYFUNCTION("""COMPUTED_VALUE"""),45404.6666666666)</f>
        <v>45404.666666666599</v>
      </c>
      <c r="B1084" s="1">
        <f ca="1">IFERROR(__xludf.DUMMYFUNCTION("""COMPUTED_VALUE"""),165.84)</f>
        <v>165.84</v>
      </c>
      <c r="C1084" s="1">
        <f ca="1">IFERROR(__xludf.DUMMYFUNCTION("""COMPUTED_VALUE"""),400.96)</f>
        <v>400.96</v>
      </c>
      <c r="D1084" s="1">
        <f ca="1">IFERROR(__xludf.DUMMYFUNCTION("""COMPUTED_VALUE"""),177.23)</f>
        <v>177.23</v>
      </c>
      <c r="E1084" s="1">
        <f ca="1">IFERROR(__xludf.DUMMYFUNCTION("""COMPUTED_VALUE"""),79.52)</f>
        <v>79.52</v>
      </c>
      <c r="F1084" s="1">
        <f ca="1">IFERROR(__xludf.DUMMYFUNCTION("""COMPUTED_VALUE"""),481.73)</f>
        <v>481.73</v>
      </c>
      <c r="G1084" s="1">
        <f ca="1">IFERROR(__xludf.DUMMYFUNCTION("""COMPUTED_VALUE"""),157.95)</f>
        <v>157.94999999999999</v>
      </c>
      <c r="H1084" s="1">
        <f ca="1">IFERROR(__xludf.DUMMYFUNCTION("""COMPUTED_VALUE"""),142.05)</f>
        <v>142.05000000000001</v>
      </c>
      <c r="I1084" s="1">
        <f ca="1">IFERROR(__xludf.DUMMYFUNCTION("""COMPUTED_VALUE"""),176.46)</f>
        <v>176.46</v>
      </c>
      <c r="J1084" s="1">
        <f ca="1">IFERROR(__xludf.DUMMYFUNCTION("""COMPUTED_VALUE"""),715.46)</f>
        <v>715.46</v>
      </c>
      <c r="K1084" s="1">
        <f ca="1">IFERROR(__xludf.DUMMYFUNCTION("""COMPUTED_VALUE"""),122.45)</f>
        <v>122.45</v>
      </c>
      <c r="L1084" s="1">
        <f ca="1">IFERROR(__xludf.DUMMYFUNCTION("""COMPUTED_VALUE"""),466.89)</f>
        <v>466.89</v>
      </c>
      <c r="M1084" s="1">
        <f ca="1">IFERROR(__xludf.DUMMYFUNCTION("""COMPUTED_VALUE"""),554.6)</f>
        <v>554.6</v>
      </c>
      <c r="N1084" s="1">
        <f ca="1">IFERROR(__xludf.DUMMYFUNCTION("""COMPUTED_VALUE"""),189.41)</f>
        <v>189.41</v>
      </c>
      <c r="O1084" s="1">
        <f ca="1">IFERROR(__xludf.DUMMYFUNCTION("""COMPUTED_VALUE"""),272.33)</f>
        <v>272.33</v>
      </c>
      <c r="P1084" s="1">
        <f ca="1">IFERROR(__xludf.DUMMYFUNCTION("""COMPUTED_VALUE"""),149.12)</f>
        <v>149.12</v>
      </c>
      <c r="Q1084" s="1">
        <f ca="1">IFERROR(__xludf.DUMMYFUNCTION("""COMPUTED_VALUE"""),491.23)</f>
        <v>491.23</v>
      </c>
      <c r="R1084" s="1">
        <f ca="1">IFERROR(__xludf.DUMMYFUNCTION("""COMPUTED_VALUE"""),120.56)</f>
        <v>120.56</v>
      </c>
      <c r="S1084" s="1">
        <f ca="1">IFERROR(__xludf.DUMMYFUNCTION("""COMPUTED_VALUE"""),65.31)</f>
        <v>65.31</v>
      </c>
      <c r="T1084" s="1">
        <f ca="1">IFERROR(__xludf.DUMMYFUNCTION("""COMPUTED_VALUE"""),60.14)</f>
        <v>60.14</v>
      </c>
      <c r="U1084" s="1">
        <f ca="1">IFERROR(__xludf.DUMMYFUNCTION("""COMPUTED_VALUE"""),94.19)</f>
        <v>94.19</v>
      </c>
      <c r="V1084" s="1">
        <f ca="1">IFERROR(__xludf.DUMMYFUNCTION("""COMPUTED_VALUE"""),357.61)</f>
        <v>357.61</v>
      </c>
      <c r="W1084" s="1">
        <f ca="1">IFERROR(__xludf.DUMMYFUNCTION("""COMPUTED_VALUE"""),461.33)</f>
        <v>461.33</v>
      </c>
      <c r="X1084" s="1">
        <f ca="1">IFERROR(__xludf.DUMMYFUNCTION("""COMPUTED_VALUE"""),872.05)</f>
        <v>872.05</v>
      </c>
      <c r="Y1084" s="1">
        <f ca="1">IFERROR(__xludf.DUMMYFUNCTION("""COMPUTED_VALUE"""),129.75)</f>
        <v>129.75</v>
      </c>
      <c r="Z1084" s="1">
        <f ca="1">IFERROR(__xludf.DUMMYFUNCTION("""COMPUTED_VALUE"""),417.35)</f>
        <v>417.35</v>
      </c>
      <c r="AA1084" s="1">
        <f ca="1">IFERROR(__xludf.DUMMYFUNCTION("""COMPUTED_VALUE"""),26.26)</f>
        <v>26.26</v>
      </c>
      <c r="AB1084" s="1">
        <f ca="1">IFERROR(__xludf.DUMMYFUNCTION("""COMPUTED_VALUE"""),88.18)</f>
        <v>88.18</v>
      </c>
      <c r="AC1084" s="1">
        <f ca="1">IFERROR(__xludf.DUMMYFUNCTION("""COMPUTED_VALUE"""),148.64)</f>
        <v>148.63999999999999</v>
      </c>
    </row>
    <row r="1085" spans="1:29" x14ac:dyDescent="0.25">
      <c r="A1085" s="2">
        <f ca="1">IFERROR(__xludf.DUMMYFUNCTION("""COMPUTED_VALUE"""),45405.6666666666)</f>
        <v>45405.666666666599</v>
      </c>
      <c r="B1085" s="1">
        <f ca="1">IFERROR(__xludf.DUMMYFUNCTION("""COMPUTED_VALUE"""),166.9)</f>
        <v>166.9</v>
      </c>
      <c r="C1085" s="1">
        <f ca="1">IFERROR(__xludf.DUMMYFUNCTION("""COMPUTED_VALUE"""),407.57)</f>
        <v>407.57</v>
      </c>
      <c r="D1085" s="1">
        <f ca="1">IFERROR(__xludf.DUMMYFUNCTION("""COMPUTED_VALUE"""),179.54)</f>
        <v>179.54</v>
      </c>
      <c r="E1085" s="1">
        <f ca="1">IFERROR(__xludf.DUMMYFUNCTION("""COMPUTED_VALUE"""),82.42)</f>
        <v>82.42</v>
      </c>
      <c r="F1085" s="1">
        <f ca="1">IFERROR(__xludf.DUMMYFUNCTION("""COMPUTED_VALUE"""),496.1)</f>
        <v>496.1</v>
      </c>
      <c r="G1085" s="1">
        <f ca="1">IFERROR(__xludf.DUMMYFUNCTION("""COMPUTED_VALUE"""),159.92)</f>
        <v>159.91999999999999</v>
      </c>
      <c r="H1085" s="1">
        <f ca="1">IFERROR(__xludf.DUMMYFUNCTION("""COMPUTED_VALUE"""),144.68)</f>
        <v>144.68</v>
      </c>
      <c r="I1085" s="1">
        <f ca="1">IFERROR(__xludf.DUMMYFUNCTION("""COMPUTED_VALUE"""),171.22)</f>
        <v>171.22</v>
      </c>
      <c r="J1085" s="1">
        <f ca="1">IFERROR(__xludf.DUMMYFUNCTION("""COMPUTED_VALUE"""),722.68)</f>
        <v>722.68</v>
      </c>
      <c r="K1085" s="1">
        <f ca="1">IFERROR(__xludf.DUMMYFUNCTION("""COMPUTED_VALUE"""),124.92)</f>
        <v>124.92</v>
      </c>
      <c r="L1085" s="1">
        <f ca="1">IFERROR(__xludf.DUMMYFUNCTION("""COMPUTED_VALUE"""),472.9)</f>
        <v>472.9</v>
      </c>
      <c r="M1085" s="1">
        <f ca="1">IFERROR(__xludf.DUMMYFUNCTION("""COMPUTED_VALUE"""),577.75)</f>
        <v>577.75</v>
      </c>
      <c r="N1085" s="1">
        <f ca="1">IFERROR(__xludf.DUMMYFUNCTION("""COMPUTED_VALUE"""),192.14)</f>
        <v>192.14</v>
      </c>
      <c r="O1085" s="1">
        <f ca="1">IFERROR(__xludf.DUMMYFUNCTION("""COMPUTED_VALUE"""),274.11)</f>
        <v>274.11</v>
      </c>
      <c r="P1085" s="1">
        <f ca="1">IFERROR(__xludf.DUMMYFUNCTION("""COMPUTED_VALUE"""),149.56)</f>
        <v>149.56</v>
      </c>
      <c r="Q1085" s="1">
        <f ca="1">IFERROR(__xludf.DUMMYFUNCTION("""COMPUTED_VALUE"""),486.18)</f>
        <v>486.18</v>
      </c>
      <c r="R1085" s="1">
        <f ca="1">IFERROR(__xludf.DUMMYFUNCTION("""COMPUTED_VALUE"""),121.03)</f>
        <v>121.03</v>
      </c>
      <c r="S1085" s="1">
        <f ca="1">IFERROR(__xludf.DUMMYFUNCTION("""COMPUTED_VALUE"""),66.2)</f>
        <v>66.2</v>
      </c>
      <c r="T1085" s="1">
        <f ca="1">IFERROR(__xludf.DUMMYFUNCTION("""COMPUTED_VALUE"""),59.09)</f>
        <v>59.09</v>
      </c>
      <c r="U1085" s="1">
        <f ca="1">IFERROR(__xludf.DUMMYFUNCTION("""COMPUTED_VALUE"""),94.02)</f>
        <v>94.02</v>
      </c>
      <c r="V1085" s="1">
        <f ca="1">IFERROR(__xludf.DUMMYFUNCTION("""COMPUTED_VALUE"""),363.25)</f>
        <v>363.25</v>
      </c>
      <c r="W1085" s="1">
        <f ca="1">IFERROR(__xludf.DUMMYFUNCTION("""COMPUTED_VALUE"""),460.08)</f>
        <v>460.08</v>
      </c>
      <c r="X1085" s="1">
        <f ca="1">IFERROR(__xludf.DUMMYFUNCTION("""COMPUTED_VALUE"""),901.57)</f>
        <v>901.57</v>
      </c>
      <c r="Y1085" s="1">
        <f ca="1">IFERROR(__xludf.DUMMYFUNCTION("""COMPUTED_VALUE"""),133.43)</f>
        <v>133.43</v>
      </c>
      <c r="Z1085" s="1">
        <f ca="1">IFERROR(__xludf.DUMMYFUNCTION("""COMPUTED_VALUE"""),424)</f>
        <v>424</v>
      </c>
      <c r="AA1085" s="1">
        <f ca="1">IFERROR(__xludf.DUMMYFUNCTION("""COMPUTED_VALUE"""),26.32)</f>
        <v>26.32</v>
      </c>
      <c r="AB1085" s="1">
        <f ca="1">IFERROR(__xludf.DUMMYFUNCTION("""COMPUTED_VALUE"""),87.87)</f>
        <v>87.87</v>
      </c>
      <c r="AC1085" s="1">
        <f ca="1">IFERROR(__xludf.DUMMYFUNCTION("""COMPUTED_VALUE"""),152.27)</f>
        <v>152.27000000000001</v>
      </c>
    </row>
    <row r="1086" spans="1:29" x14ac:dyDescent="0.25">
      <c r="A1086" s="2">
        <f ca="1">IFERROR(__xludf.DUMMYFUNCTION("""COMPUTED_VALUE"""),45406.6666666666)</f>
        <v>45406.666666666599</v>
      </c>
      <c r="B1086" s="1">
        <f ca="1">IFERROR(__xludf.DUMMYFUNCTION("""COMPUTED_VALUE"""),169.02)</f>
        <v>169.02</v>
      </c>
      <c r="C1086" s="1">
        <f ca="1">IFERROR(__xludf.DUMMYFUNCTION("""COMPUTED_VALUE"""),409.06)</f>
        <v>409.06</v>
      </c>
      <c r="D1086" s="1">
        <f ca="1">IFERROR(__xludf.DUMMYFUNCTION("""COMPUTED_VALUE"""),176.59)</f>
        <v>176.59</v>
      </c>
      <c r="E1086" s="1">
        <f ca="1">IFERROR(__xludf.DUMMYFUNCTION("""COMPUTED_VALUE"""),79.68)</f>
        <v>79.680000000000007</v>
      </c>
      <c r="F1086" s="1">
        <f ca="1">IFERROR(__xludf.DUMMYFUNCTION("""COMPUTED_VALUE"""),493.5)</f>
        <v>493.5</v>
      </c>
      <c r="G1086" s="1">
        <f ca="1">IFERROR(__xludf.DUMMYFUNCTION("""COMPUTED_VALUE"""),161.1)</f>
        <v>161.1</v>
      </c>
      <c r="H1086" s="1">
        <f ca="1">IFERROR(__xludf.DUMMYFUNCTION("""COMPUTED_VALUE"""),162.13)</f>
        <v>162.13</v>
      </c>
      <c r="I1086" s="1">
        <f ca="1">IFERROR(__xludf.DUMMYFUNCTION("""COMPUTED_VALUE"""),177.41)</f>
        <v>177.41</v>
      </c>
      <c r="J1086" s="1">
        <f ca="1">IFERROR(__xludf.DUMMYFUNCTION("""COMPUTED_VALUE"""),723.89)</f>
        <v>723.89</v>
      </c>
      <c r="K1086" s="1">
        <f ca="1">IFERROR(__xludf.DUMMYFUNCTION("""COMPUTED_VALUE"""),125.68)</f>
        <v>125.68</v>
      </c>
      <c r="L1086" s="1">
        <f ca="1">IFERROR(__xludf.DUMMYFUNCTION("""COMPUTED_VALUE"""),477.12)</f>
        <v>477.12</v>
      </c>
      <c r="M1086" s="1">
        <f ca="1">IFERROR(__xludf.DUMMYFUNCTION("""COMPUTED_VALUE"""),555.12)</f>
        <v>555.12</v>
      </c>
      <c r="N1086" s="1">
        <f ca="1">IFERROR(__xludf.DUMMYFUNCTION("""COMPUTED_VALUE"""),193.08)</f>
        <v>193.08</v>
      </c>
      <c r="O1086" s="1">
        <f ca="1">IFERROR(__xludf.DUMMYFUNCTION("""COMPUTED_VALUE"""),275.02)</f>
        <v>275.02</v>
      </c>
      <c r="P1086" s="1">
        <f ca="1">IFERROR(__xludf.DUMMYFUNCTION("""COMPUTED_VALUE"""),148.53)</f>
        <v>148.53</v>
      </c>
      <c r="Q1086" s="1">
        <f ca="1">IFERROR(__xludf.DUMMYFUNCTION("""COMPUTED_VALUE"""),487.3)</f>
        <v>487.3</v>
      </c>
      <c r="R1086" s="1">
        <f ca="1">IFERROR(__xludf.DUMMYFUNCTION("""COMPUTED_VALUE"""),121.05)</f>
        <v>121.05</v>
      </c>
      <c r="S1086" s="1">
        <f ca="1">IFERROR(__xludf.DUMMYFUNCTION("""COMPUTED_VALUE"""),66.56)</f>
        <v>66.56</v>
      </c>
      <c r="T1086" s="1">
        <f ca="1">IFERROR(__xludf.DUMMYFUNCTION("""COMPUTED_VALUE"""),59.87)</f>
        <v>59.87</v>
      </c>
      <c r="U1086" s="1">
        <f ca="1">IFERROR(__xludf.DUMMYFUNCTION("""COMPUTED_VALUE"""),94.64)</f>
        <v>94.64</v>
      </c>
      <c r="V1086" s="1">
        <f ca="1">IFERROR(__xludf.DUMMYFUNCTION("""COMPUTED_VALUE"""),363.52)</f>
        <v>363.52</v>
      </c>
      <c r="W1086" s="1">
        <f ca="1">IFERROR(__xludf.DUMMYFUNCTION("""COMPUTED_VALUE"""),459.14)</f>
        <v>459.14</v>
      </c>
      <c r="X1086" s="1">
        <f ca="1">IFERROR(__xludf.DUMMYFUNCTION("""COMPUTED_VALUE"""),892.32)</f>
        <v>892.32</v>
      </c>
      <c r="Y1086" s="1">
        <f ca="1">IFERROR(__xludf.DUMMYFUNCTION("""COMPUTED_VALUE"""),132.97)</f>
        <v>132.97</v>
      </c>
      <c r="Z1086" s="1">
        <f ca="1">IFERROR(__xludf.DUMMYFUNCTION("""COMPUTED_VALUE"""),423.04)</f>
        <v>423.04</v>
      </c>
      <c r="AA1086" s="1">
        <f ca="1">IFERROR(__xludf.DUMMYFUNCTION("""COMPUTED_VALUE"""),26.27)</f>
        <v>26.27</v>
      </c>
      <c r="AB1086" s="1">
        <f ca="1">IFERROR(__xludf.DUMMYFUNCTION("""COMPUTED_VALUE"""),88.75)</f>
        <v>88.75</v>
      </c>
      <c r="AC1086" s="1">
        <f ca="1">IFERROR(__xludf.DUMMYFUNCTION("""COMPUTED_VALUE"""),151.74)</f>
        <v>151.74</v>
      </c>
    </row>
    <row r="1087" spans="1:29" x14ac:dyDescent="0.25">
      <c r="A1087" s="2">
        <f ca="1">IFERROR(__xludf.DUMMYFUNCTION("""COMPUTED_VALUE"""),45407.6666666666)</f>
        <v>45407.666666666599</v>
      </c>
      <c r="B1087" s="1">
        <f ca="1">IFERROR(__xludf.DUMMYFUNCTION("""COMPUTED_VALUE"""),169.89)</f>
        <v>169.89</v>
      </c>
      <c r="C1087" s="1">
        <f ca="1">IFERROR(__xludf.DUMMYFUNCTION("""COMPUTED_VALUE"""),399.04)</f>
        <v>399.04</v>
      </c>
      <c r="D1087" s="1">
        <f ca="1">IFERROR(__xludf.DUMMYFUNCTION("""COMPUTED_VALUE"""),173.67)</f>
        <v>173.67</v>
      </c>
      <c r="E1087" s="1">
        <f ca="1">IFERROR(__xludf.DUMMYFUNCTION("""COMPUTED_VALUE"""),82.63)</f>
        <v>82.63</v>
      </c>
      <c r="F1087" s="1">
        <f ca="1">IFERROR(__xludf.DUMMYFUNCTION("""COMPUTED_VALUE"""),441.38)</f>
        <v>441.38</v>
      </c>
      <c r="G1087" s="1">
        <f ca="1">IFERROR(__xludf.DUMMYFUNCTION("""COMPUTED_VALUE"""),157.95)</f>
        <v>157.94999999999999</v>
      </c>
      <c r="H1087" s="1">
        <f ca="1">IFERROR(__xludf.DUMMYFUNCTION("""COMPUTED_VALUE"""),170.18)</f>
        <v>170.18</v>
      </c>
      <c r="I1087" s="1">
        <f ca="1">IFERROR(__xludf.DUMMYFUNCTION("""COMPUTED_VALUE"""),176.68)</f>
        <v>176.68</v>
      </c>
      <c r="J1087" s="1">
        <f ca="1">IFERROR(__xludf.DUMMYFUNCTION("""COMPUTED_VALUE"""),721.86)</f>
        <v>721.86</v>
      </c>
      <c r="K1087" s="1">
        <f ca="1">IFERROR(__xludf.DUMMYFUNCTION("""COMPUTED_VALUE"""),129.44)</f>
        <v>129.44</v>
      </c>
      <c r="L1087" s="1">
        <f ca="1">IFERROR(__xludf.DUMMYFUNCTION("""COMPUTED_VALUE"""),473.44)</f>
        <v>473.44</v>
      </c>
      <c r="M1087" s="1">
        <f ca="1">IFERROR(__xludf.DUMMYFUNCTION("""COMPUTED_VALUE"""),564.8)</f>
        <v>564.79999999999995</v>
      </c>
      <c r="N1087" s="1">
        <f ca="1">IFERROR(__xludf.DUMMYFUNCTION("""COMPUTED_VALUE"""),193.37)</f>
        <v>193.37</v>
      </c>
      <c r="O1087" s="1">
        <f ca="1">IFERROR(__xludf.DUMMYFUNCTION("""COMPUTED_VALUE"""),275.16)</f>
        <v>275.16000000000003</v>
      </c>
      <c r="P1087" s="1">
        <f ca="1">IFERROR(__xludf.DUMMYFUNCTION("""COMPUTED_VALUE"""),146.82)</f>
        <v>146.82</v>
      </c>
      <c r="Q1087" s="1">
        <f ca="1">IFERROR(__xludf.DUMMYFUNCTION("""COMPUTED_VALUE"""),493.86)</f>
        <v>493.86</v>
      </c>
      <c r="R1087" s="1">
        <f ca="1">IFERROR(__xludf.DUMMYFUNCTION("""COMPUTED_VALUE"""),121.33)</f>
        <v>121.33</v>
      </c>
      <c r="S1087" s="1">
        <f ca="1">IFERROR(__xludf.DUMMYFUNCTION("""COMPUTED_VALUE"""),66.9)</f>
        <v>66.900000000000006</v>
      </c>
      <c r="T1087" s="1">
        <f ca="1">IFERROR(__xludf.DUMMYFUNCTION("""COMPUTED_VALUE"""),60.21)</f>
        <v>60.21</v>
      </c>
      <c r="U1087" s="1">
        <f ca="1">IFERROR(__xludf.DUMMYFUNCTION("""COMPUTED_VALUE"""),93.94)</f>
        <v>93.94</v>
      </c>
      <c r="V1087" s="1">
        <f ca="1">IFERROR(__xludf.DUMMYFUNCTION("""COMPUTED_VALUE"""),338)</f>
        <v>338</v>
      </c>
      <c r="W1087" s="1">
        <f ca="1">IFERROR(__xludf.DUMMYFUNCTION("""COMPUTED_VALUE"""),464.78)</f>
        <v>464.78</v>
      </c>
      <c r="X1087" s="1">
        <f ca="1">IFERROR(__xludf.DUMMYFUNCTION("""COMPUTED_VALUE"""),902.51)</f>
        <v>902.51</v>
      </c>
      <c r="Y1087" s="1">
        <f ca="1">IFERROR(__xludf.DUMMYFUNCTION("""COMPUTED_VALUE"""),136.58)</f>
        <v>136.58000000000001</v>
      </c>
      <c r="Z1087" s="1">
        <f ca="1">IFERROR(__xludf.DUMMYFUNCTION("""COMPUTED_VALUE"""),420.05)</f>
        <v>420.05</v>
      </c>
      <c r="AA1087" s="1">
        <f ca="1">IFERROR(__xludf.DUMMYFUNCTION("""COMPUTED_VALUE"""),25.26)</f>
        <v>25.26</v>
      </c>
      <c r="AB1087" s="1">
        <f ca="1">IFERROR(__xludf.DUMMYFUNCTION("""COMPUTED_VALUE"""),87.84)</f>
        <v>87.84</v>
      </c>
      <c r="AC1087" s="1">
        <f ca="1">IFERROR(__xludf.DUMMYFUNCTION("""COMPUTED_VALUE"""),153.76)</f>
        <v>153.76</v>
      </c>
    </row>
    <row r="1088" spans="1:29" x14ac:dyDescent="0.25">
      <c r="A1088" s="2">
        <f ca="1">IFERROR(__xludf.DUMMYFUNCTION("""COMPUTED_VALUE"""),45408.6666666666)</f>
        <v>45408.666666666599</v>
      </c>
      <c r="B1088" s="1">
        <f ca="1">IFERROR(__xludf.DUMMYFUNCTION("""COMPUTED_VALUE"""),169.3)</f>
        <v>169.3</v>
      </c>
      <c r="C1088" s="1">
        <f ca="1">IFERROR(__xludf.DUMMYFUNCTION("""COMPUTED_VALUE"""),406.32)</f>
        <v>406.32</v>
      </c>
      <c r="D1088" s="1">
        <f ca="1">IFERROR(__xludf.DUMMYFUNCTION("""COMPUTED_VALUE"""),179.62)</f>
        <v>179.62</v>
      </c>
      <c r="E1088" s="1">
        <f ca="1">IFERROR(__xludf.DUMMYFUNCTION("""COMPUTED_VALUE"""),87.74)</f>
        <v>87.74</v>
      </c>
      <c r="F1088" s="1">
        <f ca="1">IFERROR(__xludf.DUMMYFUNCTION("""COMPUTED_VALUE"""),443.29)</f>
        <v>443.29</v>
      </c>
      <c r="G1088" s="1">
        <f ca="1">IFERROR(__xludf.DUMMYFUNCTION("""COMPUTED_VALUE"""),173.69)</f>
        <v>173.69</v>
      </c>
      <c r="H1088" s="1">
        <f ca="1">IFERROR(__xludf.DUMMYFUNCTION("""COMPUTED_VALUE"""),168.29)</f>
        <v>168.29</v>
      </c>
      <c r="I1088" s="1">
        <f ca="1">IFERROR(__xludf.DUMMYFUNCTION("""COMPUTED_VALUE"""),175.58)</f>
        <v>175.58</v>
      </c>
      <c r="J1088" s="1">
        <f ca="1">IFERROR(__xludf.DUMMYFUNCTION("""COMPUTED_VALUE"""),729.18)</f>
        <v>729.18</v>
      </c>
      <c r="K1088" s="1">
        <f ca="1">IFERROR(__xludf.DUMMYFUNCTION("""COMPUTED_VALUE"""),134.41)</f>
        <v>134.41</v>
      </c>
      <c r="L1088" s="1">
        <f ca="1">IFERROR(__xludf.DUMMYFUNCTION("""COMPUTED_VALUE"""),477.56)</f>
        <v>477.56</v>
      </c>
      <c r="M1088" s="1">
        <f ca="1">IFERROR(__xludf.DUMMYFUNCTION("""COMPUTED_VALUE"""),561.23)</f>
        <v>561.23</v>
      </c>
      <c r="N1088" s="1">
        <f ca="1">IFERROR(__xludf.DUMMYFUNCTION("""COMPUTED_VALUE"""),193.49)</f>
        <v>193.49</v>
      </c>
      <c r="O1088" s="1">
        <f ca="1">IFERROR(__xludf.DUMMYFUNCTION("""COMPUTED_VALUE"""),274.52)</f>
        <v>274.52</v>
      </c>
      <c r="P1088" s="1">
        <f ca="1">IFERROR(__xludf.DUMMYFUNCTION("""COMPUTED_VALUE"""),146.14)</f>
        <v>146.13999999999999</v>
      </c>
      <c r="Q1088" s="1">
        <f ca="1">IFERROR(__xludf.DUMMYFUNCTION("""COMPUTED_VALUE"""),495.35)</f>
        <v>495.35</v>
      </c>
      <c r="R1088" s="1">
        <f ca="1">IFERROR(__xludf.DUMMYFUNCTION("""COMPUTED_VALUE"""),117.96)</f>
        <v>117.96</v>
      </c>
      <c r="S1088" s="1">
        <f ca="1">IFERROR(__xludf.DUMMYFUNCTION("""COMPUTED_VALUE"""),65.99)</f>
        <v>65.989999999999995</v>
      </c>
      <c r="T1088" s="1">
        <f ca="1">IFERROR(__xludf.DUMMYFUNCTION("""COMPUTED_VALUE"""),60.16)</f>
        <v>60.16</v>
      </c>
      <c r="U1088" s="1">
        <f ca="1">IFERROR(__xludf.DUMMYFUNCTION("""COMPUTED_VALUE"""),94.12)</f>
        <v>94.12</v>
      </c>
      <c r="V1088" s="1">
        <f ca="1">IFERROR(__xludf.DUMMYFUNCTION("""COMPUTED_VALUE"""),343.38)</f>
        <v>343.38</v>
      </c>
      <c r="W1088" s="1">
        <f ca="1">IFERROR(__xludf.DUMMYFUNCTION("""COMPUTED_VALUE"""),461.29)</f>
        <v>461.29</v>
      </c>
      <c r="X1088" s="1">
        <f ca="1">IFERROR(__xludf.DUMMYFUNCTION("""COMPUTED_VALUE"""),918.97)</f>
        <v>918.97</v>
      </c>
      <c r="Y1088" s="1">
        <f ca="1">IFERROR(__xludf.DUMMYFUNCTION("""COMPUTED_VALUE"""),138.3)</f>
        <v>138.30000000000001</v>
      </c>
      <c r="Z1088" s="1">
        <f ca="1">IFERROR(__xludf.DUMMYFUNCTION("""COMPUTED_VALUE"""),427.57)</f>
        <v>427.57</v>
      </c>
      <c r="AA1088" s="1">
        <f ca="1">IFERROR(__xludf.DUMMYFUNCTION("""COMPUTED_VALUE"""),25.4)</f>
        <v>25.4</v>
      </c>
      <c r="AB1088" s="1">
        <f ca="1">IFERROR(__xludf.DUMMYFUNCTION("""COMPUTED_VALUE"""),88.25)</f>
        <v>88.25</v>
      </c>
      <c r="AC1088" s="1">
        <f ca="1">IFERROR(__xludf.DUMMYFUNCTION("""COMPUTED_VALUE"""),157.4)</f>
        <v>157.4</v>
      </c>
    </row>
    <row r="1089" spans="1:29" x14ac:dyDescent="0.25">
      <c r="A1089" s="2">
        <f ca="1">IFERROR(__xludf.DUMMYFUNCTION("""COMPUTED_VALUE"""),45411.6666666666)</f>
        <v>45411.666666666599</v>
      </c>
      <c r="B1089" s="1">
        <f ca="1">IFERROR(__xludf.DUMMYFUNCTION("""COMPUTED_VALUE"""),173.5)</f>
        <v>173.5</v>
      </c>
      <c r="C1089" s="1">
        <f ca="1">IFERROR(__xludf.DUMMYFUNCTION("""COMPUTED_VALUE"""),402.25)</f>
        <v>402.25</v>
      </c>
      <c r="D1089" s="1">
        <f ca="1">IFERROR(__xludf.DUMMYFUNCTION("""COMPUTED_VALUE"""),180.96)</f>
        <v>180.96</v>
      </c>
      <c r="E1089" s="1">
        <f ca="1">IFERROR(__xludf.DUMMYFUNCTION("""COMPUTED_VALUE"""),87.76)</f>
        <v>87.76</v>
      </c>
      <c r="F1089" s="1">
        <f ca="1">IFERROR(__xludf.DUMMYFUNCTION("""COMPUTED_VALUE"""),432.62)</f>
        <v>432.62</v>
      </c>
      <c r="G1089" s="1">
        <f ca="1">IFERROR(__xludf.DUMMYFUNCTION("""COMPUTED_VALUE"""),167.9)</f>
        <v>167.9</v>
      </c>
      <c r="H1089" s="1">
        <f ca="1">IFERROR(__xludf.DUMMYFUNCTION("""COMPUTED_VALUE"""),194.05)</f>
        <v>194.05</v>
      </c>
      <c r="I1089" s="1">
        <f ca="1">IFERROR(__xludf.DUMMYFUNCTION("""COMPUTED_VALUE"""),176.14)</f>
        <v>176.14</v>
      </c>
      <c r="J1089" s="1">
        <f ca="1">IFERROR(__xludf.DUMMYFUNCTION("""COMPUTED_VALUE"""),726.33)</f>
        <v>726.33</v>
      </c>
      <c r="K1089" s="1">
        <f ca="1">IFERROR(__xludf.DUMMYFUNCTION("""COMPUTED_VALUE"""),133.86)</f>
        <v>133.86000000000001</v>
      </c>
      <c r="L1089" s="1">
        <f ca="1">IFERROR(__xludf.DUMMYFUNCTION("""COMPUTED_VALUE"""),473.07)</f>
        <v>473.07</v>
      </c>
      <c r="M1089" s="1">
        <f ca="1">IFERROR(__xludf.DUMMYFUNCTION("""COMPUTED_VALUE"""),559.49)</f>
        <v>559.49</v>
      </c>
      <c r="N1089" s="1">
        <f ca="1">IFERROR(__xludf.DUMMYFUNCTION("""COMPUTED_VALUE"""),193.28)</f>
        <v>193.28</v>
      </c>
      <c r="O1089" s="1">
        <f ca="1">IFERROR(__xludf.DUMMYFUNCTION("""COMPUTED_VALUE"""),271.84)</f>
        <v>271.83999999999997</v>
      </c>
      <c r="P1089" s="1">
        <f ca="1">IFERROR(__xludf.DUMMYFUNCTION("""COMPUTED_VALUE"""),146.82)</f>
        <v>146.82</v>
      </c>
      <c r="Q1089" s="1">
        <f ca="1">IFERROR(__xludf.DUMMYFUNCTION("""COMPUTED_VALUE"""),489.03)</f>
        <v>489.03</v>
      </c>
      <c r="R1089" s="1">
        <f ca="1">IFERROR(__xludf.DUMMYFUNCTION("""COMPUTED_VALUE"""),119.64)</f>
        <v>119.64</v>
      </c>
      <c r="S1089" s="1">
        <f ca="1">IFERROR(__xludf.DUMMYFUNCTION("""COMPUTED_VALUE"""),67.42)</f>
        <v>67.42</v>
      </c>
      <c r="T1089" s="1">
        <f ca="1">IFERROR(__xludf.DUMMYFUNCTION("""COMPUTED_VALUE"""),60.24)</f>
        <v>60.24</v>
      </c>
      <c r="U1089" s="1">
        <f ca="1">IFERROR(__xludf.DUMMYFUNCTION("""COMPUTED_VALUE"""),94.06)</f>
        <v>94.06</v>
      </c>
      <c r="V1089" s="1">
        <f ca="1">IFERROR(__xludf.DUMMYFUNCTION("""COMPUTED_VALUE"""),349.8)</f>
        <v>349.8</v>
      </c>
      <c r="W1089" s="1">
        <f ca="1">IFERROR(__xludf.DUMMYFUNCTION("""COMPUTED_VALUE"""),467.55)</f>
        <v>467.55</v>
      </c>
      <c r="X1089" s="1">
        <f ca="1">IFERROR(__xludf.DUMMYFUNCTION("""COMPUTED_VALUE"""),909.77)</f>
        <v>909.77</v>
      </c>
      <c r="Y1089" s="1">
        <f ca="1">IFERROR(__xludf.DUMMYFUNCTION("""COMPUTED_VALUE"""),138.5)</f>
        <v>138.5</v>
      </c>
      <c r="Z1089" s="1">
        <f ca="1">IFERROR(__xludf.DUMMYFUNCTION("""COMPUTED_VALUE"""),430.81)</f>
        <v>430.81</v>
      </c>
      <c r="AA1089" s="1">
        <f ca="1">IFERROR(__xludf.DUMMYFUNCTION("""COMPUTED_VALUE"""),25.64)</f>
        <v>25.64</v>
      </c>
      <c r="AB1089" s="1">
        <f ca="1">IFERROR(__xludf.DUMMYFUNCTION("""COMPUTED_VALUE"""),88.33)</f>
        <v>88.33</v>
      </c>
      <c r="AC1089" s="1">
        <f ca="1">IFERROR(__xludf.DUMMYFUNCTION("""COMPUTED_VALUE"""),160.2)</f>
        <v>160.19999999999999</v>
      </c>
    </row>
    <row r="1090" spans="1:29" x14ac:dyDescent="0.25">
      <c r="A1090" s="2">
        <f ca="1">IFERROR(__xludf.DUMMYFUNCTION("""COMPUTED_VALUE"""),45412.6666666666)</f>
        <v>45412.666666666599</v>
      </c>
      <c r="B1090" s="1">
        <f ca="1">IFERROR(__xludf.DUMMYFUNCTION("""COMPUTED_VALUE"""),170.33)</f>
        <v>170.33</v>
      </c>
      <c r="C1090" s="1">
        <f ca="1">IFERROR(__xludf.DUMMYFUNCTION("""COMPUTED_VALUE"""),389.33)</f>
        <v>389.33</v>
      </c>
      <c r="D1090" s="1">
        <f ca="1">IFERROR(__xludf.DUMMYFUNCTION("""COMPUTED_VALUE"""),175)</f>
        <v>175</v>
      </c>
      <c r="E1090" s="1">
        <f ca="1">IFERROR(__xludf.DUMMYFUNCTION("""COMPUTED_VALUE"""),86.4)</f>
        <v>86.4</v>
      </c>
      <c r="F1090" s="1">
        <f ca="1">IFERROR(__xludf.DUMMYFUNCTION("""COMPUTED_VALUE"""),430.17)</f>
        <v>430.17</v>
      </c>
      <c r="G1090" s="1">
        <f ca="1">IFERROR(__xludf.DUMMYFUNCTION("""COMPUTED_VALUE"""),164.64)</f>
        <v>164.64</v>
      </c>
      <c r="H1090" s="1">
        <f ca="1">IFERROR(__xludf.DUMMYFUNCTION("""COMPUTED_VALUE"""),183.28)</f>
        <v>183.28</v>
      </c>
      <c r="I1090" s="1">
        <f ca="1">IFERROR(__xludf.DUMMYFUNCTION("""COMPUTED_VALUE"""),175.91)</f>
        <v>175.91</v>
      </c>
      <c r="J1090" s="1">
        <f ca="1">IFERROR(__xludf.DUMMYFUNCTION("""COMPUTED_VALUE"""),722.9)</f>
        <v>722.9</v>
      </c>
      <c r="K1090" s="1">
        <f ca="1">IFERROR(__xludf.DUMMYFUNCTION("""COMPUTED_VALUE"""),130.03)</f>
        <v>130.03</v>
      </c>
      <c r="L1090" s="1">
        <f ca="1">IFERROR(__xludf.DUMMYFUNCTION("""COMPUTED_VALUE"""),462.83)</f>
        <v>462.83</v>
      </c>
      <c r="M1090" s="1">
        <f ca="1">IFERROR(__xludf.DUMMYFUNCTION("""COMPUTED_VALUE"""),550.64)</f>
        <v>550.64</v>
      </c>
      <c r="N1090" s="1">
        <f ca="1">IFERROR(__xludf.DUMMYFUNCTION("""COMPUTED_VALUE"""),191.74)</f>
        <v>191.74</v>
      </c>
      <c r="O1090" s="1">
        <f ca="1">IFERROR(__xludf.DUMMYFUNCTION("""COMPUTED_VALUE"""),268.61)</f>
        <v>268.61</v>
      </c>
      <c r="P1090" s="1">
        <f ca="1">IFERROR(__xludf.DUMMYFUNCTION("""COMPUTED_VALUE"""),144.59)</f>
        <v>144.59</v>
      </c>
      <c r="Q1090" s="1">
        <f ca="1">IFERROR(__xludf.DUMMYFUNCTION("""COMPUTED_VALUE"""),483.7)</f>
        <v>483.7</v>
      </c>
      <c r="R1090" s="1">
        <f ca="1">IFERROR(__xludf.DUMMYFUNCTION("""COMPUTED_VALUE"""),118.27)</f>
        <v>118.27</v>
      </c>
      <c r="S1090" s="1">
        <f ca="1">IFERROR(__xludf.DUMMYFUNCTION("""COMPUTED_VALUE"""),66.97)</f>
        <v>66.97</v>
      </c>
      <c r="T1090" s="1">
        <f ca="1">IFERROR(__xludf.DUMMYFUNCTION("""COMPUTED_VALUE"""),59.35)</f>
        <v>59.35</v>
      </c>
      <c r="U1090" s="1">
        <f ca="1">IFERROR(__xludf.DUMMYFUNCTION("""COMPUTED_VALUE"""),92.26)</f>
        <v>92.26</v>
      </c>
      <c r="V1090" s="1">
        <f ca="1">IFERROR(__xludf.DUMMYFUNCTION("""COMPUTED_VALUE"""),334.57)</f>
        <v>334.57</v>
      </c>
      <c r="W1090" s="1">
        <f ca="1">IFERROR(__xludf.DUMMYFUNCTION("""COMPUTED_VALUE"""),464.93)</f>
        <v>464.93</v>
      </c>
      <c r="X1090" s="1">
        <f ca="1">IFERROR(__xludf.DUMMYFUNCTION("""COMPUTED_VALUE"""),872.47)</f>
        <v>872.47</v>
      </c>
      <c r="Y1090" s="1">
        <f ca="1">IFERROR(__xludf.DUMMYFUNCTION("""COMPUTED_VALUE"""),137.34)</f>
        <v>137.34</v>
      </c>
      <c r="Z1090" s="1">
        <f ca="1">IFERROR(__xludf.DUMMYFUNCTION("""COMPUTED_VALUE"""),426.71)</f>
        <v>426.71</v>
      </c>
      <c r="AA1090" s="1">
        <f ca="1">IFERROR(__xludf.DUMMYFUNCTION("""COMPUTED_VALUE"""),25.62)</f>
        <v>25.62</v>
      </c>
      <c r="AB1090" s="1">
        <f ca="1">IFERROR(__xludf.DUMMYFUNCTION("""COMPUTED_VALUE"""),88.49)</f>
        <v>88.49</v>
      </c>
      <c r="AC1090" s="1">
        <f ca="1">IFERROR(__xludf.DUMMYFUNCTION("""COMPUTED_VALUE"""),158.38)</f>
        <v>158.38</v>
      </c>
    </row>
    <row r="1091" spans="1:29" x14ac:dyDescent="0.25">
      <c r="A1091" s="2">
        <f ca="1">IFERROR(__xludf.DUMMYFUNCTION("""COMPUTED_VALUE"""),45413.6666666666)</f>
        <v>45413.666666666599</v>
      </c>
      <c r="B1091" s="1">
        <f ca="1">IFERROR(__xludf.DUMMYFUNCTION("""COMPUTED_VALUE"""),169.3)</f>
        <v>169.3</v>
      </c>
      <c r="C1091" s="1">
        <f ca="1">IFERROR(__xludf.DUMMYFUNCTION("""COMPUTED_VALUE"""),394.94)</f>
        <v>394.94</v>
      </c>
      <c r="D1091" s="1">
        <f ca="1">IFERROR(__xludf.DUMMYFUNCTION("""COMPUTED_VALUE"""),179)</f>
        <v>179</v>
      </c>
      <c r="E1091" s="1">
        <f ca="1">IFERROR(__xludf.DUMMYFUNCTION("""COMPUTED_VALUE"""),83.04)</f>
        <v>83.04</v>
      </c>
      <c r="F1091" s="1">
        <f ca="1">IFERROR(__xludf.DUMMYFUNCTION("""COMPUTED_VALUE"""),439.19)</f>
        <v>439.19</v>
      </c>
      <c r="G1091" s="1">
        <f ca="1">IFERROR(__xludf.DUMMYFUNCTION("""COMPUTED_VALUE"""),165.57)</f>
        <v>165.57</v>
      </c>
      <c r="H1091" s="1">
        <f ca="1">IFERROR(__xludf.DUMMYFUNCTION("""COMPUTED_VALUE"""),179.99)</f>
        <v>179.99</v>
      </c>
      <c r="I1091" s="1">
        <f ca="1">IFERROR(__xludf.DUMMYFUNCTION("""COMPUTED_VALUE"""),175.15)</f>
        <v>175.15</v>
      </c>
      <c r="J1091" s="1">
        <f ca="1">IFERROR(__xludf.DUMMYFUNCTION("""COMPUTED_VALUE"""),722.22)</f>
        <v>722.22</v>
      </c>
      <c r="K1091" s="1">
        <f ca="1">IFERROR(__xludf.DUMMYFUNCTION("""COMPUTED_VALUE"""),124.29)</f>
        <v>124.29</v>
      </c>
      <c r="L1091" s="1">
        <f ca="1">IFERROR(__xludf.DUMMYFUNCTION("""COMPUTED_VALUE"""),469.39)</f>
        <v>469.39</v>
      </c>
      <c r="M1091" s="1">
        <f ca="1">IFERROR(__xludf.DUMMYFUNCTION("""COMPUTED_VALUE"""),551.71)</f>
        <v>551.71</v>
      </c>
      <c r="N1091" s="1">
        <f ca="1">IFERROR(__xludf.DUMMYFUNCTION("""COMPUTED_VALUE"""),191.86)</f>
        <v>191.86</v>
      </c>
      <c r="O1091" s="1">
        <f ca="1">IFERROR(__xludf.DUMMYFUNCTION("""COMPUTED_VALUE"""),267.32)</f>
        <v>267.32</v>
      </c>
      <c r="P1091" s="1">
        <f ca="1">IFERROR(__xludf.DUMMYFUNCTION("""COMPUTED_VALUE"""),151.18)</f>
        <v>151.18</v>
      </c>
      <c r="Q1091" s="1">
        <f ca="1">IFERROR(__xludf.DUMMYFUNCTION("""COMPUTED_VALUE"""),484.11)</f>
        <v>484.11</v>
      </c>
      <c r="R1091" s="1">
        <f ca="1">IFERROR(__xludf.DUMMYFUNCTION("""COMPUTED_VALUE"""),116.03)</f>
        <v>116.03</v>
      </c>
      <c r="S1091" s="1">
        <f ca="1">IFERROR(__xludf.DUMMYFUNCTION("""COMPUTED_VALUE"""),68.61)</f>
        <v>68.61</v>
      </c>
      <c r="T1091" s="1">
        <f ca="1">IFERROR(__xludf.DUMMYFUNCTION("""COMPUTED_VALUE"""),58.85)</f>
        <v>58.85</v>
      </c>
      <c r="U1091" s="1">
        <f ca="1">IFERROR(__xludf.DUMMYFUNCTION("""COMPUTED_VALUE"""),90.34)</f>
        <v>90.34</v>
      </c>
      <c r="V1091" s="1">
        <f ca="1">IFERROR(__xludf.DUMMYFUNCTION("""COMPUTED_VALUE"""),331.07)</f>
        <v>331.07</v>
      </c>
      <c r="W1091" s="1">
        <f ca="1">IFERROR(__xludf.DUMMYFUNCTION("""COMPUTED_VALUE"""),461.73)</f>
        <v>461.73</v>
      </c>
      <c r="X1091" s="1">
        <f ca="1">IFERROR(__xludf.DUMMYFUNCTION("""COMPUTED_VALUE"""),852.84)</f>
        <v>852.84</v>
      </c>
      <c r="Y1091" s="1">
        <f ca="1">IFERROR(__xludf.DUMMYFUNCTION("""COMPUTED_VALUE"""),134.94)</f>
        <v>134.94</v>
      </c>
      <c r="Z1091" s="1">
        <f ca="1">IFERROR(__xludf.DUMMYFUNCTION("""COMPUTED_VALUE"""),426.95)</f>
        <v>426.95</v>
      </c>
      <c r="AA1091" s="1">
        <f ca="1">IFERROR(__xludf.DUMMYFUNCTION("""COMPUTED_VALUE"""),27.18)</f>
        <v>27.18</v>
      </c>
      <c r="AB1091" s="1">
        <f ca="1">IFERROR(__xludf.DUMMYFUNCTION("""COMPUTED_VALUE"""),74.44)</f>
        <v>74.44</v>
      </c>
      <c r="AC1091" s="1">
        <f ca="1">IFERROR(__xludf.DUMMYFUNCTION("""COMPUTED_VALUE"""),144.27)</f>
        <v>144.27000000000001</v>
      </c>
    </row>
    <row r="1092" spans="1:29" x14ac:dyDescent="0.25">
      <c r="A1092" s="2">
        <f ca="1">IFERROR(__xludf.DUMMYFUNCTION("""COMPUTED_VALUE"""),45414.6666666666)</f>
        <v>45414.666666666599</v>
      </c>
      <c r="B1092" s="1">
        <f ca="1">IFERROR(__xludf.DUMMYFUNCTION("""COMPUTED_VALUE"""),173.03)</f>
        <v>173.03</v>
      </c>
      <c r="C1092" s="1">
        <f ca="1">IFERROR(__xludf.DUMMYFUNCTION("""COMPUTED_VALUE"""),397.84)</f>
        <v>397.84</v>
      </c>
      <c r="D1092" s="1">
        <f ca="1">IFERROR(__xludf.DUMMYFUNCTION("""COMPUTED_VALUE"""),184.72)</f>
        <v>184.72</v>
      </c>
      <c r="E1092" s="1">
        <f ca="1">IFERROR(__xludf.DUMMYFUNCTION("""COMPUTED_VALUE"""),85.82)</f>
        <v>85.82</v>
      </c>
      <c r="F1092" s="1">
        <f ca="1">IFERROR(__xludf.DUMMYFUNCTION("""COMPUTED_VALUE"""),441.68)</f>
        <v>441.68</v>
      </c>
      <c r="G1092" s="1">
        <f ca="1">IFERROR(__xludf.DUMMYFUNCTION("""COMPUTED_VALUE"""),168.46)</f>
        <v>168.46</v>
      </c>
      <c r="H1092" s="1">
        <f ca="1">IFERROR(__xludf.DUMMYFUNCTION("""COMPUTED_VALUE"""),180.01)</f>
        <v>180.01</v>
      </c>
      <c r="I1092" s="1">
        <f ca="1">IFERROR(__xludf.DUMMYFUNCTION("""COMPUTED_VALUE"""),175.45)</f>
        <v>175.45</v>
      </c>
      <c r="J1092" s="1">
        <f ca="1">IFERROR(__xludf.DUMMYFUNCTION("""COMPUTED_VALUE"""),732.44)</f>
        <v>732.44</v>
      </c>
      <c r="K1092" s="1">
        <f ca="1">IFERROR(__xludf.DUMMYFUNCTION("""COMPUTED_VALUE"""),123.86)</f>
        <v>123.86</v>
      </c>
      <c r="L1092" s="1">
        <f ca="1">IFERROR(__xludf.DUMMYFUNCTION("""COMPUTED_VALUE"""),476.57)</f>
        <v>476.57</v>
      </c>
      <c r="M1092" s="1">
        <f ca="1">IFERROR(__xludf.DUMMYFUNCTION("""COMPUTED_VALUE"""),565.15)</f>
        <v>565.15</v>
      </c>
      <c r="N1092" s="1">
        <f ca="1">IFERROR(__xludf.DUMMYFUNCTION("""COMPUTED_VALUE"""),191.66)</f>
        <v>191.66</v>
      </c>
      <c r="O1092" s="1">
        <f ca="1">IFERROR(__xludf.DUMMYFUNCTION("""COMPUTED_VALUE"""),267.61)</f>
        <v>267.61</v>
      </c>
      <c r="P1092" s="1">
        <f ca="1">IFERROR(__xludf.DUMMYFUNCTION("""COMPUTED_VALUE"""),149.92)</f>
        <v>149.91999999999999</v>
      </c>
      <c r="Q1092" s="1">
        <f ca="1">IFERROR(__xludf.DUMMYFUNCTION("""COMPUTED_VALUE"""),492.97)</f>
        <v>492.97</v>
      </c>
      <c r="R1092" s="1">
        <f ca="1">IFERROR(__xludf.DUMMYFUNCTION("""COMPUTED_VALUE"""),116.24)</f>
        <v>116.24</v>
      </c>
      <c r="S1092" s="1">
        <f ca="1">IFERROR(__xludf.DUMMYFUNCTION("""COMPUTED_VALUE"""),68.85)</f>
        <v>68.849999999999994</v>
      </c>
      <c r="T1092" s="1">
        <f ca="1">IFERROR(__xludf.DUMMYFUNCTION("""COMPUTED_VALUE"""),59.71)</f>
        <v>59.71</v>
      </c>
      <c r="U1092" s="1">
        <f ca="1">IFERROR(__xludf.DUMMYFUNCTION("""COMPUTED_VALUE"""),92.41)</f>
        <v>92.41</v>
      </c>
      <c r="V1092" s="1">
        <f ca="1">IFERROR(__xludf.DUMMYFUNCTION("""COMPUTED_VALUE"""),335.44)</f>
        <v>335.44</v>
      </c>
      <c r="W1092" s="1">
        <f ca="1">IFERROR(__xludf.DUMMYFUNCTION("""COMPUTED_VALUE"""),463.2)</f>
        <v>463.2</v>
      </c>
      <c r="X1092" s="1">
        <f ca="1">IFERROR(__xludf.DUMMYFUNCTION("""COMPUTED_VALUE"""),870.28)</f>
        <v>870.28</v>
      </c>
      <c r="Y1092" s="1">
        <f ca="1">IFERROR(__xludf.DUMMYFUNCTION("""COMPUTED_VALUE"""),136.23)</f>
        <v>136.22999999999999</v>
      </c>
      <c r="Z1092" s="1">
        <f ca="1">IFERROR(__xludf.DUMMYFUNCTION("""COMPUTED_VALUE"""),432.57)</f>
        <v>432.57</v>
      </c>
      <c r="AA1092" s="1">
        <f ca="1">IFERROR(__xludf.DUMMYFUNCTION("""COMPUTED_VALUE"""),27.7)</f>
        <v>27.7</v>
      </c>
      <c r="AB1092" s="1">
        <f ca="1">IFERROR(__xludf.DUMMYFUNCTION("""COMPUTED_VALUE"""),74.93)</f>
        <v>74.930000000000007</v>
      </c>
      <c r="AC1092" s="1">
        <f ca="1">IFERROR(__xludf.DUMMYFUNCTION("""COMPUTED_VALUE"""),146.16)</f>
        <v>146.16</v>
      </c>
    </row>
    <row r="1093" spans="1:29" x14ac:dyDescent="0.25">
      <c r="A1093" s="2">
        <f ca="1">IFERROR(__xludf.DUMMYFUNCTION("""COMPUTED_VALUE"""),45415.6666666666)</f>
        <v>45415.666666666599</v>
      </c>
      <c r="B1093" s="1">
        <f ca="1">IFERROR(__xludf.DUMMYFUNCTION("""COMPUTED_VALUE"""),183.38)</f>
        <v>183.38</v>
      </c>
      <c r="C1093" s="1">
        <f ca="1">IFERROR(__xludf.DUMMYFUNCTION("""COMPUTED_VALUE"""),406.66)</f>
        <v>406.66</v>
      </c>
      <c r="D1093" s="1">
        <f ca="1">IFERROR(__xludf.DUMMYFUNCTION("""COMPUTED_VALUE"""),186.21)</f>
        <v>186.21</v>
      </c>
      <c r="E1093" s="1">
        <f ca="1">IFERROR(__xludf.DUMMYFUNCTION("""COMPUTED_VALUE"""),88.79)</f>
        <v>88.79</v>
      </c>
      <c r="F1093" s="1">
        <f ca="1">IFERROR(__xludf.DUMMYFUNCTION("""COMPUTED_VALUE"""),451.96)</f>
        <v>451.96</v>
      </c>
      <c r="G1093" s="1">
        <f ca="1">IFERROR(__xludf.DUMMYFUNCTION("""COMPUTED_VALUE"""),168.99)</f>
        <v>168.99</v>
      </c>
      <c r="H1093" s="1">
        <f ca="1">IFERROR(__xludf.DUMMYFUNCTION("""COMPUTED_VALUE"""),181.19)</f>
        <v>181.19</v>
      </c>
      <c r="I1093" s="1">
        <f ca="1">IFERROR(__xludf.DUMMYFUNCTION("""COMPUTED_VALUE"""),176.15)</f>
        <v>176.15</v>
      </c>
      <c r="J1093" s="1">
        <f ca="1">IFERROR(__xludf.DUMMYFUNCTION("""COMPUTED_VALUE"""),743.9)</f>
        <v>743.9</v>
      </c>
      <c r="K1093" s="1">
        <f ca="1">IFERROR(__xludf.DUMMYFUNCTION("""COMPUTED_VALUE"""),127.81)</f>
        <v>127.81</v>
      </c>
      <c r="L1093" s="1">
        <f ca="1">IFERROR(__xludf.DUMMYFUNCTION("""COMPUTED_VALUE"""),486.18)</f>
        <v>486.18</v>
      </c>
      <c r="M1093" s="1">
        <f ca="1">IFERROR(__xludf.DUMMYFUNCTION("""COMPUTED_VALUE"""),579.34)</f>
        <v>579.34</v>
      </c>
      <c r="N1093" s="1">
        <f ca="1">IFERROR(__xludf.DUMMYFUNCTION("""COMPUTED_VALUE"""),190.51)</f>
        <v>190.51</v>
      </c>
      <c r="O1093" s="1">
        <f ca="1">IFERROR(__xludf.DUMMYFUNCTION("""COMPUTED_VALUE"""),268.49)</f>
        <v>268.49</v>
      </c>
      <c r="P1093" s="1">
        <f ca="1">IFERROR(__xludf.DUMMYFUNCTION("""COMPUTED_VALUE"""),149.27)</f>
        <v>149.27000000000001</v>
      </c>
      <c r="Q1093" s="1">
        <f ca="1">IFERROR(__xludf.DUMMYFUNCTION("""COMPUTED_VALUE"""),492.45)</f>
        <v>492.45</v>
      </c>
      <c r="R1093" s="1">
        <f ca="1">IFERROR(__xludf.DUMMYFUNCTION("""COMPUTED_VALUE"""),116)</f>
        <v>116</v>
      </c>
      <c r="S1093" s="1">
        <f ca="1">IFERROR(__xludf.DUMMYFUNCTION("""COMPUTED_VALUE"""),70.14)</f>
        <v>70.14</v>
      </c>
      <c r="T1093" s="1">
        <f ca="1">IFERROR(__xludf.DUMMYFUNCTION("""COMPUTED_VALUE"""),59.82)</f>
        <v>59.82</v>
      </c>
      <c r="U1093" s="1">
        <f ca="1">IFERROR(__xludf.DUMMYFUNCTION("""COMPUTED_VALUE"""),92.15)</f>
        <v>92.15</v>
      </c>
      <c r="V1093" s="1">
        <f ca="1">IFERROR(__xludf.DUMMYFUNCTION("""COMPUTED_VALUE"""),336.75)</f>
        <v>336.75</v>
      </c>
      <c r="W1093" s="1">
        <f ca="1">IFERROR(__xludf.DUMMYFUNCTION("""COMPUTED_VALUE"""),461.91)</f>
        <v>461.91</v>
      </c>
      <c r="X1093" s="1">
        <f ca="1">IFERROR(__xludf.DUMMYFUNCTION("""COMPUTED_VALUE"""),901.63)</f>
        <v>901.63</v>
      </c>
      <c r="Y1093" s="1">
        <f ca="1">IFERROR(__xludf.DUMMYFUNCTION("""COMPUTED_VALUE"""),141.56)</f>
        <v>141.56</v>
      </c>
      <c r="Z1093" s="1">
        <f ca="1">IFERROR(__xludf.DUMMYFUNCTION("""COMPUTED_VALUE"""),438.18)</f>
        <v>438.18</v>
      </c>
      <c r="AA1093" s="1">
        <f ca="1">IFERROR(__xludf.DUMMYFUNCTION("""COMPUTED_VALUE"""),27.81)</f>
        <v>27.81</v>
      </c>
      <c r="AB1093" s="1">
        <f ca="1">IFERROR(__xludf.DUMMYFUNCTION("""COMPUTED_VALUE"""),73.11)</f>
        <v>73.11</v>
      </c>
      <c r="AC1093" s="1">
        <f ca="1">IFERROR(__xludf.DUMMYFUNCTION("""COMPUTED_VALUE"""),150.6)</f>
        <v>150.6</v>
      </c>
    </row>
    <row r="1094" spans="1:29" x14ac:dyDescent="0.25">
      <c r="A1094" s="2">
        <f ca="1">IFERROR(__xludf.DUMMYFUNCTION("""COMPUTED_VALUE"""),45418.6666666666)</f>
        <v>45418.666666666599</v>
      </c>
      <c r="B1094" s="1">
        <f ca="1">IFERROR(__xludf.DUMMYFUNCTION("""COMPUTED_VALUE"""),181.71)</f>
        <v>181.71</v>
      </c>
      <c r="C1094" s="1">
        <f ca="1">IFERROR(__xludf.DUMMYFUNCTION("""COMPUTED_VALUE"""),413.54)</f>
        <v>413.54</v>
      </c>
      <c r="D1094" s="1">
        <f ca="1">IFERROR(__xludf.DUMMYFUNCTION("""COMPUTED_VALUE"""),188.7)</f>
        <v>188.7</v>
      </c>
      <c r="E1094" s="1">
        <f ca="1">IFERROR(__xludf.DUMMYFUNCTION("""COMPUTED_VALUE"""),92.14)</f>
        <v>92.14</v>
      </c>
      <c r="F1094" s="1">
        <f ca="1">IFERROR(__xludf.DUMMYFUNCTION("""COMPUTED_VALUE"""),465.68)</f>
        <v>465.68</v>
      </c>
      <c r="G1094" s="1">
        <f ca="1">IFERROR(__xludf.DUMMYFUNCTION("""COMPUTED_VALUE"""),169.83)</f>
        <v>169.83</v>
      </c>
      <c r="H1094" s="1">
        <f ca="1">IFERROR(__xludf.DUMMYFUNCTION("""COMPUTED_VALUE"""),184.76)</f>
        <v>184.76</v>
      </c>
      <c r="I1094" s="1">
        <f ca="1">IFERROR(__xludf.DUMMYFUNCTION("""COMPUTED_VALUE"""),175.82)</f>
        <v>175.82</v>
      </c>
      <c r="J1094" s="1">
        <f ca="1">IFERROR(__xludf.DUMMYFUNCTION("""COMPUTED_VALUE"""),756.45)</f>
        <v>756.45</v>
      </c>
      <c r="K1094" s="1">
        <f ca="1">IFERROR(__xludf.DUMMYFUNCTION("""COMPUTED_VALUE"""),131.03)</f>
        <v>131.03</v>
      </c>
      <c r="L1094" s="1">
        <f ca="1">IFERROR(__xludf.DUMMYFUNCTION("""COMPUTED_VALUE"""),493.59)</f>
        <v>493.59</v>
      </c>
      <c r="M1094" s="1">
        <f ca="1">IFERROR(__xludf.DUMMYFUNCTION("""COMPUTED_VALUE"""),596.97)</f>
        <v>596.97</v>
      </c>
      <c r="N1094" s="1">
        <f ca="1">IFERROR(__xludf.DUMMYFUNCTION("""COMPUTED_VALUE"""),192)</f>
        <v>192</v>
      </c>
      <c r="O1094" s="1">
        <f ca="1">IFERROR(__xludf.DUMMYFUNCTION("""COMPUTED_VALUE"""),272.67)</f>
        <v>272.67</v>
      </c>
      <c r="P1094" s="1">
        <f ca="1">IFERROR(__xludf.DUMMYFUNCTION("""COMPUTED_VALUE"""),148.58)</f>
        <v>148.58000000000001</v>
      </c>
      <c r="Q1094" s="1">
        <f ca="1">IFERROR(__xludf.DUMMYFUNCTION("""COMPUTED_VALUE"""),494.38)</f>
        <v>494.38</v>
      </c>
      <c r="R1094" s="1">
        <f ca="1">IFERROR(__xludf.DUMMYFUNCTION("""COMPUTED_VALUE"""),116.75)</f>
        <v>116.75</v>
      </c>
      <c r="S1094" s="1">
        <f ca="1">IFERROR(__xludf.DUMMYFUNCTION("""COMPUTED_VALUE"""),71.25)</f>
        <v>71.25</v>
      </c>
      <c r="T1094" s="1">
        <f ca="1">IFERROR(__xludf.DUMMYFUNCTION("""COMPUTED_VALUE"""),59.87)</f>
        <v>59.87</v>
      </c>
      <c r="U1094" s="1">
        <f ca="1">IFERROR(__xludf.DUMMYFUNCTION("""COMPUTED_VALUE"""),93.36)</f>
        <v>93.36</v>
      </c>
      <c r="V1094" s="1">
        <f ca="1">IFERROR(__xludf.DUMMYFUNCTION("""COMPUTED_VALUE"""),342.1)</f>
        <v>342.1</v>
      </c>
      <c r="W1094" s="1">
        <f ca="1">IFERROR(__xludf.DUMMYFUNCTION("""COMPUTED_VALUE"""),462.78)</f>
        <v>462.78</v>
      </c>
      <c r="X1094" s="1">
        <f ca="1">IFERROR(__xludf.DUMMYFUNCTION("""COMPUTED_VALUE"""),916.92)</f>
        <v>916.92</v>
      </c>
      <c r="Y1094" s="1">
        <f ca="1">IFERROR(__xludf.DUMMYFUNCTION("""COMPUTED_VALUE"""),142.83)</f>
        <v>142.83000000000001</v>
      </c>
      <c r="Z1094" s="1">
        <f ca="1">IFERROR(__xludf.DUMMYFUNCTION("""COMPUTED_VALUE"""),443.67)</f>
        <v>443.67</v>
      </c>
      <c r="AA1094" s="1">
        <f ca="1">IFERROR(__xludf.DUMMYFUNCTION("""COMPUTED_VALUE"""),28.16)</f>
        <v>28.16</v>
      </c>
      <c r="AB1094" s="1">
        <f ca="1">IFERROR(__xludf.DUMMYFUNCTION("""COMPUTED_VALUE"""),72.9)</f>
        <v>72.900000000000006</v>
      </c>
      <c r="AC1094" s="1">
        <f ca="1">IFERROR(__xludf.DUMMYFUNCTION("""COMPUTED_VALUE"""),155.78)</f>
        <v>155.78</v>
      </c>
    </row>
    <row r="1095" spans="1:29" x14ac:dyDescent="0.25">
      <c r="A1095" s="2">
        <f ca="1">IFERROR(__xludf.DUMMYFUNCTION("""COMPUTED_VALUE"""),45419.6666666666)</f>
        <v>45419.666666666599</v>
      </c>
      <c r="B1095" s="1">
        <f ca="1">IFERROR(__xludf.DUMMYFUNCTION("""COMPUTED_VALUE"""),182.4)</f>
        <v>182.4</v>
      </c>
      <c r="C1095" s="1">
        <f ca="1">IFERROR(__xludf.DUMMYFUNCTION("""COMPUTED_VALUE"""),409.34)</f>
        <v>409.34</v>
      </c>
      <c r="D1095" s="1">
        <f ca="1">IFERROR(__xludf.DUMMYFUNCTION("""COMPUTED_VALUE"""),188.76)</f>
        <v>188.76</v>
      </c>
      <c r="E1095" s="1">
        <f ca="1">IFERROR(__xludf.DUMMYFUNCTION("""COMPUTED_VALUE"""),90.55)</f>
        <v>90.55</v>
      </c>
      <c r="F1095" s="1">
        <f ca="1">IFERROR(__xludf.DUMMYFUNCTION("""COMPUTED_VALUE"""),468.24)</f>
        <v>468.24</v>
      </c>
      <c r="G1095" s="1">
        <f ca="1">IFERROR(__xludf.DUMMYFUNCTION("""COMPUTED_VALUE"""),172.98)</f>
        <v>172.98</v>
      </c>
      <c r="H1095" s="1">
        <f ca="1">IFERROR(__xludf.DUMMYFUNCTION("""COMPUTED_VALUE"""),177.81)</f>
        <v>177.81</v>
      </c>
      <c r="I1095" s="1">
        <f ca="1">IFERROR(__xludf.DUMMYFUNCTION("""COMPUTED_VALUE"""),178.02)</f>
        <v>178.02</v>
      </c>
      <c r="J1095" s="1">
        <f ca="1">IFERROR(__xludf.DUMMYFUNCTION("""COMPUTED_VALUE"""),771.31)</f>
        <v>771.31</v>
      </c>
      <c r="K1095" s="1">
        <f ca="1">IFERROR(__xludf.DUMMYFUNCTION("""COMPUTED_VALUE"""),130.31)</f>
        <v>130.31</v>
      </c>
      <c r="L1095" s="1">
        <f ca="1">IFERROR(__xludf.DUMMYFUNCTION("""COMPUTED_VALUE"""),492.27)</f>
        <v>492.27</v>
      </c>
      <c r="M1095" s="1">
        <f ca="1">IFERROR(__xludf.DUMMYFUNCTION("""COMPUTED_VALUE"""),606)</f>
        <v>606</v>
      </c>
      <c r="N1095" s="1">
        <f ca="1">IFERROR(__xludf.DUMMYFUNCTION("""COMPUTED_VALUE"""),191.75)</f>
        <v>191.75</v>
      </c>
      <c r="O1095" s="1">
        <f ca="1">IFERROR(__xludf.DUMMYFUNCTION("""COMPUTED_VALUE"""),276.46)</f>
        <v>276.45999999999998</v>
      </c>
      <c r="P1095" s="1">
        <f ca="1">IFERROR(__xludf.DUMMYFUNCTION("""COMPUTED_VALUE"""),148.72)</f>
        <v>148.72</v>
      </c>
      <c r="Q1095" s="1">
        <f ca="1">IFERROR(__xludf.DUMMYFUNCTION("""COMPUTED_VALUE"""),500.96)</f>
        <v>500.96</v>
      </c>
      <c r="R1095" s="1">
        <f ca="1">IFERROR(__xludf.DUMMYFUNCTION("""COMPUTED_VALUE"""),116.17)</f>
        <v>116.17</v>
      </c>
      <c r="S1095" s="1">
        <f ca="1">IFERROR(__xludf.DUMMYFUNCTION("""COMPUTED_VALUE"""),71.95)</f>
        <v>71.95</v>
      </c>
      <c r="T1095" s="1">
        <f ca="1">IFERROR(__xludf.DUMMYFUNCTION("""COMPUTED_VALUE"""),60.62)</f>
        <v>60.62</v>
      </c>
      <c r="U1095" s="1">
        <f ca="1">IFERROR(__xludf.DUMMYFUNCTION("""COMPUTED_VALUE"""),93.78)</f>
        <v>93.78</v>
      </c>
      <c r="V1095" s="1">
        <f ca="1">IFERROR(__xludf.DUMMYFUNCTION("""COMPUTED_VALUE"""),345)</f>
        <v>345</v>
      </c>
      <c r="W1095" s="1">
        <f ca="1">IFERROR(__xludf.DUMMYFUNCTION("""COMPUTED_VALUE"""),466.68)</f>
        <v>466.68</v>
      </c>
      <c r="X1095" s="1">
        <f ca="1">IFERROR(__xludf.DUMMYFUNCTION("""COMPUTED_VALUE"""),908.22)</f>
        <v>908.22</v>
      </c>
      <c r="Y1095" s="1">
        <f ca="1">IFERROR(__xludf.DUMMYFUNCTION("""COMPUTED_VALUE"""),141.11)</f>
        <v>141.11000000000001</v>
      </c>
      <c r="Z1095" s="1">
        <f ca="1">IFERROR(__xludf.DUMMYFUNCTION("""COMPUTED_VALUE"""),443.8)</f>
        <v>443.8</v>
      </c>
      <c r="AA1095" s="1">
        <f ca="1">IFERROR(__xludf.DUMMYFUNCTION("""COMPUTED_VALUE"""),27.77)</f>
        <v>27.77</v>
      </c>
      <c r="AB1095" s="1">
        <f ca="1">IFERROR(__xludf.DUMMYFUNCTION("""COMPUTED_VALUE"""),72.5)</f>
        <v>72.5</v>
      </c>
      <c r="AC1095" s="1">
        <f ca="1">IFERROR(__xludf.DUMMYFUNCTION("""COMPUTED_VALUE"""),154.43)</f>
        <v>154.43</v>
      </c>
    </row>
    <row r="1096" spans="1:29" x14ac:dyDescent="0.25">
      <c r="A1096" s="2">
        <f ca="1">IFERROR(__xludf.DUMMYFUNCTION("""COMPUTED_VALUE"""),45420.6666666666)</f>
        <v>45420.666666666599</v>
      </c>
      <c r="B1096" s="1">
        <f ca="1">IFERROR(__xludf.DUMMYFUNCTION("""COMPUTED_VALUE"""),182.74)</f>
        <v>182.74</v>
      </c>
      <c r="C1096" s="1">
        <f ca="1">IFERROR(__xludf.DUMMYFUNCTION("""COMPUTED_VALUE"""),410.54)</f>
        <v>410.54</v>
      </c>
      <c r="D1096" s="1">
        <f ca="1">IFERROR(__xludf.DUMMYFUNCTION("""COMPUTED_VALUE"""),188)</f>
        <v>188</v>
      </c>
      <c r="E1096" s="1">
        <f ca="1">IFERROR(__xludf.DUMMYFUNCTION("""COMPUTED_VALUE"""),90.41)</f>
        <v>90.41</v>
      </c>
      <c r="F1096" s="1">
        <f ca="1">IFERROR(__xludf.DUMMYFUNCTION("""COMPUTED_VALUE"""),472.6)</f>
        <v>472.6</v>
      </c>
      <c r="G1096" s="1">
        <f ca="1">IFERROR(__xludf.DUMMYFUNCTION("""COMPUTED_VALUE"""),171.16)</f>
        <v>171.16</v>
      </c>
      <c r="H1096" s="1">
        <f ca="1">IFERROR(__xludf.DUMMYFUNCTION("""COMPUTED_VALUE"""),174.72)</f>
        <v>174.72</v>
      </c>
      <c r="I1096" s="1">
        <f ca="1">IFERROR(__xludf.DUMMYFUNCTION("""COMPUTED_VALUE"""),177.41)</f>
        <v>177.41</v>
      </c>
      <c r="J1096" s="1">
        <f ca="1">IFERROR(__xludf.DUMMYFUNCTION("""COMPUTED_VALUE"""),763.41)</f>
        <v>763.41</v>
      </c>
      <c r="K1096" s="1">
        <f ca="1">IFERROR(__xludf.DUMMYFUNCTION("""COMPUTED_VALUE"""),132.54)</f>
        <v>132.54</v>
      </c>
      <c r="L1096" s="1">
        <f ca="1">IFERROR(__xludf.DUMMYFUNCTION("""COMPUTED_VALUE"""),488.1)</f>
        <v>488.1</v>
      </c>
      <c r="M1096" s="1">
        <f ca="1">IFERROR(__xludf.DUMMYFUNCTION("""COMPUTED_VALUE"""),609.47)</f>
        <v>609.47</v>
      </c>
      <c r="N1096" s="1">
        <f ca="1">IFERROR(__xludf.DUMMYFUNCTION("""COMPUTED_VALUE"""),195.65)</f>
        <v>195.65</v>
      </c>
      <c r="O1096" s="1">
        <f ca="1">IFERROR(__xludf.DUMMYFUNCTION("""COMPUTED_VALUE"""),277.19)</f>
        <v>277.19</v>
      </c>
      <c r="P1096" s="1">
        <f ca="1">IFERROR(__xludf.DUMMYFUNCTION("""COMPUTED_VALUE"""),148.95)</f>
        <v>148.94999999999999</v>
      </c>
      <c r="Q1096" s="1">
        <f ca="1">IFERROR(__xludf.DUMMYFUNCTION("""COMPUTED_VALUE"""),503.21)</f>
        <v>503.21</v>
      </c>
      <c r="R1096" s="1">
        <f ca="1">IFERROR(__xludf.DUMMYFUNCTION("""COMPUTED_VALUE"""),116.15)</f>
        <v>116.15</v>
      </c>
      <c r="S1096" s="1">
        <f ca="1">IFERROR(__xludf.DUMMYFUNCTION("""COMPUTED_VALUE"""),72.85)</f>
        <v>72.849999999999994</v>
      </c>
      <c r="T1096" s="1">
        <f ca="1">IFERROR(__xludf.DUMMYFUNCTION("""COMPUTED_VALUE"""),60.3)</f>
        <v>60.3</v>
      </c>
      <c r="U1096" s="1">
        <f ca="1">IFERROR(__xludf.DUMMYFUNCTION("""COMPUTED_VALUE"""),93.59)</f>
        <v>93.59</v>
      </c>
      <c r="V1096" s="1">
        <f ca="1">IFERROR(__xludf.DUMMYFUNCTION("""COMPUTED_VALUE"""),344.5)</f>
        <v>344.5</v>
      </c>
      <c r="W1096" s="1">
        <f ca="1">IFERROR(__xludf.DUMMYFUNCTION("""COMPUTED_VALUE"""),466.16)</f>
        <v>466.16</v>
      </c>
      <c r="X1096" s="1">
        <f ca="1">IFERROR(__xludf.DUMMYFUNCTION("""COMPUTED_VALUE"""),911.47)</f>
        <v>911.47</v>
      </c>
      <c r="Y1096" s="1">
        <f ca="1">IFERROR(__xludf.DUMMYFUNCTION("""COMPUTED_VALUE"""),143.6)</f>
        <v>143.6</v>
      </c>
      <c r="Z1096" s="1">
        <f ca="1">IFERROR(__xludf.DUMMYFUNCTION("""COMPUTED_VALUE"""),446.95)</f>
        <v>446.95</v>
      </c>
      <c r="AA1096" s="1">
        <f ca="1">IFERROR(__xludf.DUMMYFUNCTION("""COMPUTED_VALUE"""),28.27)</f>
        <v>28.27</v>
      </c>
      <c r="AB1096" s="1">
        <f ca="1">IFERROR(__xludf.DUMMYFUNCTION("""COMPUTED_VALUE"""),73.5)</f>
        <v>73.5</v>
      </c>
      <c r="AC1096" s="1">
        <f ca="1">IFERROR(__xludf.DUMMYFUNCTION("""COMPUTED_VALUE"""),153.62)</f>
        <v>153.62</v>
      </c>
    </row>
    <row r="1097" spans="1:29" x14ac:dyDescent="0.25">
      <c r="A1097" s="2">
        <f ca="1">IFERROR(__xludf.DUMMYFUNCTION("""COMPUTED_VALUE"""),45421.6666666666)</f>
        <v>45421.666666666599</v>
      </c>
      <c r="B1097" s="1">
        <f ca="1">IFERROR(__xludf.DUMMYFUNCTION("""COMPUTED_VALUE"""),184.57)</f>
        <v>184.57</v>
      </c>
      <c r="C1097" s="1">
        <f ca="1">IFERROR(__xludf.DUMMYFUNCTION("""COMPUTED_VALUE"""),412.32)</f>
        <v>412.32</v>
      </c>
      <c r="D1097" s="1">
        <f ca="1">IFERROR(__xludf.DUMMYFUNCTION("""COMPUTED_VALUE"""),189.5)</f>
        <v>189.5</v>
      </c>
      <c r="E1097" s="1">
        <f ca="1">IFERROR(__xludf.DUMMYFUNCTION("""COMPUTED_VALUE"""),88.75)</f>
        <v>88.75</v>
      </c>
      <c r="F1097" s="1">
        <f ca="1">IFERROR(__xludf.DUMMYFUNCTION("""COMPUTED_VALUE"""),475.42)</f>
        <v>475.42</v>
      </c>
      <c r="G1097" s="1">
        <f ca="1">IFERROR(__xludf.DUMMYFUNCTION("""COMPUTED_VALUE"""),171.58)</f>
        <v>171.58</v>
      </c>
      <c r="H1097" s="1">
        <f ca="1">IFERROR(__xludf.DUMMYFUNCTION("""COMPUTED_VALUE"""),171.97)</f>
        <v>171.97</v>
      </c>
      <c r="I1097" s="1">
        <f ca="1">IFERROR(__xludf.DUMMYFUNCTION("""COMPUTED_VALUE"""),178.06)</f>
        <v>178.06</v>
      </c>
      <c r="J1097" s="1">
        <f ca="1">IFERROR(__xludf.DUMMYFUNCTION("""COMPUTED_VALUE"""),779.04)</f>
        <v>779.04</v>
      </c>
      <c r="K1097" s="1">
        <f ca="1">IFERROR(__xludf.DUMMYFUNCTION("""COMPUTED_VALUE"""),130.57)</f>
        <v>130.57</v>
      </c>
      <c r="L1097" s="1">
        <f ca="1">IFERROR(__xludf.DUMMYFUNCTION("""COMPUTED_VALUE"""),482.65)</f>
        <v>482.65</v>
      </c>
      <c r="M1097" s="1">
        <f ca="1">IFERROR(__xludf.DUMMYFUNCTION("""COMPUTED_VALUE"""),612.09)</f>
        <v>612.09</v>
      </c>
      <c r="N1097" s="1">
        <f ca="1">IFERROR(__xludf.DUMMYFUNCTION("""COMPUTED_VALUE"""),197.5)</f>
        <v>197.5</v>
      </c>
      <c r="O1097" s="1">
        <f ca="1">IFERROR(__xludf.DUMMYFUNCTION("""COMPUTED_VALUE"""),278.54)</f>
        <v>278.54000000000002</v>
      </c>
      <c r="P1097" s="1">
        <f ca="1">IFERROR(__xludf.DUMMYFUNCTION("""COMPUTED_VALUE"""),149.85)</f>
        <v>149.85</v>
      </c>
      <c r="Q1097" s="1">
        <f ca="1">IFERROR(__xludf.DUMMYFUNCTION("""COMPUTED_VALUE"""),507.03)</f>
        <v>507.03</v>
      </c>
      <c r="R1097" s="1">
        <f ca="1">IFERROR(__xludf.DUMMYFUNCTION("""COMPUTED_VALUE"""),118.44)</f>
        <v>118.44</v>
      </c>
      <c r="S1097" s="1">
        <f ca="1">IFERROR(__xludf.DUMMYFUNCTION("""COMPUTED_VALUE"""),74.58)</f>
        <v>74.58</v>
      </c>
      <c r="T1097" s="1">
        <f ca="1">IFERROR(__xludf.DUMMYFUNCTION("""COMPUTED_VALUE"""),60.44)</f>
        <v>60.44</v>
      </c>
      <c r="U1097" s="1">
        <f ca="1">IFERROR(__xludf.DUMMYFUNCTION("""COMPUTED_VALUE"""),93.39)</f>
        <v>93.39</v>
      </c>
      <c r="V1097" s="1">
        <f ca="1">IFERROR(__xludf.DUMMYFUNCTION("""COMPUTED_VALUE"""),351.78)</f>
        <v>351.78</v>
      </c>
      <c r="W1097" s="1">
        <f ca="1">IFERROR(__xludf.DUMMYFUNCTION("""COMPUTED_VALUE"""),468.39)</f>
        <v>468.39</v>
      </c>
      <c r="X1097" s="1">
        <f ca="1">IFERROR(__xludf.DUMMYFUNCTION("""COMPUTED_VALUE"""),913.54)</f>
        <v>913.54</v>
      </c>
      <c r="Y1097" s="1">
        <f ca="1">IFERROR(__xludf.DUMMYFUNCTION("""COMPUTED_VALUE"""),142.79)</f>
        <v>142.79</v>
      </c>
      <c r="Z1097" s="1">
        <f ca="1">IFERROR(__xludf.DUMMYFUNCTION("""COMPUTED_VALUE"""),455.56)</f>
        <v>455.56</v>
      </c>
      <c r="AA1097" s="1">
        <f ca="1">IFERROR(__xludf.DUMMYFUNCTION("""COMPUTED_VALUE"""),28.18)</f>
        <v>28.18</v>
      </c>
      <c r="AB1097" s="1">
        <f ca="1">IFERROR(__xludf.DUMMYFUNCTION("""COMPUTED_VALUE"""),75.68)</f>
        <v>75.680000000000007</v>
      </c>
      <c r="AC1097" s="1">
        <f ca="1">IFERROR(__xludf.DUMMYFUNCTION("""COMPUTED_VALUE"""),152.39)</f>
        <v>152.38999999999999</v>
      </c>
    </row>
    <row r="1098" spans="1:29" x14ac:dyDescent="0.25">
      <c r="A1098" s="2">
        <f ca="1">IFERROR(__xludf.DUMMYFUNCTION("""COMPUTED_VALUE"""),45422.6666666666)</f>
        <v>45422.666666666599</v>
      </c>
      <c r="B1098" s="1">
        <f ca="1">IFERROR(__xludf.DUMMYFUNCTION("""COMPUTED_VALUE"""),183.05)</f>
        <v>183.05</v>
      </c>
      <c r="C1098" s="1">
        <f ca="1">IFERROR(__xludf.DUMMYFUNCTION("""COMPUTED_VALUE"""),414.74)</f>
        <v>414.74</v>
      </c>
      <c r="D1098" s="1">
        <f ca="1">IFERROR(__xludf.DUMMYFUNCTION("""COMPUTED_VALUE"""),187.48)</f>
        <v>187.48</v>
      </c>
      <c r="E1098" s="1">
        <f ca="1">IFERROR(__xludf.DUMMYFUNCTION("""COMPUTED_VALUE"""),89.88)</f>
        <v>89.88</v>
      </c>
      <c r="F1098" s="1">
        <f ca="1">IFERROR(__xludf.DUMMYFUNCTION("""COMPUTED_VALUE"""),476.2)</f>
        <v>476.2</v>
      </c>
      <c r="G1098" s="1">
        <f ca="1">IFERROR(__xludf.DUMMYFUNCTION("""COMPUTED_VALUE"""),170.29)</f>
        <v>170.29</v>
      </c>
      <c r="H1098" s="1">
        <f ca="1">IFERROR(__xludf.DUMMYFUNCTION("""COMPUTED_VALUE"""),168.47)</f>
        <v>168.47</v>
      </c>
      <c r="I1098" s="1">
        <f ca="1">IFERROR(__xludf.DUMMYFUNCTION("""COMPUTED_VALUE"""),179.79)</f>
        <v>179.79</v>
      </c>
      <c r="J1098" s="1">
        <f ca="1">IFERROR(__xludf.DUMMYFUNCTION("""COMPUTED_VALUE"""),787.19)</f>
        <v>787.19</v>
      </c>
      <c r="K1098" s="1">
        <f ca="1">IFERROR(__xludf.DUMMYFUNCTION("""COMPUTED_VALUE"""),133.28)</f>
        <v>133.28</v>
      </c>
      <c r="L1098" s="1">
        <f ca="1">IFERROR(__xludf.DUMMYFUNCTION("""COMPUTED_VALUE"""),482.29)</f>
        <v>482.29</v>
      </c>
      <c r="M1098" s="1">
        <f ca="1">IFERROR(__xludf.DUMMYFUNCTION("""COMPUTED_VALUE"""),610.87)</f>
        <v>610.87</v>
      </c>
      <c r="N1098" s="1">
        <f ca="1">IFERROR(__xludf.DUMMYFUNCTION("""COMPUTED_VALUE"""),198.77)</f>
        <v>198.77</v>
      </c>
      <c r="O1098" s="1">
        <f ca="1">IFERROR(__xludf.DUMMYFUNCTION("""COMPUTED_VALUE"""),280.74)</f>
        <v>280.74</v>
      </c>
      <c r="P1098" s="1">
        <f ca="1">IFERROR(__xludf.DUMMYFUNCTION("""COMPUTED_VALUE"""),149.91)</f>
        <v>149.91</v>
      </c>
      <c r="Q1098" s="1">
        <f ca="1">IFERROR(__xludf.DUMMYFUNCTION("""COMPUTED_VALUE"""),512.81)</f>
        <v>512.80999999999995</v>
      </c>
      <c r="R1098" s="1">
        <f ca="1">IFERROR(__xludf.DUMMYFUNCTION("""COMPUTED_VALUE"""),117.96)</f>
        <v>117.96</v>
      </c>
      <c r="S1098" s="1">
        <f ca="1">IFERROR(__xludf.DUMMYFUNCTION("""COMPUTED_VALUE"""),73.79)</f>
        <v>73.790000000000006</v>
      </c>
      <c r="T1098" s="1">
        <f ca="1">IFERROR(__xludf.DUMMYFUNCTION("""COMPUTED_VALUE"""),60.48)</f>
        <v>60.48</v>
      </c>
      <c r="U1098" s="1">
        <f ca="1">IFERROR(__xludf.DUMMYFUNCTION("""COMPUTED_VALUE"""),90.94)</f>
        <v>90.94</v>
      </c>
      <c r="V1098" s="1">
        <f ca="1">IFERROR(__xludf.DUMMYFUNCTION("""COMPUTED_VALUE"""),354.79)</f>
        <v>354.79</v>
      </c>
      <c r="W1098" s="1">
        <f ca="1">IFERROR(__xludf.DUMMYFUNCTION("""COMPUTED_VALUE"""),468.88)</f>
        <v>468.88</v>
      </c>
      <c r="X1098" s="1">
        <f ca="1">IFERROR(__xludf.DUMMYFUNCTION("""COMPUTED_VALUE"""),930.29)</f>
        <v>930.29</v>
      </c>
      <c r="Y1098" s="1">
        <f ca="1">IFERROR(__xludf.DUMMYFUNCTION("""COMPUTED_VALUE"""),149.26)</f>
        <v>149.26</v>
      </c>
      <c r="Z1098" s="1">
        <f ca="1">IFERROR(__xludf.DUMMYFUNCTION("""COMPUTED_VALUE"""),454.73)</f>
        <v>454.73</v>
      </c>
      <c r="AA1098" s="1">
        <f ca="1">IFERROR(__xludf.DUMMYFUNCTION("""COMPUTED_VALUE"""),28.01)</f>
        <v>28.01</v>
      </c>
      <c r="AB1098" s="1">
        <f ca="1">IFERROR(__xludf.DUMMYFUNCTION("""COMPUTED_VALUE"""),76.11)</f>
        <v>76.11</v>
      </c>
      <c r="AC1098" s="1">
        <f ca="1">IFERROR(__xludf.DUMMYFUNCTION("""COMPUTED_VALUE"""),151.92)</f>
        <v>151.91999999999999</v>
      </c>
    </row>
    <row r="1099" spans="1:29" x14ac:dyDescent="0.25">
      <c r="A1099" s="2">
        <f ca="1">IFERROR(__xludf.DUMMYFUNCTION("""COMPUTED_VALUE"""),45425.6666666666)</f>
        <v>45425.666666666599</v>
      </c>
      <c r="B1099" s="1">
        <f ca="1">IFERROR(__xludf.DUMMYFUNCTION("""COMPUTED_VALUE"""),186.28)</f>
        <v>186.28</v>
      </c>
      <c r="C1099" s="1">
        <f ca="1">IFERROR(__xludf.DUMMYFUNCTION("""COMPUTED_VALUE"""),413.72)</f>
        <v>413.72</v>
      </c>
      <c r="D1099" s="1">
        <f ca="1">IFERROR(__xludf.DUMMYFUNCTION("""COMPUTED_VALUE"""),186.57)</f>
        <v>186.57</v>
      </c>
      <c r="E1099" s="1">
        <f ca="1">IFERROR(__xludf.DUMMYFUNCTION("""COMPUTED_VALUE"""),90.4)</f>
        <v>90.4</v>
      </c>
      <c r="F1099" s="1">
        <f ca="1">IFERROR(__xludf.DUMMYFUNCTION("""COMPUTED_VALUE"""),468.01)</f>
        <v>468.01</v>
      </c>
      <c r="G1099" s="1">
        <f ca="1">IFERROR(__xludf.DUMMYFUNCTION("""COMPUTED_VALUE"""),170.9)</f>
        <v>170.9</v>
      </c>
      <c r="H1099" s="1">
        <f ca="1">IFERROR(__xludf.DUMMYFUNCTION("""COMPUTED_VALUE"""),171.89)</f>
        <v>171.89</v>
      </c>
      <c r="I1099" s="1">
        <f ca="1">IFERROR(__xludf.DUMMYFUNCTION("""COMPUTED_VALUE"""),180.9)</f>
        <v>180.9</v>
      </c>
      <c r="J1099" s="1">
        <f ca="1">IFERROR(__xludf.DUMMYFUNCTION("""COMPUTED_VALUE"""),775.15)</f>
        <v>775.15</v>
      </c>
      <c r="K1099" s="1">
        <f ca="1">IFERROR(__xludf.DUMMYFUNCTION("""COMPUTED_VALUE"""),133.75)</f>
        <v>133.75</v>
      </c>
      <c r="L1099" s="1">
        <f ca="1">IFERROR(__xludf.DUMMYFUNCTION("""COMPUTED_VALUE"""),483.11)</f>
        <v>483.11</v>
      </c>
      <c r="M1099" s="1">
        <f ca="1">IFERROR(__xludf.DUMMYFUNCTION("""COMPUTED_VALUE"""),616.59)</f>
        <v>616.59</v>
      </c>
      <c r="N1099" s="1">
        <f ca="1">IFERROR(__xludf.DUMMYFUNCTION("""COMPUTED_VALUE"""),198.73)</f>
        <v>198.73</v>
      </c>
      <c r="O1099" s="1">
        <f ca="1">IFERROR(__xludf.DUMMYFUNCTION("""COMPUTED_VALUE"""),279.39)</f>
        <v>279.39</v>
      </c>
      <c r="P1099" s="1">
        <f ca="1">IFERROR(__xludf.DUMMYFUNCTION("""COMPUTED_VALUE"""),151.22)</f>
        <v>151.22</v>
      </c>
      <c r="Q1099" s="1">
        <f ca="1">IFERROR(__xludf.DUMMYFUNCTION("""COMPUTED_VALUE"""),511.74)</f>
        <v>511.74</v>
      </c>
      <c r="R1099" s="1">
        <f ca="1">IFERROR(__xludf.DUMMYFUNCTION("""COMPUTED_VALUE"""),117.91)</f>
        <v>117.91</v>
      </c>
      <c r="S1099" s="1">
        <f ca="1">IFERROR(__xludf.DUMMYFUNCTION("""COMPUTED_VALUE"""),74.58)</f>
        <v>74.58</v>
      </c>
      <c r="T1099" s="1">
        <f ca="1">IFERROR(__xludf.DUMMYFUNCTION("""COMPUTED_VALUE"""),60.41)</f>
        <v>60.41</v>
      </c>
      <c r="U1099" s="1">
        <f ca="1">IFERROR(__xludf.DUMMYFUNCTION("""COMPUTED_VALUE"""),92.72)</f>
        <v>92.72</v>
      </c>
      <c r="V1099" s="1">
        <f ca="1">IFERROR(__xludf.DUMMYFUNCTION("""COMPUTED_VALUE"""),356.68)</f>
        <v>356.68</v>
      </c>
      <c r="W1099" s="1">
        <f ca="1">IFERROR(__xludf.DUMMYFUNCTION("""COMPUTED_VALUE"""),470.56)</f>
        <v>470.56</v>
      </c>
      <c r="X1099" s="1">
        <f ca="1">IFERROR(__xludf.DUMMYFUNCTION("""COMPUTED_VALUE"""),917.24)</f>
        <v>917.24</v>
      </c>
      <c r="Y1099" s="1">
        <f ca="1">IFERROR(__xludf.DUMMYFUNCTION("""COMPUTED_VALUE"""),146.41)</f>
        <v>146.41</v>
      </c>
      <c r="Z1099" s="1">
        <f ca="1">IFERROR(__xludf.DUMMYFUNCTION("""COMPUTED_VALUE"""),453.56)</f>
        <v>453.56</v>
      </c>
      <c r="AA1099" s="1">
        <f ca="1">IFERROR(__xludf.DUMMYFUNCTION("""COMPUTED_VALUE"""),28.44)</f>
        <v>28.44</v>
      </c>
      <c r="AB1099" s="1">
        <f ca="1">IFERROR(__xludf.DUMMYFUNCTION("""COMPUTED_VALUE"""),76.18)</f>
        <v>76.180000000000007</v>
      </c>
      <c r="AC1099" s="1">
        <f ca="1">IFERROR(__xludf.DUMMYFUNCTION("""COMPUTED_VALUE"""),150.56)</f>
        <v>150.56</v>
      </c>
    </row>
    <row r="1100" spans="1:29" x14ac:dyDescent="0.25">
      <c r="A1100" s="2">
        <f ca="1">IFERROR(__xludf.DUMMYFUNCTION("""COMPUTED_VALUE"""),45426.6666666666)</f>
        <v>45426.666666666599</v>
      </c>
      <c r="B1100" s="1">
        <f ca="1">IFERROR(__xludf.DUMMYFUNCTION("""COMPUTED_VALUE"""),187.43)</f>
        <v>187.43</v>
      </c>
      <c r="C1100" s="1">
        <f ca="1">IFERROR(__xludf.DUMMYFUNCTION("""COMPUTED_VALUE"""),416.56)</f>
        <v>416.56</v>
      </c>
      <c r="D1100" s="1">
        <f ca="1">IFERROR(__xludf.DUMMYFUNCTION("""COMPUTED_VALUE"""),187.07)</f>
        <v>187.07</v>
      </c>
      <c r="E1100" s="1">
        <f ca="1">IFERROR(__xludf.DUMMYFUNCTION("""COMPUTED_VALUE"""),91.36)</f>
        <v>91.36</v>
      </c>
      <c r="F1100" s="1">
        <f ca="1">IFERROR(__xludf.DUMMYFUNCTION("""COMPUTED_VALUE"""),471.85)</f>
        <v>471.85</v>
      </c>
      <c r="G1100" s="1">
        <f ca="1">IFERROR(__xludf.DUMMYFUNCTION("""COMPUTED_VALUE"""),171.93)</f>
        <v>171.93</v>
      </c>
      <c r="H1100" s="1">
        <f ca="1">IFERROR(__xludf.DUMMYFUNCTION("""COMPUTED_VALUE"""),177.55)</f>
        <v>177.55</v>
      </c>
      <c r="I1100" s="1">
        <f ca="1">IFERROR(__xludf.DUMMYFUNCTION("""COMPUTED_VALUE"""),179.87)</f>
        <v>179.87</v>
      </c>
      <c r="J1100" s="1">
        <f ca="1">IFERROR(__xludf.DUMMYFUNCTION("""COMPUTED_VALUE"""),777.9)</f>
        <v>777.9</v>
      </c>
      <c r="K1100" s="1">
        <f ca="1">IFERROR(__xludf.DUMMYFUNCTION("""COMPUTED_VALUE"""),138)</f>
        <v>138</v>
      </c>
      <c r="L1100" s="1">
        <f ca="1">IFERROR(__xludf.DUMMYFUNCTION("""COMPUTED_VALUE"""),475.95)</f>
        <v>475.95</v>
      </c>
      <c r="M1100" s="1">
        <f ca="1">IFERROR(__xludf.DUMMYFUNCTION("""COMPUTED_VALUE"""),613.66)</f>
        <v>613.66</v>
      </c>
      <c r="N1100" s="1">
        <f ca="1">IFERROR(__xludf.DUMMYFUNCTION("""COMPUTED_VALUE"""),201.51)</f>
        <v>201.51</v>
      </c>
      <c r="O1100" s="1">
        <f ca="1">IFERROR(__xludf.DUMMYFUNCTION("""COMPUTED_VALUE"""),277.74)</f>
        <v>277.74</v>
      </c>
      <c r="P1100" s="1">
        <f ca="1">IFERROR(__xludf.DUMMYFUNCTION("""COMPUTED_VALUE"""),151.38)</f>
        <v>151.38</v>
      </c>
      <c r="Q1100" s="1">
        <f ca="1">IFERROR(__xludf.DUMMYFUNCTION("""COMPUTED_VALUE"""),513.88)</f>
        <v>513.88</v>
      </c>
      <c r="R1100" s="1">
        <f ca="1">IFERROR(__xludf.DUMMYFUNCTION("""COMPUTED_VALUE"""),117.67)</f>
        <v>117.67</v>
      </c>
      <c r="S1100" s="1">
        <f ca="1">IFERROR(__xludf.DUMMYFUNCTION("""COMPUTED_VALUE"""),75.42)</f>
        <v>75.42</v>
      </c>
      <c r="T1100" s="1">
        <f ca="1">IFERROR(__xludf.DUMMYFUNCTION("""COMPUTED_VALUE"""),59.86)</f>
        <v>59.86</v>
      </c>
      <c r="U1100" s="1">
        <f ca="1">IFERROR(__xludf.DUMMYFUNCTION("""COMPUTED_VALUE"""),92.79)</f>
        <v>92.79</v>
      </c>
      <c r="V1100" s="1">
        <f ca="1">IFERROR(__xludf.DUMMYFUNCTION("""COMPUTED_VALUE"""),358.18)</f>
        <v>358.18</v>
      </c>
      <c r="W1100" s="1">
        <f ca="1">IFERROR(__xludf.DUMMYFUNCTION("""COMPUTED_VALUE"""),467.18)</f>
        <v>467.18</v>
      </c>
      <c r="X1100" s="1">
        <f ca="1">IFERROR(__xludf.DUMMYFUNCTION("""COMPUTED_VALUE"""),915.03)</f>
        <v>915.03</v>
      </c>
      <c r="Y1100" s="1">
        <f ca="1">IFERROR(__xludf.DUMMYFUNCTION("""COMPUTED_VALUE"""),151.95)</f>
        <v>151.94999999999999</v>
      </c>
      <c r="Z1100" s="1">
        <f ca="1">IFERROR(__xludf.DUMMYFUNCTION("""COMPUTED_VALUE"""),458.47)</f>
        <v>458.47</v>
      </c>
      <c r="AA1100" s="1">
        <f ca="1">IFERROR(__xludf.DUMMYFUNCTION("""COMPUTED_VALUE"""),28.38)</f>
        <v>28.38</v>
      </c>
      <c r="AB1100" s="1">
        <f ca="1">IFERROR(__xludf.DUMMYFUNCTION("""COMPUTED_VALUE"""),75.63)</f>
        <v>75.63</v>
      </c>
      <c r="AC1100" s="1">
        <f ca="1">IFERROR(__xludf.DUMMYFUNCTION("""COMPUTED_VALUE"""),153.16)</f>
        <v>153.16</v>
      </c>
    </row>
    <row r="1101" spans="1:29" x14ac:dyDescent="0.25">
      <c r="A1101" s="2">
        <f ca="1">IFERROR(__xludf.DUMMYFUNCTION("""COMPUTED_VALUE"""),45427.6666666666)</f>
        <v>45427.666666666599</v>
      </c>
      <c r="B1101" s="1">
        <f ca="1">IFERROR(__xludf.DUMMYFUNCTION("""COMPUTED_VALUE"""),189.72)</f>
        <v>189.72</v>
      </c>
      <c r="C1101" s="1">
        <f ca="1">IFERROR(__xludf.DUMMYFUNCTION("""COMPUTED_VALUE"""),423.08)</f>
        <v>423.08</v>
      </c>
      <c r="D1101" s="1">
        <f ca="1">IFERROR(__xludf.DUMMYFUNCTION("""COMPUTED_VALUE"""),185.99)</f>
        <v>185.99</v>
      </c>
      <c r="E1101" s="1">
        <f ca="1">IFERROR(__xludf.DUMMYFUNCTION("""COMPUTED_VALUE"""),94.63)</f>
        <v>94.63</v>
      </c>
      <c r="F1101" s="1">
        <f ca="1">IFERROR(__xludf.DUMMYFUNCTION("""COMPUTED_VALUE"""),481.54)</f>
        <v>481.54</v>
      </c>
      <c r="G1101" s="1">
        <f ca="1">IFERROR(__xludf.DUMMYFUNCTION("""COMPUTED_VALUE"""),173.88)</f>
        <v>173.88</v>
      </c>
      <c r="H1101" s="1">
        <f ca="1">IFERROR(__xludf.DUMMYFUNCTION("""COMPUTED_VALUE"""),173.99)</f>
        <v>173.99</v>
      </c>
      <c r="I1101" s="1">
        <f ca="1">IFERROR(__xludf.DUMMYFUNCTION("""COMPUTED_VALUE"""),179.46)</f>
        <v>179.46</v>
      </c>
      <c r="J1101" s="1">
        <f ca="1">IFERROR(__xludf.DUMMYFUNCTION("""COMPUTED_VALUE"""),787.04)</f>
        <v>787.04</v>
      </c>
      <c r="K1101" s="1">
        <f ca="1">IFERROR(__xludf.DUMMYFUNCTION("""COMPUTED_VALUE"""),143.62)</f>
        <v>143.62</v>
      </c>
      <c r="L1101" s="1">
        <f ca="1">IFERROR(__xludf.DUMMYFUNCTION("""COMPUTED_VALUE"""),485.35)</f>
        <v>485.35</v>
      </c>
      <c r="M1101" s="1">
        <f ca="1">IFERROR(__xludf.DUMMYFUNCTION("""COMPUTED_VALUE"""),613.52)</f>
        <v>613.52</v>
      </c>
      <c r="N1101" s="1">
        <f ca="1">IFERROR(__xludf.DUMMYFUNCTION("""COMPUTED_VALUE"""),202.11)</f>
        <v>202.11</v>
      </c>
      <c r="O1101" s="1">
        <f ca="1">IFERROR(__xludf.DUMMYFUNCTION("""COMPUTED_VALUE"""),281.5)</f>
        <v>281.5</v>
      </c>
      <c r="P1101" s="1">
        <f ca="1">IFERROR(__xludf.DUMMYFUNCTION("""COMPUTED_VALUE"""),152.67)</f>
        <v>152.66999999999999</v>
      </c>
      <c r="Q1101" s="1">
        <f ca="1">IFERROR(__xludf.DUMMYFUNCTION("""COMPUTED_VALUE"""),517.55)</f>
        <v>517.54999999999995</v>
      </c>
      <c r="R1101" s="1">
        <f ca="1">IFERROR(__xludf.DUMMYFUNCTION("""COMPUTED_VALUE"""),118.58)</f>
        <v>118.58</v>
      </c>
      <c r="S1101" s="1">
        <f ca="1">IFERROR(__xludf.DUMMYFUNCTION("""COMPUTED_VALUE"""),77.05)</f>
        <v>77.05</v>
      </c>
      <c r="T1101" s="1">
        <f ca="1">IFERROR(__xludf.DUMMYFUNCTION("""COMPUTED_VALUE"""),59.83)</f>
        <v>59.83</v>
      </c>
      <c r="U1101" s="1">
        <f ca="1">IFERROR(__xludf.DUMMYFUNCTION("""COMPUTED_VALUE"""),91.67)</f>
        <v>91.67</v>
      </c>
      <c r="V1101" s="1">
        <f ca="1">IFERROR(__xludf.DUMMYFUNCTION("""COMPUTED_VALUE"""),360.04)</f>
        <v>360.04</v>
      </c>
      <c r="W1101" s="1">
        <f ca="1">IFERROR(__xludf.DUMMYFUNCTION("""COMPUTED_VALUE"""),464.08)</f>
        <v>464.08</v>
      </c>
      <c r="X1101" s="1">
        <f ca="1">IFERROR(__xludf.DUMMYFUNCTION("""COMPUTED_VALUE"""),937.42)</f>
        <v>937.42</v>
      </c>
      <c r="Y1101" s="1">
        <f ca="1">IFERROR(__xludf.DUMMYFUNCTION("""COMPUTED_VALUE"""),155.58)</f>
        <v>155.58000000000001</v>
      </c>
      <c r="Z1101" s="1">
        <f ca="1">IFERROR(__xludf.DUMMYFUNCTION("""COMPUTED_VALUE"""),466.09)</f>
        <v>466.09</v>
      </c>
      <c r="AA1101" s="1">
        <f ca="1">IFERROR(__xludf.DUMMYFUNCTION("""COMPUTED_VALUE"""),28.82)</f>
        <v>28.82</v>
      </c>
      <c r="AB1101" s="1">
        <f ca="1">IFERROR(__xludf.DUMMYFUNCTION("""COMPUTED_VALUE"""),75.7)</f>
        <v>75.7</v>
      </c>
      <c r="AC1101" s="1">
        <f ca="1">IFERROR(__xludf.DUMMYFUNCTION("""COMPUTED_VALUE"""),159.67)</f>
        <v>159.66999999999999</v>
      </c>
    </row>
    <row r="1102" spans="1:29" x14ac:dyDescent="0.25">
      <c r="A1102" s="2">
        <f ca="1">IFERROR(__xludf.DUMMYFUNCTION("""COMPUTED_VALUE"""),45428.6666666666)</f>
        <v>45428.666666666599</v>
      </c>
      <c r="B1102" s="1">
        <f ca="1">IFERROR(__xludf.DUMMYFUNCTION("""COMPUTED_VALUE"""),189.84)</f>
        <v>189.84</v>
      </c>
      <c r="C1102" s="1">
        <f ca="1">IFERROR(__xludf.DUMMYFUNCTION("""COMPUTED_VALUE"""),420.99)</f>
        <v>420.99</v>
      </c>
      <c r="D1102" s="1">
        <f ca="1">IFERROR(__xludf.DUMMYFUNCTION("""COMPUTED_VALUE"""),183.63)</f>
        <v>183.63</v>
      </c>
      <c r="E1102" s="1">
        <f ca="1">IFERROR(__xludf.DUMMYFUNCTION("""COMPUTED_VALUE"""),94.36)</f>
        <v>94.36</v>
      </c>
      <c r="F1102" s="1">
        <f ca="1">IFERROR(__xludf.DUMMYFUNCTION("""COMPUTED_VALUE"""),473.23)</f>
        <v>473.23</v>
      </c>
      <c r="G1102" s="1">
        <f ca="1">IFERROR(__xludf.DUMMYFUNCTION("""COMPUTED_VALUE"""),175.43)</f>
        <v>175.43</v>
      </c>
      <c r="H1102" s="1">
        <f ca="1">IFERROR(__xludf.DUMMYFUNCTION("""COMPUTED_VALUE"""),174.84)</f>
        <v>174.84</v>
      </c>
      <c r="I1102" s="1">
        <f ca="1">IFERROR(__xludf.DUMMYFUNCTION("""COMPUTED_VALUE"""),183.11)</f>
        <v>183.11</v>
      </c>
      <c r="J1102" s="1">
        <f ca="1">IFERROR(__xludf.DUMMYFUNCTION("""COMPUTED_VALUE"""),793.07)</f>
        <v>793.07</v>
      </c>
      <c r="K1102" s="1">
        <f ca="1">IFERROR(__xludf.DUMMYFUNCTION("""COMPUTED_VALUE"""),141.21)</f>
        <v>141.21</v>
      </c>
      <c r="L1102" s="1">
        <f ca="1">IFERROR(__xludf.DUMMYFUNCTION("""COMPUTED_VALUE"""),482.88)</f>
        <v>482.88</v>
      </c>
      <c r="M1102" s="1">
        <f ca="1">IFERROR(__xludf.DUMMYFUNCTION("""COMPUTED_VALUE"""),610.52)</f>
        <v>610.52</v>
      </c>
      <c r="N1102" s="1">
        <f ca="1">IFERROR(__xludf.DUMMYFUNCTION("""COMPUTED_VALUE"""),202.47)</f>
        <v>202.47</v>
      </c>
      <c r="O1102" s="1">
        <f ca="1">IFERROR(__xludf.DUMMYFUNCTION("""COMPUTED_VALUE"""),279.84)</f>
        <v>279.83999999999997</v>
      </c>
      <c r="P1102" s="1">
        <f ca="1">IFERROR(__xludf.DUMMYFUNCTION("""COMPUTED_VALUE"""),154.28)</f>
        <v>154.28</v>
      </c>
      <c r="Q1102" s="1">
        <f ca="1">IFERROR(__xludf.DUMMYFUNCTION("""COMPUTED_VALUE"""),521.27)</f>
        <v>521.27</v>
      </c>
      <c r="R1102" s="1">
        <f ca="1">IFERROR(__xludf.DUMMYFUNCTION("""COMPUTED_VALUE"""),117.87)</f>
        <v>117.87</v>
      </c>
      <c r="S1102" s="1">
        <f ca="1">IFERROR(__xludf.DUMMYFUNCTION("""COMPUTED_VALUE"""),76.41)</f>
        <v>76.41</v>
      </c>
      <c r="T1102" s="1">
        <f ca="1">IFERROR(__xludf.DUMMYFUNCTION("""COMPUTED_VALUE"""),64.01)</f>
        <v>64.010000000000005</v>
      </c>
      <c r="U1102" s="1">
        <f ca="1">IFERROR(__xludf.DUMMYFUNCTION("""COMPUTED_VALUE"""),91.77)</f>
        <v>91.77</v>
      </c>
      <c r="V1102" s="1">
        <f ca="1">IFERROR(__xludf.DUMMYFUNCTION("""COMPUTED_VALUE"""),350.72)</f>
        <v>350.72</v>
      </c>
      <c r="W1102" s="1">
        <f ca="1">IFERROR(__xludf.DUMMYFUNCTION("""COMPUTED_VALUE"""),464.83)</f>
        <v>464.83</v>
      </c>
      <c r="X1102" s="1">
        <f ca="1">IFERROR(__xludf.DUMMYFUNCTION("""COMPUTED_VALUE"""),919.54)</f>
        <v>919.54</v>
      </c>
      <c r="Y1102" s="1">
        <f ca="1">IFERROR(__xludf.DUMMYFUNCTION("""COMPUTED_VALUE"""),152.23)</f>
        <v>152.22999999999999</v>
      </c>
      <c r="Z1102" s="1">
        <f ca="1">IFERROR(__xludf.DUMMYFUNCTION("""COMPUTED_VALUE"""),464.52)</f>
        <v>464.52</v>
      </c>
      <c r="AA1102" s="1">
        <f ca="1">IFERROR(__xludf.DUMMYFUNCTION("""COMPUTED_VALUE"""),28.92)</f>
        <v>28.92</v>
      </c>
      <c r="AB1102" s="1">
        <f ca="1">IFERROR(__xludf.DUMMYFUNCTION("""COMPUTED_VALUE"""),75.28)</f>
        <v>75.28</v>
      </c>
      <c r="AC1102" s="1">
        <f ca="1">IFERROR(__xludf.DUMMYFUNCTION("""COMPUTED_VALUE"""),162.62)</f>
        <v>162.62</v>
      </c>
    </row>
    <row r="1103" spans="1:29" x14ac:dyDescent="0.25">
      <c r="A1103" s="2">
        <f ca="1">IFERROR(__xludf.DUMMYFUNCTION("""COMPUTED_VALUE"""),45429.6666666666)</f>
        <v>45429.666666666599</v>
      </c>
      <c r="B1103" s="1">
        <f ca="1">IFERROR(__xludf.DUMMYFUNCTION("""COMPUTED_VALUE"""),189.87)</f>
        <v>189.87</v>
      </c>
      <c r="C1103" s="1">
        <f ca="1">IFERROR(__xludf.DUMMYFUNCTION("""COMPUTED_VALUE"""),420.21)</f>
        <v>420.21</v>
      </c>
      <c r="D1103" s="1">
        <f ca="1">IFERROR(__xludf.DUMMYFUNCTION("""COMPUTED_VALUE"""),184.7)</f>
        <v>184.7</v>
      </c>
      <c r="E1103" s="1">
        <f ca="1">IFERROR(__xludf.DUMMYFUNCTION("""COMPUTED_VALUE"""),92.48)</f>
        <v>92.48</v>
      </c>
      <c r="F1103" s="1">
        <f ca="1">IFERROR(__xludf.DUMMYFUNCTION("""COMPUTED_VALUE"""),471.91)</f>
        <v>471.91</v>
      </c>
      <c r="G1103" s="1">
        <f ca="1">IFERROR(__xludf.DUMMYFUNCTION("""COMPUTED_VALUE"""),177.29)</f>
        <v>177.29</v>
      </c>
      <c r="H1103" s="1">
        <f ca="1">IFERROR(__xludf.DUMMYFUNCTION("""COMPUTED_VALUE"""),177.46)</f>
        <v>177.46</v>
      </c>
      <c r="I1103" s="1">
        <f ca="1">IFERROR(__xludf.DUMMYFUNCTION("""COMPUTED_VALUE"""),182.19)</f>
        <v>182.19</v>
      </c>
      <c r="J1103" s="1">
        <f ca="1">IFERROR(__xludf.DUMMYFUNCTION("""COMPUTED_VALUE"""),795.81)</f>
        <v>795.81</v>
      </c>
      <c r="K1103" s="1">
        <f ca="1">IFERROR(__xludf.DUMMYFUNCTION("""COMPUTED_VALUE"""),139.53)</f>
        <v>139.53</v>
      </c>
      <c r="L1103" s="1">
        <f ca="1">IFERROR(__xludf.DUMMYFUNCTION("""COMPUTED_VALUE"""),483.43)</f>
        <v>483.43</v>
      </c>
      <c r="M1103" s="1">
        <f ca="1">IFERROR(__xludf.DUMMYFUNCTION("""COMPUTED_VALUE"""),621.1)</f>
        <v>621.1</v>
      </c>
      <c r="N1103" s="1">
        <f ca="1">IFERROR(__xludf.DUMMYFUNCTION("""COMPUTED_VALUE"""),204.79)</f>
        <v>204.79</v>
      </c>
      <c r="O1103" s="1">
        <f ca="1">IFERROR(__xludf.DUMMYFUNCTION("""COMPUTED_VALUE"""),280.1)</f>
        <v>280.10000000000002</v>
      </c>
      <c r="P1103" s="1">
        <f ca="1">IFERROR(__xludf.DUMMYFUNCTION("""COMPUTED_VALUE"""),154.64)</f>
        <v>154.63999999999999</v>
      </c>
      <c r="Q1103" s="1">
        <f ca="1">IFERROR(__xludf.DUMMYFUNCTION("""COMPUTED_VALUE"""),524.63)</f>
        <v>524.63</v>
      </c>
      <c r="R1103" s="1">
        <f ca="1">IFERROR(__xludf.DUMMYFUNCTION("""COMPUTED_VALUE"""),119.64)</f>
        <v>119.64</v>
      </c>
      <c r="S1103" s="1">
        <f ca="1">IFERROR(__xludf.DUMMYFUNCTION("""COMPUTED_VALUE"""),76.09)</f>
        <v>76.09</v>
      </c>
      <c r="T1103" s="1">
        <f ca="1">IFERROR(__xludf.DUMMYFUNCTION("""COMPUTED_VALUE"""),64.65)</f>
        <v>64.650000000000006</v>
      </c>
      <c r="U1103" s="1">
        <f ca="1">IFERROR(__xludf.DUMMYFUNCTION("""COMPUTED_VALUE"""),92.18)</f>
        <v>92.18</v>
      </c>
      <c r="V1103" s="1">
        <f ca="1">IFERROR(__xludf.DUMMYFUNCTION("""COMPUTED_VALUE"""),356.27)</f>
        <v>356.27</v>
      </c>
      <c r="W1103" s="1">
        <f ca="1">IFERROR(__xludf.DUMMYFUNCTION("""COMPUTED_VALUE"""),466.2)</f>
        <v>466.2</v>
      </c>
      <c r="X1103" s="1">
        <f ca="1">IFERROR(__xludf.DUMMYFUNCTION("""COMPUTED_VALUE"""),924.97)</f>
        <v>924.97</v>
      </c>
      <c r="Y1103" s="1">
        <f ca="1">IFERROR(__xludf.DUMMYFUNCTION("""COMPUTED_VALUE"""),151.68)</f>
        <v>151.68</v>
      </c>
      <c r="Z1103" s="1">
        <f ca="1">IFERROR(__xludf.DUMMYFUNCTION("""COMPUTED_VALUE"""),467.72)</f>
        <v>467.72</v>
      </c>
      <c r="AA1103" s="1">
        <f ca="1">IFERROR(__xludf.DUMMYFUNCTION("""COMPUTED_VALUE"""),28.64)</f>
        <v>28.64</v>
      </c>
      <c r="AB1103" s="1">
        <f ca="1">IFERROR(__xludf.DUMMYFUNCTION("""COMPUTED_VALUE"""),77.85)</f>
        <v>77.849999999999994</v>
      </c>
      <c r="AC1103" s="1">
        <f ca="1">IFERROR(__xludf.DUMMYFUNCTION("""COMPUTED_VALUE"""),164.47)</f>
        <v>164.47</v>
      </c>
    </row>
    <row r="1104" spans="1:29" x14ac:dyDescent="0.25">
      <c r="A1104" s="2">
        <f ca="1">IFERROR(__xludf.DUMMYFUNCTION("""COMPUTED_VALUE"""),45432.6666666666)</f>
        <v>45432.666666666599</v>
      </c>
      <c r="B1104" s="1">
        <f ca="1">IFERROR(__xludf.DUMMYFUNCTION("""COMPUTED_VALUE"""),191.04)</f>
        <v>191.04</v>
      </c>
      <c r="C1104" s="1">
        <f ca="1">IFERROR(__xludf.DUMMYFUNCTION("""COMPUTED_VALUE"""),425.34)</f>
        <v>425.34</v>
      </c>
      <c r="D1104" s="1">
        <f ca="1">IFERROR(__xludf.DUMMYFUNCTION("""COMPUTED_VALUE"""),183.54)</f>
        <v>183.54</v>
      </c>
      <c r="E1104" s="1">
        <f ca="1">IFERROR(__xludf.DUMMYFUNCTION("""COMPUTED_VALUE"""),94.78)</f>
        <v>94.78</v>
      </c>
      <c r="F1104" s="1">
        <f ca="1">IFERROR(__xludf.DUMMYFUNCTION("""COMPUTED_VALUE"""),468.84)</f>
        <v>468.84</v>
      </c>
      <c r="G1104" s="1">
        <f ca="1">IFERROR(__xludf.DUMMYFUNCTION("""COMPUTED_VALUE"""),178.46)</f>
        <v>178.46</v>
      </c>
      <c r="H1104" s="1">
        <f ca="1">IFERROR(__xludf.DUMMYFUNCTION("""COMPUTED_VALUE"""),174.95)</f>
        <v>174.95</v>
      </c>
      <c r="I1104" s="1">
        <f ca="1">IFERROR(__xludf.DUMMYFUNCTION("""COMPUTED_VALUE"""),180.31)</f>
        <v>180.31</v>
      </c>
      <c r="J1104" s="1">
        <f ca="1">IFERROR(__xludf.DUMMYFUNCTION("""COMPUTED_VALUE"""),793)</f>
        <v>793</v>
      </c>
      <c r="K1104" s="1">
        <f ca="1">IFERROR(__xludf.DUMMYFUNCTION("""COMPUTED_VALUE"""),141.4)</f>
        <v>141.4</v>
      </c>
      <c r="L1104" s="1">
        <f ca="1">IFERROR(__xludf.DUMMYFUNCTION("""COMPUTED_VALUE"""),484.69)</f>
        <v>484.69</v>
      </c>
      <c r="M1104" s="1">
        <f ca="1">IFERROR(__xludf.DUMMYFUNCTION("""COMPUTED_VALUE"""),640.82)</f>
        <v>640.82000000000005</v>
      </c>
      <c r="N1104" s="1">
        <f ca="1">IFERROR(__xludf.DUMMYFUNCTION("""COMPUTED_VALUE"""),195.58)</f>
        <v>195.58</v>
      </c>
      <c r="O1104" s="1">
        <f ca="1">IFERROR(__xludf.DUMMYFUNCTION("""COMPUTED_VALUE"""),278.54)</f>
        <v>278.54000000000002</v>
      </c>
      <c r="P1104" s="1">
        <f ca="1">IFERROR(__xludf.DUMMYFUNCTION("""COMPUTED_VALUE"""),151.27)</f>
        <v>151.27000000000001</v>
      </c>
      <c r="Q1104" s="1">
        <f ca="1">IFERROR(__xludf.DUMMYFUNCTION("""COMPUTED_VALUE"""),517.23)</f>
        <v>517.23</v>
      </c>
      <c r="R1104" s="1">
        <f ca="1">IFERROR(__xludf.DUMMYFUNCTION("""COMPUTED_VALUE"""),118.67)</f>
        <v>118.67</v>
      </c>
      <c r="S1104" s="1">
        <f ca="1">IFERROR(__xludf.DUMMYFUNCTION("""COMPUTED_VALUE"""),75.87)</f>
        <v>75.87</v>
      </c>
      <c r="T1104" s="1">
        <f ca="1">IFERROR(__xludf.DUMMYFUNCTION("""COMPUTED_VALUE"""),64.18)</f>
        <v>64.180000000000007</v>
      </c>
      <c r="U1104" s="1">
        <f ca="1">IFERROR(__xludf.DUMMYFUNCTION("""COMPUTED_VALUE"""),91.77)</f>
        <v>91.77</v>
      </c>
      <c r="V1104" s="1">
        <f ca="1">IFERROR(__xludf.DUMMYFUNCTION("""COMPUTED_VALUE"""),362.75)</f>
        <v>362.75</v>
      </c>
      <c r="W1104" s="1">
        <f ca="1">IFERROR(__xludf.DUMMYFUNCTION("""COMPUTED_VALUE"""),467.08)</f>
        <v>467.08</v>
      </c>
      <c r="X1104" s="1">
        <f ca="1">IFERROR(__xludf.DUMMYFUNCTION("""COMPUTED_VALUE"""),939.44)</f>
        <v>939.44</v>
      </c>
      <c r="Y1104" s="1">
        <f ca="1">IFERROR(__xludf.DUMMYFUNCTION("""COMPUTED_VALUE"""),153.55)</f>
        <v>153.55000000000001</v>
      </c>
      <c r="Z1104" s="1">
        <f ca="1">IFERROR(__xludf.DUMMYFUNCTION("""COMPUTED_VALUE"""),462.94)</f>
        <v>462.94</v>
      </c>
      <c r="AA1104" s="1">
        <f ca="1">IFERROR(__xludf.DUMMYFUNCTION("""COMPUTED_VALUE"""),28.53)</f>
        <v>28.53</v>
      </c>
      <c r="AB1104" s="1">
        <f ca="1">IFERROR(__xludf.DUMMYFUNCTION("""COMPUTED_VALUE"""),77.54)</f>
        <v>77.540000000000006</v>
      </c>
      <c r="AC1104" s="1">
        <f ca="1">IFERROR(__xludf.DUMMYFUNCTION("""COMPUTED_VALUE"""),166.33)</f>
        <v>166.33</v>
      </c>
    </row>
    <row r="1105" spans="1:29" x14ac:dyDescent="0.25">
      <c r="A1105" s="2">
        <f ca="1">IFERROR(__xludf.DUMMYFUNCTION("""COMPUTED_VALUE"""),45433.6666666666)</f>
        <v>45433.666666666599</v>
      </c>
      <c r="B1105" s="1">
        <f ca="1">IFERROR(__xludf.DUMMYFUNCTION("""COMPUTED_VALUE"""),192.35)</f>
        <v>192.35</v>
      </c>
      <c r="C1105" s="1">
        <f ca="1">IFERROR(__xludf.DUMMYFUNCTION("""COMPUTED_VALUE"""),429.04)</f>
        <v>429.04</v>
      </c>
      <c r="D1105" s="1">
        <f ca="1">IFERROR(__xludf.DUMMYFUNCTION("""COMPUTED_VALUE"""),183.15)</f>
        <v>183.15</v>
      </c>
      <c r="E1105" s="1">
        <f ca="1">IFERROR(__xludf.DUMMYFUNCTION("""COMPUTED_VALUE"""),95.39)</f>
        <v>95.39</v>
      </c>
      <c r="F1105" s="1">
        <f ca="1">IFERROR(__xludf.DUMMYFUNCTION("""COMPUTED_VALUE"""),464.63)</f>
        <v>464.63</v>
      </c>
      <c r="G1105" s="1">
        <f ca="1">IFERROR(__xludf.DUMMYFUNCTION("""COMPUTED_VALUE"""),179.54)</f>
        <v>179.54</v>
      </c>
      <c r="H1105" s="1">
        <f ca="1">IFERROR(__xludf.DUMMYFUNCTION("""COMPUTED_VALUE"""),186.6)</f>
        <v>186.6</v>
      </c>
      <c r="I1105" s="1">
        <f ca="1">IFERROR(__xludf.DUMMYFUNCTION("""COMPUTED_VALUE"""),181.08)</f>
        <v>181.08</v>
      </c>
      <c r="J1105" s="1">
        <f ca="1">IFERROR(__xludf.DUMMYFUNCTION("""COMPUTED_VALUE"""),800.93)</f>
        <v>800.93</v>
      </c>
      <c r="K1105" s="1">
        <f ca="1">IFERROR(__xludf.DUMMYFUNCTION("""COMPUTED_VALUE"""),139.92)</f>
        <v>139.91999999999999</v>
      </c>
      <c r="L1105" s="1">
        <f ca="1">IFERROR(__xludf.DUMMYFUNCTION("""COMPUTED_VALUE"""),481.85)</f>
        <v>481.85</v>
      </c>
      <c r="M1105" s="1">
        <f ca="1">IFERROR(__xludf.DUMMYFUNCTION("""COMPUTED_VALUE"""),650.61)</f>
        <v>650.61</v>
      </c>
      <c r="N1105" s="1">
        <f ca="1">IFERROR(__xludf.DUMMYFUNCTION("""COMPUTED_VALUE"""),199.52)</f>
        <v>199.52</v>
      </c>
      <c r="O1105" s="1">
        <f ca="1">IFERROR(__xludf.DUMMYFUNCTION("""COMPUTED_VALUE"""),275.95)</f>
        <v>275.95</v>
      </c>
      <c r="P1105" s="1">
        <f ca="1">IFERROR(__xludf.DUMMYFUNCTION("""COMPUTED_VALUE"""),151.24)</f>
        <v>151.24</v>
      </c>
      <c r="Q1105" s="1">
        <f ca="1">IFERROR(__xludf.DUMMYFUNCTION("""COMPUTED_VALUE"""),523.55)</f>
        <v>523.54999999999995</v>
      </c>
      <c r="R1105" s="1">
        <f ca="1">IFERROR(__xludf.DUMMYFUNCTION("""COMPUTED_VALUE"""),117.85)</f>
        <v>117.85</v>
      </c>
      <c r="S1105" s="1">
        <f ca="1">IFERROR(__xludf.DUMMYFUNCTION("""COMPUTED_VALUE"""),76.95)</f>
        <v>76.95</v>
      </c>
      <c r="T1105" s="1">
        <f ca="1">IFERROR(__xludf.DUMMYFUNCTION("""COMPUTED_VALUE"""),65.15)</f>
        <v>65.150000000000006</v>
      </c>
      <c r="U1105" s="1">
        <f ca="1">IFERROR(__xludf.DUMMYFUNCTION("""COMPUTED_VALUE"""),92.82)</f>
        <v>92.82</v>
      </c>
      <c r="V1105" s="1">
        <f ca="1">IFERROR(__xludf.DUMMYFUNCTION("""COMPUTED_VALUE"""),359.07)</f>
        <v>359.07</v>
      </c>
      <c r="W1105" s="1">
        <f ca="1">IFERROR(__xludf.DUMMYFUNCTION("""COMPUTED_VALUE"""),468.31)</f>
        <v>468.31</v>
      </c>
      <c r="X1105" s="1">
        <f ca="1">IFERROR(__xludf.DUMMYFUNCTION("""COMPUTED_VALUE"""),925.27)</f>
        <v>925.27</v>
      </c>
      <c r="Y1105" s="1">
        <f ca="1">IFERROR(__xludf.DUMMYFUNCTION("""COMPUTED_VALUE"""),153.67)</f>
        <v>153.66999999999999</v>
      </c>
      <c r="Z1105" s="1">
        <f ca="1">IFERROR(__xludf.DUMMYFUNCTION("""COMPUTED_VALUE"""),470.41)</f>
        <v>470.41</v>
      </c>
      <c r="AA1105" s="1">
        <f ca="1">IFERROR(__xludf.DUMMYFUNCTION("""COMPUTED_VALUE"""),28.56)</f>
        <v>28.56</v>
      </c>
      <c r="AB1105" s="1">
        <f ca="1">IFERROR(__xludf.DUMMYFUNCTION("""COMPUTED_VALUE"""),77.72)</f>
        <v>77.72</v>
      </c>
      <c r="AC1105" s="1">
        <f ca="1">IFERROR(__xludf.DUMMYFUNCTION("""COMPUTED_VALUE"""),164.66)</f>
        <v>164.66</v>
      </c>
    </row>
    <row r="1106" spans="1:29" x14ac:dyDescent="0.25">
      <c r="A1106" s="2">
        <f ca="1">IFERROR(__xludf.DUMMYFUNCTION("""COMPUTED_VALUE"""),45434.6666666666)</f>
        <v>45434.666666666599</v>
      </c>
      <c r="B1106" s="1">
        <f ca="1">IFERROR(__xludf.DUMMYFUNCTION("""COMPUTED_VALUE"""),190.9)</f>
        <v>190.9</v>
      </c>
      <c r="C1106" s="1">
        <f ca="1">IFERROR(__xludf.DUMMYFUNCTION("""COMPUTED_VALUE"""),430.52)</f>
        <v>430.52</v>
      </c>
      <c r="D1106" s="1">
        <f ca="1">IFERROR(__xludf.DUMMYFUNCTION("""COMPUTED_VALUE"""),183.13)</f>
        <v>183.13</v>
      </c>
      <c r="E1106" s="1">
        <f ca="1">IFERROR(__xludf.DUMMYFUNCTION("""COMPUTED_VALUE"""),94.95)</f>
        <v>94.95</v>
      </c>
      <c r="F1106" s="1">
        <f ca="1">IFERROR(__xludf.DUMMYFUNCTION("""COMPUTED_VALUE"""),467.78)</f>
        <v>467.78</v>
      </c>
      <c r="G1106" s="1">
        <f ca="1">IFERROR(__xludf.DUMMYFUNCTION("""COMPUTED_VALUE"""),178)</f>
        <v>178</v>
      </c>
      <c r="H1106" s="1">
        <f ca="1">IFERROR(__xludf.DUMMYFUNCTION("""COMPUTED_VALUE"""),180.11)</f>
        <v>180.11</v>
      </c>
      <c r="I1106" s="1">
        <f ca="1">IFERROR(__xludf.DUMMYFUNCTION("""COMPUTED_VALUE"""),182.09)</f>
        <v>182.09</v>
      </c>
      <c r="J1106" s="1">
        <f ca="1">IFERROR(__xludf.DUMMYFUNCTION("""COMPUTED_VALUE"""),801.86)</f>
        <v>801.86</v>
      </c>
      <c r="K1106" s="1">
        <f ca="1">IFERROR(__xludf.DUMMYFUNCTION("""COMPUTED_VALUE"""),139.22)</f>
        <v>139.22</v>
      </c>
      <c r="L1106" s="1">
        <f ca="1">IFERROR(__xludf.DUMMYFUNCTION("""COMPUTED_VALUE"""),483.93)</f>
        <v>483.93</v>
      </c>
      <c r="M1106" s="1">
        <f ca="1">IFERROR(__xludf.DUMMYFUNCTION("""COMPUTED_VALUE"""),640.47)</f>
        <v>640.47</v>
      </c>
      <c r="N1106" s="1">
        <f ca="1">IFERROR(__xludf.DUMMYFUNCTION("""COMPUTED_VALUE"""),198.31)</f>
        <v>198.31</v>
      </c>
      <c r="O1106" s="1">
        <f ca="1">IFERROR(__xludf.DUMMYFUNCTION("""COMPUTED_VALUE"""),275.58)</f>
        <v>275.58</v>
      </c>
      <c r="P1106" s="1">
        <f ca="1">IFERROR(__xludf.DUMMYFUNCTION("""COMPUTED_VALUE"""),153.5)</f>
        <v>153.5</v>
      </c>
      <c r="Q1106" s="1">
        <f ca="1">IFERROR(__xludf.DUMMYFUNCTION("""COMPUTED_VALUE"""),521.35)</f>
        <v>521.35</v>
      </c>
      <c r="R1106" s="1">
        <f ca="1">IFERROR(__xludf.DUMMYFUNCTION("""COMPUTED_VALUE"""),115.48)</f>
        <v>115.48</v>
      </c>
      <c r="S1106" s="1">
        <f ca="1">IFERROR(__xludf.DUMMYFUNCTION("""COMPUTED_VALUE"""),76.32)</f>
        <v>76.319999999999993</v>
      </c>
      <c r="T1106" s="1">
        <f ca="1">IFERROR(__xludf.DUMMYFUNCTION("""COMPUTED_VALUE"""),65.25)</f>
        <v>65.25</v>
      </c>
      <c r="U1106" s="1">
        <f ca="1">IFERROR(__xludf.DUMMYFUNCTION("""COMPUTED_VALUE"""),92.5)</f>
        <v>92.5</v>
      </c>
      <c r="V1106" s="1">
        <f ca="1">IFERROR(__xludf.DUMMYFUNCTION("""COMPUTED_VALUE"""),355.94)</f>
        <v>355.94</v>
      </c>
      <c r="W1106" s="1">
        <f ca="1">IFERROR(__xludf.DUMMYFUNCTION("""COMPUTED_VALUE"""),469.71)</f>
        <v>469.71</v>
      </c>
      <c r="X1106" s="1">
        <f ca="1">IFERROR(__xludf.DUMMYFUNCTION("""COMPUTED_VALUE"""),922.33)</f>
        <v>922.33</v>
      </c>
      <c r="Y1106" s="1">
        <f ca="1">IFERROR(__xludf.DUMMYFUNCTION("""COMPUTED_VALUE"""),156.15)</f>
        <v>156.15</v>
      </c>
      <c r="Z1106" s="1">
        <f ca="1">IFERROR(__xludf.DUMMYFUNCTION("""COMPUTED_VALUE"""),462.38)</f>
        <v>462.38</v>
      </c>
      <c r="AA1106" s="1">
        <f ca="1">IFERROR(__xludf.DUMMYFUNCTION("""COMPUTED_VALUE"""),29.6)</f>
        <v>29.6</v>
      </c>
      <c r="AB1106" s="1">
        <f ca="1">IFERROR(__xludf.DUMMYFUNCTION("""COMPUTED_VALUE"""),80.72)</f>
        <v>80.72</v>
      </c>
      <c r="AC1106" s="1">
        <f ca="1">IFERROR(__xludf.DUMMYFUNCTION("""COMPUTED_VALUE"""),165.52)</f>
        <v>165.52</v>
      </c>
    </row>
    <row r="1107" spans="1:29" x14ac:dyDescent="0.25">
      <c r="A1107" s="2">
        <f ca="1">IFERROR(__xludf.DUMMYFUNCTION("""COMPUTED_VALUE"""),45435.6666666666)</f>
        <v>45435.666666666599</v>
      </c>
      <c r="B1107" s="1">
        <f ca="1">IFERROR(__xludf.DUMMYFUNCTION("""COMPUTED_VALUE"""),186.88)</f>
        <v>186.88</v>
      </c>
      <c r="C1107" s="1">
        <f ca="1">IFERROR(__xludf.DUMMYFUNCTION("""COMPUTED_VALUE"""),427)</f>
        <v>427</v>
      </c>
      <c r="D1107" s="1">
        <f ca="1">IFERROR(__xludf.DUMMYFUNCTION("""COMPUTED_VALUE"""),181.05)</f>
        <v>181.05</v>
      </c>
      <c r="E1107" s="1">
        <f ca="1">IFERROR(__xludf.DUMMYFUNCTION("""COMPUTED_VALUE"""),103.8)</f>
        <v>103.8</v>
      </c>
      <c r="F1107" s="1">
        <f ca="1">IFERROR(__xludf.DUMMYFUNCTION("""COMPUTED_VALUE"""),465.78)</f>
        <v>465.78</v>
      </c>
      <c r="G1107" s="1">
        <f ca="1">IFERROR(__xludf.DUMMYFUNCTION("""COMPUTED_VALUE"""),175.06)</f>
        <v>175.06</v>
      </c>
      <c r="H1107" s="1">
        <f ca="1">IFERROR(__xludf.DUMMYFUNCTION("""COMPUTED_VALUE"""),173.74)</f>
        <v>173.74</v>
      </c>
      <c r="I1107" s="1">
        <f ca="1">IFERROR(__xludf.DUMMYFUNCTION("""COMPUTED_VALUE"""),179.27)</f>
        <v>179.27</v>
      </c>
      <c r="J1107" s="1">
        <f ca="1">IFERROR(__xludf.DUMMYFUNCTION("""COMPUTED_VALUE"""),796.34)</f>
        <v>796.34</v>
      </c>
      <c r="K1107" s="1">
        <f ca="1">IFERROR(__xludf.DUMMYFUNCTION("""COMPUTED_VALUE"""),139.33)</f>
        <v>139.33000000000001</v>
      </c>
      <c r="L1107" s="1">
        <f ca="1">IFERROR(__xludf.DUMMYFUNCTION("""COMPUTED_VALUE"""),483.31)</f>
        <v>483.31</v>
      </c>
      <c r="M1107" s="1">
        <f ca="1">IFERROR(__xludf.DUMMYFUNCTION("""COMPUTED_VALUE"""),635.67)</f>
        <v>635.66999999999996</v>
      </c>
      <c r="N1107" s="1">
        <f ca="1">IFERROR(__xludf.DUMMYFUNCTION("""COMPUTED_VALUE"""),196.92)</f>
        <v>196.92</v>
      </c>
      <c r="O1107" s="1">
        <f ca="1">IFERROR(__xludf.DUMMYFUNCTION("""COMPUTED_VALUE"""),274.23)</f>
        <v>274.23</v>
      </c>
      <c r="P1107" s="1">
        <f ca="1">IFERROR(__xludf.DUMMYFUNCTION("""COMPUTED_VALUE"""),149.7)</f>
        <v>149.69999999999999</v>
      </c>
      <c r="Q1107" s="1">
        <f ca="1">IFERROR(__xludf.DUMMYFUNCTION("""COMPUTED_VALUE"""),516.83)</f>
        <v>516.83000000000004</v>
      </c>
      <c r="R1107" s="1">
        <f ca="1">IFERROR(__xludf.DUMMYFUNCTION("""COMPUTED_VALUE"""),113.51)</f>
        <v>113.51</v>
      </c>
      <c r="S1107" s="1">
        <f ca="1">IFERROR(__xludf.DUMMYFUNCTION("""COMPUTED_VALUE"""),75.32)</f>
        <v>75.319999999999993</v>
      </c>
      <c r="T1107" s="1">
        <f ca="1">IFERROR(__xludf.DUMMYFUNCTION("""COMPUTED_VALUE"""),64.84)</f>
        <v>64.84</v>
      </c>
      <c r="U1107" s="1">
        <f ca="1">IFERROR(__xludf.DUMMYFUNCTION("""COMPUTED_VALUE"""),91.4)</f>
        <v>91.4</v>
      </c>
      <c r="V1107" s="1">
        <f ca="1">IFERROR(__xludf.DUMMYFUNCTION("""COMPUTED_VALUE"""),350.7)</f>
        <v>350.7</v>
      </c>
      <c r="W1107" s="1">
        <f ca="1">IFERROR(__xludf.DUMMYFUNCTION("""COMPUTED_VALUE"""),467.08)</f>
        <v>467.08</v>
      </c>
      <c r="X1107" s="1">
        <f ca="1">IFERROR(__xludf.DUMMYFUNCTION("""COMPUTED_VALUE"""),934.25)</f>
        <v>934.25</v>
      </c>
      <c r="Y1107" s="1">
        <f ca="1">IFERROR(__xludf.DUMMYFUNCTION("""COMPUTED_VALUE"""),157.09)</f>
        <v>157.09</v>
      </c>
      <c r="Z1107" s="1">
        <f ca="1">IFERROR(__xludf.DUMMYFUNCTION("""COMPUTED_VALUE"""),458.15)</f>
        <v>458.15</v>
      </c>
      <c r="AA1107" s="1">
        <f ca="1">IFERROR(__xludf.DUMMYFUNCTION("""COMPUTED_VALUE"""),28.69)</f>
        <v>28.69</v>
      </c>
      <c r="AB1107" s="1">
        <f ca="1">IFERROR(__xludf.DUMMYFUNCTION("""COMPUTED_VALUE"""),78.31)</f>
        <v>78.31</v>
      </c>
      <c r="AC1107" s="1">
        <f ca="1">IFERROR(__xludf.DUMMYFUNCTION("""COMPUTED_VALUE"""),160.43)</f>
        <v>160.43</v>
      </c>
    </row>
    <row r="1108" spans="1:29" x14ac:dyDescent="0.25">
      <c r="A1108" s="2">
        <f ca="1">IFERROR(__xludf.DUMMYFUNCTION("""COMPUTED_VALUE"""),45436.6666666666)</f>
        <v>45436.666666666599</v>
      </c>
      <c r="B1108" s="1">
        <f ca="1">IFERROR(__xludf.DUMMYFUNCTION("""COMPUTED_VALUE"""),189.98)</f>
        <v>189.98</v>
      </c>
      <c r="C1108" s="1">
        <f ca="1">IFERROR(__xludf.DUMMYFUNCTION("""COMPUTED_VALUE"""),430.16)</f>
        <v>430.16</v>
      </c>
      <c r="D1108" s="1">
        <f ca="1">IFERROR(__xludf.DUMMYFUNCTION("""COMPUTED_VALUE"""),180.75)</f>
        <v>180.75</v>
      </c>
      <c r="E1108" s="1">
        <f ca="1">IFERROR(__xludf.DUMMYFUNCTION("""COMPUTED_VALUE"""),106.47)</f>
        <v>106.47</v>
      </c>
      <c r="F1108" s="1">
        <f ca="1">IFERROR(__xludf.DUMMYFUNCTION("""COMPUTED_VALUE"""),478.22)</f>
        <v>478.22</v>
      </c>
      <c r="G1108" s="1">
        <f ca="1">IFERROR(__xludf.DUMMYFUNCTION("""COMPUTED_VALUE"""),176.33)</f>
        <v>176.33</v>
      </c>
      <c r="H1108" s="1">
        <f ca="1">IFERROR(__xludf.DUMMYFUNCTION("""COMPUTED_VALUE"""),179.24)</f>
        <v>179.24</v>
      </c>
      <c r="I1108" s="1">
        <f ca="1">IFERROR(__xludf.DUMMYFUNCTION("""COMPUTED_VALUE"""),177.99)</f>
        <v>177.99</v>
      </c>
      <c r="J1108" s="1">
        <f ca="1">IFERROR(__xludf.DUMMYFUNCTION("""COMPUTED_VALUE"""),809.73)</f>
        <v>809.73</v>
      </c>
      <c r="K1108" s="1">
        <f ca="1">IFERROR(__xludf.DUMMYFUNCTION("""COMPUTED_VALUE"""),140.78)</f>
        <v>140.78</v>
      </c>
      <c r="L1108" s="1">
        <f ca="1">IFERROR(__xludf.DUMMYFUNCTION("""COMPUTED_VALUE"""),475.43)</f>
        <v>475.43</v>
      </c>
      <c r="M1108" s="1">
        <f ca="1">IFERROR(__xludf.DUMMYFUNCTION("""COMPUTED_VALUE"""),646.75)</f>
        <v>646.75</v>
      </c>
      <c r="N1108" s="1">
        <f ca="1">IFERROR(__xludf.DUMMYFUNCTION("""COMPUTED_VALUE"""),200.71)</f>
        <v>200.71</v>
      </c>
      <c r="O1108" s="1">
        <f ca="1">IFERROR(__xludf.DUMMYFUNCTION("""COMPUTED_VALUE"""),274.49)</f>
        <v>274.49</v>
      </c>
      <c r="P1108" s="1">
        <f ca="1">IFERROR(__xludf.DUMMYFUNCTION("""COMPUTED_VALUE"""),146.97)</f>
        <v>146.97</v>
      </c>
      <c r="Q1108" s="1">
        <f ca="1">IFERROR(__xludf.DUMMYFUNCTION("""COMPUTED_VALUE"""),508.17)</f>
        <v>508.17</v>
      </c>
      <c r="R1108" s="1">
        <f ca="1">IFERROR(__xludf.DUMMYFUNCTION("""COMPUTED_VALUE"""),113.42)</f>
        <v>113.42</v>
      </c>
      <c r="S1108" s="1">
        <f ca="1">IFERROR(__xludf.DUMMYFUNCTION("""COMPUTED_VALUE"""),76.61)</f>
        <v>76.61</v>
      </c>
      <c r="T1108" s="1">
        <f ca="1">IFERROR(__xludf.DUMMYFUNCTION("""COMPUTED_VALUE"""),65.38)</f>
        <v>65.38</v>
      </c>
      <c r="U1108" s="1">
        <f ca="1">IFERROR(__xludf.DUMMYFUNCTION("""COMPUTED_VALUE"""),91.75)</f>
        <v>91.75</v>
      </c>
      <c r="V1108" s="1">
        <f ca="1">IFERROR(__xludf.DUMMYFUNCTION("""COMPUTED_VALUE"""),348.9)</f>
        <v>348.9</v>
      </c>
      <c r="W1108" s="1">
        <f ca="1">IFERROR(__xludf.DUMMYFUNCTION("""COMPUTED_VALUE"""),467.35)</f>
        <v>467.35</v>
      </c>
      <c r="X1108" s="1">
        <f ca="1">IFERROR(__xludf.DUMMYFUNCTION("""COMPUTED_VALUE"""),956.22)</f>
        <v>956.22</v>
      </c>
      <c r="Y1108" s="1">
        <f ca="1">IFERROR(__xludf.DUMMYFUNCTION("""COMPUTED_VALUE"""),160)</f>
        <v>160</v>
      </c>
      <c r="Z1108" s="1">
        <f ca="1">IFERROR(__xludf.DUMMYFUNCTION("""COMPUTED_VALUE"""),461.18)</f>
        <v>461.18</v>
      </c>
      <c r="AA1108" s="1">
        <f ca="1">IFERROR(__xludf.DUMMYFUNCTION("""COMPUTED_VALUE"""),28.88)</f>
        <v>28.88</v>
      </c>
      <c r="AB1108" s="1">
        <f ca="1">IFERROR(__xludf.DUMMYFUNCTION("""COMPUTED_VALUE"""),78.87)</f>
        <v>78.87</v>
      </c>
      <c r="AC1108" s="1">
        <f ca="1">IFERROR(__xludf.DUMMYFUNCTION("""COMPUTED_VALUE"""),166.36)</f>
        <v>166.36</v>
      </c>
    </row>
    <row r="1109" spans="1:29" x14ac:dyDescent="0.25">
      <c r="A1109" s="2">
        <f ca="1">IFERROR(__xludf.DUMMYFUNCTION("""COMPUTED_VALUE"""),45440.6666666666)</f>
        <v>45440.666666666599</v>
      </c>
      <c r="B1109" s="1">
        <f ca="1">IFERROR(__xludf.DUMMYFUNCTION("""COMPUTED_VALUE"""),189.99)</f>
        <v>189.99</v>
      </c>
      <c r="C1109" s="1">
        <f ca="1">IFERROR(__xludf.DUMMYFUNCTION("""COMPUTED_VALUE"""),430.32)</f>
        <v>430.32</v>
      </c>
      <c r="D1109" s="1">
        <f ca="1">IFERROR(__xludf.DUMMYFUNCTION("""COMPUTED_VALUE"""),182.15)</f>
        <v>182.15</v>
      </c>
      <c r="E1109" s="1">
        <f ca="1">IFERROR(__xludf.DUMMYFUNCTION("""COMPUTED_VALUE"""),113.9)</f>
        <v>113.9</v>
      </c>
      <c r="F1109" s="1">
        <f ca="1">IFERROR(__xludf.DUMMYFUNCTION("""COMPUTED_VALUE"""),479.92)</f>
        <v>479.92</v>
      </c>
      <c r="G1109" s="1">
        <f ca="1">IFERROR(__xludf.DUMMYFUNCTION("""COMPUTED_VALUE"""),178.02)</f>
        <v>178.02</v>
      </c>
      <c r="H1109" s="1">
        <f ca="1">IFERROR(__xludf.DUMMYFUNCTION("""COMPUTED_VALUE"""),176.75)</f>
        <v>176.75</v>
      </c>
      <c r="I1109" s="1">
        <f ca="1">IFERROR(__xludf.DUMMYFUNCTION("""COMPUTED_VALUE"""),173.38)</f>
        <v>173.38</v>
      </c>
      <c r="J1109" s="1">
        <f ca="1">IFERROR(__xludf.DUMMYFUNCTION("""COMPUTED_VALUE"""),813.17)</f>
        <v>813.17</v>
      </c>
      <c r="K1109" s="1">
        <f ca="1">IFERROR(__xludf.DUMMYFUNCTION("""COMPUTED_VALUE"""),141.25)</f>
        <v>141.25</v>
      </c>
      <c r="L1109" s="1">
        <f ca="1">IFERROR(__xludf.DUMMYFUNCTION("""COMPUTED_VALUE"""),478.43)</f>
        <v>478.43</v>
      </c>
      <c r="M1109" s="1">
        <f ca="1">IFERROR(__xludf.DUMMYFUNCTION("""COMPUTED_VALUE"""),649)</f>
        <v>649</v>
      </c>
      <c r="N1109" s="1">
        <f ca="1">IFERROR(__xludf.DUMMYFUNCTION("""COMPUTED_VALUE"""),199.5)</f>
        <v>199.5</v>
      </c>
      <c r="O1109" s="1">
        <f ca="1">IFERROR(__xludf.DUMMYFUNCTION("""COMPUTED_VALUE"""),270.98)</f>
        <v>270.98</v>
      </c>
      <c r="P1109" s="1">
        <f ca="1">IFERROR(__xludf.DUMMYFUNCTION("""COMPUTED_VALUE"""),144.38)</f>
        <v>144.38</v>
      </c>
      <c r="Q1109" s="1">
        <f ca="1">IFERROR(__xludf.DUMMYFUNCTION("""COMPUTED_VALUE"""),503.68)</f>
        <v>503.68</v>
      </c>
      <c r="R1109" s="1">
        <f ca="1">IFERROR(__xludf.DUMMYFUNCTION("""COMPUTED_VALUE"""),114.86)</f>
        <v>114.86</v>
      </c>
      <c r="S1109" s="1">
        <f ca="1">IFERROR(__xludf.DUMMYFUNCTION("""COMPUTED_VALUE"""),77.53)</f>
        <v>77.53</v>
      </c>
      <c r="T1109" s="1">
        <f ca="1">IFERROR(__xludf.DUMMYFUNCTION("""COMPUTED_VALUE"""),65.04)</f>
        <v>65.040000000000006</v>
      </c>
      <c r="U1109" s="1">
        <f ca="1">IFERROR(__xludf.DUMMYFUNCTION("""COMPUTED_VALUE"""),92)</f>
        <v>92</v>
      </c>
      <c r="V1109" s="1">
        <f ca="1">IFERROR(__xludf.DUMMYFUNCTION("""COMPUTED_VALUE"""),346.47)</f>
        <v>346.47</v>
      </c>
      <c r="W1109" s="1">
        <f ca="1">IFERROR(__xludf.DUMMYFUNCTION("""COMPUTED_VALUE"""),458.48)</f>
        <v>458.48</v>
      </c>
      <c r="X1109" s="1">
        <f ca="1">IFERROR(__xludf.DUMMYFUNCTION("""COMPUTED_VALUE"""),991.85)</f>
        <v>991.85</v>
      </c>
      <c r="Y1109" s="1">
        <f ca="1">IFERROR(__xludf.DUMMYFUNCTION("""COMPUTED_VALUE"""),159.41)</f>
        <v>159.41</v>
      </c>
      <c r="Z1109" s="1">
        <f ca="1">IFERROR(__xludf.DUMMYFUNCTION("""COMPUTED_VALUE"""),459.81)</f>
        <v>459.81</v>
      </c>
      <c r="AA1109" s="1">
        <f ca="1">IFERROR(__xludf.DUMMYFUNCTION("""COMPUTED_VALUE"""),28.3)</f>
        <v>28.3</v>
      </c>
      <c r="AB1109" s="1">
        <f ca="1">IFERROR(__xludf.DUMMYFUNCTION("""COMPUTED_VALUE"""),77.48)</f>
        <v>77.48</v>
      </c>
      <c r="AC1109" s="1">
        <f ca="1">IFERROR(__xludf.DUMMYFUNCTION("""COMPUTED_VALUE"""),171.61)</f>
        <v>171.61</v>
      </c>
    </row>
    <row r="1110" spans="1:29" x14ac:dyDescent="0.25">
      <c r="A1110" s="2">
        <f ca="1">IFERROR(__xludf.DUMMYFUNCTION("""COMPUTED_VALUE"""),45441.6666666666)</f>
        <v>45441.666666666599</v>
      </c>
      <c r="B1110" s="1">
        <f ca="1">IFERROR(__xludf.DUMMYFUNCTION("""COMPUTED_VALUE"""),190.29)</f>
        <v>190.29</v>
      </c>
      <c r="C1110" s="1">
        <f ca="1">IFERROR(__xludf.DUMMYFUNCTION("""COMPUTED_VALUE"""),429.17)</f>
        <v>429.17</v>
      </c>
      <c r="D1110" s="1">
        <f ca="1">IFERROR(__xludf.DUMMYFUNCTION("""COMPUTED_VALUE"""),182.02)</f>
        <v>182.02</v>
      </c>
      <c r="E1110" s="1">
        <f ca="1">IFERROR(__xludf.DUMMYFUNCTION("""COMPUTED_VALUE"""),114.83)</f>
        <v>114.83</v>
      </c>
      <c r="F1110" s="1">
        <f ca="1">IFERROR(__xludf.DUMMYFUNCTION("""COMPUTED_VALUE"""),474.36)</f>
        <v>474.36</v>
      </c>
      <c r="G1110" s="1">
        <f ca="1">IFERROR(__xludf.DUMMYFUNCTION("""COMPUTED_VALUE"""),177.4)</f>
        <v>177.4</v>
      </c>
      <c r="H1110" s="1">
        <f ca="1">IFERROR(__xludf.DUMMYFUNCTION("""COMPUTED_VALUE"""),176.19)</f>
        <v>176.19</v>
      </c>
      <c r="I1110" s="1">
        <f ca="1">IFERROR(__xludf.DUMMYFUNCTION("""COMPUTED_VALUE"""),171.15)</f>
        <v>171.15</v>
      </c>
      <c r="J1110" s="1">
        <f ca="1">IFERROR(__xludf.DUMMYFUNCTION("""COMPUTED_VALUE"""),806.52)</f>
        <v>806.52</v>
      </c>
      <c r="K1110" s="1">
        <f ca="1">IFERROR(__xludf.DUMMYFUNCTION("""COMPUTED_VALUE"""),139.07)</f>
        <v>139.07</v>
      </c>
      <c r="L1110" s="1">
        <f ca="1">IFERROR(__xludf.DUMMYFUNCTION("""COMPUTED_VALUE"""),477.6)</f>
        <v>477.6</v>
      </c>
      <c r="M1110" s="1">
        <f ca="1">IFERROR(__xludf.DUMMYFUNCTION("""COMPUTED_VALUE"""),654.62)</f>
        <v>654.62</v>
      </c>
      <c r="N1110" s="1">
        <f ca="1">IFERROR(__xludf.DUMMYFUNCTION("""COMPUTED_VALUE"""),198.11)</f>
        <v>198.11</v>
      </c>
      <c r="O1110" s="1">
        <f ca="1">IFERROR(__xludf.DUMMYFUNCTION("""COMPUTED_VALUE"""),268.86)</f>
        <v>268.86</v>
      </c>
      <c r="P1110" s="1">
        <f ca="1">IFERROR(__xludf.DUMMYFUNCTION("""COMPUTED_VALUE"""),144.44)</f>
        <v>144.44</v>
      </c>
      <c r="Q1110" s="1">
        <f ca="1">IFERROR(__xludf.DUMMYFUNCTION("""COMPUTED_VALUE"""),484.72)</f>
        <v>484.72</v>
      </c>
      <c r="R1110" s="1">
        <f ca="1">IFERROR(__xludf.DUMMYFUNCTION("""COMPUTED_VALUE"""),113.63)</f>
        <v>113.63</v>
      </c>
      <c r="S1110" s="1">
        <f ca="1">IFERROR(__xludf.DUMMYFUNCTION("""COMPUTED_VALUE"""),76.68)</f>
        <v>76.680000000000007</v>
      </c>
      <c r="T1110" s="1">
        <f ca="1">IFERROR(__xludf.DUMMYFUNCTION("""COMPUTED_VALUE"""),64.92)</f>
        <v>64.92</v>
      </c>
      <c r="U1110" s="1">
        <f ca="1">IFERROR(__xludf.DUMMYFUNCTION("""COMPUTED_VALUE"""),91.67)</f>
        <v>91.67</v>
      </c>
      <c r="V1110" s="1">
        <f ca="1">IFERROR(__xludf.DUMMYFUNCTION("""COMPUTED_VALUE"""),338.11)</f>
        <v>338.11</v>
      </c>
      <c r="W1110" s="1">
        <f ca="1">IFERROR(__xludf.DUMMYFUNCTION("""COMPUTED_VALUE"""),452.72)</f>
        <v>452.72</v>
      </c>
      <c r="X1110" s="1">
        <f ca="1">IFERROR(__xludf.DUMMYFUNCTION("""COMPUTED_VALUE"""),957.88)</f>
        <v>957.88</v>
      </c>
      <c r="Y1110" s="1">
        <f ca="1">IFERROR(__xludf.DUMMYFUNCTION("""COMPUTED_VALUE"""),154.34)</f>
        <v>154.34</v>
      </c>
      <c r="Z1110" s="1">
        <f ca="1">IFERROR(__xludf.DUMMYFUNCTION("""COMPUTED_VALUE"""),457.17)</f>
        <v>457.17</v>
      </c>
      <c r="AA1110" s="1">
        <f ca="1">IFERROR(__xludf.DUMMYFUNCTION("""COMPUTED_VALUE"""),27.82)</f>
        <v>27.82</v>
      </c>
      <c r="AB1110" s="1">
        <f ca="1">IFERROR(__xludf.DUMMYFUNCTION("""COMPUTED_VALUE"""),76.88)</f>
        <v>76.88</v>
      </c>
      <c r="AC1110" s="1">
        <f ca="1">IFERROR(__xludf.DUMMYFUNCTION("""COMPUTED_VALUE"""),165.14)</f>
        <v>165.14</v>
      </c>
    </row>
    <row r="1111" spans="1:29" x14ac:dyDescent="0.25">
      <c r="A1111" s="2">
        <f ca="1">IFERROR(__xludf.DUMMYFUNCTION("""COMPUTED_VALUE"""),45442.6666666666)</f>
        <v>45442.666666666599</v>
      </c>
      <c r="B1111" s="1">
        <f ca="1">IFERROR(__xludf.DUMMYFUNCTION("""COMPUTED_VALUE"""),191.29)</f>
        <v>191.29</v>
      </c>
      <c r="C1111" s="1">
        <f ca="1">IFERROR(__xludf.DUMMYFUNCTION("""COMPUTED_VALUE"""),414.67)</f>
        <v>414.67</v>
      </c>
      <c r="D1111" s="1">
        <f ca="1">IFERROR(__xludf.DUMMYFUNCTION("""COMPUTED_VALUE"""),179.32)</f>
        <v>179.32</v>
      </c>
      <c r="E1111" s="1">
        <f ca="1">IFERROR(__xludf.DUMMYFUNCTION("""COMPUTED_VALUE"""),110.5)</f>
        <v>110.5</v>
      </c>
      <c r="F1111" s="1">
        <f ca="1">IFERROR(__xludf.DUMMYFUNCTION("""COMPUTED_VALUE"""),467.05)</f>
        <v>467.05</v>
      </c>
      <c r="G1111" s="1">
        <f ca="1">IFERROR(__xludf.DUMMYFUNCTION("""COMPUTED_VALUE"""),173.56)</f>
        <v>173.56</v>
      </c>
      <c r="H1111" s="1">
        <f ca="1">IFERROR(__xludf.DUMMYFUNCTION("""COMPUTED_VALUE"""),178.79)</f>
        <v>178.79</v>
      </c>
      <c r="I1111" s="1">
        <f ca="1">IFERROR(__xludf.DUMMYFUNCTION("""COMPUTED_VALUE"""),170.48)</f>
        <v>170.48</v>
      </c>
      <c r="J1111" s="1">
        <f ca="1">IFERROR(__xludf.DUMMYFUNCTION("""COMPUTED_VALUE"""),815.34)</f>
        <v>815.34</v>
      </c>
      <c r="K1111" s="1">
        <f ca="1">IFERROR(__xludf.DUMMYFUNCTION("""COMPUTED_VALUE"""),136.41)</f>
        <v>136.41</v>
      </c>
      <c r="L1111" s="1">
        <f ca="1">IFERROR(__xludf.DUMMYFUNCTION("""COMPUTED_VALUE"""),445.87)</f>
        <v>445.87</v>
      </c>
      <c r="M1111" s="1">
        <f ca="1">IFERROR(__xludf.DUMMYFUNCTION("""COMPUTED_VALUE"""),647.66)</f>
        <v>647.66</v>
      </c>
      <c r="N1111" s="1">
        <f ca="1">IFERROR(__xludf.DUMMYFUNCTION("""COMPUTED_VALUE"""),199.33)</f>
        <v>199.33</v>
      </c>
      <c r="O1111" s="1">
        <f ca="1">IFERROR(__xludf.DUMMYFUNCTION("""COMPUTED_VALUE"""),271.3)</f>
        <v>271.3</v>
      </c>
      <c r="P1111" s="1">
        <f ca="1">IFERROR(__xludf.DUMMYFUNCTION("""COMPUTED_VALUE"""),145.28)</f>
        <v>145.28</v>
      </c>
      <c r="Q1111" s="1">
        <f ca="1">IFERROR(__xludf.DUMMYFUNCTION("""COMPUTED_VALUE"""),481.65)</f>
        <v>481.65</v>
      </c>
      <c r="R1111" s="1">
        <f ca="1">IFERROR(__xludf.DUMMYFUNCTION("""COMPUTED_VALUE"""),113.99)</f>
        <v>113.99</v>
      </c>
      <c r="S1111" s="1">
        <f ca="1">IFERROR(__xludf.DUMMYFUNCTION("""COMPUTED_VALUE"""),78.19)</f>
        <v>78.19</v>
      </c>
      <c r="T1111" s="1">
        <f ca="1">IFERROR(__xludf.DUMMYFUNCTION("""COMPUTED_VALUE"""),64.89)</f>
        <v>64.89</v>
      </c>
      <c r="U1111" s="1">
        <f ca="1">IFERROR(__xludf.DUMMYFUNCTION("""COMPUTED_VALUE"""),93.45)</f>
        <v>93.45</v>
      </c>
      <c r="V1111" s="1">
        <f ca="1">IFERROR(__xludf.DUMMYFUNCTION("""COMPUTED_VALUE"""),339.25)</f>
        <v>339.25</v>
      </c>
      <c r="W1111" s="1">
        <f ca="1">IFERROR(__xludf.DUMMYFUNCTION("""COMPUTED_VALUE"""),460.94)</f>
        <v>460.94</v>
      </c>
      <c r="X1111" s="1">
        <f ca="1">IFERROR(__xludf.DUMMYFUNCTION("""COMPUTED_VALUE"""),966.12)</f>
        <v>966.12</v>
      </c>
      <c r="Y1111" s="1">
        <f ca="1">IFERROR(__xludf.DUMMYFUNCTION("""COMPUTED_VALUE"""),152.96)</f>
        <v>152.96</v>
      </c>
      <c r="Z1111" s="1">
        <f ca="1">IFERROR(__xludf.DUMMYFUNCTION("""COMPUTED_VALUE"""),450.23)</f>
        <v>450.23</v>
      </c>
      <c r="AA1111" s="1">
        <f ca="1">IFERROR(__xludf.DUMMYFUNCTION("""COMPUTED_VALUE"""),28.2)</f>
        <v>28.2</v>
      </c>
      <c r="AB1111" s="1">
        <f ca="1">IFERROR(__xludf.DUMMYFUNCTION("""COMPUTED_VALUE"""),78.76)</f>
        <v>78.760000000000005</v>
      </c>
      <c r="AC1111" s="1">
        <f ca="1">IFERROR(__xludf.DUMMYFUNCTION("""COMPUTED_VALUE"""),166.75)</f>
        <v>166.75</v>
      </c>
    </row>
    <row r="1112" spans="1:29" x14ac:dyDescent="0.25">
      <c r="A1112" s="2">
        <f ca="1">IFERROR(__xludf.DUMMYFUNCTION("""COMPUTED_VALUE"""),45443.6666666666)</f>
        <v>45443.666666666599</v>
      </c>
      <c r="B1112" s="1">
        <f ca="1">IFERROR(__xludf.DUMMYFUNCTION("""COMPUTED_VALUE"""),192.25)</f>
        <v>192.25</v>
      </c>
      <c r="C1112" s="1">
        <f ca="1">IFERROR(__xludf.DUMMYFUNCTION("""COMPUTED_VALUE"""),415.13)</f>
        <v>415.13</v>
      </c>
      <c r="D1112" s="1">
        <f ca="1">IFERROR(__xludf.DUMMYFUNCTION("""COMPUTED_VALUE"""),176.44)</f>
        <v>176.44</v>
      </c>
      <c r="E1112" s="1">
        <f ca="1">IFERROR(__xludf.DUMMYFUNCTION("""COMPUTED_VALUE"""),109.63)</f>
        <v>109.63</v>
      </c>
      <c r="F1112" s="1">
        <f ca="1">IFERROR(__xludf.DUMMYFUNCTION("""COMPUTED_VALUE"""),466.83)</f>
        <v>466.83</v>
      </c>
      <c r="G1112" s="1">
        <f ca="1">IFERROR(__xludf.DUMMYFUNCTION("""COMPUTED_VALUE"""),173.96)</f>
        <v>173.96</v>
      </c>
      <c r="H1112" s="1">
        <f ca="1">IFERROR(__xludf.DUMMYFUNCTION("""COMPUTED_VALUE"""),178.08)</f>
        <v>178.08</v>
      </c>
      <c r="I1112" s="1">
        <f ca="1">IFERROR(__xludf.DUMMYFUNCTION("""COMPUTED_VALUE"""),172.9)</f>
        <v>172.9</v>
      </c>
      <c r="J1112" s="1">
        <f ca="1">IFERROR(__xludf.DUMMYFUNCTION("""COMPUTED_VALUE"""),809.89)</f>
        <v>809.89</v>
      </c>
      <c r="K1112" s="1">
        <f ca="1">IFERROR(__xludf.DUMMYFUNCTION("""COMPUTED_VALUE"""),132.85)</f>
        <v>132.85</v>
      </c>
      <c r="L1112" s="1">
        <f ca="1">IFERROR(__xludf.DUMMYFUNCTION("""COMPUTED_VALUE"""),444.76)</f>
        <v>444.76</v>
      </c>
      <c r="M1112" s="1">
        <f ca="1">IFERROR(__xludf.DUMMYFUNCTION("""COMPUTED_VALUE"""),641.62)</f>
        <v>641.62</v>
      </c>
      <c r="N1112" s="1">
        <f ca="1">IFERROR(__xludf.DUMMYFUNCTION("""COMPUTED_VALUE"""),202.63)</f>
        <v>202.63</v>
      </c>
      <c r="O1112" s="1">
        <f ca="1">IFERROR(__xludf.DUMMYFUNCTION("""COMPUTED_VALUE"""),272.46)</f>
        <v>272.45999999999998</v>
      </c>
      <c r="P1112" s="1">
        <f ca="1">IFERROR(__xludf.DUMMYFUNCTION("""COMPUTED_VALUE"""),146.67)</f>
        <v>146.66999999999999</v>
      </c>
      <c r="Q1112" s="1">
        <f ca="1">IFERROR(__xludf.DUMMYFUNCTION("""COMPUTED_VALUE"""),495.37)</f>
        <v>495.37</v>
      </c>
      <c r="R1112" s="1">
        <f ca="1">IFERROR(__xludf.DUMMYFUNCTION("""COMPUTED_VALUE"""),117.26)</f>
        <v>117.26</v>
      </c>
      <c r="S1112" s="1">
        <f ca="1">IFERROR(__xludf.DUMMYFUNCTION("""COMPUTED_VALUE"""),80.02)</f>
        <v>80.02</v>
      </c>
      <c r="T1112" s="1">
        <f ca="1">IFERROR(__xludf.DUMMYFUNCTION("""COMPUTED_VALUE"""),65.76)</f>
        <v>65.760000000000005</v>
      </c>
      <c r="U1112" s="1">
        <f ca="1">IFERROR(__xludf.DUMMYFUNCTION("""COMPUTED_VALUE"""),95.05)</f>
        <v>95.05</v>
      </c>
      <c r="V1112" s="1">
        <f ca="1">IFERROR(__xludf.DUMMYFUNCTION("""COMPUTED_VALUE"""),338.52)</f>
        <v>338.52</v>
      </c>
      <c r="W1112" s="1">
        <f ca="1">IFERROR(__xludf.DUMMYFUNCTION("""COMPUTED_VALUE"""),470.34)</f>
        <v>470.34</v>
      </c>
      <c r="X1112" s="1">
        <f ca="1">IFERROR(__xludf.DUMMYFUNCTION("""COMPUTED_VALUE"""),960.35)</f>
        <v>960.35</v>
      </c>
      <c r="Y1112" s="1">
        <f ca="1">IFERROR(__xludf.DUMMYFUNCTION("""COMPUTED_VALUE"""),151.04)</f>
        <v>151.04</v>
      </c>
      <c r="Z1112" s="1">
        <f ca="1">IFERROR(__xludf.DUMMYFUNCTION("""COMPUTED_VALUE"""),456.52)</f>
        <v>456.52</v>
      </c>
      <c r="AA1112" s="1">
        <f ca="1">IFERROR(__xludf.DUMMYFUNCTION("""COMPUTED_VALUE"""),28.66)</f>
        <v>28.66</v>
      </c>
      <c r="AB1112" s="1">
        <f ca="1">IFERROR(__xludf.DUMMYFUNCTION("""COMPUTED_VALUE"""),80.22)</f>
        <v>80.22</v>
      </c>
      <c r="AC1112" s="1">
        <f ca="1">IFERROR(__xludf.DUMMYFUNCTION("""COMPUTED_VALUE"""),166.9)</f>
        <v>166.9</v>
      </c>
    </row>
    <row r="1113" spans="1:29" x14ac:dyDescent="0.25">
      <c r="A1113" s="2">
        <f ca="1">IFERROR(__xludf.DUMMYFUNCTION("""COMPUTED_VALUE"""),45446.6666666666)</f>
        <v>45446.666666666599</v>
      </c>
      <c r="B1113" s="1">
        <f ca="1">IFERROR(__xludf.DUMMYFUNCTION("""COMPUTED_VALUE"""),194.03)</f>
        <v>194.03</v>
      </c>
      <c r="C1113" s="1">
        <f ca="1">IFERROR(__xludf.DUMMYFUNCTION("""COMPUTED_VALUE"""),413.52)</f>
        <v>413.52</v>
      </c>
      <c r="D1113" s="1">
        <f ca="1">IFERROR(__xludf.DUMMYFUNCTION("""COMPUTED_VALUE"""),178.34)</f>
        <v>178.34</v>
      </c>
      <c r="E1113" s="1">
        <f ca="1">IFERROR(__xludf.DUMMYFUNCTION("""COMPUTED_VALUE"""),115)</f>
        <v>115</v>
      </c>
      <c r="F1113" s="1">
        <f ca="1">IFERROR(__xludf.DUMMYFUNCTION("""COMPUTED_VALUE"""),477.49)</f>
        <v>477.49</v>
      </c>
      <c r="G1113" s="1">
        <f ca="1">IFERROR(__xludf.DUMMYFUNCTION("""COMPUTED_VALUE"""),174.42)</f>
        <v>174.42</v>
      </c>
      <c r="H1113" s="1">
        <f ca="1">IFERROR(__xludf.DUMMYFUNCTION("""COMPUTED_VALUE"""),176.29)</f>
        <v>176.29</v>
      </c>
      <c r="I1113" s="1">
        <f ca="1">IFERROR(__xludf.DUMMYFUNCTION("""COMPUTED_VALUE"""),171.23)</f>
        <v>171.23</v>
      </c>
      <c r="J1113" s="1">
        <f ca="1">IFERROR(__xludf.DUMMYFUNCTION("""COMPUTED_VALUE"""),815.39)</f>
        <v>815.39</v>
      </c>
      <c r="K1113" s="1">
        <f ca="1">IFERROR(__xludf.DUMMYFUNCTION("""COMPUTED_VALUE"""),132.19)</f>
        <v>132.19</v>
      </c>
      <c r="L1113" s="1">
        <f ca="1">IFERROR(__xludf.DUMMYFUNCTION("""COMPUTED_VALUE"""),439.02)</f>
        <v>439.02</v>
      </c>
      <c r="M1113" s="1">
        <f ca="1">IFERROR(__xludf.DUMMYFUNCTION("""COMPUTED_VALUE"""),633.79)</f>
        <v>633.79</v>
      </c>
      <c r="N1113" s="1">
        <f ca="1">IFERROR(__xludf.DUMMYFUNCTION("""COMPUTED_VALUE"""),201.82)</f>
        <v>201.82</v>
      </c>
      <c r="O1113" s="1">
        <f ca="1">IFERROR(__xludf.DUMMYFUNCTION("""COMPUTED_VALUE"""),270.38)</f>
        <v>270.38</v>
      </c>
      <c r="P1113" s="1">
        <f ca="1">IFERROR(__xludf.DUMMYFUNCTION("""COMPUTED_VALUE"""),147.74)</f>
        <v>147.74</v>
      </c>
      <c r="Q1113" s="1">
        <f ca="1">IFERROR(__xludf.DUMMYFUNCTION("""COMPUTED_VALUE"""),497.44)</f>
        <v>497.44</v>
      </c>
      <c r="R1113" s="1">
        <f ca="1">IFERROR(__xludf.DUMMYFUNCTION("""COMPUTED_VALUE"""),114.45)</f>
        <v>114.45</v>
      </c>
      <c r="S1113" s="1">
        <f ca="1">IFERROR(__xludf.DUMMYFUNCTION("""COMPUTED_VALUE"""),77.71)</f>
        <v>77.709999999999994</v>
      </c>
      <c r="T1113" s="1">
        <f ca="1">IFERROR(__xludf.DUMMYFUNCTION("""COMPUTED_VALUE"""),65.82)</f>
        <v>65.819999999999993</v>
      </c>
      <c r="U1113" s="1">
        <f ca="1">IFERROR(__xludf.DUMMYFUNCTION("""COMPUTED_VALUE"""),94.4)</f>
        <v>94.4</v>
      </c>
      <c r="V1113" s="1">
        <f ca="1">IFERROR(__xludf.DUMMYFUNCTION("""COMPUTED_VALUE"""),331.36)</f>
        <v>331.36</v>
      </c>
      <c r="W1113" s="1">
        <f ca="1">IFERROR(__xludf.DUMMYFUNCTION("""COMPUTED_VALUE"""),467.6)</f>
        <v>467.6</v>
      </c>
      <c r="X1113" s="1">
        <f ca="1">IFERROR(__xludf.DUMMYFUNCTION("""COMPUTED_VALUE"""),965.48)</f>
        <v>965.48</v>
      </c>
      <c r="Y1113" s="1">
        <f ca="1">IFERROR(__xludf.DUMMYFUNCTION("""COMPUTED_VALUE"""),154.95)</f>
        <v>154.94999999999999</v>
      </c>
      <c r="Z1113" s="1">
        <f ca="1">IFERROR(__xludf.DUMMYFUNCTION("""COMPUTED_VALUE"""),454.98)</f>
        <v>454.98</v>
      </c>
      <c r="AA1113" s="1">
        <f ca="1">IFERROR(__xludf.DUMMYFUNCTION("""COMPUTED_VALUE"""),29.31)</f>
        <v>29.31</v>
      </c>
      <c r="AB1113" s="1">
        <f ca="1">IFERROR(__xludf.DUMMYFUNCTION("""COMPUTED_VALUE"""),82.08)</f>
        <v>82.08</v>
      </c>
      <c r="AC1113" s="1">
        <f ca="1">IFERROR(__xludf.DUMMYFUNCTION("""COMPUTED_VALUE"""),163.55)</f>
        <v>163.55000000000001</v>
      </c>
    </row>
    <row r="1114" spans="1:29" x14ac:dyDescent="0.25">
      <c r="A1114" s="2">
        <f ca="1">IFERROR(__xludf.DUMMYFUNCTION("""COMPUTED_VALUE"""),45447.6666666666)</f>
        <v>45447.666666666599</v>
      </c>
      <c r="B1114" s="1">
        <f ca="1">IFERROR(__xludf.DUMMYFUNCTION("""COMPUTED_VALUE"""),194.35)</f>
        <v>194.35</v>
      </c>
      <c r="C1114" s="1">
        <f ca="1">IFERROR(__xludf.DUMMYFUNCTION("""COMPUTED_VALUE"""),416.07)</f>
        <v>416.07</v>
      </c>
      <c r="D1114" s="1">
        <f ca="1">IFERROR(__xludf.DUMMYFUNCTION("""COMPUTED_VALUE"""),179.34)</f>
        <v>179.34</v>
      </c>
      <c r="E1114" s="1">
        <f ca="1">IFERROR(__xludf.DUMMYFUNCTION("""COMPUTED_VALUE"""),116.44)</f>
        <v>116.44</v>
      </c>
      <c r="F1114" s="1">
        <f ca="1">IFERROR(__xludf.DUMMYFUNCTION("""COMPUTED_VALUE"""),476.99)</f>
        <v>476.99</v>
      </c>
      <c r="G1114" s="1">
        <f ca="1">IFERROR(__xludf.DUMMYFUNCTION("""COMPUTED_VALUE"""),175.13)</f>
        <v>175.13</v>
      </c>
      <c r="H1114" s="1">
        <f ca="1">IFERROR(__xludf.DUMMYFUNCTION("""COMPUTED_VALUE"""),174.77)</f>
        <v>174.77</v>
      </c>
      <c r="I1114" s="1">
        <f ca="1">IFERROR(__xludf.DUMMYFUNCTION("""COMPUTED_VALUE"""),173.89)</f>
        <v>173.89</v>
      </c>
      <c r="J1114" s="1">
        <f ca="1">IFERROR(__xludf.DUMMYFUNCTION("""COMPUTED_VALUE"""),827.39)</f>
        <v>827.39</v>
      </c>
      <c r="K1114" s="1">
        <f ca="1">IFERROR(__xludf.DUMMYFUNCTION("""COMPUTED_VALUE"""),133.08)</f>
        <v>133.08000000000001</v>
      </c>
      <c r="L1114" s="1">
        <f ca="1">IFERROR(__xludf.DUMMYFUNCTION("""COMPUTED_VALUE"""),448.37)</f>
        <v>448.37</v>
      </c>
      <c r="M1114" s="1">
        <f ca="1">IFERROR(__xludf.DUMMYFUNCTION("""COMPUTED_VALUE"""),631.62)</f>
        <v>631.62</v>
      </c>
      <c r="N1114" s="1">
        <f ca="1">IFERROR(__xludf.DUMMYFUNCTION("""COMPUTED_VALUE"""),199.16)</f>
        <v>199.16</v>
      </c>
      <c r="O1114" s="1">
        <f ca="1">IFERROR(__xludf.DUMMYFUNCTION("""COMPUTED_VALUE"""),272.42)</f>
        <v>272.42</v>
      </c>
      <c r="P1114" s="1">
        <f ca="1">IFERROR(__xludf.DUMMYFUNCTION("""COMPUTED_VALUE"""),147.8)</f>
        <v>147.80000000000001</v>
      </c>
      <c r="Q1114" s="1">
        <f ca="1">IFERROR(__xludf.DUMMYFUNCTION("""COMPUTED_VALUE"""),505.49)</f>
        <v>505.49</v>
      </c>
      <c r="R1114" s="1">
        <f ca="1">IFERROR(__xludf.DUMMYFUNCTION("""COMPUTED_VALUE"""),112.67)</f>
        <v>112.67</v>
      </c>
      <c r="S1114" s="1">
        <f ca="1">IFERROR(__xludf.DUMMYFUNCTION("""COMPUTED_VALUE"""),77.15)</f>
        <v>77.150000000000006</v>
      </c>
      <c r="T1114" s="1">
        <f ca="1">IFERROR(__xludf.DUMMYFUNCTION("""COMPUTED_VALUE"""),66.6)</f>
        <v>66.599999999999994</v>
      </c>
      <c r="U1114" s="1">
        <f ca="1">IFERROR(__xludf.DUMMYFUNCTION("""COMPUTED_VALUE"""),94.74)</f>
        <v>94.74</v>
      </c>
      <c r="V1114" s="1">
        <f ca="1">IFERROR(__xludf.DUMMYFUNCTION("""COMPUTED_VALUE"""),327.57)</f>
        <v>327.57</v>
      </c>
      <c r="W1114" s="1">
        <f ca="1">IFERROR(__xludf.DUMMYFUNCTION("""COMPUTED_VALUE"""),468.89)</f>
        <v>468.89</v>
      </c>
      <c r="X1114" s="1">
        <f ca="1">IFERROR(__xludf.DUMMYFUNCTION("""COMPUTED_VALUE"""),950.81)</f>
        <v>950.81</v>
      </c>
      <c r="Y1114" s="1">
        <f ca="1">IFERROR(__xludf.DUMMYFUNCTION("""COMPUTED_VALUE"""),152.47)</f>
        <v>152.47</v>
      </c>
      <c r="Z1114" s="1">
        <f ca="1">IFERROR(__xludf.DUMMYFUNCTION("""COMPUTED_VALUE"""),455.3)</f>
        <v>455.3</v>
      </c>
      <c r="AA1114" s="1">
        <f ca="1">IFERROR(__xludf.DUMMYFUNCTION("""COMPUTED_VALUE"""),29.49)</f>
        <v>29.49</v>
      </c>
      <c r="AB1114" s="1">
        <f ca="1">IFERROR(__xludf.DUMMYFUNCTION("""COMPUTED_VALUE"""),82.79)</f>
        <v>82.79</v>
      </c>
      <c r="AC1114" s="1">
        <f ca="1">IFERROR(__xludf.DUMMYFUNCTION("""COMPUTED_VALUE"""),159.99)</f>
        <v>159.99</v>
      </c>
    </row>
    <row r="1115" spans="1:29" x14ac:dyDescent="0.25">
      <c r="A1115" s="2">
        <f ca="1">IFERROR(__xludf.DUMMYFUNCTION("""COMPUTED_VALUE"""),45448.6666666666)</f>
        <v>45448.666666666599</v>
      </c>
      <c r="B1115" s="1">
        <f ca="1">IFERROR(__xludf.DUMMYFUNCTION("""COMPUTED_VALUE"""),195.87)</f>
        <v>195.87</v>
      </c>
      <c r="C1115" s="1">
        <f ca="1">IFERROR(__xludf.DUMMYFUNCTION("""COMPUTED_VALUE"""),424.01)</f>
        <v>424.01</v>
      </c>
      <c r="D1115" s="1">
        <f ca="1">IFERROR(__xludf.DUMMYFUNCTION("""COMPUTED_VALUE"""),181.28)</f>
        <v>181.28</v>
      </c>
      <c r="E1115" s="1">
        <f ca="1">IFERROR(__xludf.DUMMYFUNCTION("""COMPUTED_VALUE"""),122.44)</f>
        <v>122.44</v>
      </c>
      <c r="F1115" s="1">
        <f ca="1">IFERROR(__xludf.DUMMYFUNCTION("""COMPUTED_VALUE"""),495.06)</f>
        <v>495.06</v>
      </c>
      <c r="G1115" s="1">
        <f ca="1">IFERROR(__xludf.DUMMYFUNCTION("""COMPUTED_VALUE"""),177.07)</f>
        <v>177.07</v>
      </c>
      <c r="H1115" s="1">
        <f ca="1">IFERROR(__xludf.DUMMYFUNCTION("""COMPUTED_VALUE"""),175)</f>
        <v>175</v>
      </c>
      <c r="I1115" s="1">
        <f ca="1">IFERROR(__xludf.DUMMYFUNCTION("""COMPUTED_VALUE"""),173.49)</f>
        <v>173.49</v>
      </c>
      <c r="J1115" s="1">
        <f ca="1">IFERROR(__xludf.DUMMYFUNCTION("""COMPUTED_VALUE"""),834.3)</f>
        <v>834.3</v>
      </c>
      <c r="K1115" s="1">
        <f ca="1">IFERROR(__xludf.DUMMYFUNCTION("""COMPUTED_VALUE"""),141.31)</f>
        <v>141.31</v>
      </c>
      <c r="L1115" s="1">
        <f ca="1">IFERROR(__xludf.DUMMYFUNCTION("""COMPUTED_VALUE"""),455.8)</f>
        <v>455.8</v>
      </c>
      <c r="M1115" s="1">
        <f ca="1">IFERROR(__xludf.DUMMYFUNCTION("""COMPUTED_VALUE"""),650.27)</f>
        <v>650.27</v>
      </c>
      <c r="N1115" s="1">
        <f ca="1">IFERROR(__xludf.DUMMYFUNCTION("""COMPUTED_VALUE"""),197.26)</f>
        <v>197.26</v>
      </c>
      <c r="O1115" s="1">
        <f ca="1">IFERROR(__xludf.DUMMYFUNCTION("""COMPUTED_VALUE"""),274.5)</f>
        <v>274.5</v>
      </c>
      <c r="P1115" s="1">
        <f ca="1">IFERROR(__xludf.DUMMYFUNCTION("""COMPUTED_VALUE"""),145.97)</f>
        <v>145.97</v>
      </c>
      <c r="Q1115" s="1">
        <f ca="1">IFERROR(__xludf.DUMMYFUNCTION("""COMPUTED_VALUE"""),503.12)</f>
        <v>503.12</v>
      </c>
      <c r="R1115" s="1">
        <f ca="1">IFERROR(__xludf.DUMMYFUNCTION("""COMPUTED_VALUE"""),113.12)</f>
        <v>113.12</v>
      </c>
      <c r="S1115" s="1">
        <f ca="1">IFERROR(__xludf.DUMMYFUNCTION("""COMPUTED_VALUE"""),77.05)</f>
        <v>77.05</v>
      </c>
      <c r="T1115" s="1">
        <f ca="1">IFERROR(__xludf.DUMMYFUNCTION("""COMPUTED_VALUE"""),67.09)</f>
        <v>67.09</v>
      </c>
      <c r="U1115" s="1">
        <f ca="1">IFERROR(__xludf.DUMMYFUNCTION("""COMPUTED_VALUE"""),94.32)</f>
        <v>94.32</v>
      </c>
      <c r="V1115" s="1">
        <f ca="1">IFERROR(__xludf.DUMMYFUNCTION("""COMPUTED_VALUE"""),329.45)</f>
        <v>329.45</v>
      </c>
      <c r="W1115" s="1">
        <f ca="1">IFERROR(__xludf.DUMMYFUNCTION("""COMPUTED_VALUE"""),465.23)</f>
        <v>465.23</v>
      </c>
      <c r="X1115" s="1">
        <f ca="1">IFERROR(__xludf.DUMMYFUNCTION("""COMPUTED_VALUE"""),1041.34)</f>
        <v>1041.3399999999999</v>
      </c>
      <c r="Y1115" s="1">
        <f ca="1">IFERROR(__xludf.DUMMYFUNCTION("""COMPUTED_VALUE"""),162.92)</f>
        <v>162.91999999999999</v>
      </c>
      <c r="Z1115" s="1">
        <f ca="1">IFERROR(__xludf.DUMMYFUNCTION("""COMPUTED_VALUE"""),461.68)</f>
        <v>461.68</v>
      </c>
      <c r="AA1115" s="1">
        <f ca="1">IFERROR(__xludf.DUMMYFUNCTION("""COMPUTED_VALUE"""),29.55)</f>
        <v>29.55</v>
      </c>
      <c r="AB1115" s="1">
        <f ca="1">IFERROR(__xludf.DUMMYFUNCTION("""COMPUTED_VALUE"""),81.16)</f>
        <v>81.16</v>
      </c>
      <c r="AC1115" s="1">
        <f ca="1">IFERROR(__xludf.DUMMYFUNCTION("""COMPUTED_VALUE"""),166.17)</f>
        <v>166.17</v>
      </c>
    </row>
    <row r="1116" spans="1:29" x14ac:dyDescent="0.25">
      <c r="A1116" s="2">
        <f ca="1">IFERROR(__xludf.DUMMYFUNCTION("""COMPUTED_VALUE"""),45449.6666666666)</f>
        <v>45449.666666666599</v>
      </c>
      <c r="B1116" s="1">
        <f ca="1">IFERROR(__xludf.DUMMYFUNCTION("""COMPUTED_VALUE"""),194.48)</f>
        <v>194.48</v>
      </c>
      <c r="C1116" s="1">
        <f ca="1">IFERROR(__xludf.DUMMYFUNCTION("""COMPUTED_VALUE"""),424.52)</f>
        <v>424.52</v>
      </c>
      <c r="D1116" s="1">
        <f ca="1">IFERROR(__xludf.DUMMYFUNCTION("""COMPUTED_VALUE"""),185)</f>
        <v>185</v>
      </c>
      <c r="E1116" s="1">
        <f ca="1">IFERROR(__xludf.DUMMYFUNCTION("""COMPUTED_VALUE"""),121)</f>
        <v>121</v>
      </c>
      <c r="F1116" s="1">
        <f ca="1">IFERROR(__xludf.DUMMYFUNCTION("""COMPUTED_VALUE"""),493.76)</f>
        <v>493.76</v>
      </c>
      <c r="G1116" s="1">
        <f ca="1">IFERROR(__xludf.DUMMYFUNCTION("""COMPUTED_VALUE"""),178.35)</f>
        <v>178.35</v>
      </c>
      <c r="H1116" s="1">
        <f ca="1">IFERROR(__xludf.DUMMYFUNCTION("""COMPUTED_VALUE"""),177.94)</f>
        <v>177.94</v>
      </c>
      <c r="I1116" s="1">
        <f ca="1">IFERROR(__xludf.DUMMYFUNCTION("""COMPUTED_VALUE"""),173.2)</f>
        <v>173.2</v>
      </c>
      <c r="J1116" s="1">
        <f ca="1">IFERROR(__xludf.DUMMYFUNCTION("""COMPUTED_VALUE"""),842.64)</f>
        <v>842.64</v>
      </c>
      <c r="K1116" s="1">
        <f ca="1">IFERROR(__xludf.DUMMYFUNCTION("""COMPUTED_VALUE"""),140.13)</f>
        <v>140.13</v>
      </c>
      <c r="L1116" s="1">
        <f ca="1">IFERROR(__xludf.DUMMYFUNCTION("""COMPUTED_VALUE"""),458.13)</f>
        <v>458.13</v>
      </c>
      <c r="M1116" s="1">
        <f ca="1">IFERROR(__xludf.DUMMYFUNCTION("""COMPUTED_VALUE"""),648.52)</f>
        <v>648.52</v>
      </c>
      <c r="N1116" s="1">
        <f ca="1">IFERROR(__xludf.DUMMYFUNCTION("""COMPUTED_VALUE"""),196.91)</f>
        <v>196.91</v>
      </c>
      <c r="O1116" s="1">
        <f ca="1">IFERROR(__xludf.DUMMYFUNCTION("""COMPUTED_VALUE"""),277.04)</f>
        <v>277.04000000000002</v>
      </c>
      <c r="P1116" s="1">
        <f ca="1">IFERROR(__xludf.DUMMYFUNCTION("""COMPUTED_VALUE"""),146.42)</f>
        <v>146.41999999999999</v>
      </c>
      <c r="Q1116" s="1">
        <f ca="1">IFERROR(__xludf.DUMMYFUNCTION("""COMPUTED_VALUE"""),501.92)</f>
        <v>501.92</v>
      </c>
      <c r="R1116" s="1">
        <f ca="1">IFERROR(__xludf.DUMMYFUNCTION("""COMPUTED_VALUE"""),113.97)</f>
        <v>113.97</v>
      </c>
      <c r="S1116" s="1">
        <f ca="1">IFERROR(__xludf.DUMMYFUNCTION("""COMPUTED_VALUE"""),76.7)</f>
        <v>76.7</v>
      </c>
      <c r="T1116" s="1">
        <f ca="1">IFERROR(__xludf.DUMMYFUNCTION("""COMPUTED_VALUE"""),67.15)</f>
        <v>67.150000000000006</v>
      </c>
      <c r="U1116" s="1">
        <f ca="1">IFERROR(__xludf.DUMMYFUNCTION("""COMPUTED_VALUE"""),95.72)</f>
        <v>95.72</v>
      </c>
      <c r="V1116" s="1">
        <f ca="1">IFERROR(__xludf.DUMMYFUNCTION("""COMPUTED_VALUE"""),328.29)</f>
        <v>328.29</v>
      </c>
      <c r="W1116" s="1">
        <f ca="1">IFERROR(__xludf.DUMMYFUNCTION("""COMPUTED_VALUE"""),468.62)</f>
        <v>468.62</v>
      </c>
      <c r="X1116" s="1">
        <f ca="1">IFERROR(__xludf.DUMMYFUNCTION("""COMPUTED_VALUE"""),1052.61)</f>
        <v>1052.6099999999999</v>
      </c>
      <c r="Y1116" s="1">
        <f ca="1">IFERROR(__xludf.DUMMYFUNCTION("""COMPUTED_VALUE"""),162.07)</f>
        <v>162.07</v>
      </c>
      <c r="Z1116" s="1">
        <f ca="1">IFERROR(__xludf.DUMMYFUNCTION("""COMPUTED_VALUE"""),458.1)</f>
        <v>458.1</v>
      </c>
      <c r="AA1116" s="1">
        <f ca="1">IFERROR(__xludf.DUMMYFUNCTION("""COMPUTED_VALUE"""),28.8)</f>
        <v>28.8</v>
      </c>
      <c r="AB1116" s="1">
        <f ca="1">IFERROR(__xludf.DUMMYFUNCTION("""COMPUTED_VALUE"""),81.47)</f>
        <v>81.47</v>
      </c>
      <c r="AC1116" s="1">
        <f ca="1">IFERROR(__xludf.DUMMYFUNCTION("""COMPUTED_VALUE"""),166.78)</f>
        <v>166.78</v>
      </c>
    </row>
    <row r="1117" spans="1:29" x14ac:dyDescent="0.25">
      <c r="A1117" s="2">
        <f ca="1">IFERROR(__xludf.DUMMYFUNCTION("""COMPUTED_VALUE"""),45450.6666666666)</f>
        <v>45450.666666666599</v>
      </c>
      <c r="B1117" s="1">
        <f ca="1">IFERROR(__xludf.DUMMYFUNCTION("""COMPUTED_VALUE"""),196.89)</f>
        <v>196.89</v>
      </c>
      <c r="C1117" s="1">
        <f ca="1">IFERROR(__xludf.DUMMYFUNCTION("""COMPUTED_VALUE"""),423.85)</f>
        <v>423.85</v>
      </c>
      <c r="D1117" s="1">
        <f ca="1">IFERROR(__xludf.DUMMYFUNCTION("""COMPUTED_VALUE"""),184.3)</f>
        <v>184.3</v>
      </c>
      <c r="E1117" s="1">
        <f ca="1">IFERROR(__xludf.DUMMYFUNCTION("""COMPUTED_VALUE"""),120.89)</f>
        <v>120.89</v>
      </c>
      <c r="F1117" s="1">
        <f ca="1">IFERROR(__xludf.DUMMYFUNCTION("""COMPUTED_VALUE"""),492.96)</f>
        <v>492.96</v>
      </c>
      <c r="G1117" s="1">
        <f ca="1">IFERROR(__xludf.DUMMYFUNCTION("""COMPUTED_VALUE"""),175.95)</f>
        <v>175.95</v>
      </c>
      <c r="H1117" s="1">
        <f ca="1">IFERROR(__xludf.DUMMYFUNCTION("""COMPUTED_VALUE"""),177.48)</f>
        <v>177.48</v>
      </c>
      <c r="I1117" s="1">
        <f ca="1">IFERROR(__xludf.DUMMYFUNCTION("""COMPUTED_VALUE"""),171.04)</f>
        <v>171.04</v>
      </c>
      <c r="J1117" s="1">
        <f ca="1">IFERROR(__xludf.DUMMYFUNCTION("""COMPUTED_VALUE"""),845.58)</f>
        <v>845.58</v>
      </c>
      <c r="K1117" s="1">
        <f ca="1">IFERROR(__xludf.DUMMYFUNCTION("""COMPUTED_VALUE"""),140.66)</f>
        <v>140.66</v>
      </c>
      <c r="L1117" s="1">
        <f ca="1">IFERROR(__xludf.DUMMYFUNCTION("""COMPUTED_VALUE"""),465.43)</f>
        <v>465.43</v>
      </c>
      <c r="M1117" s="1">
        <f ca="1">IFERROR(__xludf.DUMMYFUNCTION("""COMPUTED_VALUE"""),641.47)</f>
        <v>641.47</v>
      </c>
      <c r="N1117" s="1">
        <f ca="1">IFERROR(__xludf.DUMMYFUNCTION("""COMPUTED_VALUE"""),199.95)</f>
        <v>199.95</v>
      </c>
      <c r="O1117" s="1">
        <f ca="1">IFERROR(__xludf.DUMMYFUNCTION("""COMPUTED_VALUE"""),278.67)</f>
        <v>278.67</v>
      </c>
      <c r="P1117" s="1">
        <f ca="1">IFERROR(__xludf.DUMMYFUNCTION("""COMPUTED_VALUE"""),147.08)</f>
        <v>147.08000000000001</v>
      </c>
      <c r="Q1117" s="1">
        <f ca="1">IFERROR(__xludf.DUMMYFUNCTION("""COMPUTED_VALUE"""),490.69)</f>
        <v>490.69</v>
      </c>
      <c r="R1117" s="1">
        <f ca="1">IFERROR(__xludf.DUMMYFUNCTION("""COMPUTED_VALUE"""),112.75)</f>
        <v>112.75</v>
      </c>
      <c r="S1117" s="1">
        <f ca="1">IFERROR(__xludf.DUMMYFUNCTION("""COMPUTED_VALUE"""),75.39)</f>
        <v>75.39</v>
      </c>
      <c r="T1117" s="1">
        <f ca="1">IFERROR(__xludf.DUMMYFUNCTION("""COMPUTED_VALUE"""),65.88)</f>
        <v>65.88</v>
      </c>
      <c r="U1117" s="1">
        <f ca="1">IFERROR(__xludf.DUMMYFUNCTION("""COMPUTED_VALUE"""),96.55)</f>
        <v>96.55</v>
      </c>
      <c r="V1117" s="1">
        <f ca="1">IFERROR(__xludf.DUMMYFUNCTION("""COMPUTED_VALUE"""),328.94)</f>
        <v>328.94</v>
      </c>
      <c r="W1117" s="1">
        <f ca="1">IFERROR(__xludf.DUMMYFUNCTION("""COMPUTED_VALUE"""),470.13)</f>
        <v>470.13</v>
      </c>
      <c r="X1117" s="1">
        <f ca="1">IFERROR(__xludf.DUMMYFUNCTION("""COMPUTED_VALUE"""),1028.42)</f>
        <v>1028.42</v>
      </c>
      <c r="Y1117" s="1">
        <f ca="1">IFERROR(__xludf.DUMMYFUNCTION("""COMPUTED_VALUE"""),164.39)</f>
        <v>164.39</v>
      </c>
      <c r="Z1117" s="1">
        <f ca="1">IFERROR(__xludf.DUMMYFUNCTION("""COMPUTED_VALUE"""),454.91)</f>
        <v>454.91</v>
      </c>
      <c r="AA1117" s="1">
        <f ca="1">IFERROR(__xludf.DUMMYFUNCTION("""COMPUTED_VALUE"""),28.58)</f>
        <v>28.58</v>
      </c>
      <c r="AB1117" s="1">
        <f ca="1">IFERROR(__xludf.DUMMYFUNCTION("""COMPUTED_VALUE"""),81.43)</f>
        <v>81.430000000000007</v>
      </c>
      <c r="AC1117" s="1">
        <f ca="1">IFERROR(__xludf.DUMMYFUNCTION("""COMPUTED_VALUE"""),167.87)</f>
        <v>167.87</v>
      </c>
    </row>
    <row r="1118" spans="1:29" x14ac:dyDescent="0.25">
      <c r="A1118" s="2">
        <f ca="1">IFERROR(__xludf.DUMMYFUNCTION("""COMPUTED_VALUE"""),45453.6666666666)</f>
        <v>45453.666666666599</v>
      </c>
      <c r="B1118" s="1">
        <f ca="1">IFERROR(__xludf.DUMMYFUNCTION("""COMPUTED_VALUE"""),193.12)</f>
        <v>193.12</v>
      </c>
      <c r="C1118" s="1">
        <f ca="1">IFERROR(__xludf.DUMMYFUNCTION("""COMPUTED_VALUE"""),427.87)</f>
        <v>427.87</v>
      </c>
      <c r="D1118" s="1">
        <f ca="1">IFERROR(__xludf.DUMMYFUNCTION("""COMPUTED_VALUE"""),187.06)</f>
        <v>187.06</v>
      </c>
      <c r="E1118" s="1">
        <f ca="1">IFERROR(__xludf.DUMMYFUNCTION("""COMPUTED_VALUE"""),121.79)</f>
        <v>121.79</v>
      </c>
      <c r="F1118" s="1">
        <f ca="1">IFERROR(__xludf.DUMMYFUNCTION("""COMPUTED_VALUE"""),502.6)</f>
        <v>502.6</v>
      </c>
      <c r="G1118" s="1">
        <f ca="1">IFERROR(__xludf.DUMMYFUNCTION("""COMPUTED_VALUE"""),176.63)</f>
        <v>176.63</v>
      </c>
      <c r="H1118" s="1">
        <f ca="1">IFERROR(__xludf.DUMMYFUNCTION("""COMPUTED_VALUE"""),173.79)</f>
        <v>173.79</v>
      </c>
      <c r="I1118" s="1">
        <f ca="1">IFERROR(__xludf.DUMMYFUNCTION("""COMPUTED_VALUE"""),165.9)</f>
        <v>165.9</v>
      </c>
      <c r="J1118" s="1">
        <f ca="1">IFERROR(__xludf.DUMMYFUNCTION("""COMPUTED_VALUE"""),848.34)</f>
        <v>848.34</v>
      </c>
      <c r="K1118" s="1">
        <f ca="1">IFERROR(__xludf.DUMMYFUNCTION("""COMPUTED_VALUE"""),144.05)</f>
        <v>144.05000000000001</v>
      </c>
      <c r="L1118" s="1">
        <f ca="1">IFERROR(__xludf.DUMMYFUNCTION("""COMPUTED_VALUE"""),459.94)</f>
        <v>459.94</v>
      </c>
      <c r="M1118" s="1">
        <f ca="1">IFERROR(__xludf.DUMMYFUNCTION("""COMPUTED_VALUE"""),644.5)</f>
        <v>644.5</v>
      </c>
      <c r="N1118" s="1">
        <f ca="1">IFERROR(__xludf.DUMMYFUNCTION("""COMPUTED_VALUE"""),199.61)</f>
        <v>199.61</v>
      </c>
      <c r="O1118" s="1">
        <f ca="1">IFERROR(__xludf.DUMMYFUNCTION("""COMPUTED_VALUE"""),275.04)</f>
        <v>275.04000000000002</v>
      </c>
      <c r="P1118" s="1">
        <f ca="1">IFERROR(__xludf.DUMMYFUNCTION("""COMPUTED_VALUE"""),147.13)</f>
        <v>147.13</v>
      </c>
      <c r="Q1118" s="1">
        <f ca="1">IFERROR(__xludf.DUMMYFUNCTION("""COMPUTED_VALUE"""),495)</f>
        <v>495</v>
      </c>
      <c r="R1118" s="1">
        <f ca="1">IFERROR(__xludf.DUMMYFUNCTION("""COMPUTED_VALUE"""),113.08)</f>
        <v>113.08</v>
      </c>
      <c r="S1118" s="1">
        <f ca="1">IFERROR(__xludf.DUMMYFUNCTION("""COMPUTED_VALUE"""),76.97)</f>
        <v>76.97</v>
      </c>
      <c r="T1118" s="1">
        <f ca="1">IFERROR(__xludf.DUMMYFUNCTION("""COMPUTED_VALUE"""),66.96)</f>
        <v>66.959999999999994</v>
      </c>
      <c r="U1118" s="1">
        <f ca="1">IFERROR(__xludf.DUMMYFUNCTION("""COMPUTED_VALUE"""),96)</f>
        <v>96</v>
      </c>
      <c r="V1118" s="1">
        <f ca="1">IFERROR(__xludf.DUMMYFUNCTION("""COMPUTED_VALUE"""),329.61)</f>
        <v>329.61</v>
      </c>
      <c r="W1118" s="1">
        <f ca="1">IFERROR(__xludf.DUMMYFUNCTION("""COMPUTED_VALUE"""),467.46)</f>
        <v>467.46</v>
      </c>
      <c r="X1118" s="1">
        <f ca="1">IFERROR(__xludf.DUMMYFUNCTION("""COMPUTED_VALUE"""),1041.71)</f>
        <v>1041.71</v>
      </c>
      <c r="Y1118" s="1">
        <f ca="1">IFERROR(__xludf.DUMMYFUNCTION("""COMPUTED_VALUE"""),168.16)</f>
        <v>168.16</v>
      </c>
      <c r="Z1118" s="1">
        <f ca="1">IFERROR(__xludf.DUMMYFUNCTION("""COMPUTED_VALUE"""),453.55)</f>
        <v>453.55</v>
      </c>
      <c r="AA1118" s="1">
        <f ca="1">IFERROR(__xludf.DUMMYFUNCTION("""COMPUTED_VALUE"""),28.07)</f>
        <v>28.07</v>
      </c>
      <c r="AB1118" s="1">
        <f ca="1">IFERROR(__xludf.DUMMYFUNCTION("""COMPUTED_VALUE"""),81.6)</f>
        <v>81.599999999999994</v>
      </c>
      <c r="AC1118" s="1">
        <f ca="1">IFERROR(__xludf.DUMMYFUNCTION("""COMPUTED_VALUE"""),160.34)</f>
        <v>160.34</v>
      </c>
    </row>
    <row r="1119" spans="1:29" x14ac:dyDescent="0.25">
      <c r="A1119" s="2">
        <f ca="1">IFERROR(__xludf.DUMMYFUNCTION("""COMPUTED_VALUE"""),45454.6666666666)</f>
        <v>45454.666666666599</v>
      </c>
      <c r="B1119" s="1">
        <f ca="1">IFERROR(__xludf.DUMMYFUNCTION("""COMPUTED_VALUE"""),207.15)</f>
        <v>207.15</v>
      </c>
      <c r="C1119" s="1">
        <f ca="1">IFERROR(__xludf.DUMMYFUNCTION("""COMPUTED_VALUE"""),432.68)</f>
        <v>432.68</v>
      </c>
      <c r="D1119" s="1">
        <f ca="1">IFERROR(__xludf.DUMMYFUNCTION("""COMPUTED_VALUE"""),187.23)</f>
        <v>187.23</v>
      </c>
      <c r="E1119" s="1">
        <f ca="1">IFERROR(__xludf.DUMMYFUNCTION("""COMPUTED_VALUE"""),120.91)</f>
        <v>120.91</v>
      </c>
      <c r="F1119" s="1">
        <f ca="1">IFERROR(__xludf.DUMMYFUNCTION("""COMPUTED_VALUE"""),507.47)</f>
        <v>507.47</v>
      </c>
      <c r="G1119" s="1">
        <f ca="1">IFERROR(__xludf.DUMMYFUNCTION("""COMPUTED_VALUE"""),178.19)</f>
        <v>178.19</v>
      </c>
      <c r="H1119" s="1">
        <f ca="1">IFERROR(__xludf.DUMMYFUNCTION("""COMPUTED_VALUE"""),170.66)</f>
        <v>170.66</v>
      </c>
      <c r="I1119" s="1">
        <f ca="1">IFERROR(__xludf.DUMMYFUNCTION("""COMPUTED_VALUE"""),165.07)</f>
        <v>165.07</v>
      </c>
      <c r="J1119" s="1">
        <f ca="1">IFERROR(__xludf.DUMMYFUNCTION("""COMPUTED_VALUE"""),849.31)</f>
        <v>849.31</v>
      </c>
      <c r="K1119" s="1">
        <f ca="1">IFERROR(__xludf.DUMMYFUNCTION("""COMPUTED_VALUE"""),146.1)</f>
        <v>146.1</v>
      </c>
      <c r="L1119" s="1">
        <f ca="1">IFERROR(__xludf.DUMMYFUNCTION("""COMPUTED_VALUE"""),462.69)</f>
        <v>462.69</v>
      </c>
      <c r="M1119" s="1">
        <f ca="1">IFERROR(__xludf.DUMMYFUNCTION("""COMPUTED_VALUE"""),648.55)</f>
        <v>648.54999999999995</v>
      </c>
      <c r="N1119" s="1">
        <f ca="1">IFERROR(__xludf.DUMMYFUNCTION("""COMPUTED_VALUE"""),194.36)</f>
        <v>194.36</v>
      </c>
      <c r="O1119" s="1">
        <f ca="1">IFERROR(__xludf.DUMMYFUNCTION("""COMPUTED_VALUE"""),274.67)</f>
        <v>274.67</v>
      </c>
      <c r="P1119" s="1">
        <f ca="1">IFERROR(__xludf.DUMMYFUNCTION("""COMPUTED_VALUE"""),146.76)</f>
        <v>146.76</v>
      </c>
      <c r="Q1119" s="1">
        <f ca="1">IFERROR(__xludf.DUMMYFUNCTION("""COMPUTED_VALUE"""),496.22)</f>
        <v>496.22</v>
      </c>
      <c r="R1119" s="1">
        <f ca="1">IFERROR(__xludf.DUMMYFUNCTION("""COMPUTED_VALUE"""),112.17)</f>
        <v>112.17</v>
      </c>
      <c r="S1119" s="1">
        <f ca="1">IFERROR(__xludf.DUMMYFUNCTION("""COMPUTED_VALUE"""),72.74)</f>
        <v>72.739999999999995</v>
      </c>
      <c r="T1119" s="1">
        <f ca="1">IFERROR(__xludf.DUMMYFUNCTION("""COMPUTED_VALUE"""),66.73)</f>
        <v>66.73</v>
      </c>
      <c r="U1119" s="1">
        <f ca="1">IFERROR(__xludf.DUMMYFUNCTION("""COMPUTED_VALUE"""),95.87)</f>
        <v>95.87</v>
      </c>
      <c r="V1119" s="1">
        <f ca="1">IFERROR(__xludf.DUMMYFUNCTION("""COMPUTED_VALUE"""),327.31)</f>
        <v>327.31</v>
      </c>
      <c r="W1119" s="1">
        <f ca="1">IFERROR(__xludf.DUMMYFUNCTION("""COMPUTED_VALUE"""),462.8)</f>
        <v>462.8</v>
      </c>
      <c r="X1119" s="1">
        <f ca="1">IFERROR(__xludf.DUMMYFUNCTION("""COMPUTED_VALUE"""),1036.01)</f>
        <v>1036.01</v>
      </c>
      <c r="Y1119" s="1">
        <f ca="1">IFERROR(__xludf.DUMMYFUNCTION("""COMPUTED_VALUE"""),165.71)</f>
        <v>165.71</v>
      </c>
      <c r="Z1119" s="1">
        <f ca="1">IFERROR(__xludf.DUMMYFUNCTION("""COMPUTED_VALUE"""),444.27)</f>
        <v>444.27</v>
      </c>
      <c r="AA1119" s="1">
        <f ca="1">IFERROR(__xludf.DUMMYFUNCTION("""COMPUTED_VALUE"""),28.03)</f>
        <v>28.03</v>
      </c>
      <c r="AB1119" s="1">
        <f ca="1">IFERROR(__xludf.DUMMYFUNCTION("""COMPUTED_VALUE"""),79.89)</f>
        <v>79.89</v>
      </c>
      <c r="AC1119" s="1">
        <f ca="1">IFERROR(__xludf.DUMMYFUNCTION("""COMPUTED_VALUE"""),158.96)</f>
        <v>158.96</v>
      </c>
    </row>
    <row r="1120" spans="1:29" x14ac:dyDescent="0.25">
      <c r="A1120" s="2">
        <f ca="1">IFERROR(__xludf.DUMMYFUNCTION("""COMPUTED_VALUE"""),45455.6666666666)</f>
        <v>45455.666666666599</v>
      </c>
      <c r="B1120" s="1">
        <f ca="1">IFERROR(__xludf.DUMMYFUNCTION("""COMPUTED_VALUE"""),213.07)</f>
        <v>213.07</v>
      </c>
      <c r="C1120" s="1">
        <f ca="1">IFERROR(__xludf.DUMMYFUNCTION("""COMPUTED_VALUE"""),441.06)</f>
        <v>441.06</v>
      </c>
      <c r="D1120" s="1">
        <f ca="1">IFERROR(__xludf.DUMMYFUNCTION("""COMPUTED_VALUE"""),186.89)</f>
        <v>186.89</v>
      </c>
      <c r="E1120" s="1">
        <f ca="1">IFERROR(__xludf.DUMMYFUNCTION("""COMPUTED_VALUE"""),125.2)</f>
        <v>125.2</v>
      </c>
      <c r="F1120" s="1">
        <f ca="1">IFERROR(__xludf.DUMMYFUNCTION("""COMPUTED_VALUE"""),508.84)</f>
        <v>508.84</v>
      </c>
      <c r="G1120" s="1">
        <f ca="1">IFERROR(__xludf.DUMMYFUNCTION("""COMPUTED_VALUE"""),179.56)</f>
        <v>179.56</v>
      </c>
      <c r="H1120" s="1">
        <f ca="1">IFERROR(__xludf.DUMMYFUNCTION("""COMPUTED_VALUE"""),177.29)</f>
        <v>177.29</v>
      </c>
      <c r="I1120" s="1">
        <f ca="1">IFERROR(__xludf.DUMMYFUNCTION("""COMPUTED_VALUE"""),163.83)</f>
        <v>163.83000000000001</v>
      </c>
      <c r="J1120" s="1">
        <f ca="1">IFERROR(__xludf.DUMMYFUNCTION("""COMPUTED_VALUE"""),847.81)</f>
        <v>847.81</v>
      </c>
      <c r="K1120" s="1">
        <f ca="1">IFERROR(__xludf.DUMMYFUNCTION("""COMPUTED_VALUE"""),149.55)</f>
        <v>149.55000000000001</v>
      </c>
      <c r="L1120" s="1">
        <f ca="1">IFERROR(__xludf.DUMMYFUNCTION("""COMPUTED_VALUE"""),459.87)</f>
        <v>459.87</v>
      </c>
      <c r="M1120" s="1">
        <f ca="1">IFERROR(__xludf.DUMMYFUNCTION("""COMPUTED_VALUE"""),650.06)</f>
        <v>650.05999999999995</v>
      </c>
      <c r="N1120" s="1">
        <f ca="1">IFERROR(__xludf.DUMMYFUNCTION("""COMPUTED_VALUE"""),191.53)</f>
        <v>191.53</v>
      </c>
      <c r="O1120" s="1">
        <f ca="1">IFERROR(__xludf.DUMMYFUNCTION("""COMPUTED_VALUE"""),270.32)</f>
        <v>270.32</v>
      </c>
      <c r="P1120" s="1">
        <f ca="1">IFERROR(__xludf.DUMMYFUNCTION("""COMPUTED_VALUE"""),145.41)</f>
        <v>145.41</v>
      </c>
      <c r="Q1120" s="1">
        <f ca="1">IFERROR(__xludf.DUMMYFUNCTION("""COMPUTED_VALUE"""),493.07)</f>
        <v>493.07</v>
      </c>
      <c r="R1120" s="1">
        <f ca="1">IFERROR(__xludf.DUMMYFUNCTION("""COMPUTED_VALUE"""),110.93)</f>
        <v>110.93</v>
      </c>
      <c r="S1120" s="1">
        <f ca="1">IFERROR(__xludf.DUMMYFUNCTION("""COMPUTED_VALUE"""),72.26)</f>
        <v>72.260000000000005</v>
      </c>
      <c r="T1120" s="1">
        <f ca="1">IFERROR(__xludf.DUMMYFUNCTION("""COMPUTED_VALUE"""),66.31)</f>
        <v>66.31</v>
      </c>
      <c r="U1120" s="1">
        <f ca="1">IFERROR(__xludf.DUMMYFUNCTION("""COMPUTED_VALUE"""),93.68)</f>
        <v>93.68</v>
      </c>
      <c r="V1120" s="1">
        <f ca="1">IFERROR(__xludf.DUMMYFUNCTION("""COMPUTED_VALUE"""),328.73)</f>
        <v>328.73</v>
      </c>
      <c r="W1120" s="1">
        <f ca="1">IFERROR(__xludf.DUMMYFUNCTION("""COMPUTED_VALUE"""),459.11)</f>
        <v>459.11</v>
      </c>
      <c r="X1120" s="1">
        <f ca="1">IFERROR(__xludf.DUMMYFUNCTION("""COMPUTED_VALUE"""),1068.86)</f>
        <v>1068.8599999999999</v>
      </c>
      <c r="Y1120" s="1">
        <f ca="1">IFERROR(__xludf.DUMMYFUNCTION("""COMPUTED_VALUE"""),172.98)</f>
        <v>172.98</v>
      </c>
      <c r="Z1120" s="1">
        <f ca="1">IFERROR(__xludf.DUMMYFUNCTION("""COMPUTED_VALUE"""),448.7)</f>
        <v>448.7</v>
      </c>
      <c r="AA1120" s="1">
        <f ca="1">IFERROR(__xludf.DUMMYFUNCTION("""COMPUTED_VALUE"""),27.66)</f>
        <v>27.66</v>
      </c>
      <c r="AB1120" s="1">
        <f ca="1">IFERROR(__xludf.DUMMYFUNCTION("""COMPUTED_VALUE"""),79.38)</f>
        <v>79.38</v>
      </c>
      <c r="AC1120" s="1">
        <f ca="1">IFERROR(__xludf.DUMMYFUNCTION("""COMPUTED_VALUE"""),160.24)</f>
        <v>160.24</v>
      </c>
    </row>
    <row r="1121" spans="1:29" x14ac:dyDescent="0.25">
      <c r="A1121" s="2">
        <f ca="1">IFERROR(__xludf.DUMMYFUNCTION("""COMPUTED_VALUE"""),45456.6666666666)</f>
        <v>45456.666666666599</v>
      </c>
      <c r="B1121" s="1">
        <f ca="1">IFERROR(__xludf.DUMMYFUNCTION("""COMPUTED_VALUE"""),214.24)</f>
        <v>214.24</v>
      </c>
      <c r="C1121" s="1">
        <f ca="1">IFERROR(__xludf.DUMMYFUNCTION("""COMPUTED_VALUE"""),441.58)</f>
        <v>441.58</v>
      </c>
      <c r="D1121" s="1">
        <f ca="1">IFERROR(__xludf.DUMMYFUNCTION("""COMPUTED_VALUE"""),183.83)</f>
        <v>183.83</v>
      </c>
      <c r="E1121" s="1">
        <f ca="1">IFERROR(__xludf.DUMMYFUNCTION("""COMPUTED_VALUE"""),129.61)</f>
        <v>129.61000000000001</v>
      </c>
      <c r="F1121" s="1">
        <f ca="1">IFERROR(__xludf.DUMMYFUNCTION("""COMPUTED_VALUE"""),504.1)</f>
        <v>504.1</v>
      </c>
      <c r="G1121" s="1">
        <f ca="1">IFERROR(__xludf.DUMMYFUNCTION("""COMPUTED_VALUE"""),176.74)</f>
        <v>176.74</v>
      </c>
      <c r="H1121" s="1">
        <f ca="1">IFERROR(__xludf.DUMMYFUNCTION("""COMPUTED_VALUE"""),182.47)</f>
        <v>182.47</v>
      </c>
      <c r="I1121" s="1">
        <f ca="1">IFERROR(__xludf.DUMMYFUNCTION("""COMPUTED_VALUE"""),163.33)</f>
        <v>163.33000000000001</v>
      </c>
      <c r="J1121" s="1">
        <f ca="1">IFERROR(__xludf.DUMMYFUNCTION("""COMPUTED_VALUE"""),845.96)</f>
        <v>845.96</v>
      </c>
      <c r="K1121" s="1">
        <f ca="1">IFERROR(__xludf.DUMMYFUNCTION("""COMPUTED_VALUE"""),167.9)</f>
        <v>167.9</v>
      </c>
      <c r="L1121" s="1">
        <f ca="1">IFERROR(__xludf.DUMMYFUNCTION("""COMPUTED_VALUE"""),458.74)</f>
        <v>458.74</v>
      </c>
      <c r="M1121" s="1">
        <f ca="1">IFERROR(__xludf.DUMMYFUNCTION("""COMPUTED_VALUE"""),653.26)</f>
        <v>653.26</v>
      </c>
      <c r="N1121" s="1">
        <f ca="1">IFERROR(__xludf.DUMMYFUNCTION("""COMPUTED_VALUE"""),193.66)</f>
        <v>193.66</v>
      </c>
      <c r="O1121" s="1">
        <f ca="1">IFERROR(__xludf.DUMMYFUNCTION("""COMPUTED_VALUE"""),271.19)</f>
        <v>271.19</v>
      </c>
      <c r="P1121" s="1">
        <f ca="1">IFERROR(__xludf.DUMMYFUNCTION("""COMPUTED_VALUE"""),145.45)</f>
        <v>145.44999999999999</v>
      </c>
      <c r="Q1121" s="1">
        <f ca="1">IFERROR(__xludf.DUMMYFUNCTION("""COMPUTED_VALUE"""),497.3)</f>
        <v>497.3</v>
      </c>
      <c r="R1121" s="1">
        <f ca="1">IFERROR(__xludf.DUMMYFUNCTION("""COMPUTED_VALUE"""),110.04)</f>
        <v>110.04</v>
      </c>
      <c r="S1121" s="1">
        <f ca="1">IFERROR(__xludf.DUMMYFUNCTION("""COMPUTED_VALUE"""),73.18)</f>
        <v>73.180000000000007</v>
      </c>
      <c r="T1121" s="1">
        <f ca="1">IFERROR(__xludf.DUMMYFUNCTION("""COMPUTED_VALUE"""),66.7)</f>
        <v>66.7</v>
      </c>
      <c r="U1121" s="1">
        <f ca="1">IFERROR(__xludf.DUMMYFUNCTION("""COMPUTED_VALUE"""),94.18)</f>
        <v>94.18</v>
      </c>
      <c r="V1121" s="1">
        <f ca="1">IFERROR(__xludf.DUMMYFUNCTION("""COMPUTED_VALUE"""),326.36)</f>
        <v>326.36</v>
      </c>
      <c r="W1121" s="1">
        <f ca="1">IFERROR(__xludf.DUMMYFUNCTION("""COMPUTED_VALUE"""),458.56)</f>
        <v>458.56</v>
      </c>
      <c r="X1121" s="1">
        <f ca="1">IFERROR(__xludf.DUMMYFUNCTION("""COMPUTED_VALUE"""),1052.71)</f>
        <v>1052.71</v>
      </c>
      <c r="Y1121" s="1">
        <f ca="1">IFERROR(__xludf.DUMMYFUNCTION("""COMPUTED_VALUE"""),172.91)</f>
        <v>172.91</v>
      </c>
      <c r="Z1121" s="1">
        <f ca="1">IFERROR(__xludf.DUMMYFUNCTION("""COMPUTED_VALUE"""),446.35)</f>
        <v>446.35</v>
      </c>
      <c r="AA1121" s="1">
        <f ca="1">IFERROR(__xludf.DUMMYFUNCTION("""COMPUTED_VALUE"""),27.65)</f>
        <v>27.65</v>
      </c>
      <c r="AB1121" s="1">
        <f ca="1">IFERROR(__xludf.DUMMYFUNCTION("""COMPUTED_VALUE"""),80.24)</f>
        <v>80.239999999999995</v>
      </c>
      <c r="AC1121" s="1">
        <f ca="1">IFERROR(__xludf.DUMMYFUNCTION("""COMPUTED_VALUE"""),159.9)</f>
        <v>159.9</v>
      </c>
    </row>
    <row r="1122" spans="1:29" x14ac:dyDescent="0.25">
      <c r="A1122" s="2">
        <f ca="1">IFERROR(__xludf.DUMMYFUNCTION("""COMPUTED_VALUE"""),45457.6666666666)</f>
        <v>45457.666666666599</v>
      </c>
      <c r="B1122" s="1">
        <f ca="1">IFERROR(__xludf.DUMMYFUNCTION("""COMPUTED_VALUE"""),212.49)</f>
        <v>212.49</v>
      </c>
      <c r="C1122" s="1">
        <f ca="1">IFERROR(__xludf.DUMMYFUNCTION("""COMPUTED_VALUE"""),442.57)</f>
        <v>442.57</v>
      </c>
      <c r="D1122" s="1">
        <f ca="1">IFERROR(__xludf.DUMMYFUNCTION("""COMPUTED_VALUE"""),183.66)</f>
        <v>183.66</v>
      </c>
      <c r="E1122" s="1">
        <f ca="1">IFERROR(__xludf.DUMMYFUNCTION("""COMPUTED_VALUE"""),131.88)</f>
        <v>131.88</v>
      </c>
      <c r="F1122" s="1">
        <f ca="1">IFERROR(__xludf.DUMMYFUNCTION("""COMPUTED_VALUE"""),504.16)</f>
        <v>504.16</v>
      </c>
      <c r="G1122" s="1">
        <f ca="1">IFERROR(__xludf.DUMMYFUNCTION("""COMPUTED_VALUE"""),178.37)</f>
        <v>178.37</v>
      </c>
      <c r="H1122" s="1">
        <f ca="1">IFERROR(__xludf.DUMMYFUNCTION("""COMPUTED_VALUE"""),178.01)</f>
        <v>178.01</v>
      </c>
      <c r="I1122" s="1">
        <f ca="1">IFERROR(__xludf.DUMMYFUNCTION("""COMPUTED_VALUE"""),163.81)</f>
        <v>163.81</v>
      </c>
      <c r="J1122" s="1">
        <f ca="1">IFERROR(__xludf.DUMMYFUNCTION("""COMPUTED_VALUE"""),855.67)</f>
        <v>855.67</v>
      </c>
      <c r="K1122" s="1">
        <f ca="1">IFERROR(__xludf.DUMMYFUNCTION("""COMPUTED_VALUE"""),173.5)</f>
        <v>173.5</v>
      </c>
      <c r="L1122" s="1">
        <f ca="1">IFERROR(__xludf.DUMMYFUNCTION("""COMPUTED_VALUE"""),525.31)</f>
        <v>525.30999999999995</v>
      </c>
      <c r="M1122" s="1">
        <f ca="1">IFERROR(__xludf.DUMMYFUNCTION("""COMPUTED_VALUE"""),669.38)</f>
        <v>669.38</v>
      </c>
      <c r="N1122" s="1">
        <f ca="1">IFERROR(__xludf.DUMMYFUNCTION("""COMPUTED_VALUE"""),193.78)</f>
        <v>193.78</v>
      </c>
      <c r="O1122" s="1">
        <f ca="1">IFERROR(__xludf.DUMMYFUNCTION("""COMPUTED_VALUE"""),270.66)</f>
        <v>270.66000000000003</v>
      </c>
      <c r="P1122" s="1">
        <f ca="1">IFERROR(__xludf.DUMMYFUNCTION("""COMPUTED_VALUE"""),145.54)</f>
        <v>145.54</v>
      </c>
      <c r="Q1122" s="1">
        <f ca="1">IFERROR(__xludf.DUMMYFUNCTION("""COMPUTED_VALUE"""),497.12)</f>
        <v>497.12</v>
      </c>
      <c r="R1122" s="1">
        <f ca="1">IFERROR(__xludf.DUMMYFUNCTION("""COMPUTED_VALUE"""),109.11)</f>
        <v>109.11</v>
      </c>
      <c r="S1122" s="1">
        <f ca="1">IFERROR(__xludf.DUMMYFUNCTION("""COMPUTED_VALUE"""),73.06)</f>
        <v>73.06</v>
      </c>
      <c r="T1122" s="1">
        <f ca="1">IFERROR(__xludf.DUMMYFUNCTION("""COMPUTED_VALUE"""),67.02)</f>
        <v>67.02</v>
      </c>
      <c r="U1122" s="1">
        <f ca="1">IFERROR(__xludf.DUMMYFUNCTION("""COMPUTED_VALUE"""),93.39)</f>
        <v>93.39</v>
      </c>
      <c r="V1122" s="1">
        <f ca="1">IFERROR(__xludf.DUMMYFUNCTION("""COMPUTED_VALUE"""),321.47)</f>
        <v>321.47000000000003</v>
      </c>
      <c r="W1122" s="1">
        <f ca="1">IFERROR(__xludf.DUMMYFUNCTION("""COMPUTED_VALUE"""),458.34)</f>
        <v>458.34</v>
      </c>
      <c r="X1122" s="1">
        <f ca="1">IFERROR(__xludf.DUMMYFUNCTION("""COMPUTED_VALUE"""),1027.9)</f>
        <v>1027.9000000000001</v>
      </c>
      <c r="Y1122" s="1">
        <f ca="1">IFERROR(__xludf.DUMMYFUNCTION("""COMPUTED_VALUE"""),172.51)</f>
        <v>172.51</v>
      </c>
      <c r="Z1122" s="1">
        <f ca="1">IFERROR(__xludf.DUMMYFUNCTION("""COMPUTED_VALUE"""),446.46)</f>
        <v>446.46</v>
      </c>
      <c r="AA1122" s="1">
        <f ca="1">IFERROR(__xludf.DUMMYFUNCTION("""COMPUTED_VALUE"""),27.53)</f>
        <v>27.53</v>
      </c>
      <c r="AB1122" s="1">
        <f ca="1">IFERROR(__xludf.DUMMYFUNCTION("""COMPUTED_VALUE"""),79.65)</f>
        <v>79.650000000000006</v>
      </c>
      <c r="AC1122" s="1">
        <f ca="1">IFERROR(__xludf.DUMMYFUNCTION("""COMPUTED_VALUE"""),159.63)</f>
        <v>159.63</v>
      </c>
    </row>
    <row r="1123" spans="1:29" x14ac:dyDescent="0.25">
      <c r="A1123" s="2">
        <f ca="1">IFERROR(__xludf.DUMMYFUNCTION("""COMPUTED_VALUE"""),45460.6666666666)</f>
        <v>45460.666666666599</v>
      </c>
      <c r="B1123" s="1">
        <f ca="1">IFERROR(__xludf.DUMMYFUNCTION("""COMPUTED_VALUE"""),216.67)</f>
        <v>216.67</v>
      </c>
      <c r="C1123" s="1">
        <f ca="1">IFERROR(__xludf.DUMMYFUNCTION("""COMPUTED_VALUE"""),448.37)</f>
        <v>448.37</v>
      </c>
      <c r="D1123" s="1">
        <f ca="1">IFERROR(__xludf.DUMMYFUNCTION("""COMPUTED_VALUE"""),184.06)</f>
        <v>184.06</v>
      </c>
      <c r="E1123" s="1">
        <f ca="1">IFERROR(__xludf.DUMMYFUNCTION("""COMPUTED_VALUE"""),130.98)</f>
        <v>130.97999999999999</v>
      </c>
      <c r="F1123" s="1">
        <f ca="1">IFERROR(__xludf.DUMMYFUNCTION("""COMPUTED_VALUE"""),506.63)</f>
        <v>506.63</v>
      </c>
      <c r="G1123" s="1">
        <f ca="1">IFERROR(__xludf.DUMMYFUNCTION("""COMPUTED_VALUE"""),178.78)</f>
        <v>178.78</v>
      </c>
      <c r="H1123" s="1">
        <f ca="1">IFERROR(__xludf.DUMMYFUNCTION("""COMPUTED_VALUE"""),187.44)</f>
        <v>187.44</v>
      </c>
      <c r="I1123" s="1">
        <f ca="1">IFERROR(__xludf.DUMMYFUNCTION("""COMPUTED_VALUE"""),166.14)</f>
        <v>166.14</v>
      </c>
      <c r="J1123" s="1">
        <f ca="1">IFERROR(__xludf.DUMMYFUNCTION("""COMPUTED_VALUE"""),867.91)</f>
        <v>867.91</v>
      </c>
      <c r="K1123" s="1">
        <f ca="1">IFERROR(__xludf.DUMMYFUNCTION("""COMPUTED_VALUE"""),182.89)</f>
        <v>182.89</v>
      </c>
      <c r="L1123" s="1">
        <f ca="1">IFERROR(__xludf.DUMMYFUNCTION("""COMPUTED_VALUE"""),518.74)</f>
        <v>518.74</v>
      </c>
      <c r="M1123" s="1">
        <f ca="1">IFERROR(__xludf.DUMMYFUNCTION("""COMPUTED_VALUE"""),675.83)</f>
        <v>675.83</v>
      </c>
      <c r="N1123" s="1">
        <f ca="1">IFERROR(__xludf.DUMMYFUNCTION("""COMPUTED_VALUE"""),194.98)</f>
        <v>194.98</v>
      </c>
      <c r="O1123" s="1">
        <f ca="1">IFERROR(__xludf.DUMMYFUNCTION("""COMPUTED_VALUE"""),271.17)</f>
        <v>271.17</v>
      </c>
      <c r="P1123" s="1">
        <f ca="1">IFERROR(__xludf.DUMMYFUNCTION("""COMPUTED_VALUE"""),145.95)</f>
        <v>145.94999999999999</v>
      </c>
      <c r="Q1123" s="1">
        <f ca="1">IFERROR(__xludf.DUMMYFUNCTION("""COMPUTED_VALUE"""),489.23)</f>
        <v>489.23</v>
      </c>
      <c r="R1123" s="1">
        <f ca="1">IFERROR(__xludf.DUMMYFUNCTION("""COMPUTED_VALUE"""),108.36)</f>
        <v>108.36</v>
      </c>
      <c r="S1123" s="1">
        <f ca="1">IFERROR(__xludf.DUMMYFUNCTION("""COMPUTED_VALUE"""),72.31)</f>
        <v>72.31</v>
      </c>
      <c r="T1123" s="1">
        <f ca="1">IFERROR(__xludf.DUMMYFUNCTION("""COMPUTED_VALUE"""),67.42)</f>
        <v>67.42</v>
      </c>
      <c r="U1123" s="1">
        <f ca="1">IFERROR(__xludf.DUMMYFUNCTION("""COMPUTED_VALUE"""),95)</f>
        <v>95</v>
      </c>
      <c r="V1123" s="1">
        <f ca="1">IFERROR(__xludf.DUMMYFUNCTION("""COMPUTED_VALUE"""),322.4)</f>
        <v>322.39999999999998</v>
      </c>
      <c r="W1123" s="1">
        <f ca="1">IFERROR(__xludf.DUMMYFUNCTION("""COMPUTED_VALUE"""),459.01)</f>
        <v>459.01</v>
      </c>
      <c r="X1123" s="1">
        <f ca="1">IFERROR(__xludf.DUMMYFUNCTION("""COMPUTED_VALUE"""),1052.47)</f>
        <v>1052.47</v>
      </c>
      <c r="Y1123" s="1">
        <f ca="1">IFERROR(__xludf.DUMMYFUNCTION("""COMPUTED_VALUE"""),177.24)</f>
        <v>177.24</v>
      </c>
      <c r="Z1123" s="1">
        <f ca="1">IFERROR(__xludf.DUMMYFUNCTION("""COMPUTED_VALUE"""),450.18)</f>
        <v>450.18</v>
      </c>
      <c r="AA1123" s="1">
        <f ca="1">IFERROR(__xludf.DUMMYFUNCTION("""COMPUTED_VALUE"""),26.98)</f>
        <v>26.98</v>
      </c>
      <c r="AB1123" s="1">
        <f ca="1">IFERROR(__xludf.DUMMYFUNCTION("""COMPUTED_VALUE"""),81.33)</f>
        <v>81.33</v>
      </c>
      <c r="AC1123" s="1">
        <f ca="1">IFERROR(__xludf.DUMMYFUNCTION("""COMPUTED_VALUE"""),158.4)</f>
        <v>158.4</v>
      </c>
    </row>
    <row r="1124" spans="1:29" x14ac:dyDescent="0.25">
      <c r="A1124" s="2">
        <f ca="1">IFERROR(__xludf.DUMMYFUNCTION("""COMPUTED_VALUE"""),45461.6666666666)</f>
        <v>45461.666666666599</v>
      </c>
      <c r="B1124" s="1">
        <f ca="1">IFERROR(__xludf.DUMMYFUNCTION("""COMPUTED_VALUE"""),214.29)</f>
        <v>214.29</v>
      </c>
      <c r="C1124" s="1">
        <f ca="1">IFERROR(__xludf.DUMMYFUNCTION("""COMPUTED_VALUE"""),446.34)</f>
        <v>446.34</v>
      </c>
      <c r="D1124" s="1">
        <f ca="1">IFERROR(__xludf.DUMMYFUNCTION("""COMPUTED_VALUE"""),182.81)</f>
        <v>182.81</v>
      </c>
      <c r="E1124" s="1">
        <f ca="1">IFERROR(__xludf.DUMMYFUNCTION("""COMPUTED_VALUE"""),135.58)</f>
        <v>135.58000000000001</v>
      </c>
      <c r="F1124" s="1">
        <f ca="1">IFERROR(__xludf.DUMMYFUNCTION("""COMPUTED_VALUE"""),499.49)</f>
        <v>499.49</v>
      </c>
      <c r="G1124" s="1">
        <f ca="1">IFERROR(__xludf.DUMMYFUNCTION("""COMPUTED_VALUE"""),176.45)</f>
        <v>176.45</v>
      </c>
      <c r="H1124" s="1">
        <f ca="1">IFERROR(__xludf.DUMMYFUNCTION("""COMPUTED_VALUE"""),184.86)</f>
        <v>184.86</v>
      </c>
      <c r="I1124" s="1">
        <f ca="1">IFERROR(__xludf.DUMMYFUNCTION("""COMPUTED_VALUE"""),166.48)</f>
        <v>166.48</v>
      </c>
      <c r="J1124" s="1">
        <f ca="1">IFERROR(__xludf.DUMMYFUNCTION("""COMPUTED_VALUE"""),870.75)</f>
        <v>870.75</v>
      </c>
      <c r="K1124" s="1">
        <f ca="1">IFERROR(__xludf.DUMMYFUNCTION("""COMPUTED_VALUE"""),180.25)</f>
        <v>180.25</v>
      </c>
      <c r="L1124" s="1">
        <f ca="1">IFERROR(__xludf.DUMMYFUNCTION("""COMPUTED_VALUE"""),522.25)</f>
        <v>522.25</v>
      </c>
      <c r="M1124" s="1">
        <f ca="1">IFERROR(__xludf.DUMMYFUNCTION("""COMPUTED_VALUE"""),685.67)</f>
        <v>685.67</v>
      </c>
      <c r="N1124" s="1">
        <f ca="1">IFERROR(__xludf.DUMMYFUNCTION("""COMPUTED_VALUE"""),197)</f>
        <v>197</v>
      </c>
      <c r="O1124" s="1">
        <f ca="1">IFERROR(__xludf.DUMMYFUNCTION("""COMPUTED_VALUE"""),273.62)</f>
        <v>273.62</v>
      </c>
      <c r="P1124" s="1">
        <f ca="1">IFERROR(__xludf.DUMMYFUNCTION("""COMPUTED_VALUE"""),145.65)</f>
        <v>145.65</v>
      </c>
      <c r="Q1124" s="1">
        <f ca="1">IFERROR(__xludf.DUMMYFUNCTION("""COMPUTED_VALUE"""),481.05)</f>
        <v>481.05</v>
      </c>
      <c r="R1124" s="1">
        <f ca="1">IFERROR(__xludf.DUMMYFUNCTION("""COMPUTED_VALUE"""),109.38)</f>
        <v>109.38</v>
      </c>
      <c r="S1124" s="1">
        <f ca="1">IFERROR(__xludf.DUMMYFUNCTION("""COMPUTED_VALUE"""),70.44)</f>
        <v>70.44</v>
      </c>
      <c r="T1124" s="1">
        <f ca="1">IFERROR(__xludf.DUMMYFUNCTION("""COMPUTED_VALUE"""),67.6)</f>
        <v>67.599999999999994</v>
      </c>
      <c r="U1124" s="1">
        <f ca="1">IFERROR(__xludf.DUMMYFUNCTION("""COMPUTED_VALUE"""),94.78)</f>
        <v>94.78</v>
      </c>
      <c r="V1124" s="1">
        <f ca="1">IFERROR(__xludf.DUMMYFUNCTION("""COMPUTED_VALUE"""),325.14)</f>
        <v>325.14</v>
      </c>
      <c r="W1124" s="1">
        <f ca="1">IFERROR(__xludf.DUMMYFUNCTION("""COMPUTED_VALUE"""),460)</f>
        <v>460</v>
      </c>
      <c r="X1124" s="1">
        <f ca="1">IFERROR(__xludf.DUMMYFUNCTION("""COMPUTED_VALUE"""),1061.38)</f>
        <v>1061.3800000000001</v>
      </c>
      <c r="Y1124" s="1">
        <f ca="1">IFERROR(__xludf.DUMMYFUNCTION("""COMPUTED_VALUE"""),179.69)</f>
        <v>179.69</v>
      </c>
      <c r="Z1124" s="1">
        <f ca="1">IFERROR(__xludf.DUMMYFUNCTION("""COMPUTED_VALUE"""),457.43)</f>
        <v>457.43</v>
      </c>
      <c r="AA1124" s="1">
        <f ca="1">IFERROR(__xludf.DUMMYFUNCTION("""COMPUTED_VALUE"""),27.41)</f>
        <v>27.41</v>
      </c>
      <c r="AB1124" s="1">
        <f ca="1">IFERROR(__xludf.DUMMYFUNCTION("""COMPUTED_VALUE"""),80.2)</f>
        <v>80.2</v>
      </c>
      <c r="AC1124" s="1">
        <f ca="1">IFERROR(__xludf.DUMMYFUNCTION("""COMPUTED_VALUE"""),154.63)</f>
        <v>154.63</v>
      </c>
    </row>
    <row r="1125" spans="1:29" x14ac:dyDescent="0.25">
      <c r="A1125" s="2">
        <f ca="1">IFERROR(__xludf.DUMMYFUNCTION("""COMPUTED_VALUE"""),45463.6666666666)</f>
        <v>45463.666666666599</v>
      </c>
      <c r="B1125" s="1">
        <f ca="1">IFERROR(__xludf.DUMMYFUNCTION("""COMPUTED_VALUE"""),209.68)</f>
        <v>209.68</v>
      </c>
      <c r="C1125" s="1">
        <f ca="1">IFERROR(__xludf.DUMMYFUNCTION("""COMPUTED_VALUE"""),445.7)</f>
        <v>445.7</v>
      </c>
      <c r="D1125" s="1">
        <f ca="1">IFERROR(__xludf.DUMMYFUNCTION("""COMPUTED_VALUE"""),186.1)</f>
        <v>186.1</v>
      </c>
      <c r="E1125" s="1">
        <f ca="1">IFERROR(__xludf.DUMMYFUNCTION("""COMPUTED_VALUE"""),130.78)</f>
        <v>130.78</v>
      </c>
      <c r="F1125" s="1">
        <f ca="1">IFERROR(__xludf.DUMMYFUNCTION("""COMPUTED_VALUE"""),501.7)</f>
        <v>501.7</v>
      </c>
      <c r="G1125" s="1">
        <f ca="1">IFERROR(__xludf.DUMMYFUNCTION("""COMPUTED_VALUE"""),177.71)</f>
        <v>177.71</v>
      </c>
      <c r="H1125" s="1">
        <f ca="1">IFERROR(__xludf.DUMMYFUNCTION("""COMPUTED_VALUE"""),181.57)</f>
        <v>181.57</v>
      </c>
      <c r="I1125" s="1">
        <f ca="1">IFERROR(__xludf.DUMMYFUNCTION("""COMPUTED_VALUE"""),166.68)</f>
        <v>166.68</v>
      </c>
      <c r="J1125" s="1">
        <f ca="1">IFERROR(__xludf.DUMMYFUNCTION("""COMPUTED_VALUE"""),862.44)</f>
        <v>862.44</v>
      </c>
      <c r="K1125" s="1">
        <f ca="1">IFERROR(__xludf.DUMMYFUNCTION("""COMPUTED_VALUE"""),173.46)</f>
        <v>173.46</v>
      </c>
      <c r="L1125" s="1">
        <f ca="1">IFERROR(__xludf.DUMMYFUNCTION("""COMPUTED_VALUE"""),522.95)</f>
        <v>522.95000000000005</v>
      </c>
      <c r="M1125" s="1">
        <f ca="1">IFERROR(__xludf.DUMMYFUNCTION("""COMPUTED_VALUE"""),679.03)</f>
        <v>679.03</v>
      </c>
      <c r="N1125" s="1">
        <f ca="1">IFERROR(__xludf.DUMMYFUNCTION("""COMPUTED_VALUE"""),198.67)</f>
        <v>198.67</v>
      </c>
      <c r="O1125" s="1">
        <f ca="1">IFERROR(__xludf.DUMMYFUNCTION("""COMPUTED_VALUE"""),276.82)</f>
        <v>276.82</v>
      </c>
      <c r="P1125" s="1">
        <f ca="1">IFERROR(__xludf.DUMMYFUNCTION("""COMPUTED_VALUE"""),147.78)</f>
        <v>147.78</v>
      </c>
      <c r="Q1125" s="1">
        <f ca="1">IFERROR(__xludf.DUMMYFUNCTION("""COMPUTED_VALUE"""),484.52)</f>
        <v>484.52</v>
      </c>
      <c r="R1125" s="1">
        <f ca="1">IFERROR(__xludf.DUMMYFUNCTION("""COMPUTED_VALUE"""),111.74)</f>
        <v>111.74</v>
      </c>
      <c r="S1125" s="1">
        <f ca="1">IFERROR(__xludf.DUMMYFUNCTION("""COMPUTED_VALUE"""),72.46)</f>
        <v>72.459999999999994</v>
      </c>
      <c r="T1125" s="1">
        <f ca="1">IFERROR(__xludf.DUMMYFUNCTION("""COMPUTED_VALUE"""),68.01)</f>
        <v>68.010000000000005</v>
      </c>
      <c r="U1125" s="1">
        <f ca="1">IFERROR(__xludf.DUMMYFUNCTION("""COMPUTED_VALUE"""),95.57)</f>
        <v>95.57</v>
      </c>
      <c r="V1125" s="1">
        <f ca="1">IFERROR(__xludf.DUMMYFUNCTION("""COMPUTED_VALUE"""),329.13)</f>
        <v>329.13</v>
      </c>
      <c r="W1125" s="1">
        <f ca="1">IFERROR(__xludf.DUMMYFUNCTION("""COMPUTED_VALUE"""),466.34)</f>
        <v>466.34</v>
      </c>
      <c r="X1125" s="1">
        <f ca="1">IFERROR(__xludf.DUMMYFUNCTION("""COMPUTED_VALUE"""),1050.74)</f>
        <v>1050.74</v>
      </c>
      <c r="Y1125" s="1">
        <f ca="1">IFERROR(__xludf.DUMMYFUNCTION("""COMPUTED_VALUE"""),175.38)</f>
        <v>175.38</v>
      </c>
      <c r="Z1125" s="1">
        <f ca="1">IFERROR(__xludf.DUMMYFUNCTION("""COMPUTED_VALUE"""),458.05)</f>
        <v>458.05</v>
      </c>
      <c r="AA1125" s="1">
        <f ca="1">IFERROR(__xludf.DUMMYFUNCTION("""COMPUTED_VALUE"""),27.74)</f>
        <v>27.74</v>
      </c>
      <c r="AB1125" s="1">
        <f ca="1">IFERROR(__xludf.DUMMYFUNCTION("""COMPUTED_VALUE"""),79.72)</f>
        <v>79.72</v>
      </c>
      <c r="AC1125" s="1">
        <f ca="1">IFERROR(__xludf.DUMMYFUNCTION("""COMPUTED_VALUE"""),161.78)</f>
        <v>161.78</v>
      </c>
    </row>
    <row r="1126" spans="1:29" x14ac:dyDescent="0.25">
      <c r="A1126" s="2">
        <f ca="1">IFERROR(__xludf.DUMMYFUNCTION("""COMPUTED_VALUE"""),45464.6666666666)</f>
        <v>45464.666666666599</v>
      </c>
      <c r="B1126" s="1">
        <f ca="1">IFERROR(__xludf.DUMMYFUNCTION("""COMPUTED_VALUE"""),207.49)</f>
        <v>207.49</v>
      </c>
      <c r="C1126" s="1">
        <f ca="1">IFERROR(__xludf.DUMMYFUNCTION("""COMPUTED_VALUE"""),449.78)</f>
        <v>449.78</v>
      </c>
      <c r="D1126" s="1">
        <f ca="1">IFERROR(__xludf.DUMMYFUNCTION("""COMPUTED_VALUE"""),189.08)</f>
        <v>189.08</v>
      </c>
      <c r="E1126" s="1">
        <f ca="1">IFERROR(__xludf.DUMMYFUNCTION("""COMPUTED_VALUE"""),126.57)</f>
        <v>126.57</v>
      </c>
      <c r="F1126" s="1">
        <f ca="1">IFERROR(__xludf.DUMMYFUNCTION("""COMPUTED_VALUE"""),494.78)</f>
        <v>494.78</v>
      </c>
      <c r="G1126" s="1">
        <f ca="1">IFERROR(__xludf.DUMMYFUNCTION("""COMPUTED_VALUE"""),180.26)</f>
        <v>180.26</v>
      </c>
      <c r="H1126" s="1">
        <f ca="1">IFERROR(__xludf.DUMMYFUNCTION("""COMPUTED_VALUE"""),183.01)</f>
        <v>183.01</v>
      </c>
      <c r="I1126" s="1">
        <f ca="1">IFERROR(__xludf.DUMMYFUNCTION("""COMPUTED_VALUE"""),167.28)</f>
        <v>167.28</v>
      </c>
      <c r="J1126" s="1">
        <f ca="1">IFERROR(__xludf.DUMMYFUNCTION("""COMPUTED_VALUE"""),848.31)</f>
        <v>848.31</v>
      </c>
      <c r="K1126" s="1">
        <f ca="1">IFERROR(__xludf.DUMMYFUNCTION("""COMPUTED_VALUE"""),165.86)</f>
        <v>165.86</v>
      </c>
      <c r="L1126" s="1">
        <f ca="1">IFERROR(__xludf.DUMMYFUNCTION("""COMPUTED_VALUE"""),533.44)</f>
        <v>533.44000000000005</v>
      </c>
      <c r="M1126" s="1">
        <f ca="1">IFERROR(__xludf.DUMMYFUNCTION("""COMPUTED_VALUE"""),686.12)</f>
        <v>686.12</v>
      </c>
      <c r="N1126" s="1">
        <f ca="1">IFERROR(__xludf.DUMMYFUNCTION("""COMPUTED_VALUE"""),196.3)</f>
        <v>196.3</v>
      </c>
      <c r="O1126" s="1">
        <f ca="1">IFERROR(__xludf.DUMMYFUNCTION("""COMPUTED_VALUE"""),275.22)</f>
        <v>275.22000000000003</v>
      </c>
      <c r="P1126" s="1">
        <f ca="1">IFERROR(__xludf.DUMMYFUNCTION("""COMPUTED_VALUE"""),148.75)</f>
        <v>148.75</v>
      </c>
      <c r="Q1126" s="1">
        <f ca="1">IFERROR(__xludf.DUMMYFUNCTION("""COMPUTED_VALUE"""),482.59)</f>
        <v>482.59</v>
      </c>
      <c r="R1126" s="1">
        <f ca="1">IFERROR(__xludf.DUMMYFUNCTION("""COMPUTED_VALUE"""),110.76)</f>
        <v>110.76</v>
      </c>
      <c r="S1126" s="1">
        <f ca="1">IFERROR(__xludf.DUMMYFUNCTION("""COMPUTED_VALUE"""),72.81)</f>
        <v>72.81</v>
      </c>
      <c r="T1126" s="1">
        <f ca="1">IFERROR(__xludf.DUMMYFUNCTION("""COMPUTED_VALUE"""),67.91)</f>
        <v>67.91</v>
      </c>
      <c r="U1126" s="1">
        <f ca="1">IFERROR(__xludf.DUMMYFUNCTION("""COMPUTED_VALUE"""),97.18)</f>
        <v>97.18</v>
      </c>
      <c r="V1126" s="1">
        <f ca="1">IFERROR(__xludf.DUMMYFUNCTION("""COMPUTED_VALUE"""),327.84)</f>
        <v>327.84</v>
      </c>
      <c r="W1126" s="1">
        <f ca="1">IFERROR(__xludf.DUMMYFUNCTION("""COMPUTED_VALUE"""),467.6)</f>
        <v>467.6</v>
      </c>
      <c r="X1126" s="1">
        <f ca="1">IFERROR(__xludf.DUMMYFUNCTION("""COMPUTED_VALUE"""),1036.6)</f>
        <v>1036.5999999999999</v>
      </c>
      <c r="Y1126" s="1">
        <f ca="1">IFERROR(__xludf.DUMMYFUNCTION("""COMPUTED_VALUE"""),173.96)</f>
        <v>173.96</v>
      </c>
      <c r="Z1126" s="1">
        <f ca="1">IFERROR(__xludf.DUMMYFUNCTION("""COMPUTED_VALUE"""),450.18)</f>
        <v>450.18</v>
      </c>
      <c r="AA1126" s="1">
        <f ca="1">IFERROR(__xludf.DUMMYFUNCTION("""COMPUTED_VALUE"""),27.74)</f>
        <v>27.74</v>
      </c>
      <c r="AB1126" s="1">
        <f ca="1">IFERROR(__xludf.DUMMYFUNCTION("""COMPUTED_VALUE"""),79.91)</f>
        <v>79.91</v>
      </c>
      <c r="AC1126" s="1">
        <f ca="1">IFERROR(__xludf.DUMMYFUNCTION("""COMPUTED_VALUE"""),161.23)</f>
        <v>161.22999999999999</v>
      </c>
    </row>
    <row r="1127" spans="1:29" x14ac:dyDescent="0.25">
      <c r="A1127" s="2">
        <f ca="1">IFERROR(__xludf.DUMMYFUNCTION("""COMPUTED_VALUE"""),45467.6666666666)</f>
        <v>45467.666666666599</v>
      </c>
      <c r="B1127" s="1">
        <f ca="1">IFERROR(__xludf.DUMMYFUNCTION("""COMPUTED_VALUE"""),208.14)</f>
        <v>208.14</v>
      </c>
      <c r="C1127" s="1">
        <f ca="1">IFERROR(__xludf.DUMMYFUNCTION("""COMPUTED_VALUE"""),447.67)</f>
        <v>447.67</v>
      </c>
      <c r="D1127" s="1">
        <f ca="1">IFERROR(__xludf.DUMMYFUNCTION("""COMPUTED_VALUE"""),185.57)</f>
        <v>185.57</v>
      </c>
      <c r="E1127" s="1">
        <f ca="1">IFERROR(__xludf.DUMMYFUNCTION("""COMPUTED_VALUE"""),118.11)</f>
        <v>118.11</v>
      </c>
      <c r="F1127" s="1">
        <f ca="1">IFERROR(__xludf.DUMMYFUNCTION("""COMPUTED_VALUE"""),498.91)</f>
        <v>498.91</v>
      </c>
      <c r="G1127" s="1">
        <f ca="1">IFERROR(__xludf.DUMMYFUNCTION("""COMPUTED_VALUE"""),180.79)</f>
        <v>180.79</v>
      </c>
      <c r="H1127" s="1">
        <f ca="1">IFERROR(__xludf.DUMMYFUNCTION("""COMPUTED_VALUE"""),182.58)</f>
        <v>182.58</v>
      </c>
      <c r="I1127" s="1">
        <f ca="1">IFERROR(__xludf.DUMMYFUNCTION("""COMPUTED_VALUE"""),168.08)</f>
        <v>168.08</v>
      </c>
      <c r="J1127" s="1">
        <f ca="1">IFERROR(__xludf.DUMMYFUNCTION("""COMPUTED_VALUE"""),848.16)</f>
        <v>848.16</v>
      </c>
      <c r="K1127" s="1">
        <f ca="1">IFERROR(__xludf.DUMMYFUNCTION("""COMPUTED_VALUE"""),159.22)</f>
        <v>159.22</v>
      </c>
      <c r="L1127" s="1">
        <f ca="1">IFERROR(__xludf.DUMMYFUNCTION("""COMPUTED_VALUE"""),524.17)</f>
        <v>524.16999999999996</v>
      </c>
      <c r="M1127" s="1">
        <f ca="1">IFERROR(__xludf.DUMMYFUNCTION("""COMPUTED_VALUE"""),669.02)</f>
        <v>669.02</v>
      </c>
      <c r="N1127" s="1">
        <f ca="1">IFERROR(__xludf.DUMMYFUNCTION("""COMPUTED_VALUE"""),198.88)</f>
        <v>198.88</v>
      </c>
      <c r="O1127" s="1">
        <f ca="1">IFERROR(__xludf.DUMMYFUNCTION("""COMPUTED_VALUE"""),276.3)</f>
        <v>276.3</v>
      </c>
      <c r="P1127" s="1">
        <f ca="1">IFERROR(__xludf.DUMMYFUNCTION("""COMPUTED_VALUE"""),149.12)</f>
        <v>149.12</v>
      </c>
      <c r="Q1127" s="1">
        <f ca="1">IFERROR(__xludf.DUMMYFUNCTION("""COMPUTED_VALUE"""),489.98)</f>
        <v>489.98</v>
      </c>
      <c r="R1127" s="1">
        <f ca="1">IFERROR(__xludf.DUMMYFUNCTION("""COMPUTED_VALUE"""),114.05)</f>
        <v>114.05</v>
      </c>
      <c r="S1127" s="1">
        <f ca="1">IFERROR(__xludf.DUMMYFUNCTION("""COMPUTED_VALUE"""),73.85)</f>
        <v>73.849999999999994</v>
      </c>
      <c r="T1127" s="1">
        <f ca="1">IFERROR(__xludf.DUMMYFUNCTION("""COMPUTED_VALUE"""),68.9)</f>
        <v>68.900000000000006</v>
      </c>
      <c r="U1127" s="1">
        <f ca="1">IFERROR(__xludf.DUMMYFUNCTION("""COMPUTED_VALUE"""),97.17)</f>
        <v>97.17</v>
      </c>
      <c r="V1127" s="1">
        <f ca="1">IFERROR(__xludf.DUMMYFUNCTION("""COMPUTED_VALUE"""),330)</f>
        <v>330</v>
      </c>
      <c r="W1127" s="1">
        <f ca="1">IFERROR(__xludf.DUMMYFUNCTION("""COMPUTED_VALUE"""),471.51)</f>
        <v>471.51</v>
      </c>
      <c r="X1127" s="1">
        <f ca="1">IFERROR(__xludf.DUMMYFUNCTION("""COMPUTED_VALUE"""),1002.01)</f>
        <v>1002.01</v>
      </c>
      <c r="Y1127" s="1">
        <f ca="1">IFERROR(__xludf.DUMMYFUNCTION("""COMPUTED_VALUE"""),167.81)</f>
        <v>167.81</v>
      </c>
      <c r="Z1127" s="1">
        <f ca="1">IFERROR(__xludf.DUMMYFUNCTION("""COMPUTED_VALUE"""),462.09)</f>
        <v>462.09</v>
      </c>
      <c r="AA1127" s="1">
        <f ca="1">IFERROR(__xludf.DUMMYFUNCTION("""COMPUTED_VALUE"""),28.36)</f>
        <v>28.36</v>
      </c>
      <c r="AB1127" s="1">
        <f ca="1">IFERROR(__xludf.DUMMYFUNCTION("""COMPUTED_VALUE"""),79.73)</f>
        <v>79.73</v>
      </c>
      <c r="AC1127" s="1">
        <f ca="1">IFERROR(__xludf.DUMMYFUNCTION("""COMPUTED_VALUE"""),160.25)</f>
        <v>160.25</v>
      </c>
    </row>
    <row r="1128" spans="1:29" x14ac:dyDescent="0.25">
      <c r="A1128" s="2">
        <f ca="1">IFERROR(__xludf.DUMMYFUNCTION("""COMPUTED_VALUE"""),45468.6666666666)</f>
        <v>45468.666666666599</v>
      </c>
      <c r="B1128" s="1">
        <f ca="1">IFERROR(__xludf.DUMMYFUNCTION("""COMPUTED_VALUE"""),209.07)</f>
        <v>209.07</v>
      </c>
      <c r="C1128" s="1">
        <f ca="1">IFERROR(__xludf.DUMMYFUNCTION("""COMPUTED_VALUE"""),450.95)</f>
        <v>450.95</v>
      </c>
      <c r="D1128" s="1">
        <f ca="1">IFERROR(__xludf.DUMMYFUNCTION("""COMPUTED_VALUE"""),186.34)</f>
        <v>186.34</v>
      </c>
      <c r="E1128" s="1">
        <f ca="1">IFERROR(__xludf.DUMMYFUNCTION("""COMPUTED_VALUE"""),126.09)</f>
        <v>126.09</v>
      </c>
      <c r="F1128" s="1">
        <f ca="1">IFERROR(__xludf.DUMMYFUNCTION("""COMPUTED_VALUE"""),510.6)</f>
        <v>510.6</v>
      </c>
      <c r="G1128" s="1">
        <f ca="1">IFERROR(__xludf.DUMMYFUNCTION("""COMPUTED_VALUE"""),185.58)</f>
        <v>185.58</v>
      </c>
      <c r="H1128" s="1">
        <f ca="1">IFERROR(__xludf.DUMMYFUNCTION("""COMPUTED_VALUE"""),187.35)</f>
        <v>187.35</v>
      </c>
      <c r="I1128" s="1">
        <f ca="1">IFERROR(__xludf.DUMMYFUNCTION("""COMPUTED_VALUE"""),167.35)</f>
        <v>167.35</v>
      </c>
      <c r="J1128" s="1">
        <f ca="1">IFERROR(__xludf.DUMMYFUNCTION("""COMPUTED_VALUE"""),855.51)</f>
        <v>855.51</v>
      </c>
      <c r="K1128" s="1">
        <f ca="1">IFERROR(__xludf.DUMMYFUNCTION("""COMPUTED_VALUE"""),158.08)</f>
        <v>158.08000000000001</v>
      </c>
      <c r="L1128" s="1">
        <f ca="1">IFERROR(__xludf.DUMMYFUNCTION("""COMPUTED_VALUE"""),526.88)</f>
        <v>526.88</v>
      </c>
      <c r="M1128" s="1">
        <f ca="1">IFERROR(__xludf.DUMMYFUNCTION("""COMPUTED_VALUE"""),672.41)</f>
        <v>672.41</v>
      </c>
      <c r="N1128" s="1">
        <f ca="1">IFERROR(__xludf.DUMMYFUNCTION("""COMPUTED_VALUE"""),198.07)</f>
        <v>198.07</v>
      </c>
      <c r="O1128" s="1">
        <f ca="1">IFERROR(__xludf.DUMMYFUNCTION("""COMPUTED_VALUE"""),273.53)</f>
        <v>273.52999999999997</v>
      </c>
      <c r="P1128" s="1">
        <f ca="1">IFERROR(__xludf.DUMMYFUNCTION("""COMPUTED_VALUE"""),147.19)</f>
        <v>147.19</v>
      </c>
      <c r="Q1128" s="1">
        <f ca="1">IFERROR(__xludf.DUMMYFUNCTION("""COMPUTED_VALUE"""),484.5)</f>
        <v>484.5</v>
      </c>
      <c r="R1128" s="1">
        <f ca="1">IFERROR(__xludf.DUMMYFUNCTION("""COMPUTED_VALUE"""),114.37)</f>
        <v>114.37</v>
      </c>
      <c r="S1128" s="1">
        <f ca="1">IFERROR(__xludf.DUMMYFUNCTION("""COMPUTED_VALUE"""),72.98)</f>
        <v>72.98</v>
      </c>
      <c r="T1128" s="1">
        <f ca="1">IFERROR(__xludf.DUMMYFUNCTION("""COMPUTED_VALUE"""),67.42)</f>
        <v>67.42</v>
      </c>
      <c r="U1128" s="1">
        <f ca="1">IFERROR(__xludf.DUMMYFUNCTION("""COMPUTED_VALUE"""),94.75)</f>
        <v>94.75</v>
      </c>
      <c r="V1128" s="1">
        <f ca="1">IFERROR(__xludf.DUMMYFUNCTION("""COMPUTED_VALUE"""),327.4)</f>
        <v>327.39999999999998</v>
      </c>
      <c r="W1128" s="1">
        <f ca="1">IFERROR(__xludf.DUMMYFUNCTION("""COMPUTED_VALUE"""),468.07)</f>
        <v>468.07</v>
      </c>
      <c r="X1128" s="1">
        <f ca="1">IFERROR(__xludf.DUMMYFUNCTION("""COMPUTED_VALUE"""),1023.34)</f>
        <v>1023.34</v>
      </c>
      <c r="Y1128" s="1">
        <f ca="1">IFERROR(__xludf.DUMMYFUNCTION("""COMPUTED_VALUE"""),172.6)</f>
        <v>172.6</v>
      </c>
      <c r="Z1128" s="1">
        <f ca="1">IFERROR(__xludf.DUMMYFUNCTION("""COMPUTED_VALUE"""),457.38)</f>
        <v>457.38</v>
      </c>
      <c r="AA1128" s="1">
        <f ca="1">IFERROR(__xludf.DUMMYFUNCTION("""COMPUTED_VALUE"""),27.99)</f>
        <v>27.99</v>
      </c>
      <c r="AB1128" s="1">
        <f ca="1">IFERROR(__xludf.DUMMYFUNCTION("""COMPUTED_VALUE"""),79.28)</f>
        <v>79.28</v>
      </c>
      <c r="AC1128" s="1">
        <f ca="1">IFERROR(__xludf.DUMMYFUNCTION("""COMPUTED_VALUE"""),160.25)</f>
        <v>160.25</v>
      </c>
    </row>
    <row r="1129" spans="1:29" x14ac:dyDescent="0.25">
      <c r="A1129" s="2">
        <f ca="1">IFERROR(__xludf.DUMMYFUNCTION("""COMPUTED_VALUE"""),45469.6666666666)</f>
        <v>45469.666666666599</v>
      </c>
      <c r="B1129" s="1">
        <f ca="1">IFERROR(__xludf.DUMMYFUNCTION("""COMPUTED_VALUE"""),213.25)</f>
        <v>213.25</v>
      </c>
      <c r="C1129" s="1">
        <f ca="1">IFERROR(__xludf.DUMMYFUNCTION("""COMPUTED_VALUE"""),452.16)</f>
        <v>452.16</v>
      </c>
      <c r="D1129" s="1">
        <f ca="1">IFERROR(__xludf.DUMMYFUNCTION("""COMPUTED_VALUE"""),193.61)</f>
        <v>193.61</v>
      </c>
      <c r="E1129" s="1">
        <f ca="1">IFERROR(__xludf.DUMMYFUNCTION("""COMPUTED_VALUE"""),126.4)</f>
        <v>126.4</v>
      </c>
      <c r="F1129" s="1">
        <f ca="1">IFERROR(__xludf.DUMMYFUNCTION("""COMPUTED_VALUE"""),513.12)</f>
        <v>513.12</v>
      </c>
      <c r="G1129" s="1">
        <f ca="1">IFERROR(__xludf.DUMMYFUNCTION("""COMPUTED_VALUE"""),185.37)</f>
        <v>185.37</v>
      </c>
      <c r="H1129" s="1">
        <f ca="1">IFERROR(__xludf.DUMMYFUNCTION("""COMPUTED_VALUE"""),196.37)</f>
        <v>196.37</v>
      </c>
      <c r="I1129" s="1">
        <f ca="1">IFERROR(__xludf.DUMMYFUNCTION("""COMPUTED_VALUE"""),166.74)</f>
        <v>166.74</v>
      </c>
      <c r="J1129" s="1">
        <f ca="1">IFERROR(__xludf.DUMMYFUNCTION("""COMPUTED_VALUE"""),856.84)</f>
        <v>856.84</v>
      </c>
      <c r="K1129" s="1">
        <f ca="1">IFERROR(__xludf.DUMMYFUNCTION("""COMPUTED_VALUE"""),159.2)</f>
        <v>159.19999999999999</v>
      </c>
      <c r="L1129" s="1">
        <f ca="1">IFERROR(__xludf.DUMMYFUNCTION("""COMPUTED_VALUE"""),528.66)</f>
        <v>528.66</v>
      </c>
      <c r="M1129" s="1">
        <f ca="1">IFERROR(__xludf.DUMMYFUNCTION("""COMPUTED_VALUE"""),677.69)</f>
        <v>677.69</v>
      </c>
      <c r="N1129" s="1">
        <f ca="1">IFERROR(__xludf.DUMMYFUNCTION("""COMPUTED_VALUE"""),197.43)</f>
        <v>197.43</v>
      </c>
      <c r="O1129" s="1">
        <f ca="1">IFERROR(__xludf.DUMMYFUNCTION("""COMPUTED_VALUE"""),273.6)</f>
        <v>273.60000000000002</v>
      </c>
      <c r="P1129" s="1">
        <f ca="1">IFERROR(__xludf.DUMMYFUNCTION("""COMPUTED_VALUE"""),146.82)</f>
        <v>146.82</v>
      </c>
      <c r="Q1129" s="1">
        <f ca="1">IFERROR(__xludf.DUMMYFUNCTION("""COMPUTED_VALUE"""),484.04)</f>
        <v>484.04</v>
      </c>
      <c r="R1129" s="1">
        <f ca="1">IFERROR(__xludf.DUMMYFUNCTION("""COMPUTED_VALUE"""),114.41)</f>
        <v>114.41</v>
      </c>
      <c r="S1129" s="1">
        <f ca="1">IFERROR(__xludf.DUMMYFUNCTION("""COMPUTED_VALUE"""),73.37)</f>
        <v>73.37</v>
      </c>
      <c r="T1129" s="1">
        <f ca="1">IFERROR(__xludf.DUMMYFUNCTION("""COMPUTED_VALUE"""),68.29)</f>
        <v>68.290000000000006</v>
      </c>
      <c r="U1129" s="1">
        <f ca="1">IFERROR(__xludf.DUMMYFUNCTION("""COMPUTED_VALUE"""),94.06)</f>
        <v>94.06</v>
      </c>
      <c r="V1129" s="1">
        <f ca="1">IFERROR(__xludf.DUMMYFUNCTION("""COMPUTED_VALUE"""),326.73)</f>
        <v>326.73</v>
      </c>
      <c r="W1129" s="1">
        <f ca="1">IFERROR(__xludf.DUMMYFUNCTION("""COMPUTED_VALUE"""),466.99)</f>
        <v>466.99</v>
      </c>
      <c r="X1129" s="1">
        <f ca="1">IFERROR(__xludf.DUMMYFUNCTION("""COMPUTED_VALUE"""),1016.6)</f>
        <v>1016.6</v>
      </c>
      <c r="Y1129" s="1">
        <f ca="1">IFERROR(__xludf.DUMMYFUNCTION("""COMPUTED_VALUE"""),172.07)</f>
        <v>172.07</v>
      </c>
      <c r="Z1129" s="1">
        <f ca="1">IFERROR(__xludf.DUMMYFUNCTION("""COMPUTED_VALUE"""),455.86)</f>
        <v>455.86</v>
      </c>
      <c r="AA1129" s="1">
        <f ca="1">IFERROR(__xludf.DUMMYFUNCTION("""COMPUTED_VALUE"""),27.42)</f>
        <v>27.42</v>
      </c>
      <c r="AB1129" s="1">
        <f ca="1">IFERROR(__xludf.DUMMYFUNCTION("""COMPUTED_VALUE"""),79.15)</f>
        <v>79.150000000000006</v>
      </c>
      <c r="AC1129" s="1">
        <f ca="1">IFERROR(__xludf.DUMMYFUNCTION("""COMPUTED_VALUE"""),157.54)</f>
        <v>157.54</v>
      </c>
    </row>
    <row r="1130" spans="1:29" x14ac:dyDescent="0.25">
      <c r="A1130" s="2">
        <f ca="1">IFERROR(__xludf.DUMMYFUNCTION("""COMPUTED_VALUE"""),45470.6666666666)</f>
        <v>45470.666666666599</v>
      </c>
      <c r="B1130" s="1">
        <f ca="1">IFERROR(__xludf.DUMMYFUNCTION("""COMPUTED_VALUE"""),214.1)</f>
        <v>214.1</v>
      </c>
      <c r="C1130" s="1">
        <f ca="1">IFERROR(__xludf.DUMMYFUNCTION("""COMPUTED_VALUE"""),452.85)</f>
        <v>452.85</v>
      </c>
      <c r="D1130" s="1">
        <f ca="1">IFERROR(__xludf.DUMMYFUNCTION("""COMPUTED_VALUE"""),197.85)</f>
        <v>197.85</v>
      </c>
      <c r="E1130" s="1">
        <f ca="1">IFERROR(__xludf.DUMMYFUNCTION("""COMPUTED_VALUE"""),123.99)</f>
        <v>123.99</v>
      </c>
      <c r="F1130" s="1">
        <f ca="1">IFERROR(__xludf.DUMMYFUNCTION("""COMPUTED_VALUE"""),519.56)</f>
        <v>519.55999999999995</v>
      </c>
      <c r="G1130" s="1">
        <f ca="1">IFERROR(__xludf.DUMMYFUNCTION("""COMPUTED_VALUE"""),186.86)</f>
        <v>186.86</v>
      </c>
      <c r="H1130" s="1">
        <f ca="1">IFERROR(__xludf.DUMMYFUNCTION("""COMPUTED_VALUE"""),197.42)</f>
        <v>197.42</v>
      </c>
      <c r="I1130" s="1">
        <f ca="1">IFERROR(__xludf.DUMMYFUNCTION("""COMPUTED_VALUE"""),166.26)</f>
        <v>166.26</v>
      </c>
      <c r="J1130" s="1">
        <f ca="1">IFERROR(__xludf.DUMMYFUNCTION("""COMPUTED_VALUE"""),850.62)</f>
        <v>850.62</v>
      </c>
      <c r="K1130" s="1">
        <f ca="1">IFERROR(__xludf.DUMMYFUNCTION("""COMPUTED_VALUE"""),158.67)</f>
        <v>158.66999999999999</v>
      </c>
      <c r="L1130" s="1">
        <f ca="1">IFERROR(__xludf.DUMMYFUNCTION("""COMPUTED_VALUE"""),546.76)</f>
        <v>546.76</v>
      </c>
      <c r="M1130" s="1">
        <f ca="1">IFERROR(__xludf.DUMMYFUNCTION("""COMPUTED_VALUE"""),684.34)</f>
        <v>684.34</v>
      </c>
      <c r="N1130" s="1">
        <f ca="1">IFERROR(__xludf.DUMMYFUNCTION("""COMPUTED_VALUE"""),199.17)</f>
        <v>199.17</v>
      </c>
      <c r="O1130" s="1">
        <f ca="1">IFERROR(__xludf.DUMMYFUNCTION("""COMPUTED_VALUE"""),266.59)</f>
        <v>266.58999999999997</v>
      </c>
      <c r="P1130" s="1">
        <f ca="1">IFERROR(__xludf.DUMMYFUNCTION("""COMPUTED_VALUE"""),145.8)</f>
        <v>145.80000000000001</v>
      </c>
      <c r="Q1130" s="1">
        <f ca="1">IFERROR(__xludf.DUMMYFUNCTION("""COMPUTED_VALUE"""),486.44)</f>
        <v>486.44</v>
      </c>
      <c r="R1130" s="1">
        <f ca="1">IFERROR(__xludf.DUMMYFUNCTION("""COMPUTED_VALUE"""),114.9)</f>
        <v>114.9</v>
      </c>
      <c r="S1130" s="1">
        <f ca="1">IFERROR(__xludf.DUMMYFUNCTION("""COMPUTED_VALUE"""),73.72)</f>
        <v>73.72</v>
      </c>
      <c r="T1130" s="1">
        <f ca="1">IFERROR(__xludf.DUMMYFUNCTION("""COMPUTED_VALUE"""),67.88)</f>
        <v>67.88</v>
      </c>
      <c r="U1130" s="1">
        <f ca="1">IFERROR(__xludf.DUMMYFUNCTION("""COMPUTED_VALUE"""),94.19)</f>
        <v>94.19</v>
      </c>
      <c r="V1130" s="1">
        <f ca="1">IFERROR(__xludf.DUMMYFUNCTION("""COMPUTED_VALUE"""),327.46)</f>
        <v>327.45999999999998</v>
      </c>
      <c r="W1130" s="1">
        <f ca="1">IFERROR(__xludf.DUMMYFUNCTION("""COMPUTED_VALUE"""),467.13)</f>
        <v>467.13</v>
      </c>
      <c r="X1130" s="1">
        <f ca="1">IFERROR(__xludf.DUMMYFUNCTION("""COMPUTED_VALUE"""),1028.01)</f>
        <v>1028.01</v>
      </c>
      <c r="Y1130" s="1">
        <f ca="1">IFERROR(__xludf.DUMMYFUNCTION("""COMPUTED_VALUE"""),171.63)</f>
        <v>171.63</v>
      </c>
      <c r="Z1130" s="1">
        <f ca="1">IFERROR(__xludf.DUMMYFUNCTION("""COMPUTED_VALUE"""),445.96)</f>
        <v>445.96</v>
      </c>
      <c r="AA1130" s="1">
        <f ca="1">IFERROR(__xludf.DUMMYFUNCTION("""COMPUTED_VALUE"""),27.8)</f>
        <v>27.8</v>
      </c>
      <c r="AB1130" s="1">
        <f ca="1">IFERROR(__xludf.DUMMYFUNCTION("""COMPUTED_VALUE"""),79.24)</f>
        <v>79.239999999999995</v>
      </c>
      <c r="AC1130" s="1">
        <f ca="1">IFERROR(__xludf.DUMMYFUNCTION("""COMPUTED_VALUE"""),159.47)</f>
        <v>159.47</v>
      </c>
    </row>
    <row r="1131" spans="1:29" x14ac:dyDescent="0.25">
      <c r="A1131" s="2">
        <f ca="1">IFERROR(__xludf.DUMMYFUNCTION("""COMPUTED_VALUE"""),45471.6666666666)</f>
        <v>45471.666666666599</v>
      </c>
      <c r="B1131" s="1">
        <f ca="1">IFERROR(__xludf.DUMMYFUNCTION("""COMPUTED_VALUE"""),210.62)</f>
        <v>210.62</v>
      </c>
      <c r="C1131" s="1">
        <f ca="1">IFERROR(__xludf.DUMMYFUNCTION("""COMPUTED_VALUE"""),446.95)</f>
        <v>446.95</v>
      </c>
      <c r="D1131" s="1">
        <f ca="1">IFERROR(__xludf.DUMMYFUNCTION("""COMPUTED_VALUE"""),193.25)</f>
        <v>193.25</v>
      </c>
      <c r="E1131" s="1">
        <f ca="1">IFERROR(__xludf.DUMMYFUNCTION("""COMPUTED_VALUE"""),123.54)</f>
        <v>123.54</v>
      </c>
      <c r="F1131" s="1">
        <f ca="1">IFERROR(__xludf.DUMMYFUNCTION("""COMPUTED_VALUE"""),504.22)</f>
        <v>504.22</v>
      </c>
      <c r="G1131" s="1">
        <f ca="1">IFERROR(__xludf.DUMMYFUNCTION("""COMPUTED_VALUE"""),183.42)</f>
        <v>183.42</v>
      </c>
      <c r="H1131" s="1">
        <f ca="1">IFERROR(__xludf.DUMMYFUNCTION("""COMPUTED_VALUE"""),197.88)</f>
        <v>197.88</v>
      </c>
      <c r="I1131" s="1">
        <f ca="1">IFERROR(__xludf.DUMMYFUNCTION("""COMPUTED_VALUE"""),164.93)</f>
        <v>164.93</v>
      </c>
      <c r="J1131" s="1">
        <f ca="1">IFERROR(__xludf.DUMMYFUNCTION("""COMPUTED_VALUE"""),849.99)</f>
        <v>849.99</v>
      </c>
      <c r="K1131" s="1">
        <f ca="1">IFERROR(__xludf.DUMMYFUNCTION("""COMPUTED_VALUE"""),160.55)</f>
        <v>160.55000000000001</v>
      </c>
      <c r="L1131" s="1">
        <f ca="1">IFERROR(__xludf.DUMMYFUNCTION("""COMPUTED_VALUE"""),555.54)</f>
        <v>555.54</v>
      </c>
      <c r="M1131" s="1">
        <f ca="1">IFERROR(__xludf.DUMMYFUNCTION("""COMPUTED_VALUE"""),674.88)</f>
        <v>674.88</v>
      </c>
      <c r="N1131" s="1">
        <f ca="1">IFERROR(__xludf.DUMMYFUNCTION("""COMPUTED_VALUE"""),202.26)</f>
        <v>202.26</v>
      </c>
      <c r="O1131" s="1">
        <f ca="1">IFERROR(__xludf.DUMMYFUNCTION("""COMPUTED_VALUE"""),262.47)</f>
        <v>262.47000000000003</v>
      </c>
      <c r="P1131" s="1">
        <f ca="1">IFERROR(__xludf.DUMMYFUNCTION("""COMPUTED_VALUE"""),146.16)</f>
        <v>146.16</v>
      </c>
      <c r="Q1131" s="1">
        <f ca="1">IFERROR(__xludf.DUMMYFUNCTION("""COMPUTED_VALUE"""),509.26)</f>
        <v>509.26</v>
      </c>
      <c r="R1131" s="1">
        <f ca="1">IFERROR(__xludf.DUMMYFUNCTION("""COMPUTED_VALUE"""),115.12)</f>
        <v>115.12</v>
      </c>
      <c r="S1131" s="1">
        <f ca="1">IFERROR(__xludf.DUMMYFUNCTION("""COMPUTED_VALUE"""),70.81)</f>
        <v>70.81</v>
      </c>
      <c r="T1131" s="1">
        <f ca="1">IFERROR(__xludf.DUMMYFUNCTION("""COMPUTED_VALUE"""),67.71)</f>
        <v>67.709999999999994</v>
      </c>
      <c r="U1131" s="1">
        <f ca="1">IFERROR(__xludf.DUMMYFUNCTION("""COMPUTED_VALUE"""),75.37)</f>
        <v>75.37</v>
      </c>
      <c r="V1131" s="1">
        <f ca="1">IFERROR(__xludf.DUMMYFUNCTION("""COMPUTED_VALUE"""),333.1)</f>
        <v>333.1</v>
      </c>
      <c r="W1131" s="1">
        <f ca="1">IFERROR(__xludf.DUMMYFUNCTION("""COMPUTED_VALUE"""),467.1)</f>
        <v>467.1</v>
      </c>
      <c r="X1131" s="1">
        <f ca="1">IFERROR(__xludf.DUMMYFUNCTION("""COMPUTED_VALUE"""),1022.73)</f>
        <v>1022.73</v>
      </c>
      <c r="Y1131" s="1">
        <f ca="1">IFERROR(__xludf.DUMMYFUNCTION("""COMPUTED_VALUE"""),173.81)</f>
        <v>173.81</v>
      </c>
      <c r="Z1131" s="1">
        <f ca="1">IFERROR(__xludf.DUMMYFUNCTION("""COMPUTED_VALUE"""),452.32)</f>
        <v>452.32</v>
      </c>
      <c r="AA1131" s="1">
        <f ca="1">IFERROR(__xludf.DUMMYFUNCTION("""COMPUTED_VALUE"""),27.98)</f>
        <v>27.98</v>
      </c>
      <c r="AB1131" s="1">
        <f ca="1">IFERROR(__xludf.DUMMYFUNCTION("""COMPUTED_VALUE"""),77.85)</f>
        <v>77.849999999999994</v>
      </c>
      <c r="AC1131" s="1">
        <f ca="1">IFERROR(__xludf.DUMMYFUNCTION("""COMPUTED_VALUE"""),162.21)</f>
        <v>162.21</v>
      </c>
    </row>
    <row r="1132" spans="1:29" x14ac:dyDescent="0.25">
      <c r="A1132" s="2">
        <f ca="1">IFERROR(__xludf.DUMMYFUNCTION("""COMPUTED_VALUE"""),45474.6666666666)</f>
        <v>45474.666666666599</v>
      </c>
      <c r="B1132" s="1">
        <f ca="1">IFERROR(__xludf.DUMMYFUNCTION("""COMPUTED_VALUE"""),216.75)</f>
        <v>216.75</v>
      </c>
      <c r="C1132" s="1">
        <f ca="1">IFERROR(__xludf.DUMMYFUNCTION("""COMPUTED_VALUE"""),456.73)</f>
        <v>456.73</v>
      </c>
      <c r="D1132" s="1">
        <f ca="1">IFERROR(__xludf.DUMMYFUNCTION("""COMPUTED_VALUE"""),197.2)</f>
        <v>197.2</v>
      </c>
      <c r="E1132" s="1">
        <f ca="1">IFERROR(__xludf.DUMMYFUNCTION("""COMPUTED_VALUE"""),124.3)</f>
        <v>124.3</v>
      </c>
      <c r="F1132" s="1">
        <f ca="1">IFERROR(__xludf.DUMMYFUNCTION("""COMPUTED_VALUE"""),504.68)</f>
        <v>504.68</v>
      </c>
      <c r="G1132" s="1">
        <f ca="1">IFERROR(__xludf.DUMMYFUNCTION("""COMPUTED_VALUE"""),184.49)</f>
        <v>184.49</v>
      </c>
      <c r="H1132" s="1">
        <f ca="1">IFERROR(__xludf.DUMMYFUNCTION("""COMPUTED_VALUE"""),209.86)</f>
        <v>209.86</v>
      </c>
      <c r="I1132" s="1">
        <f ca="1">IFERROR(__xludf.DUMMYFUNCTION("""COMPUTED_VALUE"""),162.89)</f>
        <v>162.88999999999999</v>
      </c>
      <c r="J1132" s="1">
        <f ca="1">IFERROR(__xludf.DUMMYFUNCTION("""COMPUTED_VALUE"""),845.67)</f>
        <v>845.67</v>
      </c>
      <c r="K1132" s="1">
        <f ca="1">IFERROR(__xludf.DUMMYFUNCTION("""COMPUTED_VALUE"""),164.08)</f>
        <v>164.08</v>
      </c>
      <c r="L1132" s="1">
        <f ca="1">IFERROR(__xludf.DUMMYFUNCTION("""COMPUTED_VALUE"""),560.01)</f>
        <v>560.01</v>
      </c>
      <c r="M1132" s="1">
        <f ca="1">IFERROR(__xludf.DUMMYFUNCTION("""COMPUTED_VALUE"""),673.61)</f>
        <v>673.61</v>
      </c>
      <c r="N1132" s="1">
        <f ca="1">IFERROR(__xludf.DUMMYFUNCTION("""COMPUTED_VALUE"""),205.45)</f>
        <v>205.45</v>
      </c>
      <c r="O1132" s="1">
        <f ca="1">IFERROR(__xludf.DUMMYFUNCTION("""COMPUTED_VALUE"""),263.24)</f>
        <v>263.24</v>
      </c>
      <c r="P1132" s="1">
        <f ca="1">IFERROR(__xludf.DUMMYFUNCTION("""COMPUTED_VALUE"""),146.44)</f>
        <v>146.44</v>
      </c>
      <c r="Q1132" s="1">
        <f ca="1">IFERROR(__xludf.DUMMYFUNCTION("""COMPUTED_VALUE"""),494.65)</f>
        <v>494.65</v>
      </c>
      <c r="R1132" s="1">
        <f ca="1">IFERROR(__xludf.DUMMYFUNCTION("""COMPUTED_VALUE"""),114.96)</f>
        <v>114.96</v>
      </c>
      <c r="S1132" s="1">
        <f ca="1">IFERROR(__xludf.DUMMYFUNCTION("""COMPUTED_VALUE"""),69.9)</f>
        <v>69.900000000000006</v>
      </c>
      <c r="T1132" s="1">
        <f ca="1">IFERROR(__xludf.DUMMYFUNCTION("""COMPUTED_VALUE"""),67.48)</f>
        <v>67.48</v>
      </c>
      <c r="U1132" s="1">
        <f ca="1">IFERROR(__xludf.DUMMYFUNCTION("""COMPUTED_VALUE"""),76.83)</f>
        <v>76.83</v>
      </c>
      <c r="V1132" s="1">
        <f ca="1">IFERROR(__xludf.DUMMYFUNCTION("""COMPUTED_VALUE"""),329.08)</f>
        <v>329.08</v>
      </c>
      <c r="W1132" s="1">
        <f ca="1">IFERROR(__xludf.DUMMYFUNCTION("""COMPUTED_VALUE"""),466.44)</f>
        <v>466.44</v>
      </c>
      <c r="X1132" s="1">
        <f ca="1">IFERROR(__xludf.DUMMYFUNCTION("""COMPUTED_VALUE"""),1033.49)</f>
        <v>1033.49</v>
      </c>
      <c r="Y1132" s="1">
        <f ca="1">IFERROR(__xludf.DUMMYFUNCTION("""COMPUTED_VALUE"""),172.33)</f>
        <v>172.33</v>
      </c>
      <c r="Z1132" s="1">
        <f ca="1">IFERROR(__xludf.DUMMYFUNCTION("""COMPUTED_VALUE"""),463.66)</f>
        <v>463.66</v>
      </c>
      <c r="AA1132" s="1">
        <f ca="1">IFERROR(__xludf.DUMMYFUNCTION("""COMPUTED_VALUE"""),28.22)</f>
        <v>28.22</v>
      </c>
      <c r="AB1132" s="1">
        <f ca="1">IFERROR(__xludf.DUMMYFUNCTION("""COMPUTED_VALUE"""),77.13)</f>
        <v>77.13</v>
      </c>
      <c r="AC1132" s="1">
        <f ca="1">IFERROR(__xludf.DUMMYFUNCTION("""COMPUTED_VALUE"""),157.69)</f>
        <v>157.69</v>
      </c>
    </row>
    <row r="1133" spans="1:29" x14ac:dyDescent="0.25">
      <c r="A1133" s="2">
        <f ca="1">IFERROR(__xludf.DUMMYFUNCTION("""COMPUTED_VALUE"""),45475.6666666666)</f>
        <v>45475.666666666599</v>
      </c>
      <c r="B1133" s="1">
        <f ca="1">IFERROR(__xludf.DUMMYFUNCTION("""COMPUTED_VALUE"""),220.27)</f>
        <v>220.27</v>
      </c>
      <c r="C1133" s="1">
        <f ca="1">IFERROR(__xludf.DUMMYFUNCTION("""COMPUTED_VALUE"""),459.28)</f>
        <v>459.28</v>
      </c>
      <c r="D1133" s="1">
        <f ca="1">IFERROR(__xludf.DUMMYFUNCTION("""COMPUTED_VALUE"""),200)</f>
        <v>200</v>
      </c>
      <c r="E1133" s="1">
        <f ca="1">IFERROR(__xludf.DUMMYFUNCTION("""COMPUTED_VALUE"""),122.67)</f>
        <v>122.67</v>
      </c>
      <c r="F1133" s="1">
        <f ca="1">IFERROR(__xludf.DUMMYFUNCTION("""COMPUTED_VALUE"""),509.5)</f>
        <v>509.5</v>
      </c>
      <c r="G1133" s="1">
        <f ca="1">IFERROR(__xludf.DUMMYFUNCTION("""COMPUTED_VALUE"""),186.61)</f>
        <v>186.61</v>
      </c>
      <c r="H1133" s="1">
        <f ca="1">IFERROR(__xludf.DUMMYFUNCTION("""COMPUTED_VALUE"""),231.26)</f>
        <v>231.26</v>
      </c>
      <c r="I1133" s="1">
        <f ca="1">IFERROR(__xludf.DUMMYFUNCTION("""COMPUTED_VALUE"""),163.58)</f>
        <v>163.58000000000001</v>
      </c>
      <c r="J1133" s="1">
        <f ca="1">IFERROR(__xludf.DUMMYFUNCTION("""COMPUTED_VALUE"""),859.36)</f>
        <v>859.36</v>
      </c>
      <c r="K1133" s="1">
        <f ca="1">IFERROR(__xludf.DUMMYFUNCTION("""COMPUTED_VALUE"""),165.75)</f>
        <v>165.75</v>
      </c>
      <c r="L1133" s="1">
        <f ca="1">IFERROR(__xludf.DUMMYFUNCTION("""COMPUTED_VALUE"""),567.71)</f>
        <v>567.71</v>
      </c>
      <c r="M1133" s="1">
        <f ca="1">IFERROR(__xludf.DUMMYFUNCTION("""COMPUTED_VALUE"""),679.58)</f>
        <v>679.58</v>
      </c>
      <c r="N1133" s="1">
        <f ca="1">IFERROR(__xludf.DUMMYFUNCTION("""COMPUTED_VALUE"""),208.83)</f>
        <v>208.83</v>
      </c>
      <c r="O1133" s="1">
        <f ca="1">IFERROR(__xludf.DUMMYFUNCTION("""COMPUTED_VALUE"""),268.23)</f>
        <v>268.23</v>
      </c>
      <c r="P1133" s="1">
        <f ca="1">IFERROR(__xludf.DUMMYFUNCTION("""COMPUTED_VALUE"""),146.03)</f>
        <v>146.03</v>
      </c>
      <c r="Q1133" s="1">
        <f ca="1">IFERROR(__xludf.DUMMYFUNCTION("""COMPUTED_VALUE"""),498.24)</f>
        <v>498.24</v>
      </c>
      <c r="R1133" s="1">
        <f ca="1">IFERROR(__xludf.DUMMYFUNCTION("""COMPUTED_VALUE"""),114.18)</f>
        <v>114.18</v>
      </c>
      <c r="S1133" s="1">
        <f ca="1">IFERROR(__xludf.DUMMYFUNCTION("""COMPUTED_VALUE"""),70.47)</f>
        <v>70.47</v>
      </c>
      <c r="T1133" s="1">
        <f ca="1">IFERROR(__xludf.DUMMYFUNCTION("""COMPUTED_VALUE"""),68.07)</f>
        <v>68.069999999999993</v>
      </c>
      <c r="U1133" s="1">
        <f ca="1">IFERROR(__xludf.DUMMYFUNCTION("""COMPUTED_VALUE"""),76.04)</f>
        <v>76.040000000000006</v>
      </c>
      <c r="V1133" s="1">
        <f ca="1">IFERROR(__xludf.DUMMYFUNCTION("""COMPUTED_VALUE"""),327.76)</f>
        <v>327.76</v>
      </c>
      <c r="W1133" s="1">
        <f ca="1">IFERROR(__xludf.DUMMYFUNCTION("""COMPUTED_VALUE"""),465.7)</f>
        <v>465.7</v>
      </c>
      <c r="X1133" s="1">
        <f ca="1">IFERROR(__xludf.DUMMYFUNCTION("""COMPUTED_VALUE"""),1047.89)</f>
        <v>1047.8900000000001</v>
      </c>
      <c r="Y1133" s="1">
        <f ca="1">IFERROR(__xludf.DUMMYFUNCTION("""COMPUTED_VALUE"""),175.7)</f>
        <v>175.7</v>
      </c>
      <c r="Z1133" s="1">
        <f ca="1">IFERROR(__xludf.DUMMYFUNCTION("""COMPUTED_VALUE"""),465.61)</f>
        <v>465.61</v>
      </c>
      <c r="AA1133" s="1">
        <f ca="1">IFERROR(__xludf.DUMMYFUNCTION("""COMPUTED_VALUE"""),27.83)</f>
        <v>27.83</v>
      </c>
      <c r="AB1133" s="1">
        <f ca="1">IFERROR(__xludf.DUMMYFUNCTION("""COMPUTED_VALUE"""),76.83)</f>
        <v>76.83</v>
      </c>
      <c r="AC1133" s="1">
        <f ca="1">IFERROR(__xludf.DUMMYFUNCTION("""COMPUTED_VALUE"""),164.31)</f>
        <v>164.31</v>
      </c>
    </row>
    <row r="1134" spans="1:29" x14ac:dyDescent="0.25">
      <c r="A1134" s="2">
        <f ca="1">IFERROR(__xludf.DUMMYFUNCTION("""COMPUTED_VALUE"""),45476.5451388888)</f>
        <v>45476.545138888803</v>
      </c>
      <c r="B1134" s="1">
        <f ca="1">IFERROR(__xludf.DUMMYFUNCTION("""COMPUTED_VALUE"""),221.55)</f>
        <v>221.55</v>
      </c>
      <c r="C1134" s="1">
        <f ca="1">IFERROR(__xludf.DUMMYFUNCTION("""COMPUTED_VALUE"""),460.77)</f>
        <v>460.77</v>
      </c>
      <c r="D1134" s="1">
        <f ca="1">IFERROR(__xludf.DUMMYFUNCTION("""COMPUTED_VALUE"""),197.59)</f>
        <v>197.59</v>
      </c>
      <c r="E1134" s="1">
        <f ca="1">IFERROR(__xludf.DUMMYFUNCTION("""COMPUTED_VALUE"""),128.28)</f>
        <v>128.28</v>
      </c>
      <c r="F1134" s="1">
        <f ca="1">IFERROR(__xludf.DUMMYFUNCTION("""COMPUTED_VALUE"""),509.96)</f>
        <v>509.96</v>
      </c>
      <c r="G1134" s="1">
        <f ca="1">IFERROR(__xludf.DUMMYFUNCTION("""COMPUTED_VALUE"""),187.39)</f>
        <v>187.39</v>
      </c>
      <c r="H1134" s="1">
        <f ca="1">IFERROR(__xludf.DUMMYFUNCTION("""COMPUTED_VALUE"""),246.39)</f>
        <v>246.39</v>
      </c>
      <c r="I1134" s="1">
        <f ca="1">IFERROR(__xludf.DUMMYFUNCTION("""COMPUTED_VALUE"""),162.6)</f>
        <v>162.6</v>
      </c>
      <c r="J1134" s="1">
        <f ca="1">IFERROR(__xludf.DUMMYFUNCTION("""COMPUTED_VALUE"""),862.66)</f>
        <v>862.66</v>
      </c>
      <c r="K1134" s="1">
        <f ca="1">IFERROR(__xludf.DUMMYFUNCTION("""COMPUTED_VALUE"""),172.92)</f>
        <v>172.92</v>
      </c>
      <c r="L1134" s="1">
        <f ca="1">IFERROR(__xludf.DUMMYFUNCTION("""COMPUTED_VALUE"""),570.15)</f>
        <v>570.15</v>
      </c>
      <c r="M1134" s="1">
        <f ca="1">IFERROR(__xludf.DUMMYFUNCTION("""COMPUTED_VALUE"""),682.51)</f>
        <v>682.51</v>
      </c>
      <c r="N1134" s="1">
        <f ca="1">IFERROR(__xludf.DUMMYFUNCTION("""COMPUTED_VALUE"""),208.69)</f>
        <v>208.69</v>
      </c>
      <c r="O1134" s="1">
        <f ca="1">IFERROR(__xludf.DUMMYFUNCTION("""COMPUTED_VALUE"""),268.99)</f>
        <v>268.99</v>
      </c>
      <c r="P1134" s="1">
        <f ca="1">IFERROR(__xludf.DUMMYFUNCTION("""COMPUTED_VALUE"""),145.69)</f>
        <v>145.69</v>
      </c>
      <c r="Q1134" s="1">
        <f ca="1">IFERROR(__xludf.DUMMYFUNCTION("""COMPUTED_VALUE"""),489.89)</f>
        <v>489.89</v>
      </c>
      <c r="R1134" s="1">
        <f ca="1">IFERROR(__xludf.DUMMYFUNCTION("""COMPUTED_VALUE"""),114.76)</f>
        <v>114.76</v>
      </c>
      <c r="S1134" s="1">
        <f ca="1">IFERROR(__xludf.DUMMYFUNCTION("""COMPUTED_VALUE"""),71.83)</f>
        <v>71.83</v>
      </c>
      <c r="T1134" s="1">
        <f ca="1">IFERROR(__xludf.DUMMYFUNCTION("""COMPUTED_VALUE"""),68.24)</f>
        <v>68.239999999999995</v>
      </c>
      <c r="U1134" s="1">
        <f ca="1">IFERROR(__xludf.DUMMYFUNCTION("""COMPUTED_VALUE"""),75.24)</f>
        <v>75.239999999999995</v>
      </c>
      <c r="V1134" s="1">
        <f ca="1">IFERROR(__xludf.DUMMYFUNCTION("""COMPUTED_VALUE"""),330.61)</f>
        <v>330.61</v>
      </c>
      <c r="W1134" s="1">
        <f ca="1">IFERROR(__xludf.DUMMYFUNCTION("""COMPUTED_VALUE"""),466.03)</f>
        <v>466.03</v>
      </c>
      <c r="X1134" s="1">
        <f ca="1">IFERROR(__xludf.DUMMYFUNCTION("""COMPUTED_VALUE"""),1071.41)</f>
        <v>1071.4100000000001</v>
      </c>
      <c r="Y1134" s="1">
        <f ca="1">IFERROR(__xludf.DUMMYFUNCTION("""COMPUTED_VALUE"""),182.49)</f>
        <v>182.49</v>
      </c>
      <c r="Z1134" s="1">
        <f ca="1">IFERROR(__xludf.DUMMYFUNCTION("""COMPUTED_VALUE"""),467.92)</f>
        <v>467.92</v>
      </c>
      <c r="AA1134" s="1">
        <f ca="1">IFERROR(__xludf.DUMMYFUNCTION("""COMPUTED_VALUE"""),27.7)</f>
        <v>27.7</v>
      </c>
      <c r="AB1134" s="1">
        <f ca="1">IFERROR(__xludf.DUMMYFUNCTION("""COMPUTED_VALUE"""),76.26)</f>
        <v>76.260000000000005</v>
      </c>
      <c r="AC1134" s="1">
        <f ca="1">IFERROR(__xludf.DUMMYFUNCTION("""COMPUTED_VALUE"""),163.9)</f>
        <v>163.9</v>
      </c>
    </row>
    <row r="1135" spans="1:29" x14ac:dyDescent="0.25">
      <c r="A1135" s="2">
        <f ca="1">IFERROR(__xludf.DUMMYFUNCTION("""COMPUTED_VALUE"""),45478.6666666666)</f>
        <v>45478.666666666599</v>
      </c>
      <c r="B1135" s="1">
        <f ca="1">IFERROR(__xludf.DUMMYFUNCTION("""COMPUTED_VALUE"""),226.34)</f>
        <v>226.34</v>
      </c>
      <c r="C1135" s="1">
        <f ca="1">IFERROR(__xludf.DUMMYFUNCTION("""COMPUTED_VALUE"""),467.56)</f>
        <v>467.56</v>
      </c>
      <c r="D1135" s="1">
        <f ca="1">IFERROR(__xludf.DUMMYFUNCTION("""COMPUTED_VALUE"""),200)</f>
        <v>200</v>
      </c>
      <c r="E1135" s="1">
        <f ca="1">IFERROR(__xludf.DUMMYFUNCTION("""COMPUTED_VALUE"""),125.83)</f>
        <v>125.83</v>
      </c>
      <c r="F1135" s="1">
        <f ca="1">IFERROR(__xludf.DUMMYFUNCTION("""COMPUTED_VALUE"""),539.91)</f>
        <v>539.91</v>
      </c>
      <c r="G1135" s="1">
        <f ca="1">IFERROR(__xludf.DUMMYFUNCTION("""COMPUTED_VALUE"""),191.96)</f>
        <v>191.96</v>
      </c>
      <c r="H1135" s="1">
        <f ca="1">IFERROR(__xludf.DUMMYFUNCTION("""COMPUTED_VALUE"""),251.52)</f>
        <v>251.52</v>
      </c>
      <c r="I1135" s="1">
        <f ca="1">IFERROR(__xludf.DUMMYFUNCTION("""COMPUTED_VALUE"""),164.39)</f>
        <v>164.39</v>
      </c>
      <c r="J1135" s="1">
        <f ca="1">IFERROR(__xludf.DUMMYFUNCTION("""COMPUTED_VALUE"""),885.67)</f>
        <v>885.67</v>
      </c>
      <c r="K1135" s="1">
        <f ca="1">IFERROR(__xludf.DUMMYFUNCTION("""COMPUTED_VALUE"""),170.33)</f>
        <v>170.33</v>
      </c>
      <c r="L1135" s="1">
        <f ca="1">IFERROR(__xludf.DUMMYFUNCTION("""COMPUTED_VALUE"""),578.34)</f>
        <v>578.34</v>
      </c>
      <c r="M1135" s="1">
        <f ca="1">IFERROR(__xludf.DUMMYFUNCTION("""COMPUTED_VALUE"""),690.65)</f>
        <v>690.65</v>
      </c>
      <c r="N1135" s="1">
        <f ca="1">IFERROR(__xludf.DUMMYFUNCTION("""COMPUTED_VALUE"""),204.79)</f>
        <v>204.79</v>
      </c>
      <c r="O1135" s="1">
        <f ca="1">IFERROR(__xludf.DUMMYFUNCTION("""COMPUTED_VALUE"""),270.36)</f>
        <v>270.36</v>
      </c>
      <c r="P1135" s="1">
        <f ca="1">IFERROR(__xludf.DUMMYFUNCTION("""COMPUTED_VALUE"""),146.48)</f>
        <v>146.47999999999999</v>
      </c>
      <c r="Q1135" s="1">
        <f ca="1">IFERROR(__xludf.DUMMYFUNCTION("""COMPUTED_VALUE"""),488.01)</f>
        <v>488.01</v>
      </c>
      <c r="R1135" s="1">
        <f ca="1">IFERROR(__xludf.DUMMYFUNCTION("""COMPUTED_VALUE"""),113.37)</f>
        <v>113.37</v>
      </c>
      <c r="S1135" s="1">
        <f ca="1">IFERROR(__xludf.DUMMYFUNCTION("""COMPUTED_VALUE"""),72.09)</f>
        <v>72.09</v>
      </c>
      <c r="T1135" s="1">
        <f ca="1">IFERROR(__xludf.DUMMYFUNCTION("""COMPUTED_VALUE"""),70.04)</f>
        <v>70.040000000000006</v>
      </c>
      <c r="U1135" s="1">
        <f ca="1">IFERROR(__xludf.DUMMYFUNCTION("""COMPUTED_VALUE"""),75.43)</f>
        <v>75.430000000000007</v>
      </c>
      <c r="V1135" s="1">
        <f ca="1">IFERROR(__xludf.DUMMYFUNCTION("""COMPUTED_VALUE"""),328.35)</f>
        <v>328.35</v>
      </c>
      <c r="W1135" s="1">
        <f ca="1">IFERROR(__xludf.DUMMYFUNCTION("""COMPUTED_VALUE"""),462.16)</f>
        <v>462.16</v>
      </c>
      <c r="X1135" s="1">
        <f ca="1">IFERROR(__xludf.DUMMYFUNCTION("""COMPUTED_VALUE"""),1074.48)</f>
        <v>1074.48</v>
      </c>
      <c r="Y1135" s="1">
        <f ca="1">IFERROR(__xludf.DUMMYFUNCTION("""COMPUTED_VALUE"""),183.99)</f>
        <v>183.99</v>
      </c>
      <c r="Z1135" s="1">
        <f ca="1">IFERROR(__xludf.DUMMYFUNCTION("""COMPUTED_VALUE"""),464.75)</f>
        <v>464.75</v>
      </c>
      <c r="AA1135" s="1">
        <f ca="1">IFERROR(__xludf.DUMMYFUNCTION("""COMPUTED_VALUE"""),28.05)</f>
        <v>28.05</v>
      </c>
      <c r="AB1135" s="1">
        <f ca="1">IFERROR(__xludf.DUMMYFUNCTION("""COMPUTED_VALUE"""),76.05)</f>
        <v>76.05</v>
      </c>
      <c r="AC1135" s="1">
        <f ca="1">IFERROR(__xludf.DUMMYFUNCTION("""COMPUTED_VALUE"""),171.9)</f>
        <v>171.9</v>
      </c>
    </row>
    <row r="1136" spans="1:29" x14ac:dyDescent="0.25">
      <c r="A1136" s="2">
        <f ca="1">IFERROR(__xludf.DUMMYFUNCTION("""COMPUTED_VALUE"""),45481.6666666666)</f>
        <v>45481.666666666599</v>
      </c>
      <c r="B1136" s="1">
        <f ca="1">IFERROR(__xludf.DUMMYFUNCTION("""COMPUTED_VALUE"""),227.82)</f>
        <v>227.82</v>
      </c>
      <c r="C1136" s="1">
        <f ca="1">IFERROR(__xludf.DUMMYFUNCTION("""COMPUTED_VALUE"""),466.24)</f>
        <v>466.24</v>
      </c>
      <c r="D1136" s="1">
        <f ca="1">IFERROR(__xludf.DUMMYFUNCTION("""COMPUTED_VALUE"""),199.29)</f>
        <v>199.29</v>
      </c>
      <c r="E1136" s="1">
        <f ca="1">IFERROR(__xludf.DUMMYFUNCTION("""COMPUTED_VALUE"""),128.2)</f>
        <v>128.19999999999999</v>
      </c>
      <c r="F1136" s="1">
        <f ca="1">IFERROR(__xludf.DUMMYFUNCTION("""COMPUTED_VALUE"""),529.32)</f>
        <v>529.32000000000005</v>
      </c>
      <c r="G1136" s="1">
        <f ca="1">IFERROR(__xludf.DUMMYFUNCTION("""COMPUTED_VALUE"""),190.48)</f>
        <v>190.48</v>
      </c>
      <c r="H1136" s="1">
        <f ca="1">IFERROR(__xludf.DUMMYFUNCTION("""COMPUTED_VALUE"""),252.94)</f>
        <v>252.94</v>
      </c>
      <c r="I1136" s="1">
        <f ca="1">IFERROR(__xludf.DUMMYFUNCTION("""COMPUTED_VALUE"""),162.12)</f>
        <v>162.12</v>
      </c>
      <c r="J1136" s="1">
        <f ca="1">IFERROR(__xludf.DUMMYFUNCTION("""COMPUTED_VALUE"""),880.84)</f>
        <v>880.84</v>
      </c>
      <c r="K1136" s="1">
        <f ca="1">IFERROR(__xludf.DUMMYFUNCTION("""COMPUTED_VALUE"""),174.59)</f>
        <v>174.59</v>
      </c>
      <c r="L1136" s="1">
        <f ca="1">IFERROR(__xludf.DUMMYFUNCTION("""COMPUTED_VALUE"""),575.4)</f>
        <v>575.4</v>
      </c>
      <c r="M1136" s="1">
        <f ca="1">IFERROR(__xludf.DUMMYFUNCTION("""COMPUTED_VALUE"""),685.74)</f>
        <v>685.74</v>
      </c>
      <c r="N1136" s="1">
        <f ca="1">IFERROR(__xludf.DUMMYFUNCTION("""COMPUTED_VALUE"""),205.17)</f>
        <v>205.17</v>
      </c>
      <c r="O1136" s="1">
        <f ca="1">IFERROR(__xludf.DUMMYFUNCTION("""COMPUTED_VALUE"""),266.4)</f>
        <v>266.39999999999998</v>
      </c>
      <c r="P1136" s="1">
        <f ca="1">IFERROR(__xludf.DUMMYFUNCTION("""COMPUTED_VALUE"""),145.48)</f>
        <v>145.47999999999999</v>
      </c>
      <c r="Q1136" s="1">
        <f ca="1">IFERROR(__xludf.DUMMYFUNCTION("""COMPUTED_VALUE"""),489.34)</f>
        <v>489.34</v>
      </c>
      <c r="R1136" s="1">
        <f ca="1">IFERROR(__xludf.DUMMYFUNCTION("""COMPUTED_VALUE"""),112.18)</f>
        <v>112.18</v>
      </c>
      <c r="S1136" s="1">
        <f ca="1">IFERROR(__xludf.DUMMYFUNCTION("""COMPUTED_VALUE"""),72.11)</f>
        <v>72.11</v>
      </c>
      <c r="T1136" s="1">
        <f ca="1">IFERROR(__xludf.DUMMYFUNCTION("""COMPUTED_VALUE"""),69.68)</f>
        <v>69.680000000000007</v>
      </c>
      <c r="U1136" s="1">
        <f ca="1">IFERROR(__xludf.DUMMYFUNCTION("""COMPUTED_VALUE"""),73.05)</f>
        <v>73.05</v>
      </c>
      <c r="V1136" s="1">
        <f ca="1">IFERROR(__xludf.DUMMYFUNCTION("""COMPUTED_VALUE"""),329.06)</f>
        <v>329.06</v>
      </c>
      <c r="W1136" s="1">
        <f ca="1">IFERROR(__xludf.DUMMYFUNCTION("""COMPUTED_VALUE"""),461.76)</f>
        <v>461.76</v>
      </c>
      <c r="X1136" s="1">
        <f ca="1">IFERROR(__xludf.DUMMYFUNCTION("""COMPUTED_VALUE"""),1077.39)</f>
        <v>1077.3900000000001</v>
      </c>
      <c r="Y1136" s="1">
        <f ca="1">IFERROR(__xludf.DUMMYFUNCTION("""COMPUTED_VALUE"""),186.63)</f>
        <v>186.63</v>
      </c>
      <c r="Z1136" s="1">
        <f ca="1">IFERROR(__xludf.DUMMYFUNCTION("""COMPUTED_VALUE"""),464.82)</f>
        <v>464.82</v>
      </c>
      <c r="AA1136" s="1">
        <f ca="1">IFERROR(__xludf.DUMMYFUNCTION("""COMPUTED_VALUE"""),27.93)</f>
        <v>27.93</v>
      </c>
      <c r="AB1136" s="1">
        <f ca="1">IFERROR(__xludf.DUMMYFUNCTION("""COMPUTED_VALUE"""),74.57)</f>
        <v>74.569999999999993</v>
      </c>
      <c r="AC1136" s="1">
        <f ca="1">IFERROR(__xludf.DUMMYFUNCTION("""COMPUTED_VALUE"""),178.69)</f>
        <v>178.69</v>
      </c>
    </row>
    <row r="1137" spans="1:29" x14ac:dyDescent="0.25">
      <c r="A1137" s="2">
        <f ca="1">IFERROR(__xludf.DUMMYFUNCTION("""COMPUTED_VALUE"""),45482.6666666666)</f>
        <v>45482.666666666599</v>
      </c>
      <c r="B1137" s="1">
        <f ca="1">IFERROR(__xludf.DUMMYFUNCTION("""COMPUTED_VALUE"""),228.68)</f>
        <v>228.68</v>
      </c>
      <c r="C1137" s="1">
        <f ca="1">IFERROR(__xludf.DUMMYFUNCTION("""COMPUTED_VALUE"""),459.54)</f>
        <v>459.54</v>
      </c>
      <c r="D1137" s="1">
        <f ca="1">IFERROR(__xludf.DUMMYFUNCTION("""COMPUTED_VALUE"""),199.34)</f>
        <v>199.34</v>
      </c>
      <c r="E1137" s="1">
        <f ca="1">IFERROR(__xludf.DUMMYFUNCTION("""COMPUTED_VALUE"""),131.38)</f>
        <v>131.38</v>
      </c>
      <c r="F1137" s="1">
        <f ca="1">IFERROR(__xludf.DUMMYFUNCTION("""COMPUTED_VALUE"""),530)</f>
        <v>530</v>
      </c>
      <c r="G1137" s="1">
        <f ca="1">IFERROR(__xludf.DUMMYFUNCTION("""COMPUTED_VALUE"""),190.44)</f>
        <v>190.44</v>
      </c>
      <c r="H1137" s="1">
        <f ca="1">IFERROR(__xludf.DUMMYFUNCTION("""COMPUTED_VALUE"""),262.33)</f>
        <v>262.33</v>
      </c>
      <c r="I1137" s="1">
        <f ca="1">IFERROR(__xludf.DUMMYFUNCTION("""COMPUTED_VALUE"""),161.9)</f>
        <v>161.9</v>
      </c>
      <c r="J1137" s="1">
        <f ca="1">IFERROR(__xludf.DUMMYFUNCTION("""COMPUTED_VALUE"""),886.85)</f>
        <v>886.85</v>
      </c>
      <c r="K1137" s="1">
        <f ca="1">IFERROR(__xludf.DUMMYFUNCTION("""COMPUTED_VALUE"""),173.33)</f>
        <v>173.33</v>
      </c>
      <c r="L1137" s="1">
        <f ca="1">IFERROR(__xludf.DUMMYFUNCTION("""COMPUTED_VALUE"""),566.02)</f>
        <v>566.02</v>
      </c>
      <c r="M1137" s="1">
        <f ca="1">IFERROR(__xludf.DUMMYFUNCTION("""COMPUTED_VALUE"""),685.74)</f>
        <v>685.74</v>
      </c>
      <c r="N1137" s="1">
        <f ca="1">IFERROR(__xludf.DUMMYFUNCTION("""COMPUTED_VALUE"""),207.63)</f>
        <v>207.63</v>
      </c>
      <c r="O1137" s="1">
        <f ca="1">IFERROR(__xludf.DUMMYFUNCTION("""COMPUTED_VALUE"""),265.44)</f>
        <v>265.44</v>
      </c>
      <c r="P1137" s="1">
        <f ca="1">IFERROR(__xludf.DUMMYFUNCTION("""COMPUTED_VALUE"""),147.05)</f>
        <v>147.05000000000001</v>
      </c>
      <c r="Q1137" s="1">
        <f ca="1">IFERROR(__xludf.DUMMYFUNCTION("""COMPUTED_VALUE"""),492.11)</f>
        <v>492.11</v>
      </c>
      <c r="R1137" s="1">
        <f ca="1">IFERROR(__xludf.DUMMYFUNCTION("""COMPUTED_VALUE"""),110.94)</f>
        <v>110.94</v>
      </c>
      <c r="S1137" s="1">
        <f ca="1">IFERROR(__xludf.DUMMYFUNCTION("""COMPUTED_VALUE"""),72.12)</f>
        <v>72.12</v>
      </c>
      <c r="T1137" s="1">
        <f ca="1">IFERROR(__xludf.DUMMYFUNCTION("""COMPUTED_VALUE"""),69.9)</f>
        <v>69.900000000000006</v>
      </c>
      <c r="U1137" s="1">
        <f ca="1">IFERROR(__xludf.DUMMYFUNCTION("""COMPUTED_VALUE"""),72.46)</f>
        <v>72.459999999999994</v>
      </c>
      <c r="V1137" s="1">
        <f ca="1">IFERROR(__xludf.DUMMYFUNCTION("""COMPUTED_VALUE"""),326.06)</f>
        <v>326.06</v>
      </c>
      <c r="W1137" s="1">
        <f ca="1">IFERROR(__xludf.DUMMYFUNCTION("""COMPUTED_VALUE"""),460.3)</f>
        <v>460.3</v>
      </c>
      <c r="X1137" s="1">
        <f ca="1">IFERROR(__xludf.DUMMYFUNCTION("""COMPUTED_VALUE"""),1059.97)</f>
        <v>1059.97</v>
      </c>
      <c r="Y1137" s="1">
        <f ca="1">IFERROR(__xludf.DUMMYFUNCTION("""COMPUTED_VALUE"""),184.52)</f>
        <v>184.52</v>
      </c>
      <c r="Z1137" s="1">
        <f ca="1">IFERROR(__xludf.DUMMYFUNCTION("""COMPUTED_VALUE"""),472.83)</f>
        <v>472.83</v>
      </c>
      <c r="AA1137" s="1">
        <f ca="1">IFERROR(__xludf.DUMMYFUNCTION("""COMPUTED_VALUE"""),27.72)</f>
        <v>27.72</v>
      </c>
      <c r="AB1137" s="1">
        <f ca="1">IFERROR(__xludf.DUMMYFUNCTION("""COMPUTED_VALUE"""),72.75)</f>
        <v>72.75</v>
      </c>
      <c r="AC1137" s="1">
        <f ca="1">IFERROR(__xludf.DUMMYFUNCTION("""COMPUTED_VALUE"""),177.1)</f>
        <v>177.1</v>
      </c>
    </row>
    <row r="1138" spans="1:29" x14ac:dyDescent="0.25">
      <c r="A1138" s="2">
        <f ca="1">IFERROR(__xludf.DUMMYFUNCTION("""COMPUTED_VALUE"""),45483.6666666666)</f>
        <v>45483.666666666599</v>
      </c>
      <c r="B1138" s="1">
        <f ca="1">IFERROR(__xludf.DUMMYFUNCTION("""COMPUTED_VALUE"""),232.98)</f>
        <v>232.98</v>
      </c>
      <c r="C1138" s="1">
        <f ca="1">IFERROR(__xludf.DUMMYFUNCTION("""COMPUTED_VALUE"""),466.25)</f>
        <v>466.25</v>
      </c>
      <c r="D1138" s="1">
        <f ca="1">IFERROR(__xludf.DUMMYFUNCTION("""COMPUTED_VALUE"""),199.79)</f>
        <v>199.79</v>
      </c>
      <c r="E1138" s="1">
        <f ca="1">IFERROR(__xludf.DUMMYFUNCTION("""COMPUTED_VALUE"""),134.91)</f>
        <v>134.91</v>
      </c>
      <c r="F1138" s="1">
        <f ca="1">IFERROR(__xludf.DUMMYFUNCTION("""COMPUTED_VALUE"""),534.69)</f>
        <v>534.69000000000005</v>
      </c>
      <c r="G1138" s="1">
        <f ca="1">IFERROR(__xludf.DUMMYFUNCTION("""COMPUTED_VALUE"""),192.66)</f>
        <v>192.66</v>
      </c>
      <c r="H1138" s="1">
        <f ca="1">IFERROR(__xludf.DUMMYFUNCTION("""COMPUTED_VALUE"""),263.26)</f>
        <v>263.26</v>
      </c>
      <c r="I1138" s="1">
        <f ca="1">IFERROR(__xludf.DUMMYFUNCTION("""COMPUTED_VALUE"""),163.59)</f>
        <v>163.59</v>
      </c>
      <c r="J1138" s="1">
        <f ca="1">IFERROR(__xludf.DUMMYFUNCTION("""COMPUTED_VALUE"""),884.31)</f>
        <v>884.31</v>
      </c>
      <c r="K1138" s="1">
        <f ca="1">IFERROR(__xludf.DUMMYFUNCTION("""COMPUTED_VALUE"""),174.47)</f>
        <v>174.47</v>
      </c>
      <c r="L1138" s="1">
        <f ca="1">IFERROR(__xludf.DUMMYFUNCTION("""COMPUTED_VALUE"""),564.55)</f>
        <v>564.54999999999995</v>
      </c>
      <c r="M1138" s="1">
        <f ca="1">IFERROR(__xludf.DUMMYFUNCTION("""COMPUTED_VALUE"""),677.65)</f>
        <v>677.65</v>
      </c>
      <c r="N1138" s="1">
        <f ca="1">IFERROR(__xludf.DUMMYFUNCTION("""COMPUTED_VALUE"""),207.8)</f>
        <v>207.8</v>
      </c>
      <c r="O1138" s="1">
        <f ca="1">IFERROR(__xludf.DUMMYFUNCTION("""COMPUTED_VALUE"""),263)</f>
        <v>263</v>
      </c>
      <c r="P1138" s="1">
        <f ca="1">IFERROR(__xludf.DUMMYFUNCTION("""COMPUTED_VALUE"""),149.43)</f>
        <v>149.43</v>
      </c>
      <c r="Q1138" s="1">
        <f ca="1">IFERROR(__xludf.DUMMYFUNCTION("""COMPUTED_VALUE"""),500.93)</f>
        <v>500.93</v>
      </c>
      <c r="R1138" s="1">
        <f ca="1">IFERROR(__xludf.DUMMYFUNCTION("""COMPUTED_VALUE"""),111.92)</f>
        <v>111.92</v>
      </c>
      <c r="S1138" s="1">
        <f ca="1">IFERROR(__xludf.DUMMYFUNCTION("""COMPUTED_VALUE"""),72.9)</f>
        <v>72.900000000000006</v>
      </c>
      <c r="T1138" s="1">
        <f ca="1">IFERROR(__xludf.DUMMYFUNCTION("""COMPUTED_VALUE"""),70.41)</f>
        <v>70.41</v>
      </c>
      <c r="U1138" s="1">
        <f ca="1">IFERROR(__xludf.DUMMYFUNCTION("""COMPUTED_VALUE"""),72.54)</f>
        <v>72.540000000000006</v>
      </c>
      <c r="V1138" s="1">
        <f ca="1">IFERROR(__xludf.DUMMYFUNCTION("""COMPUTED_VALUE"""),328.48)</f>
        <v>328.48</v>
      </c>
      <c r="W1138" s="1">
        <f ca="1">IFERROR(__xludf.DUMMYFUNCTION("""COMPUTED_VALUE"""),461.01)</f>
        <v>461.01</v>
      </c>
      <c r="X1138" s="1">
        <f ca="1">IFERROR(__xludf.DUMMYFUNCTION("""COMPUTED_VALUE"""),1098.95)</f>
        <v>1098.95</v>
      </c>
      <c r="Y1138" s="1">
        <f ca="1">IFERROR(__xludf.DUMMYFUNCTION("""COMPUTED_VALUE"""),191.05)</f>
        <v>191.05</v>
      </c>
      <c r="Z1138" s="1">
        <f ca="1">IFERROR(__xludf.DUMMYFUNCTION("""COMPUTED_VALUE"""),478.89)</f>
        <v>478.89</v>
      </c>
      <c r="AA1138" s="1">
        <f ca="1">IFERROR(__xludf.DUMMYFUNCTION("""COMPUTED_VALUE"""),28.35)</f>
        <v>28.35</v>
      </c>
      <c r="AB1138" s="1">
        <f ca="1">IFERROR(__xludf.DUMMYFUNCTION("""COMPUTED_VALUE"""),72.51)</f>
        <v>72.510000000000005</v>
      </c>
      <c r="AC1138" s="1">
        <f ca="1">IFERROR(__xludf.DUMMYFUNCTION("""COMPUTED_VALUE"""),183.96)</f>
        <v>183.96</v>
      </c>
    </row>
    <row r="1139" spans="1:29" x14ac:dyDescent="0.25">
      <c r="A1139" s="2">
        <f ca="1">IFERROR(__xludf.DUMMYFUNCTION("""COMPUTED_VALUE"""),45484.6666666666)</f>
        <v>45484.666666666599</v>
      </c>
      <c r="B1139" s="1">
        <f ca="1">IFERROR(__xludf.DUMMYFUNCTION("""COMPUTED_VALUE"""),227.57)</f>
        <v>227.57</v>
      </c>
      <c r="C1139" s="1">
        <f ca="1">IFERROR(__xludf.DUMMYFUNCTION("""COMPUTED_VALUE"""),454.7)</f>
        <v>454.7</v>
      </c>
      <c r="D1139" s="1">
        <f ca="1">IFERROR(__xludf.DUMMYFUNCTION("""COMPUTED_VALUE"""),195.05)</f>
        <v>195.05</v>
      </c>
      <c r="E1139" s="1">
        <f ca="1">IFERROR(__xludf.DUMMYFUNCTION("""COMPUTED_VALUE"""),127.4)</f>
        <v>127.4</v>
      </c>
      <c r="F1139" s="1">
        <f ca="1">IFERROR(__xludf.DUMMYFUNCTION("""COMPUTED_VALUE"""),512.7)</f>
        <v>512.70000000000005</v>
      </c>
      <c r="G1139" s="1">
        <f ca="1">IFERROR(__xludf.DUMMYFUNCTION("""COMPUTED_VALUE"""),187.3)</f>
        <v>187.3</v>
      </c>
      <c r="H1139" s="1">
        <f ca="1">IFERROR(__xludf.DUMMYFUNCTION("""COMPUTED_VALUE"""),241.03)</f>
        <v>241.03</v>
      </c>
      <c r="I1139" s="1">
        <f ca="1">IFERROR(__xludf.DUMMYFUNCTION("""COMPUTED_VALUE"""),163.95)</f>
        <v>163.95</v>
      </c>
      <c r="J1139" s="1">
        <f ca="1">IFERROR(__xludf.DUMMYFUNCTION("""COMPUTED_VALUE"""),846.59)</f>
        <v>846.59</v>
      </c>
      <c r="K1139" s="1">
        <f ca="1">IFERROR(__xludf.DUMMYFUNCTION("""COMPUTED_VALUE"""),170.6)</f>
        <v>170.6</v>
      </c>
      <c r="L1139" s="1">
        <f ca="1">IFERROR(__xludf.DUMMYFUNCTION("""COMPUTED_VALUE"""),557.63)</f>
        <v>557.63</v>
      </c>
      <c r="M1139" s="1">
        <f ca="1">IFERROR(__xludf.DUMMYFUNCTION("""COMPUTED_VALUE"""),652.75)</f>
        <v>652.75</v>
      </c>
      <c r="N1139" s="1">
        <f ca="1">IFERROR(__xludf.DUMMYFUNCTION("""COMPUTED_VALUE"""),207.45)</f>
        <v>207.45</v>
      </c>
      <c r="O1139" s="1">
        <f ca="1">IFERROR(__xludf.DUMMYFUNCTION("""COMPUTED_VALUE"""),262.55)</f>
        <v>262.55</v>
      </c>
      <c r="P1139" s="1">
        <f ca="1">IFERROR(__xludf.DUMMYFUNCTION("""COMPUTED_VALUE"""),149.7)</f>
        <v>149.69999999999999</v>
      </c>
      <c r="Q1139" s="1">
        <f ca="1">IFERROR(__xludf.DUMMYFUNCTION("""COMPUTED_VALUE"""),504.36)</f>
        <v>504.36</v>
      </c>
      <c r="R1139" s="1">
        <f ca="1">IFERROR(__xludf.DUMMYFUNCTION("""COMPUTED_VALUE"""),113.25)</f>
        <v>113.25</v>
      </c>
      <c r="S1139" s="1">
        <f ca="1">IFERROR(__xludf.DUMMYFUNCTION("""COMPUTED_VALUE"""),74.7)</f>
        <v>74.7</v>
      </c>
      <c r="T1139" s="1">
        <f ca="1">IFERROR(__xludf.DUMMYFUNCTION("""COMPUTED_VALUE"""),69.8)</f>
        <v>69.8</v>
      </c>
      <c r="U1139" s="1">
        <f ca="1">IFERROR(__xludf.DUMMYFUNCTION("""COMPUTED_VALUE"""),73.39)</f>
        <v>73.39</v>
      </c>
      <c r="V1139" s="1">
        <f ca="1">IFERROR(__xludf.DUMMYFUNCTION("""COMPUTED_VALUE"""),331.13)</f>
        <v>331.13</v>
      </c>
      <c r="W1139" s="1">
        <f ca="1">IFERROR(__xludf.DUMMYFUNCTION("""COMPUTED_VALUE"""),460.38)</f>
        <v>460.38</v>
      </c>
      <c r="X1139" s="1">
        <f ca="1">IFERROR(__xludf.DUMMYFUNCTION("""COMPUTED_VALUE"""),1062.5)</f>
        <v>1062.5</v>
      </c>
      <c r="Y1139" s="1">
        <f ca="1">IFERROR(__xludf.DUMMYFUNCTION("""COMPUTED_VALUE"""),184.5)</f>
        <v>184.5</v>
      </c>
      <c r="Z1139" s="1">
        <f ca="1">IFERROR(__xludf.DUMMYFUNCTION("""COMPUTED_VALUE"""),479.23)</f>
        <v>479.23</v>
      </c>
      <c r="AA1139" s="1">
        <f ca="1">IFERROR(__xludf.DUMMYFUNCTION("""COMPUTED_VALUE"""),28.66)</f>
        <v>28.66</v>
      </c>
      <c r="AB1139" s="1">
        <f ca="1">IFERROR(__xludf.DUMMYFUNCTION("""COMPUTED_VALUE"""),73.3)</f>
        <v>73.3</v>
      </c>
      <c r="AC1139" s="1">
        <f ca="1">IFERROR(__xludf.DUMMYFUNCTION("""COMPUTED_VALUE"""),181.94)</f>
        <v>181.94</v>
      </c>
    </row>
    <row r="1140" spans="1:29" x14ac:dyDescent="0.25">
      <c r="A1140" s="2">
        <f ca="1">IFERROR(__xludf.DUMMYFUNCTION("""COMPUTED_VALUE"""),45485.6666666666)</f>
        <v>45485.666666666599</v>
      </c>
      <c r="B1140" s="1">
        <f ca="1">IFERROR(__xludf.DUMMYFUNCTION("""COMPUTED_VALUE"""),230.54)</f>
        <v>230.54</v>
      </c>
      <c r="C1140" s="1">
        <f ca="1">IFERROR(__xludf.DUMMYFUNCTION("""COMPUTED_VALUE"""),453.55)</f>
        <v>453.55</v>
      </c>
      <c r="D1140" s="1">
        <f ca="1">IFERROR(__xludf.DUMMYFUNCTION("""COMPUTED_VALUE"""),194.49)</f>
        <v>194.49</v>
      </c>
      <c r="E1140" s="1">
        <f ca="1">IFERROR(__xludf.DUMMYFUNCTION("""COMPUTED_VALUE"""),129.24)</f>
        <v>129.24</v>
      </c>
      <c r="F1140" s="1">
        <f ca="1">IFERROR(__xludf.DUMMYFUNCTION("""COMPUTED_VALUE"""),498.87)</f>
        <v>498.87</v>
      </c>
      <c r="G1140" s="1">
        <f ca="1">IFERROR(__xludf.DUMMYFUNCTION("""COMPUTED_VALUE"""),186.78)</f>
        <v>186.78</v>
      </c>
      <c r="H1140" s="1">
        <f ca="1">IFERROR(__xludf.DUMMYFUNCTION("""COMPUTED_VALUE"""),248.23)</f>
        <v>248.23</v>
      </c>
      <c r="I1140" s="1">
        <f ca="1">IFERROR(__xludf.DUMMYFUNCTION("""COMPUTED_VALUE"""),166.38)</f>
        <v>166.38</v>
      </c>
      <c r="J1140" s="1">
        <f ca="1">IFERROR(__xludf.DUMMYFUNCTION("""COMPUTED_VALUE"""),842.9)</f>
        <v>842.9</v>
      </c>
      <c r="K1140" s="1">
        <f ca="1">IFERROR(__xludf.DUMMYFUNCTION("""COMPUTED_VALUE"""),170.07)</f>
        <v>170.07</v>
      </c>
      <c r="L1140" s="1">
        <f ca="1">IFERROR(__xludf.DUMMYFUNCTION("""COMPUTED_VALUE"""),559.05)</f>
        <v>559.04999999999995</v>
      </c>
      <c r="M1140" s="1">
        <f ca="1">IFERROR(__xludf.DUMMYFUNCTION("""COMPUTED_VALUE"""),647.6)</f>
        <v>647.6</v>
      </c>
      <c r="N1140" s="1">
        <f ca="1">IFERROR(__xludf.DUMMYFUNCTION("""COMPUTED_VALUE"""),204.94)</f>
        <v>204.94</v>
      </c>
      <c r="O1140" s="1">
        <f ca="1">IFERROR(__xludf.DUMMYFUNCTION("""COMPUTED_VALUE"""),265.74)</f>
        <v>265.74</v>
      </c>
      <c r="P1140" s="1">
        <f ca="1">IFERROR(__xludf.DUMMYFUNCTION("""COMPUTED_VALUE"""),149.88)</f>
        <v>149.88</v>
      </c>
      <c r="Q1140" s="1">
        <f ca="1">IFERROR(__xludf.DUMMYFUNCTION("""COMPUTED_VALUE"""),511.53)</f>
        <v>511.53</v>
      </c>
      <c r="R1140" s="1">
        <f ca="1">IFERROR(__xludf.DUMMYFUNCTION("""COMPUTED_VALUE"""),113.27)</f>
        <v>113.27</v>
      </c>
      <c r="S1140" s="1">
        <f ca="1">IFERROR(__xludf.DUMMYFUNCTION("""COMPUTED_VALUE"""),76)</f>
        <v>76</v>
      </c>
      <c r="T1140" s="1">
        <f ca="1">IFERROR(__xludf.DUMMYFUNCTION("""COMPUTED_VALUE"""),69.24)</f>
        <v>69.239999999999995</v>
      </c>
      <c r="U1140" s="1">
        <f ca="1">IFERROR(__xludf.DUMMYFUNCTION("""COMPUTED_VALUE"""),73.42)</f>
        <v>73.42</v>
      </c>
      <c r="V1140" s="1">
        <f ca="1">IFERROR(__xludf.DUMMYFUNCTION("""COMPUTED_VALUE"""),335.59)</f>
        <v>335.59</v>
      </c>
      <c r="W1140" s="1">
        <f ca="1">IFERROR(__xludf.DUMMYFUNCTION("""COMPUTED_VALUE"""),463.73)</f>
        <v>463.73</v>
      </c>
      <c r="X1140" s="1">
        <f ca="1">IFERROR(__xludf.DUMMYFUNCTION("""COMPUTED_VALUE"""),1085.26)</f>
        <v>1085.26</v>
      </c>
      <c r="Y1140" s="1">
        <f ca="1">IFERROR(__xludf.DUMMYFUNCTION("""COMPUTED_VALUE"""),187.35)</f>
        <v>187.35</v>
      </c>
      <c r="Z1140" s="1">
        <f ca="1">IFERROR(__xludf.DUMMYFUNCTION("""COMPUTED_VALUE"""),479.88)</f>
        <v>479.88</v>
      </c>
      <c r="AA1140" s="1">
        <f ca="1">IFERROR(__xludf.DUMMYFUNCTION("""COMPUTED_VALUE"""),28.92)</f>
        <v>28.92</v>
      </c>
      <c r="AB1140" s="1">
        <f ca="1">IFERROR(__xludf.DUMMYFUNCTION("""COMPUTED_VALUE"""),74.83)</f>
        <v>74.83</v>
      </c>
      <c r="AC1140" s="1">
        <f ca="1">IFERROR(__xludf.DUMMYFUNCTION("""COMPUTED_VALUE"""),181.61)</f>
        <v>181.61</v>
      </c>
    </row>
    <row r="1141" spans="1:29" x14ac:dyDescent="0.25">
      <c r="A1141" s="2">
        <f ca="1">IFERROR(__xludf.DUMMYFUNCTION("""COMPUTED_VALUE"""),45488.6666666666)</f>
        <v>45488.666666666599</v>
      </c>
      <c r="B1141" s="1">
        <f ca="1">IFERROR(__xludf.DUMMYFUNCTION("""COMPUTED_VALUE"""),234.4)</f>
        <v>234.4</v>
      </c>
      <c r="C1141" s="1">
        <f ca="1">IFERROR(__xludf.DUMMYFUNCTION("""COMPUTED_VALUE"""),453.96)</f>
        <v>453.96</v>
      </c>
      <c r="D1141" s="1">
        <f ca="1">IFERROR(__xludf.DUMMYFUNCTION("""COMPUTED_VALUE"""),192.72)</f>
        <v>192.72</v>
      </c>
      <c r="E1141" s="1">
        <f ca="1">IFERROR(__xludf.DUMMYFUNCTION("""COMPUTED_VALUE"""),128.44)</f>
        <v>128.44</v>
      </c>
      <c r="F1141" s="1">
        <f ca="1">IFERROR(__xludf.DUMMYFUNCTION("""COMPUTED_VALUE"""),496.16)</f>
        <v>496.16</v>
      </c>
      <c r="G1141" s="1">
        <f ca="1">IFERROR(__xludf.DUMMYFUNCTION("""COMPUTED_VALUE"""),188.19)</f>
        <v>188.19</v>
      </c>
      <c r="H1141" s="1">
        <f ca="1">IFERROR(__xludf.DUMMYFUNCTION("""COMPUTED_VALUE"""),252.64)</f>
        <v>252.64</v>
      </c>
      <c r="I1141" s="1">
        <f ca="1">IFERROR(__xludf.DUMMYFUNCTION("""COMPUTED_VALUE"""),163.86)</f>
        <v>163.86</v>
      </c>
      <c r="J1141" s="1">
        <f ca="1">IFERROR(__xludf.DUMMYFUNCTION("""COMPUTED_VALUE"""),848.73)</f>
        <v>848.73</v>
      </c>
      <c r="K1141" s="1">
        <f ca="1">IFERROR(__xludf.DUMMYFUNCTION("""COMPUTED_VALUE"""),171.42)</f>
        <v>171.42</v>
      </c>
      <c r="L1141" s="1">
        <f ca="1">IFERROR(__xludf.DUMMYFUNCTION("""COMPUTED_VALUE"""),565.71)</f>
        <v>565.71</v>
      </c>
      <c r="M1141" s="1">
        <f ca="1">IFERROR(__xludf.DUMMYFUNCTION("""COMPUTED_VALUE"""),656.45)</f>
        <v>656.45</v>
      </c>
      <c r="N1141" s="1">
        <f ca="1">IFERROR(__xludf.DUMMYFUNCTION("""COMPUTED_VALUE"""),210.05)</f>
        <v>210.05</v>
      </c>
      <c r="O1141" s="1">
        <f ca="1">IFERROR(__xludf.DUMMYFUNCTION("""COMPUTED_VALUE"""),268.45)</f>
        <v>268.45</v>
      </c>
      <c r="P1141" s="1">
        <f ca="1">IFERROR(__xludf.DUMMYFUNCTION("""COMPUTED_VALUE"""),149.24)</f>
        <v>149.24</v>
      </c>
      <c r="Q1141" s="1">
        <f ca="1">IFERROR(__xludf.DUMMYFUNCTION("""COMPUTED_VALUE"""),515.37)</f>
        <v>515.37</v>
      </c>
      <c r="R1141" s="1">
        <f ca="1">IFERROR(__xludf.DUMMYFUNCTION("""COMPUTED_VALUE"""),115.21)</f>
        <v>115.21</v>
      </c>
      <c r="S1141" s="1">
        <f ca="1">IFERROR(__xludf.DUMMYFUNCTION("""COMPUTED_VALUE"""),70.97)</f>
        <v>70.97</v>
      </c>
      <c r="T1141" s="1">
        <f ca="1">IFERROR(__xludf.DUMMYFUNCTION("""COMPUTED_VALUE"""),69.61)</f>
        <v>69.61</v>
      </c>
      <c r="U1141" s="1">
        <f ca="1">IFERROR(__xludf.DUMMYFUNCTION("""COMPUTED_VALUE"""),71.31)</f>
        <v>71.31</v>
      </c>
      <c r="V1141" s="1">
        <f ca="1">IFERROR(__xludf.DUMMYFUNCTION("""COMPUTED_VALUE"""),345.77)</f>
        <v>345.77</v>
      </c>
      <c r="W1141" s="1">
        <f ca="1">IFERROR(__xludf.DUMMYFUNCTION("""COMPUTED_VALUE"""),463.88)</f>
        <v>463.88</v>
      </c>
      <c r="X1141" s="1">
        <f ca="1">IFERROR(__xludf.DUMMYFUNCTION("""COMPUTED_VALUE"""),1063.63)</f>
        <v>1063.6300000000001</v>
      </c>
      <c r="Y1141" s="1">
        <f ca="1">IFERROR(__xludf.DUMMYFUNCTION("""COMPUTED_VALUE"""),185.22)</f>
        <v>185.22</v>
      </c>
      <c r="Z1141" s="1">
        <f ca="1">IFERROR(__xludf.DUMMYFUNCTION("""COMPUTED_VALUE"""),492.23)</f>
        <v>492.23</v>
      </c>
      <c r="AA1141" s="1">
        <f ca="1">IFERROR(__xludf.DUMMYFUNCTION("""COMPUTED_VALUE"""),29.1)</f>
        <v>29.1</v>
      </c>
      <c r="AB1141" s="1">
        <f ca="1">IFERROR(__xludf.DUMMYFUNCTION("""COMPUTED_VALUE"""),72.75)</f>
        <v>72.75</v>
      </c>
      <c r="AC1141" s="1">
        <f ca="1">IFERROR(__xludf.DUMMYFUNCTION("""COMPUTED_VALUE"""),179.83)</f>
        <v>179.83</v>
      </c>
    </row>
    <row r="1142" spans="1:29" x14ac:dyDescent="0.25">
      <c r="A1142" s="2">
        <f ca="1">IFERROR(__xludf.DUMMYFUNCTION("""COMPUTED_VALUE"""),45489.6666666666)</f>
        <v>45489.666666666599</v>
      </c>
      <c r="B1142" s="1">
        <f ca="1">IFERROR(__xludf.DUMMYFUNCTION("""COMPUTED_VALUE"""),234.82)</f>
        <v>234.82</v>
      </c>
      <c r="C1142" s="1">
        <f ca="1">IFERROR(__xludf.DUMMYFUNCTION("""COMPUTED_VALUE"""),449.52)</f>
        <v>449.52</v>
      </c>
      <c r="D1142" s="1">
        <f ca="1">IFERROR(__xludf.DUMMYFUNCTION("""COMPUTED_VALUE"""),193.02)</f>
        <v>193.02</v>
      </c>
      <c r="E1142" s="1">
        <f ca="1">IFERROR(__xludf.DUMMYFUNCTION("""COMPUTED_VALUE"""),126.36)</f>
        <v>126.36</v>
      </c>
      <c r="F1142" s="1">
        <f ca="1">IFERROR(__xludf.DUMMYFUNCTION("""COMPUTED_VALUE"""),489.79)</f>
        <v>489.79</v>
      </c>
      <c r="G1142" s="1">
        <f ca="1">IFERROR(__xludf.DUMMYFUNCTION("""COMPUTED_VALUE"""),185.5)</f>
        <v>185.5</v>
      </c>
      <c r="H1142" s="1">
        <f ca="1">IFERROR(__xludf.DUMMYFUNCTION("""COMPUTED_VALUE"""),256.56)</f>
        <v>256.56</v>
      </c>
      <c r="I1142" s="1">
        <f ca="1">IFERROR(__xludf.DUMMYFUNCTION("""COMPUTED_VALUE"""),164.76)</f>
        <v>164.76</v>
      </c>
      <c r="J1142" s="1">
        <f ca="1">IFERROR(__xludf.DUMMYFUNCTION("""COMPUTED_VALUE"""),850.77)</f>
        <v>850.77</v>
      </c>
      <c r="K1142" s="1">
        <f ca="1">IFERROR(__xludf.DUMMYFUNCTION("""COMPUTED_VALUE"""),169.38)</f>
        <v>169.38</v>
      </c>
      <c r="L1142" s="1">
        <f ca="1">IFERROR(__xludf.DUMMYFUNCTION("""COMPUTED_VALUE"""),566.54)</f>
        <v>566.54</v>
      </c>
      <c r="M1142" s="1">
        <f ca="1">IFERROR(__xludf.DUMMYFUNCTION("""COMPUTED_VALUE"""),656.32)</f>
        <v>656.32</v>
      </c>
      <c r="N1142" s="1">
        <f ca="1">IFERROR(__xludf.DUMMYFUNCTION("""COMPUTED_VALUE"""),213.62)</f>
        <v>213.62</v>
      </c>
      <c r="O1142" s="1">
        <f ca="1">IFERROR(__xludf.DUMMYFUNCTION("""COMPUTED_VALUE"""),269.25)</f>
        <v>269.25</v>
      </c>
      <c r="P1142" s="1">
        <f ca="1">IFERROR(__xludf.DUMMYFUNCTION("""COMPUTED_VALUE"""),151.01)</f>
        <v>151.01</v>
      </c>
      <c r="Q1142" s="1">
        <f ca="1">IFERROR(__xludf.DUMMYFUNCTION("""COMPUTED_VALUE"""),548.87)</f>
        <v>548.87</v>
      </c>
      <c r="R1142" s="1">
        <f ca="1">IFERROR(__xludf.DUMMYFUNCTION("""COMPUTED_VALUE"""),116.04)</f>
        <v>116.04</v>
      </c>
      <c r="S1142" s="1">
        <f ca="1">IFERROR(__xludf.DUMMYFUNCTION("""COMPUTED_VALUE"""),71.9)</f>
        <v>71.900000000000006</v>
      </c>
      <c r="T1142" s="1">
        <f ca="1">IFERROR(__xludf.DUMMYFUNCTION("""COMPUTED_VALUE"""),69.99)</f>
        <v>69.989999999999995</v>
      </c>
      <c r="U1142" s="1">
        <f ca="1">IFERROR(__xludf.DUMMYFUNCTION("""COMPUTED_VALUE"""),72.81)</f>
        <v>72.81</v>
      </c>
      <c r="V1142" s="1">
        <f ca="1">IFERROR(__xludf.DUMMYFUNCTION("""COMPUTED_VALUE"""),360.58)</f>
        <v>360.58</v>
      </c>
      <c r="W1142" s="1">
        <f ca="1">IFERROR(__xludf.DUMMYFUNCTION("""COMPUTED_VALUE"""),468.58)</f>
        <v>468.58</v>
      </c>
      <c r="X1142" s="1">
        <f ca="1">IFERROR(__xludf.DUMMYFUNCTION("""COMPUTED_VALUE"""),1068.19)</f>
        <v>1068.19</v>
      </c>
      <c r="Y1142" s="1">
        <f ca="1">IFERROR(__xludf.DUMMYFUNCTION("""COMPUTED_VALUE"""),186.04)</f>
        <v>186.04</v>
      </c>
      <c r="Z1142" s="1">
        <f ca="1">IFERROR(__xludf.DUMMYFUNCTION("""COMPUTED_VALUE"""),503.02)</f>
        <v>503.02</v>
      </c>
      <c r="AA1142" s="1">
        <f ca="1">IFERROR(__xludf.DUMMYFUNCTION("""COMPUTED_VALUE"""),29.5)</f>
        <v>29.5</v>
      </c>
      <c r="AB1142" s="1">
        <f ca="1">IFERROR(__xludf.DUMMYFUNCTION("""COMPUTED_VALUE"""),75.51)</f>
        <v>75.510000000000005</v>
      </c>
      <c r="AC1142" s="1">
        <f ca="1">IFERROR(__xludf.DUMMYFUNCTION("""COMPUTED_VALUE"""),177.55)</f>
        <v>177.55</v>
      </c>
    </row>
    <row r="1143" spans="1:29" x14ac:dyDescent="0.25">
      <c r="A1143" s="2">
        <f ca="1">IFERROR(__xludf.DUMMYFUNCTION("""COMPUTED_VALUE"""),45490.6666666666)</f>
        <v>45490.666666666599</v>
      </c>
      <c r="B1143" s="1">
        <f ca="1">IFERROR(__xludf.DUMMYFUNCTION("""COMPUTED_VALUE"""),228.88)</f>
        <v>228.88</v>
      </c>
      <c r="C1143" s="1">
        <f ca="1">IFERROR(__xludf.DUMMYFUNCTION("""COMPUTED_VALUE"""),443.52)</f>
        <v>443.52</v>
      </c>
      <c r="D1143" s="1">
        <f ca="1">IFERROR(__xludf.DUMMYFUNCTION("""COMPUTED_VALUE"""),187.93)</f>
        <v>187.93</v>
      </c>
      <c r="E1143" s="1">
        <f ca="1">IFERROR(__xludf.DUMMYFUNCTION("""COMPUTED_VALUE"""),117.99)</f>
        <v>117.99</v>
      </c>
      <c r="F1143" s="1">
        <f ca="1">IFERROR(__xludf.DUMMYFUNCTION("""COMPUTED_VALUE"""),461.99)</f>
        <v>461.99</v>
      </c>
      <c r="G1143" s="1">
        <f ca="1">IFERROR(__xludf.DUMMYFUNCTION("""COMPUTED_VALUE"""),182.62)</f>
        <v>182.62</v>
      </c>
      <c r="H1143" s="1">
        <f ca="1">IFERROR(__xludf.DUMMYFUNCTION("""COMPUTED_VALUE"""),248.5)</f>
        <v>248.5</v>
      </c>
      <c r="I1143" s="1">
        <f ca="1">IFERROR(__xludf.DUMMYFUNCTION("""COMPUTED_VALUE"""),169.89)</f>
        <v>169.89</v>
      </c>
      <c r="J1143" s="1">
        <f ca="1">IFERROR(__xludf.DUMMYFUNCTION("""COMPUTED_VALUE"""),846.28)</f>
        <v>846.28</v>
      </c>
      <c r="K1143" s="1">
        <f ca="1">IFERROR(__xludf.DUMMYFUNCTION("""COMPUTED_VALUE"""),155.98)</f>
        <v>155.97999999999999</v>
      </c>
      <c r="L1143" s="1">
        <f ca="1">IFERROR(__xludf.DUMMYFUNCTION("""COMPUTED_VALUE"""),563.09)</f>
        <v>563.09</v>
      </c>
      <c r="M1143" s="1">
        <f ca="1">IFERROR(__xludf.DUMMYFUNCTION("""COMPUTED_VALUE"""),647.46)</f>
        <v>647.46</v>
      </c>
      <c r="N1143" s="1">
        <f ca="1">IFERROR(__xludf.DUMMYFUNCTION("""COMPUTED_VALUE"""),216.87)</f>
        <v>216.87</v>
      </c>
      <c r="O1143" s="1">
        <f ca="1">IFERROR(__xludf.DUMMYFUNCTION("""COMPUTED_VALUE"""),272.7)</f>
        <v>272.7</v>
      </c>
      <c r="P1143" s="1">
        <f ca="1">IFERROR(__xludf.DUMMYFUNCTION("""COMPUTED_VALUE"""),156.58)</f>
        <v>156.58000000000001</v>
      </c>
      <c r="Q1143" s="1">
        <f ca="1">IFERROR(__xludf.DUMMYFUNCTION("""COMPUTED_VALUE"""),573.28)</f>
        <v>573.28</v>
      </c>
      <c r="R1143" s="1">
        <f ca="1">IFERROR(__xludf.DUMMYFUNCTION("""COMPUTED_VALUE"""),117.64)</f>
        <v>117.64</v>
      </c>
      <c r="S1143" s="1">
        <f ca="1">IFERROR(__xludf.DUMMYFUNCTION("""COMPUTED_VALUE"""),70.9)</f>
        <v>70.900000000000006</v>
      </c>
      <c r="T1143" s="1">
        <f ca="1">IFERROR(__xludf.DUMMYFUNCTION("""COMPUTED_VALUE"""),71.03)</f>
        <v>71.03</v>
      </c>
      <c r="U1143" s="1">
        <f ca="1">IFERROR(__xludf.DUMMYFUNCTION("""COMPUTED_VALUE"""),73.07)</f>
        <v>73.069999999999993</v>
      </c>
      <c r="V1143" s="1">
        <f ca="1">IFERROR(__xludf.DUMMYFUNCTION("""COMPUTED_VALUE"""),357.8)</f>
        <v>357.8</v>
      </c>
      <c r="W1143" s="1">
        <f ca="1">IFERROR(__xludf.DUMMYFUNCTION("""COMPUTED_VALUE"""),476.07)</f>
        <v>476.07</v>
      </c>
      <c r="X1143" s="1">
        <f ca="1">IFERROR(__xludf.DUMMYFUNCTION("""COMPUTED_VALUE"""),932.06)</f>
        <v>932.06</v>
      </c>
      <c r="Y1143" s="1">
        <f ca="1">IFERROR(__xludf.DUMMYFUNCTION("""COMPUTED_VALUE"""),171.2)</f>
        <v>171.2</v>
      </c>
      <c r="Z1143" s="1">
        <f ca="1">IFERROR(__xludf.DUMMYFUNCTION("""COMPUTED_VALUE"""),502.18)</f>
        <v>502.18</v>
      </c>
      <c r="AA1143" s="1">
        <f ca="1">IFERROR(__xludf.DUMMYFUNCTION("""COMPUTED_VALUE"""),30.03)</f>
        <v>30.03</v>
      </c>
      <c r="AB1143" s="1">
        <f ca="1">IFERROR(__xludf.DUMMYFUNCTION("""COMPUTED_VALUE"""),75.1)</f>
        <v>75.099999999999994</v>
      </c>
      <c r="AC1143" s="1">
        <f ca="1">IFERROR(__xludf.DUMMYFUNCTION("""COMPUTED_VALUE"""),159.43)</f>
        <v>159.43</v>
      </c>
    </row>
    <row r="1144" spans="1:29" x14ac:dyDescent="0.25">
      <c r="A1144" s="2">
        <f ca="1">IFERROR(__xludf.DUMMYFUNCTION("""COMPUTED_VALUE"""),45491.6666666666)</f>
        <v>45491.666666666599</v>
      </c>
      <c r="B1144" s="1">
        <f ca="1">IFERROR(__xludf.DUMMYFUNCTION("""COMPUTED_VALUE"""),224.18)</f>
        <v>224.18</v>
      </c>
      <c r="C1144" s="1">
        <f ca="1">IFERROR(__xludf.DUMMYFUNCTION("""COMPUTED_VALUE"""),440.37)</f>
        <v>440.37</v>
      </c>
      <c r="D1144" s="1">
        <f ca="1">IFERROR(__xludf.DUMMYFUNCTION("""COMPUTED_VALUE"""),183.75)</f>
        <v>183.75</v>
      </c>
      <c r="E1144" s="1">
        <f ca="1">IFERROR(__xludf.DUMMYFUNCTION("""COMPUTED_VALUE"""),121.09)</f>
        <v>121.09</v>
      </c>
      <c r="F1144" s="1">
        <f ca="1">IFERROR(__xludf.DUMMYFUNCTION("""COMPUTED_VALUE"""),475.85)</f>
        <v>475.85</v>
      </c>
      <c r="G1144" s="1">
        <f ca="1">IFERROR(__xludf.DUMMYFUNCTION("""COMPUTED_VALUE"""),179.22)</f>
        <v>179.22</v>
      </c>
      <c r="H1144" s="1">
        <f ca="1">IFERROR(__xludf.DUMMYFUNCTION("""COMPUTED_VALUE"""),249.23)</f>
        <v>249.23</v>
      </c>
      <c r="I1144" s="1">
        <f ca="1">IFERROR(__xludf.DUMMYFUNCTION("""COMPUTED_VALUE"""),170.37)</f>
        <v>170.37</v>
      </c>
      <c r="J1144" s="1">
        <f ca="1">IFERROR(__xludf.DUMMYFUNCTION("""COMPUTED_VALUE"""),839.37)</f>
        <v>839.37</v>
      </c>
      <c r="K1144" s="1">
        <f ca="1">IFERROR(__xludf.DUMMYFUNCTION("""COMPUTED_VALUE"""),160.52)</f>
        <v>160.52000000000001</v>
      </c>
      <c r="L1144" s="1">
        <f ca="1">IFERROR(__xludf.DUMMYFUNCTION("""COMPUTED_VALUE"""),556.85)</f>
        <v>556.85</v>
      </c>
      <c r="M1144" s="1">
        <f ca="1">IFERROR(__xludf.DUMMYFUNCTION("""COMPUTED_VALUE"""),643.04)</f>
        <v>643.04</v>
      </c>
      <c r="N1144" s="1">
        <f ca="1">IFERROR(__xludf.DUMMYFUNCTION("""COMPUTED_VALUE"""),209.98)</f>
        <v>209.98</v>
      </c>
      <c r="O1144" s="1">
        <f ca="1">IFERROR(__xludf.DUMMYFUNCTION("""COMPUTED_VALUE"""),269.15)</f>
        <v>269.14999999999998</v>
      </c>
      <c r="P1144" s="1">
        <f ca="1">IFERROR(__xludf.DUMMYFUNCTION("""COMPUTED_VALUE"""),155.42)</f>
        <v>155.41999999999999</v>
      </c>
      <c r="Q1144" s="1">
        <f ca="1">IFERROR(__xludf.DUMMYFUNCTION("""COMPUTED_VALUE"""),564.34)</f>
        <v>564.34</v>
      </c>
      <c r="R1144" s="1">
        <f ca="1">IFERROR(__xludf.DUMMYFUNCTION("""COMPUTED_VALUE"""),118.8)</f>
        <v>118.8</v>
      </c>
      <c r="S1144" s="1">
        <f ca="1">IFERROR(__xludf.DUMMYFUNCTION("""COMPUTED_VALUE"""),71.67)</f>
        <v>71.67</v>
      </c>
      <c r="T1144" s="1">
        <f ca="1">IFERROR(__xludf.DUMMYFUNCTION("""COMPUTED_VALUE"""),70.82)</f>
        <v>70.819999999999993</v>
      </c>
      <c r="U1144" s="1">
        <f ca="1">IFERROR(__xludf.DUMMYFUNCTION("""COMPUTED_VALUE"""),72.38)</f>
        <v>72.38</v>
      </c>
      <c r="V1144" s="1">
        <f ca="1">IFERROR(__xludf.DUMMYFUNCTION("""COMPUTED_VALUE"""),356.03)</f>
        <v>356.03</v>
      </c>
      <c r="W1144" s="1">
        <f ca="1">IFERROR(__xludf.DUMMYFUNCTION("""COMPUTED_VALUE"""),476)</f>
        <v>476</v>
      </c>
      <c r="X1144" s="1">
        <f ca="1">IFERROR(__xludf.DUMMYFUNCTION("""COMPUTED_VALUE"""),924.15)</f>
        <v>924.15</v>
      </c>
      <c r="Y1144" s="1">
        <f ca="1">IFERROR(__xludf.DUMMYFUNCTION("""COMPUTED_VALUE"""),171.87)</f>
        <v>171.87</v>
      </c>
      <c r="Z1144" s="1">
        <f ca="1">IFERROR(__xludf.DUMMYFUNCTION("""COMPUTED_VALUE"""),486.21)</f>
        <v>486.21</v>
      </c>
      <c r="AA1144" s="1">
        <f ca="1">IFERROR(__xludf.DUMMYFUNCTION("""COMPUTED_VALUE"""),29.71)</f>
        <v>29.71</v>
      </c>
      <c r="AB1144" s="1">
        <f ca="1">IFERROR(__xludf.DUMMYFUNCTION("""COMPUTED_VALUE"""),74.19)</f>
        <v>74.19</v>
      </c>
      <c r="AC1144" s="1">
        <f ca="1">IFERROR(__xludf.DUMMYFUNCTION("""COMPUTED_VALUE"""),155.77)</f>
        <v>155.77000000000001</v>
      </c>
    </row>
    <row r="1145" spans="1:29" x14ac:dyDescent="0.25">
      <c r="A1145" s="2">
        <f ca="1">IFERROR(__xludf.DUMMYFUNCTION("""COMPUTED_VALUE"""),45492.6666666666)</f>
        <v>45492.666666666599</v>
      </c>
      <c r="B1145" s="1">
        <f ca="1">IFERROR(__xludf.DUMMYFUNCTION("""COMPUTED_VALUE"""),224.31)</f>
        <v>224.31</v>
      </c>
      <c r="C1145" s="1">
        <f ca="1">IFERROR(__xludf.DUMMYFUNCTION("""COMPUTED_VALUE"""),437.11)</f>
        <v>437.11</v>
      </c>
      <c r="D1145" s="1">
        <f ca="1">IFERROR(__xludf.DUMMYFUNCTION("""COMPUTED_VALUE"""),183.13)</f>
        <v>183.13</v>
      </c>
      <c r="E1145" s="1">
        <f ca="1">IFERROR(__xludf.DUMMYFUNCTION("""COMPUTED_VALUE"""),117.93)</f>
        <v>117.93</v>
      </c>
      <c r="F1145" s="1">
        <f ca="1">IFERROR(__xludf.DUMMYFUNCTION("""COMPUTED_VALUE"""),476.79)</f>
        <v>476.79</v>
      </c>
      <c r="G1145" s="1">
        <f ca="1">IFERROR(__xludf.DUMMYFUNCTION("""COMPUTED_VALUE"""),179.39)</f>
        <v>179.39</v>
      </c>
      <c r="H1145" s="1">
        <f ca="1">IFERROR(__xludf.DUMMYFUNCTION("""COMPUTED_VALUE"""),239.2)</f>
        <v>239.2</v>
      </c>
      <c r="I1145" s="1">
        <f ca="1">IFERROR(__xludf.DUMMYFUNCTION("""COMPUTED_VALUE"""),169.36)</f>
        <v>169.36</v>
      </c>
      <c r="J1145" s="1">
        <f ca="1">IFERROR(__xludf.DUMMYFUNCTION("""COMPUTED_VALUE"""),838.13)</f>
        <v>838.13</v>
      </c>
      <c r="K1145" s="1">
        <f ca="1">IFERROR(__xludf.DUMMYFUNCTION("""COMPUTED_VALUE"""),157.35)</f>
        <v>157.35</v>
      </c>
      <c r="L1145" s="1">
        <f ca="1">IFERROR(__xludf.DUMMYFUNCTION("""COMPUTED_VALUE"""),551)</f>
        <v>551</v>
      </c>
      <c r="M1145" s="1">
        <f ca="1">IFERROR(__xludf.DUMMYFUNCTION("""COMPUTED_VALUE"""),633.34)</f>
        <v>633.34</v>
      </c>
      <c r="N1145" s="1">
        <f ca="1">IFERROR(__xludf.DUMMYFUNCTION("""COMPUTED_VALUE"""),209.78)</f>
        <v>209.78</v>
      </c>
      <c r="O1145" s="1">
        <f ca="1">IFERROR(__xludf.DUMMYFUNCTION("""COMPUTED_VALUE"""),265.46)</f>
        <v>265.45999999999998</v>
      </c>
      <c r="P1145" s="1">
        <f ca="1">IFERROR(__xludf.DUMMYFUNCTION("""COMPUTED_VALUE"""),154.69)</f>
        <v>154.69</v>
      </c>
      <c r="Q1145" s="1">
        <f ca="1">IFERROR(__xludf.DUMMYFUNCTION("""COMPUTED_VALUE"""),565.33)</f>
        <v>565.33000000000004</v>
      </c>
      <c r="R1145" s="1">
        <f ca="1">IFERROR(__xludf.DUMMYFUNCTION("""COMPUTED_VALUE"""),116.07)</f>
        <v>116.07</v>
      </c>
      <c r="S1145" s="1">
        <f ca="1">IFERROR(__xludf.DUMMYFUNCTION("""COMPUTED_VALUE"""),72)</f>
        <v>72</v>
      </c>
      <c r="T1145" s="1">
        <f ca="1">IFERROR(__xludf.DUMMYFUNCTION("""COMPUTED_VALUE"""),70.75)</f>
        <v>70.75</v>
      </c>
      <c r="U1145" s="1">
        <f ca="1">IFERROR(__xludf.DUMMYFUNCTION("""COMPUTED_VALUE"""),72.7)</f>
        <v>72.7</v>
      </c>
      <c r="V1145" s="1">
        <f ca="1">IFERROR(__xludf.DUMMYFUNCTION("""COMPUTED_VALUE"""),347.63)</f>
        <v>347.63</v>
      </c>
      <c r="W1145" s="1">
        <f ca="1">IFERROR(__xludf.DUMMYFUNCTION("""COMPUTED_VALUE"""),474.92)</f>
        <v>474.92</v>
      </c>
      <c r="X1145" s="1">
        <f ca="1">IFERROR(__xludf.DUMMYFUNCTION("""COMPUTED_VALUE"""),895.37)</f>
        <v>895.37</v>
      </c>
      <c r="Y1145" s="1">
        <f ca="1">IFERROR(__xludf.DUMMYFUNCTION("""COMPUTED_VALUE"""),165.77)</f>
        <v>165.77</v>
      </c>
      <c r="Z1145" s="1">
        <f ca="1">IFERROR(__xludf.DUMMYFUNCTION("""COMPUTED_VALUE"""),484.93)</f>
        <v>484.93</v>
      </c>
      <c r="AA1145" s="1">
        <f ca="1">IFERROR(__xludf.DUMMYFUNCTION("""COMPUTED_VALUE"""),29.97)</f>
        <v>29.97</v>
      </c>
      <c r="AB1145" s="1">
        <f ca="1">IFERROR(__xludf.DUMMYFUNCTION("""COMPUTED_VALUE"""),79.27)</f>
        <v>79.27</v>
      </c>
      <c r="AC1145" s="1">
        <f ca="1">IFERROR(__xludf.DUMMYFUNCTION("""COMPUTED_VALUE"""),151.58)</f>
        <v>151.58000000000001</v>
      </c>
    </row>
    <row r="1146" spans="1:29" x14ac:dyDescent="0.25">
      <c r="A1146" s="2">
        <f ca="1">IFERROR(__xludf.DUMMYFUNCTION("""COMPUTED_VALUE"""),45495.6666666666)</f>
        <v>45495.666666666599</v>
      </c>
      <c r="B1146" s="1">
        <f ca="1">IFERROR(__xludf.DUMMYFUNCTION("""COMPUTED_VALUE"""),223.96)</f>
        <v>223.96</v>
      </c>
      <c r="C1146" s="1">
        <f ca="1">IFERROR(__xludf.DUMMYFUNCTION("""COMPUTED_VALUE"""),442.94)</f>
        <v>442.94</v>
      </c>
      <c r="D1146" s="1">
        <f ca="1">IFERROR(__xludf.DUMMYFUNCTION("""COMPUTED_VALUE"""),182.55)</f>
        <v>182.55</v>
      </c>
      <c r="E1146" s="1">
        <f ca="1">IFERROR(__xludf.DUMMYFUNCTION("""COMPUTED_VALUE"""),123.54)</f>
        <v>123.54</v>
      </c>
      <c r="F1146" s="1">
        <f ca="1">IFERROR(__xludf.DUMMYFUNCTION("""COMPUTED_VALUE"""),487.4)</f>
        <v>487.4</v>
      </c>
      <c r="G1146" s="1">
        <f ca="1">IFERROR(__xludf.DUMMYFUNCTION("""COMPUTED_VALUE"""),183.35)</f>
        <v>183.35</v>
      </c>
      <c r="H1146" s="1">
        <f ca="1">IFERROR(__xludf.DUMMYFUNCTION("""COMPUTED_VALUE"""),251.51)</f>
        <v>251.51</v>
      </c>
      <c r="I1146" s="1">
        <f ca="1">IFERROR(__xludf.DUMMYFUNCTION("""COMPUTED_VALUE"""),167.66)</f>
        <v>167.66</v>
      </c>
      <c r="J1146" s="1">
        <f ca="1">IFERROR(__xludf.DUMMYFUNCTION("""COMPUTED_VALUE"""),847.42)</f>
        <v>847.42</v>
      </c>
      <c r="K1146" s="1">
        <f ca="1">IFERROR(__xludf.DUMMYFUNCTION("""COMPUTED_VALUE"""),161.06)</f>
        <v>161.06</v>
      </c>
      <c r="L1146" s="1">
        <f ca="1">IFERROR(__xludf.DUMMYFUNCTION("""COMPUTED_VALUE"""),554.82)</f>
        <v>554.82000000000005</v>
      </c>
      <c r="M1146" s="1">
        <f ca="1">IFERROR(__xludf.DUMMYFUNCTION("""COMPUTED_VALUE"""),647.5)</f>
        <v>647.5</v>
      </c>
      <c r="N1146" s="1">
        <f ca="1">IFERROR(__xludf.DUMMYFUNCTION("""COMPUTED_VALUE"""),210.28)</f>
        <v>210.28</v>
      </c>
      <c r="O1146" s="1">
        <f ca="1">IFERROR(__xludf.DUMMYFUNCTION("""COMPUTED_VALUE"""),267.71)</f>
        <v>267.70999999999998</v>
      </c>
      <c r="P1146" s="1">
        <f ca="1">IFERROR(__xludf.DUMMYFUNCTION("""COMPUTED_VALUE"""),154.24)</f>
        <v>154.24</v>
      </c>
      <c r="Q1146" s="1">
        <f ca="1">IFERROR(__xludf.DUMMYFUNCTION("""COMPUTED_VALUE"""),558.53)</f>
        <v>558.53</v>
      </c>
      <c r="R1146" s="1">
        <f ca="1">IFERROR(__xludf.DUMMYFUNCTION("""COMPUTED_VALUE"""),115.27)</f>
        <v>115.27</v>
      </c>
      <c r="S1146" s="1">
        <f ca="1">IFERROR(__xludf.DUMMYFUNCTION("""COMPUTED_VALUE"""),72.9)</f>
        <v>72.900000000000006</v>
      </c>
      <c r="T1146" s="1">
        <f ca="1">IFERROR(__xludf.DUMMYFUNCTION("""COMPUTED_VALUE"""),70.38)</f>
        <v>70.38</v>
      </c>
      <c r="U1146" s="1">
        <f ca="1">IFERROR(__xludf.DUMMYFUNCTION("""COMPUTED_VALUE"""),74.86)</f>
        <v>74.86</v>
      </c>
      <c r="V1146" s="1">
        <f ca="1">IFERROR(__xludf.DUMMYFUNCTION("""COMPUTED_VALUE"""),347.87)</f>
        <v>347.87</v>
      </c>
      <c r="W1146" s="1">
        <f ca="1">IFERROR(__xludf.DUMMYFUNCTION("""COMPUTED_VALUE"""),474.59)</f>
        <v>474.59</v>
      </c>
      <c r="X1146" s="1">
        <f ca="1">IFERROR(__xludf.DUMMYFUNCTION("""COMPUTED_VALUE"""),941.26)</f>
        <v>941.26</v>
      </c>
      <c r="Y1146" s="1">
        <f ca="1">IFERROR(__xludf.DUMMYFUNCTION("""COMPUTED_VALUE"""),169.35)</f>
        <v>169.35</v>
      </c>
      <c r="Z1146" s="1">
        <f ca="1">IFERROR(__xludf.DUMMYFUNCTION("""COMPUTED_VALUE"""),487.04)</f>
        <v>487.04</v>
      </c>
      <c r="AA1146" s="1">
        <f ca="1">IFERROR(__xludf.DUMMYFUNCTION("""COMPUTED_VALUE"""),29.6)</f>
        <v>29.6</v>
      </c>
      <c r="AB1146" s="1">
        <f ca="1">IFERROR(__xludf.DUMMYFUNCTION("""COMPUTED_VALUE"""),76.55)</f>
        <v>76.55</v>
      </c>
      <c r="AC1146" s="1">
        <f ca="1">IFERROR(__xludf.DUMMYFUNCTION("""COMPUTED_VALUE"""),155.87)</f>
        <v>155.87</v>
      </c>
    </row>
    <row r="1147" spans="1:29" x14ac:dyDescent="0.25">
      <c r="A1147" s="2">
        <f ca="1">IFERROR(__xludf.DUMMYFUNCTION("""COMPUTED_VALUE"""),45496.6666666666)</f>
        <v>45496.666666666599</v>
      </c>
      <c r="B1147" s="1">
        <f ca="1">IFERROR(__xludf.DUMMYFUNCTION("""COMPUTED_VALUE"""),225.01)</f>
        <v>225.01</v>
      </c>
      <c r="C1147" s="1">
        <f ca="1">IFERROR(__xludf.DUMMYFUNCTION("""COMPUTED_VALUE"""),444.85)</f>
        <v>444.85</v>
      </c>
      <c r="D1147" s="1">
        <f ca="1">IFERROR(__xludf.DUMMYFUNCTION("""COMPUTED_VALUE"""),186.41)</f>
        <v>186.41</v>
      </c>
      <c r="E1147" s="1">
        <f ca="1">IFERROR(__xludf.DUMMYFUNCTION("""COMPUTED_VALUE"""),122.59)</f>
        <v>122.59</v>
      </c>
      <c r="F1147" s="1">
        <f ca="1">IFERROR(__xludf.DUMMYFUNCTION("""COMPUTED_VALUE"""),488.69)</f>
        <v>488.69</v>
      </c>
      <c r="G1147" s="1">
        <f ca="1">IFERROR(__xludf.DUMMYFUNCTION("""COMPUTED_VALUE"""),183.6)</f>
        <v>183.6</v>
      </c>
      <c r="H1147" s="1">
        <f ca="1">IFERROR(__xludf.DUMMYFUNCTION("""COMPUTED_VALUE"""),246.38)</f>
        <v>246.38</v>
      </c>
      <c r="I1147" s="1">
        <f ca="1">IFERROR(__xludf.DUMMYFUNCTION("""COMPUTED_VALUE"""),166.28)</f>
        <v>166.28</v>
      </c>
      <c r="J1147" s="1">
        <f ca="1">IFERROR(__xludf.DUMMYFUNCTION("""COMPUTED_VALUE"""),852.11)</f>
        <v>852.11</v>
      </c>
      <c r="K1147" s="1">
        <f ca="1">IFERROR(__xludf.DUMMYFUNCTION("""COMPUTED_VALUE"""),163.77)</f>
        <v>163.77000000000001</v>
      </c>
      <c r="L1147" s="1">
        <f ca="1">IFERROR(__xludf.DUMMYFUNCTION("""COMPUTED_VALUE"""),546.01)</f>
        <v>546.01</v>
      </c>
      <c r="M1147" s="1">
        <f ca="1">IFERROR(__xludf.DUMMYFUNCTION("""COMPUTED_VALUE"""),642.76)</f>
        <v>642.76</v>
      </c>
      <c r="N1147" s="1">
        <f ca="1">IFERROR(__xludf.DUMMYFUNCTION("""COMPUTED_VALUE"""),210.33)</f>
        <v>210.33</v>
      </c>
      <c r="O1147" s="1">
        <f ca="1">IFERROR(__xludf.DUMMYFUNCTION("""COMPUTED_VALUE"""),264.79)</f>
        <v>264.79000000000002</v>
      </c>
      <c r="P1147" s="1">
        <f ca="1">IFERROR(__xludf.DUMMYFUNCTION("""COMPUTED_VALUE"""),152.35)</f>
        <v>152.35</v>
      </c>
      <c r="Q1147" s="1">
        <f ca="1">IFERROR(__xludf.DUMMYFUNCTION("""COMPUTED_VALUE"""),554.7)</f>
        <v>554.70000000000005</v>
      </c>
      <c r="R1147" s="1">
        <f ca="1">IFERROR(__xludf.DUMMYFUNCTION("""COMPUTED_VALUE"""),113.41)</f>
        <v>113.41</v>
      </c>
      <c r="S1147" s="1">
        <f ca="1">IFERROR(__xludf.DUMMYFUNCTION("""COMPUTED_VALUE"""),72.11)</f>
        <v>72.11</v>
      </c>
      <c r="T1147" s="1">
        <f ca="1">IFERROR(__xludf.DUMMYFUNCTION("""COMPUTED_VALUE"""),70.65)</f>
        <v>70.650000000000006</v>
      </c>
      <c r="U1147" s="1">
        <f ca="1">IFERROR(__xludf.DUMMYFUNCTION("""COMPUTED_VALUE"""),73.4)</f>
        <v>73.400000000000006</v>
      </c>
      <c r="V1147" s="1">
        <f ca="1">IFERROR(__xludf.DUMMYFUNCTION("""COMPUTED_VALUE"""),344.17)</f>
        <v>344.17</v>
      </c>
      <c r="W1147" s="1">
        <f ca="1">IFERROR(__xludf.DUMMYFUNCTION("""COMPUTED_VALUE"""),501.29)</f>
        <v>501.29</v>
      </c>
      <c r="X1147" s="1">
        <f ca="1">IFERROR(__xludf.DUMMYFUNCTION("""COMPUTED_VALUE"""),932.81)</f>
        <v>932.81</v>
      </c>
      <c r="Y1147" s="1">
        <f ca="1">IFERROR(__xludf.DUMMYFUNCTION("""COMPUTED_VALUE"""),169.82)</f>
        <v>169.82</v>
      </c>
      <c r="Z1147" s="1">
        <f ca="1">IFERROR(__xludf.DUMMYFUNCTION("""COMPUTED_VALUE"""),492.15)</f>
        <v>492.15</v>
      </c>
      <c r="AA1147" s="1">
        <f ca="1">IFERROR(__xludf.DUMMYFUNCTION("""COMPUTED_VALUE"""),29.5)</f>
        <v>29.5</v>
      </c>
      <c r="AB1147" s="1">
        <f ca="1">IFERROR(__xludf.DUMMYFUNCTION("""COMPUTED_VALUE"""),76.26)</f>
        <v>76.260000000000005</v>
      </c>
      <c r="AC1147" s="1">
        <f ca="1">IFERROR(__xludf.DUMMYFUNCTION("""COMPUTED_VALUE"""),154)</f>
        <v>154</v>
      </c>
    </row>
    <row r="1148" spans="1:29" x14ac:dyDescent="0.25">
      <c r="A1148" s="2">
        <f ca="1">IFERROR(__xludf.DUMMYFUNCTION("""COMPUTED_VALUE"""),45497.6666666666)</f>
        <v>45497.666666666599</v>
      </c>
      <c r="B1148" s="1">
        <f ca="1">IFERROR(__xludf.DUMMYFUNCTION("""COMPUTED_VALUE"""),218.54)</f>
        <v>218.54</v>
      </c>
      <c r="C1148" s="1">
        <f ca="1">IFERROR(__xludf.DUMMYFUNCTION("""COMPUTED_VALUE"""),428.9)</f>
        <v>428.9</v>
      </c>
      <c r="D1148" s="1">
        <f ca="1">IFERROR(__xludf.DUMMYFUNCTION("""COMPUTED_VALUE"""),180.83)</f>
        <v>180.83</v>
      </c>
      <c r="E1148" s="1">
        <f ca="1">IFERROR(__xludf.DUMMYFUNCTION("""COMPUTED_VALUE"""),114.25)</f>
        <v>114.25</v>
      </c>
      <c r="F1148" s="1">
        <f ca="1">IFERROR(__xludf.DUMMYFUNCTION("""COMPUTED_VALUE"""),461.27)</f>
        <v>461.27</v>
      </c>
      <c r="G1148" s="1">
        <f ca="1">IFERROR(__xludf.DUMMYFUNCTION("""COMPUTED_VALUE"""),174.37)</f>
        <v>174.37</v>
      </c>
      <c r="H1148" s="1">
        <f ca="1">IFERROR(__xludf.DUMMYFUNCTION("""COMPUTED_VALUE"""),215.99)</f>
        <v>215.99</v>
      </c>
      <c r="I1148" s="1">
        <f ca="1">IFERROR(__xludf.DUMMYFUNCTION("""COMPUTED_VALUE"""),168.17)</f>
        <v>168.17</v>
      </c>
      <c r="J1148" s="1">
        <f ca="1">IFERROR(__xludf.DUMMYFUNCTION("""COMPUTED_VALUE"""),830.82)</f>
        <v>830.82</v>
      </c>
      <c r="K1148" s="1">
        <f ca="1">IFERROR(__xludf.DUMMYFUNCTION("""COMPUTED_VALUE"""),151.34)</f>
        <v>151.34</v>
      </c>
      <c r="L1148" s="1">
        <f ca="1">IFERROR(__xludf.DUMMYFUNCTION("""COMPUTED_VALUE"""),531.04)</f>
        <v>531.04</v>
      </c>
      <c r="M1148" s="1">
        <f ca="1">IFERROR(__xludf.DUMMYFUNCTION("""COMPUTED_VALUE"""),635.99)</f>
        <v>635.99</v>
      </c>
      <c r="N1148" s="1">
        <f ca="1">IFERROR(__xludf.DUMMYFUNCTION("""COMPUTED_VALUE"""),208.59)</f>
        <v>208.59</v>
      </c>
      <c r="O1148" s="1">
        <f ca="1">IFERROR(__xludf.DUMMYFUNCTION("""COMPUTED_VALUE"""),254.17)</f>
        <v>254.17</v>
      </c>
      <c r="P1148" s="1">
        <f ca="1">IFERROR(__xludf.DUMMYFUNCTION("""COMPUTED_VALUE"""),156.28)</f>
        <v>156.28</v>
      </c>
      <c r="Q1148" s="1">
        <f ca="1">IFERROR(__xludf.DUMMYFUNCTION("""COMPUTED_VALUE"""),559.75)</f>
        <v>559.75</v>
      </c>
      <c r="R1148" s="1">
        <f ca="1">IFERROR(__xludf.DUMMYFUNCTION("""COMPUTED_VALUE"""),115.01)</f>
        <v>115.01</v>
      </c>
      <c r="S1148" s="1">
        <f ca="1">IFERROR(__xludf.DUMMYFUNCTION("""COMPUTED_VALUE"""),75.41)</f>
        <v>75.41</v>
      </c>
      <c r="T1148" s="1">
        <f ca="1">IFERROR(__xludf.DUMMYFUNCTION("""COMPUTED_VALUE"""),70.6)</f>
        <v>70.599999999999994</v>
      </c>
      <c r="U1148" s="1">
        <f ca="1">IFERROR(__xludf.DUMMYFUNCTION("""COMPUTED_VALUE"""),71.09)</f>
        <v>71.09</v>
      </c>
      <c r="V1148" s="1">
        <f ca="1">IFERROR(__xludf.DUMMYFUNCTION("""COMPUTED_VALUE"""),336.04)</f>
        <v>336.04</v>
      </c>
      <c r="W1148" s="1">
        <f ca="1">IFERROR(__xludf.DUMMYFUNCTION("""COMPUTED_VALUE"""),515.2)</f>
        <v>515.20000000000005</v>
      </c>
      <c r="X1148" s="1">
        <f ca="1">IFERROR(__xludf.DUMMYFUNCTION("""COMPUTED_VALUE"""),872.75)</f>
        <v>872.75</v>
      </c>
      <c r="Y1148" s="1">
        <f ca="1">IFERROR(__xludf.DUMMYFUNCTION("""COMPUTED_VALUE"""),159.8)</f>
        <v>159.80000000000001</v>
      </c>
      <c r="Z1148" s="1">
        <f ca="1">IFERROR(__xludf.DUMMYFUNCTION("""COMPUTED_VALUE"""),486.7)</f>
        <v>486.7</v>
      </c>
      <c r="AA1148" s="1">
        <f ca="1">IFERROR(__xludf.DUMMYFUNCTION("""COMPUTED_VALUE"""),29.98)</f>
        <v>29.98</v>
      </c>
      <c r="AB1148" s="1">
        <f ca="1">IFERROR(__xludf.DUMMYFUNCTION("""COMPUTED_VALUE"""),74.68)</f>
        <v>74.680000000000007</v>
      </c>
      <c r="AC1148" s="1">
        <f ca="1">IFERROR(__xludf.DUMMYFUNCTION("""COMPUTED_VALUE"""),144.63)</f>
        <v>144.63</v>
      </c>
    </row>
    <row r="1149" spans="1:29" x14ac:dyDescent="0.25">
      <c r="A1149" s="2">
        <f ca="1">IFERROR(__xludf.DUMMYFUNCTION("""COMPUTED_VALUE"""),45498.6666666666)</f>
        <v>45498.666666666599</v>
      </c>
      <c r="B1149" s="1">
        <f ca="1">IFERROR(__xludf.DUMMYFUNCTION("""COMPUTED_VALUE"""),217.49)</f>
        <v>217.49</v>
      </c>
      <c r="C1149" s="1">
        <f ca="1">IFERROR(__xludf.DUMMYFUNCTION("""COMPUTED_VALUE"""),418.4)</f>
        <v>418.4</v>
      </c>
      <c r="D1149" s="1">
        <f ca="1">IFERROR(__xludf.DUMMYFUNCTION("""COMPUTED_VALUE"""),179.85)</f>
        <v>179.85</v>
      </c>
      <c r="E1149" s="1">
        <f ca="1">IFERROR(__xludf.DUMMYFUNCTION("""COMPUTED_VALUE"""),112.28)</f>
        <v>112.28</v>
      </c>
      <c r="F1149" s="1">
        <f ca="1">IFERROR(__xludf.DUMMYFUNCTION("""COMPUTED_VALUE"""),453.41)</f>
        <v>453.41</v>
      </c>
      <c r="G1149" s="1">
        <f ca="1">IFERROR(__xludf.DUMMYFUNCTION("""COMPUTED_VALUE"""),169.16)</f>
        <v>169.16</v>
      </c>
      <c r="H1149" s="1">
        <f ca="1">IFERROR(__xludf.DUMMYFUNCTION("""COMPUTED_VALUE"""),220.25)</f>
        <v>220.25</v>
      </c>
      <c r="I1149" s="1">
        <f ca="1">IFERROR(__xludf.DUMMYFUNCTION("""COMPUTED_VALUE"""),171.02)</f>
        <v>171.02</v>
      </c>
      <c r="J1149" s="1">
        <f ca="1">IFERROR(__xludf.DUMMYFUNCTION("""COMPUTED_VALUE"""),815.95)</f>
        <v>815.95</v>
      </c>
      <c r="K1149" s="1">
        <f ca="1">IFERROR(__xludf.DUMMYFUNCTION("""COMPUTED_VALUE"""),149.26)</f>
        <v>149.26</v>
      </c>
      <c r="L1149" s="1">
        <f ca="1">IFERROR(__xludf.DUMMYFUNCTION("""COMPUTED_VALUE"""),532.15)</f>
        <v>532.15</v>
      </c>
      <c r="M1149" s="1">
        <f ca="1">IFERROR(__xludf.DUMMYFUNCTION("""COMPUTED_VALUE"""),634.09)</f>
        <v>634.09</v>
      </c>
      <c r="N1149" s="1">
        <f ca="1">IFERROR(__xludf.DUMMYFUNCTION("""COMPUTED_VALUE"""),208.67)</f>
        <v>208.67</v>
      </c>
      <c r="O1149" s="1">
        <f ca="1">IFERROR(__xludf.DUMMYFUNCTION("""COMPUTED_VALUE"""),253.74)</f>
        <v>253.74</v>
      </c>
      <c r="P1149" s="1">
        <f ca="1">IFERROR(__xludf.DUMMYFUNCTION("""COMPUTED_VALUE"""),159.64)</f>
        <v>159.63999999999999</v>
      </c>
      <c r="Q1149" s="1">
        <f ca="1">IFERROR(__xludf.DUMMYFUNCTION("""COMPUTED_VALUE"""),559.68)</f>
        <v>559.67999999999995</v>
      </c>
      <c r="R1149" s="1">
        <f ca="1">IFERROR(__xludf.DUMMYFUNCTION("""COMPUTED_VALUE"""),117.43)</f>
        <v>117.43</v>
      </c>
      <c r="S1149" s="1">
        <f ca="1">IFERROR(__xludf.DUMMYFUNCTION("""COMPUTED_VALUE"""),73.44)</f>
        <v>73.44</v>
      </c>
      <c r="T1149" s="1">
        <f ca="1">IFERROR(__xludf.DUMMYFUNCTION("""COMPUTED_VALUE"""),70.02)</f>
        <v>70.02</v>
      </c>
      <c r="U1149" s="1">
        <f ca="1">IFERROR(__xludf.DUMMYFUNCTION("""COMPUTED_VALUE"""),71.41)</f>
        <v>71.41</v>
      </c>
      <c r="V1149" s="1">
        <f ca="1">IFERROR(__xludf.DUMMYFUNCTION("""COMPUTED_VALUE"""),344.3)</f>
        <v>344.3</v>
      </c>
      <c r="W1149" s="1">
        <f ca="1">IFERROR(__xludf.DUMMYFUNCTION("""COMPUTED_VALUE"""),521.4)</f>
        <v>521.4</v>
      </c>
      <c r="X1149" s="1">
        <f ca="1">IFERROR(__xludf.DUMMYFUNCTION("""COMPUTED_VALUE"""),862.63)</f>
        <v>862.63</v>
      </c>
      <c r="Y1149" s="1">
        <f ca="1">IFERROR(__xludf.DUMMYFUNCTION("""COMPUTED_VALUE"""),160.28)</f>
        <v>160.28</v>
      </c>
      <c r="Z1149" s="1">
        <f ca="1">IFERROR(__xludf.DUMMYFUNCTION("""COMPUTED_VALUE"""),491.71)</f>
        <v>491.71</v>
      </c>
      <c r="AA1149" s="1">
        <f ca="1">IFERROR(__xludf.DUMMYFUNCTION("""COMPUTED_VALUE"""),30.18)</f>
        <v>30.18</v>
      </c>
      <c r="AB1149" s="1">
        <f ca="1">IFERROR(__xludf.DUMMYFUNCTION("""COMPUTED_VALUE"""),73.32)</f>
        <v>73.319999999999993</v>
      </c>
      <c r="AC1149" s="1">
        <f ca="1">IFERROR(__xludf.DUMMYFUNCTION("""COMPUTED_VALUE"""),138.32)</f>
        <v>138.32</v>
      </c>
    </row>
    <row r="1150" spans="1:29" x14ac:dyDescent="0.25">
      <c r="A1150" s="2">
        <f ca="1">IFERROR(__xludf.DUMMYFUNCTION("""COMPUTED_VALUE"""),45499.6666666666)</f>
        <v>45499.666666666599</v>
      </c>
      <c r="B1150" s="1">
        <f ca="1">IFERROR(__xludf.DUMMYFUNCTION("""COMPUTED_VALUE"""),217.96)</f>
        <v>217.96</v>
      </c>
      <c r="C1150" s="1">
        <f ca="1">IFERROR(__xludf.DUMMYFUNCTION("""COMPUTED_VALUE"""),425.27)</f>
        <v>425.27</v>
      </c>
      <c r="D1150" s="1">
        <f ca="1">IFERROR(__xludf.DUMMYFUNCTION("""COMPUTED_VALUE"""),182.5)</f>
        <v>182.5</v>
      </c>
      <c r="E1150" s="1">
        <f ca="1">IFERROR(__xludf.DUMMYFUNCTION("""COMPUTED_VALUE"""),113.06)</f>
        <v>113.06</v>
      </c>
      <c r="F1150" s="1">
        <f ca="1">IFERROR(__xludf.DUMMYFUNCTION("""COMPUTED_VALUE"""),465.7)</f>
        <v>465.7</v>
      </c>
      <c r="G1150" s="1">
        <f ca="1">IFERROR(__xludf.DUMMYFUNCTION("""COMPUTED_VALUE"""),168.68)</f>
        <v>168.68</v>
      </c>
      <c r="H1150" s="1">
        <f ca="1">IFERROR(__xludf.DUMMYFUNCTION("""COMPUTED_VALUE"""),219.8)</f>
        <v>219.8</v>
      </c>
      <c r="I1150" s="1">
        <f ca="1">IFERROR(__xludf.DUMMYFUNCTION("""COMPUTED_VALUE"""),172.75)</f>
        <v>172.75</v>
      </c>
      <c r="J1150" s="1">
        <f ca="1">IFERROR(__xludf.DUMMYFUNCTION("""COMPUTED_VALUE"""),817.6)</f>
        <v>817.6</v>
      </c>
      <c r="K1150" s="1">
        <f ca="1">IFERROR(__xludf.DUMMYFUNCTION("""COMPUTED_VALUE"""),151.63)</f>
        <v>151.63</v>
      </c>
      <c r="L1150" s="1">
        <f ca="1">IFERROR(__xludf.DUMMYFUNCTION("""COMPUTED_VALUE"""),542.44)</f>
        <v>542.44000000000005</v>
      </c>
      <c r="M1150" s="1">
        <f ca="1">IFERROR(__xludf.DUMMYFUNCTION("""COMPUTED_VALUE"""),631.37)</f>
        <v>631.37</v>
      </c>
      <c r="N1150" s="1">
        <f ca="1">IFERROR(__xludf.DUMMYFUNCTION("""COMPUTED_VALUE"""),212.24)</f>
        <v>212.24</v>
      </c>
      <c r="O1150" s="1">
        <f ca="1">IFERROR(__xludf.DUMMYFUNCTION("""COMPUTED_VALUE"""),259.46)</f>
        <v>259.45999999999998</v>
      </c>
      <c r="P1150" s="1">
        <f ca="1">IFERROR(__xludf.DUMMYFUNCTION("""COMPUTED_VALUE"""),160.64)</f>
        <v>160.63999999999999</v>
      </c>
      <c r="Q1150" s="1">
        <f ca="1">IFERROR(__xludf.DUMMYFUNCTION("""COMPUTED_VALUE"""),569.72)</f>
        <v>569.72</v>
      </c>
      <c r="R1150" s="1">
        <f ca="1">IFERROR(__xludf.DUMMYFUNCTION("""COMPUTED_VALUE"""),117.33)</f>
        <v>117.33</v>
      </c>
      <c r="S1150" s="1">
        <f ca="1">IFERROR(__xludf.DUMMYFUNCTION("""COMPUTED_VALUE"""),74.26)</f>
        <v>74.260000000000005</v>
      </c>
      <c r="T1150" s="1">
        <f ca="1">IFERROR(__xludf.DUMMYFUNCTION("""COMPUTED_VALUE"""),69.78)</f>
        <v>69.78</v>
      </c>
      <c r="U1150" s="1">
        <f ca="1">IFERROR(__xludf.DUMMYFUNCTION("""COMPUTED_VALUE"""),72.56)</f>
        <v>72.56</v>
      </c>
      <c r="V1150" s="1">
        <f ca="1">IFERROR(__xludf.DUMMYFUNCTION("""COMPUTED_VALUE"""),350.48)</f>
        <v>350.48</v>
      </c>
      <c r="W1150" s="1">
        <f ca="1">IFERROR(__xludf.DUMMYFUNCTION("""COMPUTED_VALUE"""),524.8)</f>
        <v>524.79999999999995</v>
      </c>
      <c r="X1150" s="1">
        <f ca="1">IFERROR(__xludf.DUMMYFUNCTION("""COMPUTED_VALUE"""),888.39)</f>
        <v>888.39</v>
      </c>
      <c r="Y1150" s="1">
        <f ca="1">IFERROR(__xludf.DUMMYFUNCTION("""COMPUTED_VALUE"""),161.94)</f>
        <v>161.94</v>
      </c>
      <c r="Z1150" s="1">
        <f ca="1">IFERROR(__xludf.DUMMYFUNCTION("""COMPUTED_VALUE"""),499.03)</f>
        <v>499.03</v>
      </c>
      <c r="AA1150" s="1">
        <f ca="1">IFERROR(__xludf.DUMMYFUNCTION("""COMPUTED_VALUE"""),30.77)</f>
        <v>30.77</v>
      </c>
      <c r="AB1150" s="1">
        <f ca="1">IFERROR(__xludf.DUMMYFUNCTION("""COMPUTED_VALUE"""),74.05)</f>
        <v>74.05</v>
      </c>
      <c r="AC1150" s="1">
        <f ca="1">IFERROR(__xludf.DUMMYFUNCTION("""COMPUTED_VALUE"""),139.99)</f>
        <v>139.99</v>
      </c>
    </row>
    <row r="1151" spans="1:29" x14ac:dyDescent="0.25">
      <c r="A1151" s="2">
        <f ca="1">IFERROR(__xludf.DUMMYFUNCTION("""COMPUTED_VALUE"""),45502.6666666666)</f>
        <v>45502.666666666599</v>
      </c>
      <c r="B1151" s="1">
        <f ca="1">IFERROR(__xludf.DUMMYFUNCTION("""COMPUTED_VALUE"""),218.24)</f>
        <v>218.24</v>
      </c>
      <c r="C1151" s="1">
        <f ca="1">IFERROR(__xludf.DUMMYFUNCTION("""COMPUTED_VALUE"""),426.73)</f>
        <v>426.73</v>
      </c>
      <c r="D1151" s="1">
        <f ca="1">IFERROR(__xludf.DUMMYFUNCTION("""COMPUTED_VALUE"""),183.2)</f>
        <v>183.2</v>
      </c>
      <c r="E1151" s="1">
        <f ca="1">IFERROR(__xludf.DUMMYFUNCTION("""COMPUTED_VALUE"""),111.59)</f>
        <v>111.59</v>
      </c>
      <c r="F1151" s="1">
        <f ca="1">IFERROR(__xludf.DUMMYFUNCTION("""COMPUTED_VALUE"""),465.71)</f>
        <v>465.71</v>
      </c>
      <c r="G1151" s="1">
        <f ca="1">IFERROR(__xludf.DUMMYFUNCTION("""COMPUTED_VALUE"""),171.13)</f>
        <v>171.13</v>
      </c>
      <c r="H1151" s="1">
        <f ca="1">IFERROR(__xludf.DUMMYFUNCTION("""COMPUTED_VALUE"""),232.1)</f>
        <v>232.1</v>
      </c>
      <c r="I1151" s="1">
        <f ca="1">IFERROR(__xludf.DUMMYFUNCTION("""COMPUTED_VALUE"""),173.21)</f>
        <v>173.21</v>
      </c>
      <c r="J1151" s="1">
        <f ca="1">IFERROR(__xludf.DUMMYFUNCTION("""COMPUTED_VALUE"""),815.56)</f>
        <v>815.56</v>
      </c>
      <c r="K1151" s="1">
        <f ca="1">IFERROR(__xludf.DUMMYFUNCTION("""COMPUTED_VALUE"""),150.22)</f>
        <v>150.22</v>
      </c>
      <c r="L1151" s="1">
        <f ca="1">IFERROR(__xludf.DUMMYFUNCTION("""COMPUTED_VALUE"""),536.61)</f>
        <v>536.61</v>
      </c>
      <c r="M1151" s="1">
        <f ca="1">IFERROR(__xludf.DUMMYFUNCTION("""COMPUTED_VALUE"""),626.96)</f>
        <v>626.96</v>
      </c>
      <c r="N1151" s="1">
        <f ca="1">IFERROR(__xludf.DUMMYFUNCTION("""COMPUTED_VALUE"""),210.85)</f>
        <v>210.85</v>
      </c>
      <c r="O1151" s="1">
        <f ca="1">IFERROR(__xludf.DUMMYFUNCTION("""COMPUTED_VALUE"""),261.6)</f>
        <v>261.60000000000002</v>
      </c>
      <c r="P1151" s="1">
        <f ca="1">IFERROR(__xludf.DUMMYFUNCTION("""COMPUTED_VALUE"""),158.56)</f>
        <v>158.56</v>
      </c>
      <c r="Q1151" s="1">
        <f ca="1">IFERROR(__xludf.DUMMYFUNCTION("""COMPUTED_VALUE"""),566.75)</f>
        <v>566.75</v>
      </c>
      <c r="R1151" s="1">
        <f ca="1">IFERROR(__xludf.DUMMYFUNCTION("""COMPUTED_VALUE"""),116.1)</f>
        <v>116.1</v>
      </c>
      <c r="S1151" s="1">
        <f ca="1">IFERROR(__xludf.DUMMYFUNCTION("""COMPUTED_VALUE"""),74.34)</f>
        <v>74.34</v>
      </c>
      <c r="T1151" s="1">
        <f ca="1">IFERROR(__xludf.DUMMYFUNCTION("""COMPUTED_VALUE"""),69.62)</f>
        <v>69.62</v>
      </c>
      <c r="U1151" s="1">
        <f ca="1">IFERROR(__xludf.DUMMYFUNCTION("""COMPUTED_VALUE"""),73.55)</f>
        <v>73.55</v>
      </c>
      <c r="V1151" s="1">
        <f ca="1">IFERROR(__xludf.DUMMYFUNCTION("""COMPUTED_VALUE"""),344.53)</f>
        <v>344.53</v>
      </c>
      <c r="W1151" s="1">
        <f ca="1">IFERROR(__xludf.DUMMYFUNCTION("""COMPUTED_VALUE"""),527.64)</f>
        <v>527.64</v>
      </c>
      <c r="X1151" s="1">
        <f ca="1">IFERROR(__xludf.DUMMYFUNCTION("""COMPUTED_VALUE"""),870.55)</f>
        <v>870.55</v>
      </c>
      <c r="Y1151" s="1">
        <f ca="1">IFERROR(__xludf.DUMMYFUNCTION("""COMPUTED_VALUE"""),160.01)</f>
        <v>160.01</v>
      </c>
      <c r="Z1151" s="1">
        <f ca="1">IFERROR(__xludf.DUMMYFUNCTION("""COMPUTED_VALUE"""),492.72)</f>
        <v>492.72</v>
      </c>
      <c r="AA1151" s="1">
        <f ca="1">IFERROR(__xludf.DUMMYFUNCTION("""COMPUTED_VALUE"""),30.72)</f>
        <v>30.72</v>
      </c>
      <c r="AB1151" s="1">
        <f ca="1">IFERROR(__xludf.DUMMYFUNCTION("""COMPUTED_VALUE"""),75.2)</f>
        <v>75.2</v>
      </c>
      <c r="AC1151" s="1">
        <f ca="1">IFERROR(__xludf.DUMMYFUNCTION("""COMPUTED_VALUE"""),139.75)</f>
        <v>139.75</v>
      </c>
    </row>
    <row r="1152" spans="1:29" x14ac:dyDescent="0.25">
      <c r="A1152" s="2">
        <f ca="1">IFERROR(__xludf.DUMMYFUNCTION("""COMPUTED_VALUE"""),45503.6666666666)</f>
        <v>45503.666666666599</v>
      </c>
      <c r="B1152" s="1">
        <f ca="1">IFERROR(__xludf.DUMMYFUNCTION("""COMPUTED_VALUE"""),218.8)</f>
        <v>218.8</v>
      </c>
      <c r="C1152" s="1">
        <f ca="1">IFERROR(__xludf.DUMMYFUNCTION("""COMPUTED_VALUE"""),422.92)</f>
        <v>422.92</v>
      </c>
      <c r="D1152" s="1">
        <f ca="1">IFERROR(__xludf.DUMMYFUNCTION("""COMPUTED_VALUE"""),181.71)</f>
        <v>181.71</v>
      </c>
      <c r="E1152" s="1">
        <f ca="1">IFERROR(__xludf.DUMMYFUNCTION("""COMPUTED_VALUE"""),103.73)</f>
        <v>103.73</v>
      </c>
      <c r="F1152" s="1">
        <f ca="1">IFERROR(__xludf.DUMMYFUNCTION("""COMPUTED_VALUE"""),463.19)</f>
        <v>463.19</v>
      </c>
      <c r="G1152" s="1">
        <f ca="1">IFERROR(__xludf.DUMMYFUNCTION("""COMPUTED_VALUE"""),171.86)</f>
        <v>171.86</v>
      </c>
      <c r="H1152" s="1">
        <f ca="1">IFERROR(__xludf.DUMMYFUNCTION("""COMPUTED_VALUE"""),222.62)</f>
        <v>222.62</v>
      </c>
      <c r="I1152" s="1">
        <f ca="1">IFERROR(__xludf.DUMMYFUNCTION("""COMPUTED_VALUE"""),173.18)</f>
        <v>173.18</v>
      </c>
      <c r="J1152" s="1">
        <f ca="1">IFERROR(__xludf.DUMMYFUNCTION("""COMPUTED_VALUE"""),810.03)</f>
        <v>810.03</v>
      </c>
      <c r="K1152" s="1">
        <f ca="1">IFERROR(__xludf.DUMMYFUNCTION("""COMPUTED_VALUE"""),143.52)</f>
        <v>143.52000000000001</v>
      </c>
      <c r="L1152" s="1">
        <f ca="1">IFERROR(__xludf.DUMMYFUNCTION("""COMPUTED_VALUE"""),538.71)</f>
        <v>538.71</v>
      </c>
      <c r="M1152" s="1">
        <f ca="1">IFERROR(__xludf.DUMMYFUNCTION("""COMPUTED_VALUE"""),622.58)</f>
        <v>622.58000000000004</v>
      </c>
      <c r="N1152" s="1">
        <f ca="1">IFERROR(__xludf.DUMMYFUNCTION("""COMPUTED_VALUE"""),215.19)</f>
        <v>215.19</v>
      </c>
      <c r="O1152" s="1">
        <f ca="1">IFERROR(__xludf.DUMMYFUNCTION("""COMPUTED_VALUE"""),263.1)</f>
        <v>263.10000000000002</v>
      </c>
      <c r="P1152" s="1">
        <f ca="1">IFERROR(__xludf.DUMMYFUNCTION("""COMPUTED_VALUE"""),161.33)</f>
        <v>161.33000000000001</v>
      </c>
      <c r="Q1152" s="1">
        <f ca="1">IFERROR(__xludf.DUMMYFUNCTION("""COMPUTED_VALUE"""),576.33)</f>
        <v>576.33000000000004</v>
      </c>
      <c r="R1152" s="1">
        <f ca="1">IFERROR(__xludf.DUMMYFUNCTION("""COMPUTED_VALUE"""),118.17)</f>
        <v>118.17</v>
      </c>
      <c r="S1152" s="1">
        <f ca="1">IFERROR(__xludf.DUMMYFUNCTION("""COMPUTED_VALUE"""),74.28)</f>
        <v>74.28</v>
      </c>
      <c r="T1152" s="1">
        <f ca="1">IFERROR(__xludf.DUMMYFUNCTION("""COMPUTED_VALUE"""),69.19)</f>
        <v>69.19</v>
      </c>
      <c r="U1152" s="1">
        <f ca="1">IFERROR(__xludf.DUMMYFUNCTION("""COMPUTED_VALUE"""),74.32)</f>
        <v>74.319999999999993</v>
      </c>
      <c r="V1152" s="1">
        <f ca="1">IFERROR(__xludf.DUMMYFUNCTION("""COMPUTED_VALUE"""),341.72)</f>
        <v>341.72</v>
      </c>
      <c r="W1152" s="1">
        <f ca="1">IFERROR(__xludf.DUMMYFUNCTION("""COMPUTED_VALUE"""),537.66)</f>
        <v>537.66</v>
      </c>
      <c r="X1152" s="1">
        <f ca="1">IFERROR(__xludf.DUMMYFUNCTION("""COMPUTED_VALUE"""),860.24)</f>
        <v>860.24</v>
      </c>
      <c r="Y1152" s="1">
        <f ca="1">IFERROR(__xludf.DUMMYFUNCTION("""COMPUTED_VALUE"""),154.54)</f>
        <v>154.54</v>
      </c>
      <c r="Z1152" s="1">
        <f ca="1">IFERROR(__xludf.DUMMYFUNCTION("""COMPUTED_VALUE"""),505.67)</f>
        <v>505.67</v>
      </c>
      <c r="AA1152" s="1">
        <f ca="1">IFERROR(__xludf.DUMMYFUNCTION("""COMPUTED_VALUE"""),31.39)</f>
        <v>31.39</v>
      </c>
      <c r="AB1152" s="1">
        <f ca="1">IFERROR(__xludf.DUMMYFUNCTION("""COMPUTED_VALUE"""),75.94)</f>
        <v>75.94</v>
      </c>
      <c r="AC1152" s="1">
        <f ca="1">IFERROR(__xludf.DUMMYFUNCTION("""COMPUTED_VALUE"""),138.44)</f>
        <v>138.44</v>
      </c>
    </row>
    <row r="1153" spans="1:29" x14ac:dyDescent="0.25">
      <c r="A1153" s="2">
        <f ca="1">IFERROR(__xludf.DUMMYFUNCTION("""COMPUTED_VALUE"""),45504.6666666666)</f>
        <v>45504.666666666599</v>
      </c>
      <c r="B1153" s="1">
        <f ca="1">IFERROR(__xludf.DUMMYFUNCTION("""COMPUTED_VALUE"""),222.08)</f>
        <v>222.08</v>
      </c>
      <c r="C1153" s="1">
        <f ca="1">IFERROR(__xludf.DUMMYFUNCTION("""COMPUTED_VALUE"""),418.35)</f>
        <v>418.35</v>
      </c>
      <c r="D1153" s="1">
        <f ca="1">IFERROR(__xludf.DUMMYFUNCTION("""COMPUTED_VALUE"""),186.98)</f>
        <v>186.98</v>
      </c>
      <c r="E1153" s="1">
        <f ca="1">IFERROR(__xludf.DUMMYFUNCTION("""COMPUTED_VALUE"""),117.02)</f>
        <v>117.02</v>
      </c>
      <c r="F1153" s="1">
        <f ca="1">IFERROR(__xludf.DUMMYFUNCTION("""COMPUTED_VALUE"""),474.83)</f>
        <v>474.83</v>
      </c>
      <c r="G1153" s="1">
        <f ca="1">IFERROR(__xludf.DUMMYFUNCTION("""COMPUTED_VALUE"""),173.15)</f>
        <v>173.15</v>
      </c>
      <c r="H1153" s="1">
        <f ca="1">IFERROR(__xludf.DUMMYFUNCTION("""COMPUTED_VALUE"""),232.07)</f>
        <v>232.07</v>
      </c>
      <c r="I1153" s="1">
        <f ca="1">IFERROR(__xludf.DUMMYFUNCTION("""COMPUTED_VALUE"""),172.67)</f>
        <v>172.67</v>
      </c>
      <c r="J1153" s="1">
        <f ca="1">IFERROR(__xludf.DUMMYFUNCTION("""COMPUTED_VALUE"""),822)</f>
        <v>822</v>
      </c>
      <c r="K1153" s="1">
        <f ca="1">IFERROR(__xludf.DUMMYFUNCTION("""COMPUTED_VALUE"""),160.68)</f>
        <v>160.68</v>
      </c>
      <c r="L1153" s="1">
        <f ca="1">IFERROR(__xludf.DUMMYFUNCTION("""COMPUTED_VALUE"""),551.65)</f>
        <v>551.65</v>
      </c>
      <c r="M1153" s="1">
        <f ca="1">IFERROR(__xludf.DUMMYFUNCTION("""COMPUTED_VALUE"""),628.35)</f>
        <v>628.35</v>
      </c>
      <c r="N1153" s="1">
        <f ca="1">IFERROR(__xludf.DUMMYFUNCTION("""COMPUTED_VALUE"""),212.8)</f>
        <v>212.8</v>
      </c>
      <c r="O1153" s="1">
        <f ca="1">IFERROR(__xludf.DUMMYFUNCTION("""COMPUTED_VALUE"""),265.67)</f>
        <v>265.67</v>
      </c>
      <c r="P1153" s="1">
        <f ca="1">IFERROR(__xludf.DUMMYFUNCTION("""COMPUTED_VALUE"""),157.85)</f>
        <v>157.85</v>
      </c>
      <c r="Q1153" s="1">
        <f ca="1">IFERROR(__xludf.DUMMYFUNCTION("""COMPUTED_VALUE"""),576.16)</f>
        <v>576.16</v>
      </c>
      <c r="R1153" s="1">
        <f ca="1">IFERROR(__xludf.DUMMYFUNCTION("""COMPUTED_VALUE"""),118.59)</f>
        <v>118.59</v>
      </c>
      <c r="S1153" s="1">
        <f ca="1">IFERROR(__xludf.DUMMYFUNCTION("""COMPUTED_VALUE"""),76.39)</f>
        <v>76.39</v>
      </c>
      <c r="T1153" s="1">
        <f ca="1">IFERROR(__xludf.DUMMYFUNCTION("""COMPUTED_VALUE"""),68.64)</f>
        <v>68.64</v>
      </c>
      <c r="U1153" s="1">
        <f ca="1">IFERROR(__xludf.DUMMYFUNCTION("""COMPUTED_VALUE"""),74.86)</f>
        <v>74.86</v>
      </c>
      <c r="V1153" s="1">
        <f ca="1">IFERROR(__xludf.DUMMYFUNCTION("""COMPUTED_VALUE"""),346.2)</f>
        <v>346.2</v>
      </c>
      <c r="W1153" s="1">
        <f ca="1">IFERROR(__xludf.DUMMYFUNCTION("""COMPUTED_VALUE"""),541.92)</f>
        <v>541.91999999999996</v>
      </c>
      <c r="X1153" s="1">
        <f ca="1">IFERROR(__xludf.DUMMYFUNCTION("""COMPUTED_VALUE"""),936.7)</f>
        <v>936.7</v>
      </c>
      <c r="Y1153" s="1">
        <f ca="1">IFERROR(__xludf.DUMMYFUNCTION("""COMPUTED_VALUE"""),165.8)</f>
        <v>165.8</v>
      </c>
      <c r="Z1153" s="1">
        <f ca="1">IFERROR(__xludf.DUMMYFUNCTION("""COMPUTED_VALUE"""),509.03)</f>
        <v>509.03</v>
      </c>
      <c r="AA1153" s="1">
        <f ca="1">IFERROR(__xludf.DUMMYFUNCTION("""COMPUTED_VALUE"""),30.54)</f>
        <v>30.54</v>
      </c>
      <c r="AB1153" s="1">
        <f ca="1">IFERROR(__xludf.DUMMYFUNCTION("""COMPUTED_VALUE"""),77.95)</f>
        <v>77.95</v>
      </c>
      <c r="AC1153" s="1">
        <f ca="1">IFERROR(__xludf.DUMMYFUNCTION("""COMPUTED_VALUE"""),144.48)</f>
        <v>144.47999999999999</v>
      </c>
    </row>
    <row r="1154" spans="1:29" x14ac:dyDescent="0.25">
      <c r="A1154" s="2">
        <f ca="1">IFERROR(__xludf.DUMMYFUNCTION("""COMPUTED_VALUE"""),45505.6666666666)</f>
        <v>45505.666666666599</v>
      </c>
      <c r="B1154" s="1">
        <f ca="1">IFERROR(__xludf.DUMMYFUNCTION("""COMPUTED_VALUE"""),218.36)</f>
        <v>218.36</v>
      </c>
      <c r="C1154" s="1">
        <f ca="1">IFERROR(__xludf.DUMMYFUNCTION("""COMPUTED_VALUE"""),417.11)</f>
        <v>417.11</v>
      </c>
      <c r="D1154" s="1">
        <f ca="1">IFERROR(__xludf.DUMMYFUNCTION("""COMPUTED_VALUE"""),184.07)</f>
        <v>184.07</v>
      </c>
      <c r="E1154" s="1">
        <f ca="1">IFERROR(__xludf.DUMMYFUNCTION("""COMPUTED_VALUE"""),109.21)</f>
        <v>109.21</v>
      </c>
      <c r="F1154" s="1">
        <f ca="1">IFERROR(__xludf.DUMMYFUNCTION("""COMPUTED_VALUE"""),497.74)</f>
        <v>497.74</v>
      </c>
      <c r="G1154" s="1">
        <f ca="1">IFERROR(__xludf.DUMMYFUNCTION("""COMPUTED_VALUE"""),172.45)</f>
        <v>172.45</v>
      </c>
      <c r="H1154" s="1">
        <f ca="1">IFERROR(__xludf.DUMMYFUNCTION("""COMPUTED_VALUE"""),216.86)</f>
        <v>216.86</v>
      </c>
      <c r="I1154" s="1">
        <f ca="1">IFERROR(__xludf.DUMMYFUNCTION("""COMPUTED_VALUE"""),174.96)</f>
        <v>174.96</v>
      </c>
      <c r="J1154" s="1">
        <f ca="1">IFERROR(__xludf.DUMMYFUNCTION("""COMPUTED_VALUE"""),816.89)</f>
        <v>816.89</v>
      </c>
      <c r="K1154" s="1">
        <f ca="1">IFERROR(__xludf.DUMMYFUNCTION("""COMPUTED_VALUE"""),147.02)</f>
        <v>147.02000000000001</v>
      </c>
      <c r="L1154" s="1">
        <f ca="1">IFERROR(__xludf.DUMMYFUNCTION("""COMPUTED_VALUE"""),546.41)</f>
        <v>546.41</v>
      </c>
      <c r="M1154" s="1">
        <f ca="1">IFERROR(__xludf.DUMMYFUNCTION("""COMPUTED_VALUE"""),624.85)</f>
        <v>624.85</v>
      </c>
      <c r="N1154" s="1">
        <f ca="1">IFERROR(__xludf.DUMMYFUNCTION("""COMPUTED_VALUE"""),207.96)</f>
        <v>207.96</v>
      </c>
      <c r="O1154" s="1">
        <f ca="1">IFERROR(__xludf.DUMMYFUNCTION("""COMPUTED_VALUE"""),265.93)</f>
        <v>265.93</v>
      </c>
      <c r="P1154" s="1">
        <f ca="1">IFERROR(__xludf.DUMMYFUNCTION("""COMPUTED_VALUE"""),160.76)</f>
        <v>160.76</v>
      </c>
      <c r="Q1154" s="1">
        <f ca="1">IFERROR(__xludf.DUMMYFUNCTION("""COMPUTED_VALUE"""),572.77)</f>
        <v>572.77</v>
      </c>
      <c r="R1154" s="1">
        <f ca="1">IFERROR(__xludf.DUMMYFUNCTION("""COMPUTED_VALUE"""),116.95)</f>
        <v>116.95</v>
      </c>
      <c r="S1154" s="1">
        <f ca="1">IFERROR(__xludf.DUMMYFUNCTION("""COMPUTED_VALUE"""),78.39)</f>
        <v>78.39</v>
      </c>
      <c r="T1154" s="1">
        <f ca="1">IFERROR(__xludf.DUMMYFUNCTION("""COMPUTED_VALUE"""),69.79)</f>
        <v>69.790000000000006</v>
      </c>
      <c r="U1154" s="1">
        <f ca="1">IFERROR(__xludf.DUMMYFUNCTION("""COMPUTED_VALUE"""),73.85)</f>
        <v>73.849999999999994</v>
      </c>
      <c r="V1154" s="1">
        <f ca="1">IFERROR(__xludf.DUMMYFUNCTION("""COMPUTED_VALUE"""),331.52)</f>
        <v>331.52</v>
      </c>
      <c r="W1154" s="1">
        <f ca="1">IFERROR(__xludf.DUMMYFUNCTION("""COMPUTED_VALUE"""),548.86)</f>
        <v>548.86</v>
      </c>
      <c r="X1154" s="1">
        <f ca="1">IFERROR(__xludf.DUMMYFUNCTION("""COMPUTED_VALUE"""),883.71)</f>
        <v>883.71</v>
      </c>
      <c r="Y1154" s="1">
        <f ca="1">IFERROR(__xludf.DUMMYFUNCTION("""COMPUTED_VALUE"""),158.18)</f>
        <v>158.18</v>
      </c>
      <c r="Z1154" s="1">
        <f ca="1">IFERROR(__xludf.DUMMYFUNCTION("""COMPUTED_VALUE"""),500.12)</f>
        <v>500.12</v>
      </c>
      <c r="AA1154" s="1">
        <f ca="1">IFERROR(__xludf.DUMMYFUNCTION("""COMPUTED_VALUE"""),30.65)</f>
        <v>30.65</v>
      </c>
      <c r="AB1154" s="1">
        <f ca="1">IFERROR(__xludf.DUMMYFUNCTION("""COMPUTED_VALUE"""),75.11)</f>
        <v>75.11</v>
      </c>
      <c r="AC1154" s="1">
        <f ca="1">IFERROR(__xludf.DUMMYFUNCTION("""COMPUTED_VALUE"""),132.54)</f>
        <v>132.54</v>
      </c>
    </row>
    <row r="1155" spans="1:29" x14ac:dyDescent="0.25">
      <c r="A1155" s="2">
        <f ca="1">IFERROR(__xludf.DUMMYFUNCTION("""COMPUTED_VALUE"""),45506.6666666666)</f>
        <v>45506.666666666599</v>
      </c>
      <c r="B1155" s="1">
        <f ca="1">IFERROR(__xludf.DUMMYFUNCTION("""COMPUTED_VALUE"""),219.86)</f>
        <v>219.86</v>
      </c>
      <c r="C1155" s="1">
        <f ca="1">IFERROR(__xludf.DUMMYFUNCTION("""COMPUTED_VALUE"""),408.49)</f>
        <v>408.49</v>
      </c>
      <c r="D1155" s="1">
        <f ca="1">IFERROR(__xludf.DUMMYFUNCTION("""COMPUTED_VALUE"""),167.9)</f>
        <v>167.9</v>
      </c>
      <c r="E1155" s="1">
        <f ca="1">IFERROR(__xludf.DUMMYFUNCTION("""COMPUTED_VALUE"""),107.27)</f>
        <v>107.27</v>
      </c>
      <c r="F1155" s="1">
        <f ca="1">IFERROR(__xludf.DUMMYFUNCTION("""COMPUTED_VALUE"""),488.14)</f>
        <v>488.14</v>
      </c>
      <c r="G1155" s="1">
        <f ca="1">IFERROR(__xludf.DUMMYFUNCTION("""COMPUTED_VALUE"""),168.4)</f>
        <v>168.4</v>
      </c>
      <c r="H1155" s="1">
        <f ca="1">IFERROR(__xludf.DUMMYFUNCTION("""COMPUTED_VALUE"""),207.67)</f>
        <v>207.67</v>
      </c>
      <c r="I1155" s="1">
        <f ca="1">IFERROR(__xludf.DUMMYFUNCTION("""COMPUTED_VALUE"""),178.04)</f>
        <v>178.04</v>
      </c>
      <c r="J1155" s="1">
        <f ca="1">IFERROR(__xludf.DUMMYFUNCTION("""COMPUTED_VALUE"""),822.08)</f>
        <v>822.08</v>
      </c>
      <c r="K1155" s="1">
        <f ca="1">IFERROR(__xludf.DUMMYFUNCTION("""COMPUTED_VALUE"""),143.82)</f>
        <v>143.82</v>
      </c>
      <c r="L1155" s="1">
        <f ca="1">IFERROR(__xludf.DUMMYFUNCTION("""COMPUTED_VALUE"""),526.17)</f>
        <v>526.16999999999996</v>
      </c>
      <c r="M1155" s="1">
        <f ca="1">IFERROR(__xludf.DUMMYFUNCTION("""COMPUTED_VALUE"""),613.64)</f>
        <v>613.64</v>
      </c>
      <c r="N1155" s="1">
        <f ca="1">IFERROR(__xludf.DUMMYFUNCTION("""COMPUTED_VALUE"""),199.14)</f>
        <v>199.14</v>
      </c>
      <c r="O1155" s="1">
        <f ca="1">IFERROR(__xludf.DUMMYFUNCTION("""COMPUTED_VALUE"""),266.58)</f>
        <v>266.58</v>
      </c>
      <c r="P1155" s="1">
        <f ca="1">IFERROR(__xludf.DUMMYFUNCTION("""COMPUTED_VALUE"""),164.14)</f>
        <v>164.14</v>
      </c>
      <c r="Q1155" s="1">
        <f ca="1">IFERROR(__xludf.DUMMYFUNCTION("""COMPUTED_VALUE"""),589.83)</f>
        <v>589.83000000000004</v>
      </c>
      <c r="R1155" s="1">
        <f ca="1">IFERROR(__xludf.DUMMYFUNCTION("""COMPUTED_VALUE"""),116.88)</f>
        <v>116.88</v>
      </c>
      <c r="S1155" s="1">
        <f ca="1">IFERROR(__xludf.DUMMYFUNCTION("""COMPUTED_VALUE"""),79.2)</f>
        <v>79.2</v>
      </c>
      <c r="T1155" s="1">
        <f ca="1">IFERROR(__xludf.DUMMYFUNCTION("""COMPUTED_VALUE"""),68.46)</f>
        <v>68.459999999999994</v>
      </c>
      <c r="U1155" s="1">
        <f ca="1">IFERROR(__xludf.DUMMYFUNCTION("""COMPUTED_VALUE"""),74.01)</f>
        <v>74.010000000000005</v>
      </c>
      <c r="V1155" s="1">
        <f ca="1">IFERROR(__xludf.DUMMYFUNCTION("""COMPUTED_VALUE"""),320.87)</f>
        <v>320.87</v>
      </c>
      <c r="W1155" s="1">
        <f ca="1">IFERROR(__xludf.DUMMYFUNCTION("""COMPUTED_VALUE"""),548.77)</f>
        <v>548.77</v>
      </c>
      <c r="X1155" s="1">
        <f ca="1">IFERROR(__xludf.DUMMYFUNCTION("""COMPUTED_VALUE"""),809.35)</f>
        <v>809.35</v>
      </c>
      <c r="Y1155" s="1">
        <f ca="1">IFERROR(__xludf.DUMMYFUNCTION("""COMPUTED_VALUE"""),149.86)</f>
        <v>149.86000000000001</v>
      </c>
      <c r="Z1155" s="1">
        <f ca="1">IFERROR(__xludf.DUMMYFUNCTION("""COMPUTED_VALUE"""),470.64)</f>
        <v>470.64</v>
      </c>
      <c r="AA1155" s="1">
        <f ca="1">IFERROR(__xludf.DUMMYFUNCTION("""COMPUTED_VALUE"""),30.43)</f>
        <v>30.43</v>
      </c>
      <c r="AB1155" s="1">
        <f ca="1">IFERROR(__xludf.DUMMYFUNCTION("""COMPUTED_VALUE"""),75.88)</f>
        <v>75.88</v>
      </c>
      <c r="AC1155" s="1">
        <f ca="1">IFERROR(__xludf.DUMMYFUNCTION("""COMPUTED_VALUE"""),132.5)</f>
        <v>132.5</v>
      </c>
    </row>
    <row r="1156" spans="1:29" x14ac:dyDescent="0.25">
      <c r="A1156" s="2">
        <f ca="1">IFERROR(__xludf.DUMMYFUNCTION("""COMPUTED_VALUE"""),45509.6666666666)</f>
        <v>45509.666666666599</v>
      </c>
      <c r="B1156" s="1">
        <f ca="1">IFERROR(__xludf.DUMMYFUNCTION("""COMPUTED_VALUE"""),209.27)</f>
        <v>209.27</v>
      </c>
      <c r="C1156" s="1">
        <f ca="1">IFERROR(__xludf.DUMMYFUNCTION("""COMPUTED_VALUE"""),395.15)</f>
        <v>395.15</v>
      </c>
      <c r="D1156" s="1">
        <f ca="1">IFERROR(__xludf.DUMMYFUNCTION("""COMPUTED_VALUE"""),161.02)</f>
        <v>161.02000000000001</v>
      </c>
      <c r="E1156" s="1">
        <f ca="1">IFERROR(__xludf.DUMMYFUNCTION("""COMPUTED_VALUE"""),100.45)</f>
        <v>100.45</v>
      </c>
      <c r="F1156" s="1">
        <f ca="1">IFERROR(__xludf.DUMMYFUNCTION("""COMPUTED_VALUE"""),475.73)</f>
        <v>475.73</v>
      </c>
      <c r="G1156" s="1">
        <f ca="1">IFERROR(__xludf.DUMMYFUNCTION("""COMPUTED_VALUE"""),160.64)</f>
        <v>160.63999999999999</v>
      </c>
      <c r="H1156" s="1">
        <f ca="1">IFERROR(__xludf.DUMMYFUNCTION("""COMPUTED_VALUE"""),198.88)</f>
        <v>198.88</v>
      </c>
      <c r="I1156" s="1">
        <f ca="1">IFERROR(__xludf.DUMMYFUNCTION("""COMPUTED_VALUE"""),174.04)</f>
        <v>174.04</v>
      </c>
      <c r="J1156" s="1">
        <f ca="1">IFERROR(__xludf.DUMMYFUNCTION("""COMPUTED_VALUE"""),801.83)</f>
        <v>801.83</v>
      </c>
      <c r="K1156" s="1">
        <f ca="1">IFERROR(__xludf.DUMMYFUNCTION("""COMPUTED_VALUE"""),142.08)</f>
        <v>142.08000000000001</v>
      </c>
      <c r="L1156" s="1">
        <f ca="1">IFERROR(__xludf.DUMMYFUNCTION("""COMPUTED_VALUE"""),509.32)</f>
        <v>509.32</v>
      </c>
      <c r="M1156" s="1">
        <f ca="1">IFERROR(__xludf.DUMMYFUNCTION("""COMPUTED_VALUE"""),598.55)</f>
        <v>598.54999999999995</v>
      </c>
      <c r="N1156" s="1">
        <f ca="1">IFERROR(__xludf.DUMMYFUNCTION("""COMPUTED_VALUE"""),194.9)</f>
        <v>194.9</v>
      </c>
      <c r="O1156" s="1">
        <f ca="1">IFERROR(__xludf.DUMMYFUNCTION("""COMPUTED_VALUE"""),256.44)</f>
        <v>256.44</v>
      </c>
      <c r="P1156" s="1">
        <f ca="1">IFERROR(__xludf.DUMMYFUNCTION("""COMPUTED_VALUE"""),161.25)</f>
        <v>161.25</v>
      </c>
      <c r="Q1156" s="1">
        <f ca="1">IFERROR(__xludf.DUMMYFUNCTION("""COMPUTED_VALUE"""),569.96)</f>
        <v>569.96</v>
      </c>
      <c r="R1156" s="1">
        <f ca="1">IFERROR(__xludf.DUMMYFUNCTION("""COMPUTED_VALUE"""),114.77)</f>
        <v>114.77</v>
      </c>
      <c r="S1156" s="1">
        <f ca="1">IFERROR(__xludf.DUMMYFUNCTION("""COMPUTED_VALUE"""),76.68)</f>
        <v>76.680000000000007</v>
      </c>
      <c r="T1156" s="1">
        <f ca="1">IFERROR(__xludf.DUMMYFUNCTION("""COMPUTED_VALUE"""),67.59)</f>
        <v>67.59</v>
      </c>
      <c r="U1156" s="1">
        <f ca="1">IFERROR(__xludf.DUMMYFUNCTION("""COMPUTED_VALUE"""),71.42)</f>
        <v>71.42</v>
      </c>
      <c r="V1156" s="1">
        <f ca="1">IFERROR(__xludf.DUMMYFUNCTION("""COMPUTED_VALUE"""),316.8)</f>
        <v>316.8</v>
      </c>
      <c r="W1156" s="1">
        <f ca="1">IFERROR(__xludf.DUMMYFUNCTION("""COMPUTED_VALUE"""),545.38)</f>
        <v>545.38</v>
      </c>
      <c r="X1156" s="1">
        <f ca="1">IFERROR(__xludf.DUMMYFUNCTION("""COMPUTED_VALUE"""),820.35)</f>
        <v>820.35</v>
      </c>
      <c r="Y1156" s="1">
        <f ca="1">IFERROR(__xludf.DUMMYFUNCTION("""COMPUTED_VALUE"""),147.95)</f>
        <v>147.94999999999999</v>
      </c>
      <c r="Z1156" s="1">
        <f ca="1">IFERROR(__xludf.DUMMYFUNCTION("""COMPUTED_VALUE"""),459.02)</f>
        <v>459.02</v>
      </c>
      <c r="AA1156" s="1">
        <f ca="1">IFERROR(__xludf.DUMMYFUNCTION("""COMPUTED_VALUE"""),29.74)</f>
        <v>29.74</v>
      </c>
      <c r="AB1156" s="1">
        <f ca="1">IFERROR(__xludf.DUMMYFUNCTION("""COMPUTED_VALUE"""),73.86)</f>
        <v>73.86</v>
      </c>
      <c r="AC1156" s="1">
        <f ca="1">IFERROR(__xludf.DUMMYFUNCTION("""COMPUTED_VALUE"""),134.82)</f>
        <v>134.82</v>
      </c>
    </row>
    <row r="1157" spans="1:29" x14ac:dyDescent="0.25">
      <c r="A1157" s="2">
        <f ca="1">IFERROR(__xludf.DUMMYFUNCTION("""COMPUTED_VALUE"""),45510.6666666666)</f>
        <v>45510.666666666599</v>
      </c>
      <c r="B1157" s="1">
        <f ca="1">IFERROR(__xludf.DUMMYFUNCTION("""COMPUTED_VALUE"""),207.23)</f>
        <v>207.23</v>
      </c>
      <c r="C1157" s="1">
        <f ca="1">IFERROR(__xludf.DUMMYFUNCTION("""COMPUTED_VALUE"""),399.61)</f>
        <v>399.61</v>
      </c>
      <c r="D1157" s="1">
        <f ca="1">IFERROR(__xludf.DUMMYFUNCTION("""COMPUTED_VALUE"""),161.93)</f>
        <v>161.93</v>
      </c>
      <c r="E1157" s="1">
        <f ca="1">IFERROR(__xludf.DUMMYFUNCTION("""COMPUTED_VALUE"""),104.25)</f>
        <v>104.25</v>
      </c>
      <c r="F1157" s="1">
        <f ca="1">IFERROR(__xludf.DUMMYFUNCTION("""COMPUTED_VALUE"""),494.09)</f>
        <v>494.09</v>
      </c>
      <c r="G1157" s="1">
        <f ca="1">IFERROR(__xludf.DUMMYFUNCTION("""COMPUTED_VALUE"""),160.54)</f>
        <v>160.54</v>
      </c>
      <c r="H1157" s="1">
        <f ca="1">IFERROR(__xludf.DUMMYFUNCTION("""COMPUTED_VALUE"""),200.64)</f>
        <v>200.64</v>
      </c>
      <c r="I1157" s="1">
        <f ca="1">IFERROR(__xludf.DUMMYFUNCTION("""COMPUTED_VALUE"""),172.49)</f>
        <v>172.49</v>
      </c>
      <c r="J1157" s="1">
        <f ca="1">IFERROR(__xludf.DUMMYFUNCTION("""COMPUTED_VALUE"""),816.88)</f>
        <v>816.88</v>
      </c>
      <c r="K1157" s="1">
        <f ca="1">IFERROR(__xludf.DUMMYFUNCTION("""COMPUTED_VALUE"""),143.92)</f>
        <v>143.91999999999999</v>
      </c>
      <c r="L1157" s="1">
        <f ca="1">IFERROR(__xludf.DUMMYFUNCTION("""COMPUTED_VALUE"""),514.2)</f>
        <v>514.20000000000005</v>
      </c>
      <c r="M1157" s="1">
        <f ca="1">IFERROR(__xludf.DUMMYFUNCTION("""COMPUTED_VALUE"""),609.57)</f>
        <v>609.57000000000005</v>
      </c>
      <c r="N1157" s="1">
        <f ca="1">IFERROR(__xludf.DUMMYFUNCTION("""COMPUTED_VALUE"""),200.34)</f>
        <v>200.34</v>
      </c>
      <c r="O1157" s="1">
        <f ca="1">IFERROR(__xludf.DUMMYFUNCTION("""COMPUTED_VALUE"""),258.26)</f>
        <v>258.26</v>
      </c>
      <c r="P1157" s="1">
        <f ca="1">IFERROR(__xludf.DUMMYFUNCTION("""COMPUTED_VALUE"""),158.97)</f>
        <v>158.97</v>
      </c>
      <c r="Q1157" s="1">
        <f ca="1">IFERROR(__xludf.DUMMYFUNCTION("""COMPUTED_VALUE"""),568.35)</f>
        <v>568.35</v>
      </c>
      <c r="R1157" s="1">
        <f ca="1">IFERROR(__xludf.DUMMYFUNCTION("""COMPUTED_VALUE"""),114.16)</f>
        <v>114.16</v>
      </c>
      <c r="S1157" s="1">
        <f ca="1">IFERROR(__xludf.DUMMYFUNCTION("""COMPUTED_VALUE"""),76.97)</f>
        <v>76.97</v>
      </c>
      <c r="T1157" s="1">
        <f ca="1">IFERROR(__xludf.DUMMYFUNCTION("""COMPUTED_VALUE"""),67.74)</f>
        <v>67.739999999999995</v>
      </c>
      <c r="U1157" s="1">
        <f ca="1">IFERROR(__xludf.DUMMYFUNCTION("""COMPUTED_VALUE"""),72.5)</f>
        <v>72.5</v>
      </c>
      <c r="V1157" s="1">
        <f ca="1">IFERROR(__xludf.DUMMYFUNCTION("""COMPUTED_VALUE"""),326.44)</f>
        <v>326.44</v>
      </c>
      <c r="W1157" s="1">
        <f ca="1">IFERROR(__xludf.DUMMYFUNCTION("""COMPUTED_VALUE"""),541.56)</f>
        <v>541.55999999999995</v>
      </c>
      <c r="X1157" s="1">
        <f ca="1">IFERROR(__xludf.DUMMYFUNCTION("""COMPUTED_VALUE"""),843.01)</f>
        <v>843.01</v>
      </c>
      <c r="Y1157" s="1">
        <f ca="1">IFERROR(__xludf.DUMMYFUNCTION("""COMPUTED_VALUE"""),155.39)</f>
        <v>155.38999999999999</v>
      </c>
      <c r="Z1157" s="1">
        <f ca="1">IFERROR(__xludf.DUMMYFUNCTION("""COMPUTED_VALUE"""),470.22)</f>
        <v>470.22</v>
      </c>
      <c r="AA1157" s="1">
        <f ca="1">IFERROR(__xludf.DUMMYFUNCTION("""COMPUTED_VALUE"""),29.32)</f>
        <v>29.32</v>
      </c>
      <c r="AB1157" s="1">
        <f ca="1">IFERROR(__xludf.DUMMYFUNCTION("""COMPUTED_VALUE"""),75.37)</f>
        <v>75.37</v>
      </c>
      <c r="AC1157" s="1">
        <f ca="1">IFERROR(__xludf.DUMMYFUNCTION("""COMPUTED_VALUE"""),130.18)</f>
        <v>130.18</v>
      </c>
    </row>
    <row r="1158" spans="1:29" x14ac:dyDescent="0.25">
      <c r="A1158" s="2">
        <f ca="1">IFERROR(__xludf.DUMMYFUNCTION("""COMPUTED_VALUE"""),45511.6666666666)</f>
        <v>45511.666666666599</v>
      </c>
      <c r="B1158" s="1">
        <f ca="1">IFERROR(__xludf.DUMMYFUNCTION("""COMPUTED_VALUE"""),209.82)</f>
        <v>209.82</v>
      </c>
      <c r="C1158" s="1">
        <f ca="1">IFERROR(__xludf.DUMMYFUNCTION("""COMPUTED_VALUE"""),398.43)</f>
        <v>398.43</v>
      </c>
      <c r="D1158" s="1">
        <f ca="1">IFERROR(__xludf.DUMMYFUNCTION("""COMPUTED_VALUE"""),162.77)</f>
        <v>162.77000000000001</v>
      </c>
      <c r="E1158" s="1">
        <f ca="1">IFERROR(__xludf.DUMMYFUNCTION("""COMPUTED_VALUE"""),98.91)</f>
        <v>98.91</v>
      </c>
      <c r="F1158" s="1">
        <f ca="1">IFERROR(__xludf.DUMMYFUNCTION("""COMPUTED_VALUE"""),488.92)</f>
        <v>488.92</v>
      </c>
      <c r="G1158" s="1">
        <f ca="1">IFERROR(__xludf.DUMMYFUNCTION("""COMPUTED_VALUE"""),160.75)</f>
        <v>160.75</v>
      </c>
      <c r="H1158" s="1">
        <f ca="1">IFERROR(__xludf.DUMMYFUNCTION("""COMPUTED_VALUE"""),191.76)</f>
        <v>191.76</v>
      </c>
      <c r="I1158" s="1">
        <f ca="1">IFERROR(__xludf.DUMMYFUNCTION("""COMPUTED_VALUE"""),171.79)</f>
        <v>171.79</v>
      </c>
      <c r="J1158" s="1">
        <f ca="1">IFERROR(__xludf.DUMMYFUNCTION("""COMPUTED_VALUE"""),810.3)</f>
        <v>810.3</v>
      </c>
      <c r="K1158" s="1">
        <f ca="1">IFERROR(__xludf.DUMMYFUNCTION("""COMPUTED_VALUE"""),136.27)</f>
        <v>136.27000000000001</v>
      </c>
      <c r="L1158" s="1">
        <f ca="1">IFERROR(__xludf.DUMMYFUNCTION("""COMPUTED_VALUE"""),513.62)</f>
        <v>513.62</v>
      </c>
      <c r="M1158" s="1">
        <f ca="1">IFERROR(__xludf.DUMMYFUNCTION("""COMPUTED_VALUE"""),611.48)</f>
        <v>611.48</v>
      </c>
      <c r="N1158" s="1">
        <f ca="1">IFERROR(__xludf.DUMMYFUNCTION("""COMPUTED_VALUE"""),200.4)</f>
        <v>200.4</v>
      </c>
      <c r="O1158" s="1">
        <f ca="1">IFERROR(__xludf.DUMMYFUNCTION("""COMPUTED_VALUE"""),256.52)</f>
        <v>256.52</v>
      </c>
      <c r="P1158" s="1">
        <f ca="1">IFERROR(__xludf.DUMMYFUNCTION("""COMPUTED_VALUE"""),158.9)</f>
        <v>158.9</v>
      </c>
      <c r="Q1158" s="1">
        <f ca="1">IFERROR(__xludf.DUMMYFUNCTION("""COMPUTED_VALUE"""),566.08)</f>
        <v>566.08000000000004</v>
      </c>
      <c r="R1158" s="1">
        <f ca="1">IFERROR(__xludf.DUMMYFUNCTION("""COMPUTED_VALUE"""),115.68)</f>
        <v>115.68</v>
      </c>
      <c r="S1158" s="1">
        <f ca="1">IFERROR(__xludf.DUMMYFUNCTION("""COMPUTED_VALUE"""),77.56)</f>
        <v>77.56</v>
      </c>
      <c r="T1158" s="1">
        <f ca="1">IFERROR(__xludf.DUMMYFUNCTION("""COMPUTED_VALUE"""),66.91)</f>
        <v>66.91</v>
      </c>
      <c r="U1158" s="1">
        <f ca="1">IFERROR(__xludf.DUMMYFUNCTION("""COMPUTED_VALUE"""),72.62)</f>
        <v>72.62</v>
      </c>
      <c r="V1158" s="1">
        <f ca="1">IFERROR(__xludf.DUMMYFUNCTION("""COMPUTED_VALUE"""),325.8)</f>
        <v>325.8</v>
      </c>
      <c r="W1158" s="1">
        <f ca="1">IFERROR(__xludf.DUMMYFUNCTION("""COMPUTED_VALUE"""),548.51)</f>
        <v>548.51</v>
      </c>
      <c r="X1158" s="1">
        <f ca="1">IFERROR(__xludf.DUMMYFUNCTION("""COMPUTED_VALUE"""),836.35)</f>
        <v>836.35</v>
      </c>
      <c r="Y1158" s="1">
        <f ca="1">IFERROR(__xludf.DUMMYFUNCTION("""COMPUTED_VALUE"""),155.04)</f>
        <v>155.04</v>
      </c>
      <c r="Z1158" s="1">
        <f ca="1">IFERROR(__xludf.DUMMYFUNCTION("""COMPUTED_VALUE"""),473.01)</f>
        <v>473.01</v>
      </c>
      <c r="AA1158" s="1">
        <f ca="1">IFERROR(__xludf.DUMMYFUNCTION("""COMPUTED_VALUE"""),28.85)</f>
        <v>28.85</v>
      </c>
      <c r="AB1158" s="1">
        <f ca="1">IFERROR(__xludf.DUMMYFUNCTION("""COMPUTED_VALUE"""),75.29)</f>
        <v>75.290000000000006</v>
      </c>
      <c r="AC1158" s="1">
        <f ca="1">IFERROR(__xludf.DUMMYFUNCTION("""COMPUTED_VALUE"""),128.67)</f>
        <v>128.66999999999999</v>
      </c>
    </row>
    <row r="1159" spans="1:29" x14ac:dyDescent="0.25">
      <c r="A1159" s="2">
        <f ca="1">IFERROR(__xludf.DUMMYFUNCTION("""COMPUTED_VALUE"""),45512.6666666666)</f>
        <v>45512.666666666599</v>
      </c>
      <c r="B1159" s="1">
        <f ca="1">IFERROR(__xludf.DUMMYFUNCTION("""COMPUTED_VALUE"""),213.31)</f>
        <v>213.31</v>
      </c>
      <c r="C1159" s="1">
        <f ca="1">IFERROR(__xludf.DUMMYFUNCTION("""COMPUTED_VALUE"""),402.69)</f>
        <v>402.69</v>
      </c>
      <c r="D1159" s="1">
        <f ca="1">IFERROR(__xludf.DUMMYFUNCTION("""COMPUTED_VALUE"""),165.8)</f>
        <v>165.8</v>
      </c>
      <c r="E1159" s="1">
        <f ca="1">IFERROR(__xludf.DUMMYFUNCTION("""COMPUTED_VALUE"""),104.97)</f>
        <v>104.97</v>
      </c>
      <c r="F1159" s="1">
        <f ca="1">IFERROR(__xludf.DUMMYFUNCTION("""COMPUTED_VALUE"""),509.63)</f>
        <v>509.63</v>
      </c>
      <c r="G1159" s="1">
        <f ca="1">IFERROR(__xludf.DUMMYFUNCTION("""COMPUTED_VALUE"""),163.84)</f>
        <v>163.84</v>
      </c>
      <c r="H1159" s="1">
        <f ca="1">IFERROR(__xludf.DUMMYFUNCTION("""COMPUTED_VALUE"""),198.84)</f>
        <v>198.84</v>
      </c>
      <c r="I1159" s="1">
        <f ca="1">IFERROR(__xludf.DUMMYFUNCTION("""COMPUTED_VALUE"""),172.37)</f>
        <v>172.37</v>
      </c>
      <c r="J1159" s="1">
        <f ca="1">IFERROR(__xludf.DUMMYFUNCTION("""COMPUTED_VALUE"""),839.43)</f>
        <v>839.43</v>
      </c>
      <c r="K1159" s="1">
        <f ca="1">IFERROR(__xludf.DUMMYFUNCTION("""COMPUTED_VALUE"""),145.74)</f>
        <v>145.74</v>
      </c>
      <c r="L1159" s="1">
        <f ca="1">IFERROR(__xludf.DUMMYFUNCTION("""COMPUTED_VALUE"""),530.24)</f>
        <v>530.24</v>
      </c>
      <c r="M1159" s="1">
        <f ca="1">IFERROR(__xludf.DUMMYFUNCTION("""COMPUTED_VALUE"""),630.35)</f>
        <v>630.35</v>
      </c>
      <c r="N1159" s="1">
        <f ca="1">IFERROR(__xludf.DUMMYFUNCTION("""COMPUTED_VALUE"""),204.06)</f>
        <v>204.06</v>
      </c>
      <c r="O1159" s="1">
        <f ca="1">IFERROR(__xludf.DUMMYFUNCTION("""COMPUTED_VALUE"""),259.83)</f>
        <v>259.83</v>
      </c>
      <c r="P1159" s="1">
        <f ca="1">IFERROR(__xludf.DUMMYFUNCTION("""COMPUTED_VALUE"""),160.22)</f>
        <v>160.22</v>
      </c>
      <c r="Q1159" s="1">
        <f ca="1">IFERROR(__xludf.DUMMYFUNCTION("""COMPUTED_VALUE"""),566.24)</f>
        <v>566.24</v>
      </c>
      <c r="R1159" s="1">
        <f ca="1">IFERROR(__xludf.DUMMYFUNCTION("""COMPUTED_VALUE"""),117.89)</f>
        <v>117.89</v>
      </c>
      <c r="S1159" s="1">
        <f ca="1">IFERROR(__xludf.DUMMYFUNCTION("""COMPUTED_VALUE"""),77.54)</f>
        <v>77.540000000000006</v>
      </c>
      <c r="T1159" s="1">
        <f ca="1">IFERROR(__xludf.DUMMYFUNCTION("""COMPUTED_VALUE"""),67.66)</f>
        <v>67.66</v>
      </c>
      <c r="U1159" s="1">
        <f ca="1">IFERROR(__xludf.DUMMYFUNCTION("""COMPUTED_VALUE"""),74.19)</f>
        <v>74.19</v>
      </c>
      <c r="V1159" s="1">
        <f ca="1">IFERROR(__xludf.DUMMYFUNCTION("""COMPUTED_VALUE"""),336.16)</f>
        <v>336.16</v>
      </c>
      <c r="W1159" s="1">
        <f ca="1">IFERROR(__xludf.DUMMYFUNCTION("""COMPUTED_VALUE"""),551.62)</f>
        <v>551.62</v>
      </c>
      <c r="X1159" s="1">
        <f ca="1">IFERROR(__xludf.DUMMYFUNCTION("""COMPUTED_VALUE"""),876.65)</f>
        <v>876.65</v>
      </c>
      <c r="Y1159" s="1">
        <f ca="1">IFERROR(__xludf.DUMMYFUNCTION("""COMPUTED_VALUE"""),164.55)</f>
        <v>164.55</v>
      </c>
      <c r="Z1159" s="1">
        <f ca="1">IFERROR(__xludf.DUMMYFUNCTION("""COMPUTED_VALUE"""),485.77)</f>
        <v>485.77</v>
      </c>
      <c r="AA1159" s="1">
        <f ca="1">IFERROR(__xludf.DUMMYFUNCTION("""COMPUTED_VALUE"""),28.76)</f>
        <v>28.76</v>
      </c>
      <c r="AB1159" s="1">
        <f ca="1">IFERROR(__xludf.DUMMYFUNCTION("""COMPUTED_VALUE"""),75.75)</f>
        <v>75.75</v>
      </c>
      <c r="AC1159" s="1">
        <f ca="1">IFERROR(__xludf.DUMMYFUNCTION("""COMPUTED_VALUE"""),136.32)</f>
        <v>136.32</v>
      </c>
    </row>
    <row r="1160" spans="1:29" x14ac:dyDescent="0.25">
      <c r="A1160" s="2">
        <f ca="1">IFERROR(__xludf.DUMMYFUNCTION("""COMPUTED_VALUE"""),45513.6666666666)</f>
        <v>45513.666666666599</v>
      </c>
      <c r="B1160" s="1">
        <f ca="1">IFERROR(__xludf.DUMMYFUNCTION("""COMPUTED_VALUE"""),216.24)</f>
        <v>216.24</v>
      </c>
      <c r="C1160" s="1">
        <f ca="1">IFERROR(__xludf.DUMMYFUNCTION("""COMPUTED_VALUE"""),406.02)</f>
        <v>406.02</v>
      </c>
      <c r="D1160" s="1">
        <f ca="1">IFERROR(__xludf.DUMMYFUNCTION("""COMPUTED_VALUE"""),166.94)</f>
        <v>166.94</v>
      </c>
      <c r="E1160" s="1">
        <f ca="1">IFERROR(__xludf.DUMMYFUNCTION("""COMPUTED_VALUE"""),104.75)</f>
        <v>104.75</v>
      </c>
      <c r="F1160" s="1">
        <f ca="1">IFERROR(__xludf.DUMMYFUNCTION("""COMPUTED_VALUE"""),517.77)</f>
        <v>517.77</v>
      </c>
      <c r="G1160" s="1">
        <f ca="1">IFERROR(__xludf.DUMMYFUNCTION("""COMPUTED_VALUE"""),165.39)</f>
        <v>165.39</v>
      </c>
      <c r="H1160" s="1">
        <f ca="1">IFERROR(__xludf.DUMMYFUNCTION("""COMPUTED_VALUE"""),200)</f>
        <v>200</v>
      </c>
      <c r="I1160" s="1">
        <f ca="1">IFERROR(__xludf.DUMMYFUNCTION("""COMPUTED_VALUE"""),172.39)</f>
        <v>172.39</v>
      </c>
      <c r="J1160" s="1">
        <f ca="1">IFERROR(__xludf.DUMMYFUNCTION("""COMPUTED_VALUE"""),854.93)</f>
        <v>854.93</v>
      </c>
      <c r="K1160" s="1">
        <f ca="1">IFERROR(__xludf.DUMMYFUNCTION("""COMPUTED_VALUE"""),148.26)</f>
        <v>148.26</v>
      </c>
      <c r="L1160" s="1">
        <f ca="1">IFERROR(__xludf.DUMMYFUNCTION("""COMPUTED_VALUE"""),536.3)</f>
        <v>536.29999999999995</v>
      </c>
      <c r="M1160" s="1">
        <f ca="1">IFERROR(__xludf.DUMMYFUNCTION("""COMPUTED_VALUE"""),633.94)</f>
        <v>633.94000000000005</v>
      </c>
      <c r="N1160" s="1">
        <f ca="1">IFERROR(__xludf.DUMMYFUNCTION("""COMPUTED_VALUE"""),205.8)</f>
        <v>205.8</v>
      </c>
      <c r="O1160" s="1">
        <f ca="1">IFERROR(__xludf.DUMMYFUNCTION("""COMPUTED_VALUE"""),259.76)</f>
        <v>259.76</v>
      </c>
      <c r="P1160" s="1">
        <f ca="1">IFERROR(__xludf.DUMMYFUNCTION("""COMPUTED_VALUE"""),160.62)</f>
        <v>160.62</v>
      </c>
      <c r="Q1160" s="1">
        <f ca="1">IFERROR(__xludf.DUMMYFUNCTION("""COMPUTED_VALUE"""),558.76)</f>
        <v>558.76</v>
      </c>
      <c r="R1160" s="1">
        <f ca="1">IFERROR(__xludf.DUMMYFUNCTION("""COMPUTED_VALUE"""),118.85)</f>
        <v>118.85</v>
      </c>
      <c r="S1160" s="1">
        <f ca="1">IFERROR(__xludf.DUMMYFUNCTION("""COMPUTED_VALUE"""),77.46)</f>
        <v>77.459999999999994</v>
      </c>
      <c r="T1160" s="1">
        <f ca="1">IFERROR(__xludf.DUMMYFUNCTION("""COMPUTED_VALUE"""),67.95)</f>
        <v>67.95</v>
      </c>
      <c r="U1160" s="1">
        <f ca="1">IFERROR(__xludf.DUMMYFUNCTION("""COMPUTED_VALUE"""),74.34)</f>
        <v>74.34</v>
      </c>
      <c r="V1160" s="1">
        <f ca="1">IFERROR(__xludf.DUMMYFUNCTION("""COMPUTED_VALUE"""),338.26)</f>
        <v>338.26</v>
      </c>
      <c r="W1160" s="1">
        <f ca="1">IFERROR(__xludf.DUMMYFUNCTION("""COMPUTED_VALUE"""),551.58)</f>
        <v>551.58000000000004</v>
      </c>
      <c r="X1160" s="1">
        <f ca="1">IFERROR(__xludf.DUMMYFUNCTION("""COMPUTED_VALUE"""),860.55)</f>
        <v>860.55</v>
      </c>
      <c r="Y1160" s="1">
        <f ca="1">IFERROR(__xludf.DUMMYFUNCTION("""COMPUTED_VALUE"""),167.12)</f>
        <v>167.12</v>
      </c>
      <c r="Z1160" s="1">
        <f ca="1">IFERROR(__xludf.DUMMYFUNCTION("""COMPUTED_VALUE"""),490.26)</f>
        <v>490.26</v>
      </c>
      <c r="AA1160" s="1">
        <f ca="1">IFERROR(__xludf.DUMMYFUNCTION("""COMPUTED_VALUE"""),28.55)</f>
        <v>28.55</v>
      </c>
      <c r="AB1160" s="1">
        <f ca="1">IFERROR(__xludf.DUMMYFUNCTION("""COMPUTED_VALUE"""),75.09)</f>
        <v>75.09</v>
      </c>
      <c r="AC1160" s="1">
        <f ca="1">IFERROR(__xludf.DUMMYFUNCTION("""COMPUTED_VALUE"""),134.27)</f>
        <v>134.27000000000001</v>
      </c>
    </row>
    <row r="1161" spans="1:29" x14ac:dyDescent="0.25">
      <c r="A1161" s="2">
        <f ca="1">IFERROR(__xludf.DUMMYFUNCTION("""COMPUTED_VALUE"""),45516.6666666666)</f>
        <v>45516.666666666599</v>
      </c>
      <c r="B1161" s="1">
        <f ca="1">IFERROR(__xludf.DUMMYFUNCTION("""COMPUTED_VALUE"""),217.53)</f>
        <v>217.53</v>
      </c>
      <c r="C1161" s="1">
        <f ca="1">IFERROR(__xludf.DUMMYFUNCTION("""COMPUTED_VALUE"""),406.81)</f>
        <v>406.81</v>
      </c>
      <c r="D1161" s="1">
        <f ca="1">IFERROR(__xludf.DUMMYFUNCTION("""COMPUTED_VALUE"""),166.8)</f>
        <v>166.8</v>
      </c>
      <c r="E1161" s="1">
        <f ca="1">IFERROR(__xludf.DUMMYFUNCTION("""COMPUTED_VALUE"""),109.02)</f>
        <v>109.02</v>
      </c>
      <c r="F1161" s="1">
        <f ca="1">IFERROR(__xludf.DUMMYFUNCTION("""COMPUTED_VALUE"""),515.95)</f>
        <v>515.95000000000005</v>
      </c>
      <c r="G1161" s="1">
        <f ca="1">IFERROR(__xludf.DUMMYFUNCTION("""COMPUTED_VALUE"""),163.95)</f>
        <v>163.95</v>
      </c>
      <c r="H1161" s="1">
        <f ca="1">IFERROR(__xludf.DUMMYFUNCTION("""COMPUTED_VALUE"""),197.49)</f>
        <v>197.49</v>
      </c>
      <c r="I1161" s="1">
        <f ca="1">IFERROR(__xludf.DUMMYFUNCTION("""COMPUTED_VALUE"""),171.42)</f>
        <v>171.42</v>
      </c>
      <c r="J1161" s="1">
        <f ca="1">IFERROR(__xludf.DUMMYFUNCTION("""COMPUTED_VALUE"""),863.57)</f>
        <v>863.57</v>
      </c>
      <c r="K1161" s="1">
        <f ca="1">IFERROR(__xludf.DUMMYFUNCTION("""COMPUTED_VALUE"""),148.62)</f>
        <v>148.62</v>
      </c>
      <c r="L1161" s="1">
        <f ca="1">IFERROR(__xludf.DUMMYFUNCTION("""COMPUTED_VALUE"""),530.93)</f>
        <v>530.92999999999995</v>
      </c>
      <c r="M1161" s="1">
        <f ca="1">IFERROR(__xludf.DUMMYFUNCTION("""COMPUTED_VALUE"""),633.14)</f>
        <v>633.14</v>
      </c>
      <c r="N1161" s="1">
        <f ca="1">IFERROR(__xludf.DUMMYFUNCTION("""COMPUTED_VALUE"""),206.19)</f>
        <v>206.19</v>
      </c>
      <c r="O1161" s="1">
        <f ca="1">IFERROR(__xludf.DUMMYFUNCTION("""COMPUTED_VALUE"""),259.89)</f>
        <v>259.89</v>
      </c>
      <c r="P1161" s="1">
        <f ca="1">IFERROR(__xludf.DUMMYFUNCTION("""COMPUTED_VALUE"""),159.88)</f>
        <v>159.88</v>
      </c>
      <c r="Q1161" s="1">
        <f ca="1">IFERROR(__xludf.DUMMYFUNCTION("""COMPUTED_VALUE"""),565.29)</f>
        <v>565.29</v>
      </c>
      <c r="R1161" s="1">
        <f ca="1">IFERROR(__xludf.DUMMYFUNCTION("""COMPUTED_VALUE"""),119)</f>
        <v>119</v>
      </c>
      <c r="S1161" s="1">
        <f ca="1">IFERROR(__xludf.DUMMYFUNCTION("""COMPUTED_VALUE"""),77.58)</f>
        <v>77.58</v>
      </c>
      <c r="T1161" s="1">
        <f ca="1">IFERROR(__xludf.DUMMYFUNCTION("""COMPUTED_VALUE"""),68.7)</f>
        <v>68.7</v>
      </c>
      <c r="U1161" s="1">
        <f ca="1">IFERROR(__xludf.DUMMYFUNCTION("""COMPUTED_VALUE"""),74.64)</f>
        <v>74.64</v>
      </c>
      <c r="V1161" s="1">
        <f ca="1">IFERROR(__xludf.DUMMYFUNCTION("""COMPUTED_VALUE"""),336.03)</f>
        <v>336.03</v>
      </c>
      <c r="W1161" s="1">
        <f ca="1">IFERROR(__xludf.DUMMYFUNCTION("""COMPUTED_VALUE"""),556.91)</f>
        <v>556.91</v>
      </c>
      <c r="X1161" s="1">
        <f ca="1">IFERROR(__xludf.DUMMYFUNCTION("""COMPUTED_VALUE"""),852.86)</f>
        <v>852.86</v>
      </c>
      <c r="Y1161" s="1">
        <f ca="1">IFERROR(__xludf.DUMMYFUNCTION("""COMPUTED_VALUE"""),167.63)</f>
        <v>167.63</v>
      </c>
      <c r="Z1161" s="1">
        <f ca="1">IFERROR(__xludf.DUMMYFUNCTION("""COMPUTED_VALUE"""),485.5)</f>
        <v>485.5</v>
      </c>
      <c r="AA1161" s="1">
        <f ca="1">IFERROR(__xludf.DUMMYFUNCTION("""COMPUTED_VALUE"""),28.45)</f>
        <v>28.45</v>
      </c>
      <c r="AB1161" s="1">
        <f ca="1">IFERROR(__xludf.DUMMYFUNCTION("""COMPUTED_VALUE"""),77.03)</f>
        <v>77.03</v>
      </c>
      <c r="AC1161" s="1">
        <f ca="1">IFERROR(__xludf.DUMMYFUNCTION("""COMPUTED_VALUE"""),136.77)</f>
        <v>136.77000000000001</v>
      </c>
    </row>
    <row r="1162" spans="1:29" x14ac:dyDescent="0.25">
      <c r="A1162" s="2">
        <f ca="1">IFERROR(__xludf.DUMMYFUNCTION("""COMPUTED_VALUE"""),45517.6666666666)</f>
        <v>45517.666666666599</v>
      </c>
      <c r="B1162" s="1">
        <f ca="1">IFERROR(__xludf.DUMMYFUNCTION("""COMPUTED_VALUE"""),221.27)</f>
        <v>221.27</v>
      </c>
      <c r="C1162" s="1">
        <f ca="1">IFERROR(__xludf.DUMMYFUNCTION("""COMPUTED_VALUE"""),414.01)</f>
        <v>414.01</v>
      </c>
      <c r="D1162" s="1">
        <f ca="1">IFERROR(__xludf.DUMMYFUNCTION("""COMPUTED_VALUE"""),170.23)</f>
        <v>170.23</v>
      </c>
      <c r="E1162" s="1">
        <f ca="1">IFERROR(__xludf.DUMMYFUNCTION("""COMPUTED_VALUE"""),116.14)</f>
        <v>116.14</v>
      </c>
      <c r="F1162" s="1">
        <f ca="1">IFERROR(__xludf.DUMMYFUNCTION("""COMPUTED_VALUE"""),528.54)</f>
        <v>528.54</v>
      </c>
      <c r="G1162" s="1">
        <f ca="1">IFERROR(__xludf.DUMMYFUNCTION("""COMPUTED_VALUE"""),165.93)</f>
        <v>165.93</v>
      </c>
      <c r="H1162" s="1">
        <f ca="1">IFERROR(__xludf.DUMMYFUNCTION("""COMPUTED_VALUE"""),207.83)</f>
        <v>207.83</v>
      </c>
      <c r="I1162" s="1">
        <f ca="1">IFERROR(__xludf.DUMMYFUNCTION("""COMPUTED_VALUE"""),172.37)</f>
        <v>172.37</v>
      </c>
      <c r="J1162" s="1">
        <f ca="1">IFERROR(__xludf.DUMMYFUNCTION("""COMPUTED_VALUE"""),864.82)</f>
        <v>864.82</v>
      </c>
      <c r="K1162" s="1">
        <f ca="1">IFERROR(__xludf.DUMMYFUNCTION("""COMPUTED_VALUE"""),156.16)</f>
        <v>156.16</v>
      </c>
      <c r="L1162" s="1">
        <f ca="1">IFERROR(__xludf.DUMMYFUNCTION("""COMPUTED_VALUE"""),535.22)</f>
        <v>535.22</v>
      </c>
      <c r="M1162" s="1">
        <f ca="1">IFERROR(__xludf.DUMMYFUNCTION("""COMPUTED_VALUE"""),648.02)</f>
        <v>648.02</v>
      </c>
      <c r="N1162" s="1">
        <f ca="1">IFERROR(__xludf.DUMMYFUNCTION("""COMPUTED_VALUE"""),207.94)</f>
        <v>207.94</v>
      </c>
      <c r="O1162" s="1">
        <f ca="1">IFERROR(__xludf.DUMMYFUNCTION("""COMPUTED_VALUE"""),260.13)</f>
        <v>260.13</v>
      </c>
      <c r="P1162" s="1">
        <f ca="1">IFERROR(__xludf.DUMMYFUNCTION("""COMPUTED_VALUE"""),158.39)</f>
        <v>158.38999999999999</v>
      </c>
      <c r="Q1162" s="1">
        <f ca="1">IFERROR(__xludf.DUMMYFUNCTION("""COMPUTED_VALUE"""),574.24)</f>
        <v>574.24</v>
      </c>
      <c r="R1162" s="1">
        <f ca="1">IFERROR(__xludf.DUMMYFUNCTION("""COMPUTED_VALUE"""),117.86)</f>
        <v>117.86</v>
      </c>
      <c r="S1162" s="1">
        <f ca="1">IFERROR(__xludf.DUMMYFUNCTION("""COMPUTED_VALUE"""),78.12)</f>
        <v>78.12</v>
      </c>
      <c r="T1162" s="1">
        <f ca="1">IFERROR(__xludf.DUMMYFUNCTION("""COMPUTED_VALUE"""),68.13)</f>
        <v>68.13</v>
      </c>
      <c r="U1162" s="1">
        <f ca="1">IFERROR(__xludf.DUMMYFUNCTION("""COMPUTED_VALUE"""),78.5)</f>
        <v>78.5</v>
      </c>
      <c r="V1162" s="1">
        <f ca="1">IFERROR(__xludf.DUMMYFUNCTION("""COMPUTED_VALUE"""),338.8)</f>
        <v>338.8</v>
      </c>
      <c r="W1162" s="1">
        <f ca="1">IFERROR(__xludf.DUMMYFUNCTION("""COMPUTED_VALUE"""),559.42)</f>
        <v>559.41999999999996</v>
      </c>
      <c r="X1162" s="1">
        <f ca="1">IFERROR(__xludf.DUMMYFUNCTION("""COMPUTED_VALUE"""),869.49)</f>
        <v>869.49</v>
      </c>
      <c r="Y1162" s="1">
        <f ca="1">IFERROR(__xludf.DUMMYFUNCTION("""COMPUTED_VALUE"""),172.34)</f>
        <v>172.34</v>
      </c>
      <c r="Z1162" s="1">
        <f ca="1">IFERROR(__xludf.DUMMYFUNCTION("""COMPUTED_VALUE"""),491.94)</f>
        <v>491.94</v>
      </c>
      <c r="AA1162" s="1">
        <f ca="1">IFERROR(__xludf.DUMMYFUNCTION("""COMPUTED_VALUE"""),28.85)</f>
        <v>28.85</v>
      </c>
      <c r="AB1162" s="1">
        <f ca="1">IFERROR(__xludf.DUMMYFUNCTION("""COMPUTED_VALUE"""),95.9)</f>
        <v>95.9</v>
      </c>
      <c r="AC1162" s="1">
        <f ca="1">IFERROR(__xludf.DUMMYFUNCTION("""COMPUTED_VALUE"""),141.13)</f>
        <v>141.13</v>
      </c>
    </row>
    <row r="1163" spans="1:29" x14ac:dyDescent="0.25">
      <c r="A1163" s="2">
        <f ca="1">IFERROR(__xludf.DUMMYFUNCTION("""COMPUTED_VALUE"""),45518.6666666666)</f>
        <v>45518.666666666599</v>
      </c>
      <c r="B1163" s="1">
        <f ca="1">IFERROR(__xludf.DUMMYFUNCTION("""COMPUTED_VALUE"""),221.72)</f>
        <v>221.72</v>
      </c>
      <c r="C1163" s="1">
        <f ca="1">IFERROR(__xludf.DUMMYFUNCTION("""COMPUTED_VALUE"""),416.86)</f>
        <v>416.86</v>
      </c>
      <c r="D1163" s="1">
        <f ca="1">IFERROR(__xludf.DUMMYFUNCTION("""COMPUTED_VALUE"""),170.1)</f>
        <v>170.1</v>
      </c>
      <c r="E1163" s="1">
        <f ca="1">IFERROR(__xludf.DUMMYFUNCTION("""COMPUTED_VALUE"""),118.08)</f>
        <v>118.08</v>
      </c>
      <c r="F1163" s="1">
        <f ca="1">IFERROR(__xludf.DUMMYFUNCTION("""COMPUTED_VALUE"""),526.76)</f>
        <v>526.76</v>
      </c>
      <c r="G1163" s="1">
        <f ca="1">IFERROR(__xludf.DUMMYFUNCTION("""COMPUTED_VALUE"""),162.03)</f>
        <v>162.03</v>
      </c>
      <c r="H1163" s="1">
        <f ca="1">IFERROR(__xludf.DUMMYFUNCTION("""COMPUTED_VALUE"""),201.38)</f>
        <v>201.38</v>
      </c>
      <c r="I1163" s="1">
        <f ca="1">IFERROR(__xludf.DUMMYFUNCTION("""COMPUTED_VALUE"""),173.71)</f>
        <v>173.71</v>
      </c>
      <c r="J1163" s="1">
        <f ca="1">IFERROR(__xludf.DUMMYFUNCTION("""COMPUTED_VALUE"""),862.71)</f>
        <v>862.71</v>
      </c>
      <c r="K1163" s="1">
        <f ca="1">IFERROR(__xludf.DUMMYFUNCTION("""COMPUTED_VALUE"""),157.69)</f>
        <v>157.69</v>
      </c>
      <c r="L1163" s="1">
        <f ca="1">IFERROR(__xludf.DUMMYFUNCTION("""COMPUTED_VALUE"""),539.79)</f>
        <v>539.79</v>
      </c>
      <c r="M1163" s="1">
        <f ca="1">IFERROR(__xludf.DUMMYFUNCTION("""COMPUTED_VALUE"""),661.68)</f>
        <v>661.68</v>
      </c>
      <c r="N1163" s="1">
        <f ca="1">IFERROR(__xludf.DUMMYFUNCTION("""COMPUTED_VALUE"""),210.24)</f>
        <v>210.24</v>
      </c>
      <c r="O1163" s="1">
        <f ca="1">IFERROR(__xludf.DUMMYFUNCTION("""COMPUTED_VALUE"""),261.14)</f>
        <v>261.14</v>
      </c>
      <c r="P1163" s="1">
        <f ca="1">IFERROR(__xludf.DUMMYFUNCTION("""COMPUTED_VALUE"""),158.48)</f>
        <v>158.47999999999999</v>
      </c>
      <c r="Q1163" s="1">
        <f ca="1">IFERROR(__xludf.DUMMYFUNCTION("""COMPUTED_VALUE"""),579.67)</f>
        <v>579.66999999999996</v>
      </c>
      <c r="R1163" s="1">
        <f ca="1">IFERROR(__xludf.DUMMYFUNCTION("""COMPUTED_VALUE"""),118.95)</f>
        <v>118.95</v>
      </c>
      <c r="S1163" s="1">
        <f ca="1">IFERROR(__xludf.DUMMYFUNCTION("""COMPUTED_VALUE"""),78.01)</f>
        <v>78.010000000000005</v>
      </c>
      <c r="T1163" s="1">
        <f ca="1">IFERROR(__xludf.DUMMYFUNCTION("""COMPUTED_VALUE"""),68.66)</f>
        <v>68.66</v>
      </c>
      <c r="U1163" s="1">
        <f ca="1">IFERROR(__xludf.DUMMYFUNCTION("""COMPUTED_VALUE"""),78.52)</f>
        <v>78.52</v>
      </c>
      <c r="V1163" s="1">
        <f ca="1">IFERROR(__xludf.DUMMYFUNCTION("""COMPUTED_VALUE"""),337.59)</f>
        <v>337.59</v>
      </c>
      <c r="W1163" s="1">
        <f ca="1">IFERROR(__xludf.DUMMYFUNCTION("""COMPUTED_VALUE"""),563.22)</f>
        <v>563.22</v>
      </c>
      <c r="X1163" s="1">
        <f ca="1">IFERROR(__xludf.DUMMYFUNCTION("""COMPUTED_VALUE"""),879.58)</f>
        <v>879.58</v>
      </c>
      <c r="Y1163" s="1">
        <f ca="1">IFERROR(__xludf.DUMMYFUNCTION("""COMPUTED_VALUE"""),169.97)</f>
        <v>169.97</v>
      </c>
      <c r="Z1163" s="1">
        <f ca="1">IFERROR(__xludf.DUMMYFUNCTION("""COMPUTED_VALUE"""),498.7)</f>
        <v>498.7</v>
      </c>
      <c r="AA1163" s="1">
        <f ca="1">IFERROR(__xludf.DUMMYFUNCTION("""COMPUTED_VALUE"""),28.88)</f>
        <v>28.88</v>
      </c>
      <c r="AB1163" s="1">
        <f ca="1">IFERROR(__xludf.DUMMYFUNCTION("""COMPUTED_VALUE"""),93.9)</f>
        <v>93.9</v>
      </c>
      <c r="AC1163" s="1">
        <f ca="1">IFERROR(__xludf.DUMMYFUNCTION("""COMPUTED_VALUE"""),140.75)</f>
        <v>140.75</v>
      </c>
    </row>
    <row r="1164" spans="1:29" x14ac:dyDescent="0.25">
      <c r="A1164" s="2">
        <f ca="1">IFERROR(__xludf.DUMMYFUNCTION("""COMPUTED_VALUE"""),45519.6666666666)</f>
        <v>45519.666666666599</v>
      </c>
      <c r="B1164" s="1">
        <f ca="1">IFERROR(__xludf.DUMMYFUNCTION("""COMPUTED_VALUE"""),224.72)</f>
        <v>224.72</v>
      </c>
      <c r="C1164" s="1">
        <f ca="1">IFERROR(__xludf.DUMMYFUNCTION("""COMPUTED_VALUE"""),421.03)</f>
        <v>421.03</v>
      </c>
      <c r="D1164" s="1">
        <f ca="1">IFERROR(__xludf.DUMMYFUNCTION("""COMPUTED_VALUE"""),177.59)</f>
        <v>177.59</v>
      </c>
      <c r="E1164" s="1">
        <f ca="1">IFERROR(__xludf.DUMMYFUNCTION("""COMPUTED_VALUE"""),122.86)</f>
        <v>122.86</v>
      </c>
      <c r="F1164" s="1">
        <f ca="1">IFERROR(__xludf.DUMMYFUNCTION("""COMPUTED_VALUE"""),537.33)</f>
        <v>537.33000000000004</v>
      </c>
      <c r="G1164" s="1">
        <f ca="1">IFERROR(__xludf.DUMMYFUNCTION("""COMPUTED_VALUE"""),163.17)</f>
        <v>163.16999999999999</v>
      </c>
      <c r="H1164" s="1">
        <f ca="1">IFERROR(__xludf.DUMMYFUNCTION("""COMPUTED_VALUE"""),214.14)</f>
        <v>214.14</v>
      </c>
      <c r="I1164" s="1">
        <f ca="1">IFERROR(__xludf.DUMMYFUNCTION("""COMPUTED_VALUE"""),172.52)</f>
        <v>172.52</v>
      </c>
      <c r="J1164" s="1">
        <f ca="1">IFERROR(__xludf.DUMMYFUNCTION("""COMPUTED_VALUE"""),877.35)</f>
        <v>877.35</v>
      </c>
      <c r="K1164" s="1">
        <f ca="1">IFERROR(__xludf.DUMMYFUNCTION("""COMPUTED_VALUE"""),166.13)</f>
        <v>166.13</v>
      </c>
      <c r="L1164" s="1">
        <f ca="1">IFERROR(__xludf.DUMMYFUNCTION("""COMPUTED_VALUE"""),554.16)</f>
        <v>554.16</v>
      </c>
      <c r="M1164" s="1">
        <f ca="1">IFERROR(__xludf.DUMMYFUNCTION("""COMPUTED_VALUE"""),663.22)</f>
        <v>663.22</v>
      </c>
      <c r="N1164" s="1">
        <f ca="1">IFERROR(__xludf.DUMMYFUNCTION("""COMPUTED_VALUE"""),211.55)</f>
        <v>211.55</v>
      </c>
      <c r="O1164" s="1">
        <f ca="1">IFERROR(__xludf.DUMMYFUNCTION("""COMPUTED_VALUE"""),266.8)</f>
        <v>266.8</v>
      </c>
      <c r="P1164" s="1">
        <f ca="1">IFERROR(__xludf.DUMMYFUNCTION("""COMPUTED_VALUE"""),159.09)</f>
        <v>159.09</v>
      </c>
      <c r="Q1164" s="1">
        <f ca="1">IFERROR(__xludf.DUMMYFUNCTION("""COMPUTED_VALUE"""),579.61)</f>
        <v>579.61</v>
      </c>
      <c r="R1164" s="1">
        <f ca="1">IFERROR(__xludf.DUMMYFUNCTION("""COMPUTED_VALUE"""),118.73)</f>
        <v>118.73</v>
      </c>
      <c r="S1164" s="1">
        <f ca="1">IFERROR(__xludf.DUMMYFUNCTION("""COMPUTED_VALUE"""),77.41)</f>
        <v>77.41</v>
      </c>
      <c r="T1164" s="1">
        <f ca="1">IFERROR(__xludf.DUMMYFUNCTION("""COMPUTED_VALUE"""),73.18)</f>
        <v>73.180000000000007</v>
      </c>
      <c r="U1164" s="1">
        <f ca="1">IFERROR(__xludf.DUMMYFUNCTION("""COMPUTED_VALUE"""),82.5)</f>
        <v>82.5</v>
      </c>
      <c r="V1164" s="1">
        <f ca="1">IFERROR(__xludf.DUMMYFUNCTION("""COMPUTED_VALUE"""),345.64)</f>
        <v>345.64</v>
      </c>
      <c r="W1164" s="1">
        <f ca="1">IFERROR(__xludf.DUMMYFUNCTION("""COMPUTED_VALUE"""),560.29)</f>
        <v>560.29</v>
      </c>
      <c r="X1164" s="1">
        <f ca="1">IFERROR(__xludf.DUMMYFUNCTION("""COMPUTED_VALUE"""),928.25)</f>
        <v>928.25</v>
      </c>
      <c r="Y1164" s="1">
        <f ca="1">IFERROR(__xludf.DUMMYFUNCTION("""COMPUTED_VALUE"""),173.96)</f>
        <v>173.96</v>
      </c>
      <c r="Z1164" s="1">
        <f ca="1">IFERROR(__xludf.DUMMYFUNCTION("""COMPUTED_VALUE"""),499.02)</f>
        <v>499.02</v>
      </c>
      <c r="AA1164" s="1">
        <f ca="1">IFERROR(__xludf.DUMMYFUNCTION("""COMPUTED_VALUE"""),28.71)</f>
        <v>28.71</v>
      </c>
      <c r="AB1164" s="1">
        <f ca="1">IFERROR(__xludf.DUMMYFUNCTION("""COMPUTED_VALUE"""),94.88)</f>
        <v>94.88</v>
      </c>
      <c r="AC1164" s="1">
        <f ca="1">IFERROR(__xludf.DUMMYFUNCTION("""COMPUTED_VALUE"""),147.36)</f>
        <v>147.36000000000001</v>
      </c>
    </row>
    <row r="1165" spans="1:29" x14ac:dyDescent="0.25">
      <c r="A1165" s="2">
        <f ca="1">IFERROR(__xludf.DUMMYFUNCTION("""COMPUTED_VALUE"""),45520.6666666666)</f>
        <v>45520.666666666599</v>
      </c>
      <c r="B1165" s="1">
        <f ca="1">IFERROR(__xludf.DUMMYFUNCTION("""COMPUTED_VALUE"""),226.05)</f>
        <v>226.05</v>
      </c>
      <c r="C1165" s="1">
        <f ca="1">IFERROR(__xludf.DUMMYFUNCTION("""COMPUTED_VALUE"""),418.47)</f>
        <v>418.47</v>
      </c>
      <c r="D1165" s="1">
        <f ca="1">IFERROR(__xludf.DUMMYFUNCTION("""COMPUTED_VALUE"""),177.06)</f>
        <v>177.06</v>
      </c>
      <c r="E1165" s="1">
        <f ca="1">IFERROR(__xludf.DUMMYFUNCTION("""COMPUTED_VALUE"""),124.58)</f>
        <v>124.58</v>
      </c>
      <c r="F1165" s="1">
        <f ca="1">IFERROR(__xludf.DUMMYFUNCTION("""COMPUTED_VALUE"""),527.42)</f>
        <v>527.41999999999996</v>
      </c>
      <c r="G1165" s="1">
        <f ca="1">IFERROR(__xludf.DUMMYFUNCTION("""COMPUTED_VALUE"""),164.74)</f>
        <v>164.74</v>
      </c>
      <c r="H1165" s="1">
        <f ca="1">IFERROR(__xludf.DUMMYFUNCTION("""COMPUTED_VALUE"""),216.12)</f>
        <v>216.12</v>
      </c>
      <c r="I1165" s="1">
        <f ca="1">IFERROR(__xludf.DUMMYFUNCTION("""COMPUTED_VALUE"""),172.62)</f>
        <v>172.62</v>
      </c>
      <c r="J1165" s="1">
        <f ca="1">IFERROR(__xludf.DUMMYFUNCTION("""COMPUTED_VALUE"""),870.59)</f>
        <v>870.59</v>
      </c>
      <c r="K1165" s="1">
        <f ca="1">IFERROR(__xludf.DUMMYFUNCTION("""COMPUTED_VALUE"""),165.72)</f>
        <v>165.72</v>
      </c>
      <c r="L1165" s="1">
        <f ca="1">IFERROR(__xludf.DUMMYFUNCTION("""COMPUTED_VALUE"""),553.46)</f>
        <v>553.46</v>
      </c>
      <c r="M1165" s="1">
        <f ca="1">IFERROR(__xludf.DUMMYFUNCTION("""COMPUTED_VALUE"""),674.07)</f>
        <v>674.07</v>
      </c>
      <c r="N1165" s="1">
        <f ca="1">IFERROR(__xludf.DUMMYFUNCTION("""COMPUTED_VALUE"""),213.97)</f>
        <v>213.97</v>
      </c>
      <c r="O1165" s="1">
        <f ca="1">IFERROR(__xludf.DUMMYFUNCTION("""COMPUTED_VALUE"""),267.38)</f>
        <v>267.38</v>
      </c>
      <c r="P1165" s="1">
        <f ca="1">IFERROR(__xludf.DUMMYFUNCTION("""COMPUTED_VALUE"""),159.39)</f>
        <v>159.38999999999999</v>
      </c>
      <c r="Q1165" s="1">
        <f ca="1">IFERROR(__xludf.DUMMYFUNCTION("""COMPUTED_VALUE"""),577.68)</f>
        <v>577.67999999999995</v>
      </c>
      <c r="R1165" s="1">
        <f ca="1">IFERROR(__xludf.DUMMYFUNCTION("""COMPUTED_VALUE"""),118.17)</f>
        <v>118.17</v>
      </c>
      <c r="S1165" s="1">
        <f ca="1">IFERROR(__xludf.DUMMYFUNCTION("""COMPUTED_VALUE"""),78.57)</f>
        <v>78.569999999999993</v>
      </c>
      <c r="T1165" s="1">
        <f ca="1">IFERROR(__xludf.DUMMYFUNCTION("""COMPUTED_VALUE"""),73.45)</f>
        <v>73.45</v>
      </c>
      <c r="U1165" s="1">
        <f ca="1">IFERROR(__xludf.DUMMYFUNCTION("""COMPUTED_VALUE"""),83.23)</f>
        <v>83.23</v>
      </c>
      <c r="V1165" s="1">
        <f ca="1">IFERROR(__xludf.DUMMYFUNCTION("""COMPUTED_VALUE"""),343.48)</f>
        <v>343.48</v>
      </c>
      <c r="W1165" s="1">
        <f ca="1">IFERROR(__xludf.DUMMYFUNCTION("""COMPUTED_VALUE"""),560.13)</f>
        <v>560.13</v>
      </c>
      <c r="X1165" s="1">
        <f ca="1">IFERROR(__xludf.DUMMYFUNCTION("""COMPUTED_VALUE"""),918.66)</f>
        <v>918.66</v>
      </c>
      <c r="Y1165" s="1">
        <f ca="1">IFERROR(__xludf.DUMMYFUNCTION("""COMPUTED_VALUE"""),174.54)</f>
        <v>174.54</v>
      </c>
      <c r="Z1165" s="1">
        <f ca="1">IFERROR(__xludf.DUMMYFUNCTION("""COMPUTED_VALUE"""),504.26)</f>
        <v>504.26</v>
      </c>
      <c r="AA1165" s="1">
        <f ca="1">IFERROR(__xludf.DUMMYFUNCTION("""COMPUTED_VALUE"""),28.3)</f>
        <v>28.3</v>
      </c>
      <c r="AB1165" s="1">
        <f ca="1">IFERROR(__xludf.DUMMYFUNCTION("""COMPUTED_VALUE"""),94.81)</f>
        <v>94.81</v>
      </c>
      <c r="AC1165" s="1">
        <f ca="1">IFERROR(__xludf.DUMMYFUNCTION("""COMPUTED_VALUE"""),148.56)</f>
        <v>148.56</v>
      </c>
    </row>
    <row r="1166" spans="1:29" x14ac:dyDescent="0.25">
      <c r="A1166" s="2">
        <f ca="1">IFERROR(__xludf.DUMMYFUNCTION("""COMPUTED_VALUE"""),45523.6666666666)</f>
        <v>45523.666666666599</v>
      </c>
      <c r="B1166" s="1">
        <f ca="1">IFERROR(__xludf.DUMMYFUNCTION("""COMPUTED_VALUE"""),225.89)</f>
        <v>225.89</v>
      </c>
      <c r="C1166" s="1">
        <f ca="1">IFERROR(__xludf.DUMMYFUNCTION("""COMPUTED_VALUE"""),421.53)</f>
        <v>421.53</v>
      </c>
      <c r="D1166" s="1">
        <f ca="1">IFERROR(__xludf.DUMMYFUNCTION("""COMPUTED_VALUE"""),178.22)</f>
        <v>178.22</v>
      </c>
      <c r="E1166" s="1">
        <f ca="1">IFERROR(__xludf.DUMMYFUNCTION("""COMPUTED_VALUE"""),130)</f>
        <v>130</v>
      </c>
      <c r="F1166" s="1">
        <f ca="1">IFERROR(__xludf.DUMMYFUNCTION("""COMPUTED_VALUE"""),529.28)</f>
        <v>529.28</v>
      </c>
      <c r="G1166" s="1">
        <f ca="1">IFERROR(__xludf.DUMMYFUNCTION("""COMPUTED_VALUE"""),168.4)</f>
        <v>168.4</v>
      </c>
      <c r="H1166" s="1">
        <f ca="1">IFERROR(__xludf.DUMMYFUNCTION("""COMPUTED_VALUE"""),222.72)</f>
        <v>222.72</v>
      </c>
      <c r="I1166" s="1">
        <f ca="1">IFERROR(__xludf.DUMMYFUNCTION("""COMPUTED_VALUE"""),173.82)</f>
        <v>173.82</v>
      </c>
      <c r="J1166" s="1">
        <f ca="1">IFERROR(__xludf.DUMMYFUNCTION("""COMPUTED_VALUE"""),872.35)</f>
        <v>872.35</v>
      </c>
      <c r="K1166" s="1">
        <f ca="1">IFERROR(__xludf.DUMMYFUNCTION("""COMPUTED_VALUE"""),167.71)</f>
        <v>167.71</v>
      </c>
      <c r="L1166" s="1">
        <f ca="1">IFERROR(__xludf.DUMMYFUNCTION("""COMPUTED_VALUE"""),563.12)</f>
        <v>563.12</v>
      </c>
      <c r="M1166" s="1">
        <f ca="1">IFERROR(__xludf.DUMMYFUNCTION("""COMPUTED_VALUE"""),688.53)</f>
        <v>688.53</v>
      </c>
      <c r="N1166" s="1">
        <f ca="1">IFERROR(__xludf.DUMMYFUNCTION("""COMPUTED_VALUE"""),215.45)</f>
        <v>215.45</v>
      </c>
      <c r="O1166" s="1">
        <f ca="1">IFERROR(__xludf.DUMMYFUNCTION("""COMPUTED_VALUE"""),266.47)</f>
        <v>266.47000000000003</v>
      </c>
      <c r="P1166" s="1">
        <f ca="1">IFERROR(__xludf.DUMMYFUNCTION("""COMPUTED_VALUE"""),159.63)</f>
        <v>159.63</v>
      </c>
      <c r="Q1166" s="1">
        <f ca="1">IFERROR(__xludf.DUMMYFUNCTION("""COMPUTED_VALUE"""),578.78)</f>
        <v>578.78</v>
      </c>
      <c r="R1166" s="1">
        <f ca="1">IFERROR(__xludf.DUMMYFUNCTION("""COMPUTED_VALUE"""),118.53)</f>
        <v>118.53</v>
      </c>
      <c r="S1166" s="1">
        <f ca="1">IFERROR(__xludf.DUMMYFUNCTION("""COMPUTED_VALUE"""),79.35)</f>
        <v>79.349999999999994</v>
      </c>
      <c r="T1166" s="1">
        <f ca="1">IFERROR(__xludf.DUMMYFUNCTION("""COMPUTED_VALUE"""),73.72)</f>
        <v>73.72</v>
      </c>
      <c r="U1166" s="1">
        <f ca="1">IFERROR(__xludf.DUMMYFUNCTION("""COMPUTED_VALUE"""),83.28)</f>
        <v>83.28</v>
      </c>
      <c r="V1166" s="1">
        <f ca="1">IFERROR(__xludf.DUMMYFUNCTION("""COMPUTED_VALUE"""),344.65)</f>
        <v>344.65</v>
      </c>
      <c r="W1166" s="1">
        <f ca="1">IFERROR(__xludf.DUMMYFUNCTION("""COMPUTED_VALUE"""),558.39)</f>
        <v>558.39</v>
      </c>
      <c r="X1166" s="1">
        <f ca="1">IFERROR(__xludf.DUMMYFUNCTION("""COMPUTED_VALUE"""),933.15)</f>
        <v>933.15</v>
      </c>
      <c r="Y1166" s="1">
        <f ca="1">IFERROR(__xludf.DUMMYFUNCTION("""COMPUTED_VALUE"""),175.45)</f>
        <v>175.45</v>
      </c>
      <c r="Z1166" s="1">
        <f ca="1">IFERROR(__xludf.DUMMYFUNCTION("""COMPUTED_VALUE"""),504.68)</f>
        <v>504.68</v>
      </c>
      <c r="AA1166" s="1">
        <f ca="1">IFERROR(__xludf.DUMMYFUNCTION("""COMPUTED_VALUE"""),28.8)</f>
        <v>28.8</v>
      </c>
      <c r="AB1166" s="1">
        <f ca="1">IFERROR(__xludf.DUMMYFUNCTION("""COMPUTED_VALUE"""),92.3)</f>
        <v>92.3</v>
      </c>
      <c r="AC1166" s="1">
        <f ca="1">IFERROR(__xludf.DUMMYFUNCTION("""COMPUTED_VALUE"""),155.28)</f>
        <v>155.28</v>
      </c>
    </row>
    <row r="1167" spans="1:29" x14ac:dyDescent="0.25">
      <c r="A1167" s="2">
        <f ca="1">IFERROR(__xludf.DUMMYFUNCTION("""COMPUTED_VALUE"""),45524.6666666666)</f>
        <v>45524.666666666599</v>
      </c>
      <c r="B1167" s="1">
        <f ca="1">IFERROR(__xludf.DUMMYFUNCTION("""COMPUTED_VALUE"""),226.51)</f>
        <v>226.51</v>
      </c>
      <c r="C1167" s="1">
        <f ca="1">IFERROR(__xludf.DUMMYFUNCTION("""COMPUTED_VALUE"""),424.8)</f>
        <v>424.8</v>
      </c>
      <c r="D1167" s="1">
        <f ca="1">IFERROR(__xludf.DUMMYFUNCTION("""COMPUTED_VALUE"""),178.88)</f>
        <v>178.88</v>
      </c>
      <c r="E1167" s="1">
        <f ca="1">IFERROR(__xludf.DUMMYFUNCTION("""COMPUTED_VALUE"""),127.25)</f>
        <v>127.25</v>
      </c>
      <c r="F1167" s="1">
        <f ca="1">IFERROR(__xludf.DUMMYFUNCTION("""COMPUTED_VALUE"""),526.73)</f>
        <v>526.73</v>
      </c>
      <c r="G1167" s="1">
        <f ca="1">IFERROR(__xludf.DUMMYFUNCTION("""COMPUTED_VALUE"""),168.96)</f>
        <v>168.96</v>
      </c>
      <c r="H1167" s="1">
        <f ca="1">IFERROR(__xludf.DUMMYFUNCTION("""COMPUTED_VALUE"""),221.1)</f>
        <v>221.1</v>
      </c>
      <c r="I1167" s="1">
        <f ca="1">IFERROR(__xludf.DUMMYFUNCTION("""COMPUTED_VALUE"""),175.85)</f>
        <v>175.85</v>
      </c>
      <c r="J1167" s="1">
        <f ca="1">IFERROR(__xludf.DUMMYFUNCTION("""COMPUTED_VALUE"""),876.2)</f>
        <v>876.2</v>
      </c>
      <c r="K1167" s="1">
        <f ca="1">IFERROR(__xludf.DUMMYFUNCTION("""COMPUTED_VALUE"""),165.95)</f>
        <v>165.95</v>
      </c>
      <c r="L1167" s="1">
        <f ca="1">IFERROR(__xludf.DUMMYFUNCTION("""COMPUTED_VALUE"""),562.25)</f>
        <v>562.25</v>
      </c>
      <c r="M1167" s="1">
        <f ca="1">IFERROR(__xludf.DUMMYFUNCTION("""COMPUTED_VALUE"""),698.54)</f>
        <v>698.54</v>
      </c>
      <c r="N1167" s="1">
        <f ca="1">IFERROR(__xludf.DUMMYFUNCTION("""COMPUTED_VALUE"""),214.52)</f>
        <v>214.52</v>
      </c>
      <c r="O1167" s="1">
        <f ca="1">IFERROR(__xludf.DUMMYFUNCTION("""COMPUTED_VALUE"""),268.04)</f>
        <v>268.04000000000002</v>
      </c>
      <c r="P1167" s="1">
        <f ca="1">IFERROR(__xludf.DUMMYFUNCTION("""COMPUTED_VALUE"""),160.16)</f>
        <v>160.16</v>
      </c>
      <c r="Q1167" s="1">
        <f ca="1">IFERROR(__xludf.DUMMYFUNCTION("""COMPUTED_VALUE"""),580.65)</f>
        <v>580.65</v>
      </c>
      <c r="R1167" s="1">
        <f ca="1">IFERROR(__xludf.DUMMYFUNCTION("""COMPUTED_VALUE"""),114.58)</f>
        <v>114.58</v>
      </c>
      <c r="S1167" s="1">
        <f ca="1">IFERROR(__xludf.DUMMYFUNCTION("""COMPUTED_VALUE"""),78.98)</f>
        <v>78.98</v>
      </c>
      <c r="T1167" s="1">
        <f ca="1">IFERROR(__xludf.DUMMYFUNCTION("""COMPUTED_VALUE"""),74.54)</f>
        <v>74.540000000000006</v>
      </c>
      <c r="U1167" s="1">
        <f ca="1">IFERROR(__xludf.DUMMYFUNCTION("""COMPUTED_VALUE"""),83.56)</f>
        <v>83.56</v>
      </c>
      <c r="V1167" s="1">
        <f ca="1">IFERROR(__xludf.DUMMYFUNCTION("""COMPUTED_VALUE"""),343.3)</f>
        <v>343.3</v>
      </c>
      <c r="W1167" s="1">
        <f ca="1">IFERROR(__xludf.DUMMYFUNCTION("""COMPUTED_VALUE"""),557.01)</f>
        <v>557.01</v>
      </c>
      <c r="X1167" s="1">
        <f ca="1">IFERROR(__xludf.DUMMYFUNCTION("""COMPUTED_VALUE"""),926.18)</f>
        <v>926.18</v>
      </c>
      <c r="Y1167" s="1">
        <f ca="1">IFERROR(__xludf.DUMMYFUNCTION("""COMPUTED_VALUE"""),172.04)</f>
        <v>172.04</v>
      </c>
      <c r="Z1167" s="1">
        <f ca="1">IFERROR(__xludf.DUMMYFUNCTION("""COMPUTED_VALUE"""),497.34)</f>
        <v>497.34</v>
      </c>
      <c r="AA1167" s="1">
        <f ca="1">IFERROR(__xludf.DUMMYFUNCTION("""COMPUTED_VALUE"""),28.9)</f>
        <v>28.9</v>
      </c>
      <c r="AB1167" s="1">
        <f ca="1">IFERROR(__xludf.DUMMYFUNCTION("""COMPUTED_VALUE"""),93.01)</f>
        <v>93.01</v>
      </c>
      <c r="AC1167" s="1">
        <f ca="1">IFERROR(__xludf.DUMMYFUNCTION("""COMPUTED_VALUE"""),156.4)</f>
        <v>156.4</v>
      </c>
    </row>
    <row r="1168" spans="1:29" x14ac:dyDescent="0.25">
      <c r="A1168" s="2">
        <f ca="1">IFERROR(__xludf.DUMMYFUNCTION("""COMPUTED_VALUE"""),45525.6666666666)</f>
        <v>45525.666666666599</v>
      </c>
      <c r="B1168" s="1">
        <f ca="1">IFERROR(__xludf.DUMMYFUNCTION("""COMPUTED_VALUE"""),226.4)</f>
        <v>226.4</v>
      </c>
      <c r="C1168" s="1">
        <f ca="1">IFERROR(__xludf.DUMMYFUNCTION("""COMPUTED_VALUE"""),424.14)</f>
        <v>424.14</v>
      </c>
      <c r="D1168" s="1">
        <f ca="1">IFERROR(__xludf.DUMMYFUNCTION("""COMPUTED_VALUE"""),180.11)</f>
        <v>180.11</v>
      </c>
      <c r="E1168" s="1">
        <f ca="1">IFERROR(__xludf.DUMMYFUNCTION("""COMPUTED_VALUE"""),128.5)</f>
        <v>128.5</v>
      </c>
      <c r="F1168" s="1">
        <f ca="1">IFERROR(__xludf.DUMMYFUNCTION("""COMPUTED_VALUE"""),535.16)</f>
        <v>535.16</v>
      </c>
      <c r="G1168" s="1">
        <f ca="1">IFERROR(__xludf.DUMMYFUNCTION("""COMPUTED_VALUE"""),167.63)</f>
        <v>167.63</v>
      </c>
      <c r="H1168" s="1">
        <f ca="1">IFERROR(__xludf.DUMMYFUNCTION("""COMPUTED_VALUE"""),223.27)</f>
        <v>223.27</v>
      </c>
      <c r="I1168" s="1">
        <f ca="1">IFERROR(__xludf.DUMMYFUNCTION("""COMPUTED_VALUE"""),175.21)</f>
        <v>175.21</v>
      </c>
      <c r="J1168" s="1">
        <f ca="1">IFERROR(__xludf.DUMMYFUNCTION("""COMPUTED_VALUE"""),881.42)</f>
        <v>881.42</v>
      </c>
      <c r="K1168" s="1">
        <f ca="1">IFERROR(__xludf.DUMMYFUNCTION("""COMPUTED_VALUE"""),165.78)</f>
        <v>165.78</v>
      </c>
      <c r="L1168" s="1">
        <f ca="1">IFERROR(__xludf.DUMMYFUNCTION("""COMPUTED_VALUE"""),565.79)</f>
        <v>565.79</v>
      </c>
      <c r="M1168" s="1">
        <f ca="1">IFERROR(__xludf.DUMMYFUNCTION("""COMPUTED_VALUE"""),697.12)</f>
        <v>697.12</v>
      </c>
      <c r="N1168" s="1">
        <f ca="1">IFERROR(__xludf.DUMMYFUNCTION("""COMPUTED_VALUE"""),214.6)</f>
        <v>214.6</v>
      </c>
      <c r="O1168" s="1">
        <f ca="1">IFERROR(__xludf.DUMMYFUNCTION("""COMPUTED_VALUE"""),268.2)</f>
        <v>268.2</v>
      </c>
      <c r="P1168" s="1">
        <f ca="1">IFERROR(__xludf.DUMMYFUNCTION("""COMPUTED_VALUE"""),161.43)</f>
        <v>161.43</v>
      </c>
      <c r="Q1168" s="1">
        <f ca="1">IFERROR(__xludf.DUMMYFUNCTION("""COMPUTED_VALUE"""),578.07)</f>
        <v>578.07000000000005</v>
      </c>
      <c r="R1168" s="1">
        <f ca="1">IFERROR(__xludf.DUMMYFUNCTION("""COMPUTED_VALUE"""),113.85)</f>
        <v>113.85</v>
      </c>
      <c r="S1168" s="1">
        <f ca="1">IFERROR(__xludf.DUMMYFUNCTION("""COMPUTED_VALUE"""),79.64)</f>
        <v>79.64</v>
      </c>
      <c r="T1168" s="1">
        <f ca="1">IFERROR(__xludf.DUMMYFUNCTION("""COMPUTED_VALUE"""),75.24)</f>
        <v>75.239999999999995</v>
      </c>
      <c r="U1168" s="1">
        <f ca="1">IFERROR(__xludf.DUMMYFUNCTION("""COMPUTED_VALUE"""),84)</f>
        <v>84</v>
      </c>
      <c r="V1168" s="1">
        <f ca="1">IFERROR(__xludf.DUMMYFUNCTION("""COMPUTED_VALUE"""),342.97)</f>
        <v>342.97</v>
      </c>
      <c r="W1168" s="1">
        <f ca="1">IFERROR(__xludf.DUMMYFUNCTION("""COMPUTED_VALUE"""),553.76)</f>
        <v>553.76</v>
      </c>
      <c r="X1168" s="1">
        <f ca="1">IFERROR(__xludf.DUMMYFUNCTION("""COMPUTED_VALUE"""),943.61)</f>
        <v>943.61</v>
      </c>
      <c r="Y1168" s="1">
        <f ca="1">IFERROR(__xludf.DUMMYFUNCTION("""COMPUTED_VALUE"""),171.44)</f>
        <v>171.44</v>
      </c>
      <c r="Z1168" s="1">
        <f ca="1">IFERROR(__xludf.DUMMYFUNCTION("""COMPUTED_VALUE"""),496.46)</f>
        <v>496.46</v>
      </c>
      <c r="AA1168" s="1">
        <f ca="1">IFERROR(__xludf.DUMMYFUNCTION("""COMPUTED_VALUE"""),29.03)</f>
        <v>29.03</v>
      </c>
      <c r="AB1168" s="1">
        <f ca="1">IFERROR(__xludf.DUMMYFUNCTION("""COMPUTED_VALUE"""),92.78)</f>
        <v>92.78</v>
      </c>
      <c r="AC1168" s="1">
        <f ca="1">IFERROR(__xludf.DUMMYFUNCTION("""COMPUTED_VALUE"""),157.81)</f>
        <v>157.81</v>
      </c>
    </row>
    <row r="1169" spans="1:29" x14ac:dyDescent="0.25">
      <c r="A1169" s="2">
        <f ca="1">IFERROR(__xludf.DUMMYFUNCTION("""COMPUTED_VALUE"""),45526.6666666666)</f>
        <v>45526.666666666599</v>
      </c>
      <c r="B1169" s="1">
        <f ca="1">IFERROR(__xludf.DUMMYFUNCTION("""COMPUTED_VALUE"""),224.53)</f>
        <v>224.53</v>
      </c>
      <c r="C1169" s="1">
        <f ca="1">IFERROR(__xludf.DUMMYFUNCTION("""COMPUTED_VALUE"""),415.55)</f>
        <v>415.55</v>
      </c>
      <c r="D1169" s="1">
        <f ca="1">IFERROR(__xludf.DUMMYFUNCTION("""COMPUTED_VALUE"""),176.13)</f>
        <v>176.13</v>
      </c>
      <c r="E1169" s="1">
        <f ca="1">IFERROR(__xludf.DUMMYFUNCTION("""COMPUTED_VALUE"""),123.74)</f>
        <v>123.74</v>
      </c>
      <c r="F1169" s="1">
        <f ca="1">IFERROR(__xludf.DUMMYFUNCTION("""COMPUTED_VALUE"""),531.93)</f>
        <v>531.92999999999995</v>
      </c>
      <c r="G1169" s="1">
        <f ca="1">IFERROR(__xludf.DUMMYFUNCTION("""COMPUTED_VALUE"""),165.49)</f>
        <v>165.49</v>
      </c>
      <c r="H1169" s="1">
        <f ca="1">IFERROR(__xludf.DUMMYFUNCTION("""COMPUTED_VALUE"""),210.66)</f>
        <v>210.66</v>
      </c>
      <c r="I1169" s="1">
        <f ca="1">IFERROR(__xludf.DUMMYFUNCTION("""COMPUTED_VALUE"""),175.74)</f>
        <v>175.74</v>
      </c>
      <c r="J1169" s="1">
        <f ca="1">IFERROR(__xludf.DUMMYFUNCTION("""COMPUTED_VALUE"""),877.56)</f>
        <v>877.56</v>
      </c>
      <c r="K1169" s="1">
        <f ca="1">IFERROR(__xludf.DUMMYFUNCTION("""COMPUTED_VALUE"""),162.34)</f>
        <v>162.34</v>
      </c>
      <c r="L1169" s="1">
        <f ca="1">IFERROR(__xludf.DUMMYFUNCTION("""COMPUTED_VALUE"""),557.44)</f>
        <v>557.44000000000005</v>
      </c>
      <c r="M1169" s="1">
        <f ca="1">IFERROR(__xludf.DUMMYFUNCTION("""COMPUTED_VALUE"""),688.96)</f>
        <v>688.96</v>
      </c>
      <c r="N1169" s="1">
        <f ca="1">IFERROR(__xludf.DUMMYFUNCTION("""COMPUTED_VALUE"""),216.63)</f>
        <v>216.63</v>
      </c>
      <c r="O1169" s="1">
        <f ca="1">IFERROR(__xludf.DUMMYFUNCTION("""COMPUTED_VALUE"""),267.94)</f>
        <v>267.94</v>
      </c>
      <c r="P1169" s="1">
        <f ca="1">IFERROR(__xludf.DUMMYFUNCTION("""COMPUTED_VALUE"""),162.35)</f>
        <v>162.35</v>
      </c>
      <c r="Q1169" s="1">
        <f ca="1">IFERROR(__xludf.DUMMYFUNCTION("""COMPUTED_VALUE"""),578.72)</f>
        <v>578.72</v>
      </c>
      <c r="R1169" s="1">
        <f ca="1">IFERROR(__xludf.DUMMYFUNCTION("""COMPUTED_VALUE"""),114.73)</f>
        <v>114.73</v>
      </c>
      <c r="S1169" s="1">
        <f ca="1">IFERROR(__xludf.DUMMYFUNCTION("""COMPUTED_VALUE"""),78.92)</f>
        <v>78.92</v>
      </c>
      <c r="T1169" s="1">
        <f ca="1">IFERROR(__xludf.DUMMYFUNCTION("""COMPUTED_VALUE"""),75.58)</f>
        <v>75.58</v>
      </c>
      <c r="U1169" s="1">
        <f ca="1">IFERROR(__xludf.DUMMYFUNCTION("""COMPUTED_VALUE"""),83.41)</f>
        <v>83.41</v>
      </c>
      <c r="V1169" s="1">
        <f ca="1">IFERROR(__xludf.DUMMYFUNCTION("""COMPUTED_VALUE"""),342.36)</f>
        <v>342.36</v>
      </c>
      <c r="W1169" s="1">
        <f ca="1">IFERROR(__xludf.DUMMYFUNCTION("""COMPUTED_VALUE"""),557.03)</f>
        <v>557.03</v>
      </c>
      <c r="X1169" s="1">
        <f ca="1">IFERROR(__xludf.DUMMYFUNCTION("""COMPUTED_VALUE"""),907.71)</f>
        <v>907.71</v>
      </c>
      <c r="Y1169" s="1">
        <f ca="1">IFERROR(__xludf.DUMMYFUNCTION("""COMPUTED_VALUE"""),166.44)</f>
        <v>166.44</v>
      </c>
      <c r="Z1169" s="1">
        <f ca="1">IFERROR(__xludf.DUMMYFUNCTION("""COMPUTED_VALUE"""),497.75)</f>
        <v>497.75</v>
      </c>
      <c r="AA1169" s="1">
        <f ca="1">IFERROR(__xludf.DUMMYFUNCTION("""COMPUTED_VALUE"""),28.78)</f>
        <v>28.78</v>
      </c>
      <c r="AB1169" s="1">
        <f ca="1">IFERROR(__xludf.DUMMYFUNCTION("""COMPUTED_VALUE"""),92.43)</f>
        <v>92.43</v>
      </c>
      <c r="AC1169" s="1">
        <f ca="1">IFERROR(__xludf.DUMMYFUNCTION("""COMPUTED_VALUE"""),151.7)</f>
        <v>151.69999999999999</v>
      </c>
    </row>
    <row r="1170" spans="1:29" x14ac:dyDescent="0.25">
      <c r="A1170" s="2">
        <f ca="1">IFERROR(__xludf.DUMMYFUNCTION("""COMPUTED_VALUE"""),45527.6666666666)</f>
        <v>45527.666666666599</v>
      </c>
      <c r="B1170" s="1">
        <f ca="1">IFERROR(__xludf.DUMMYFUNCTION("""COMPUTED_VALUE"""),226.84)</f>
        <v>226.84</v>
      </c>
      <c r="C1170" s="1">
        <f ca="1">IFERROR(__xludf.DUMMYFUNCTION("""COMPUTED_VALUE"""),416.79)</f>
        <v>416.79</v>
      </c>
      <c r="D1170" s="1">
        <f ca="1">IFERROR(__xludf.DUMMYFUNCTION("""COMPUTED_VALUE"""),177.04)</f>
        <v>177.04</v>
      </c>
      <c r="E1170" s="1">
        <f ca="1">IFERROR(__xludf.DUMMYFUNCTION("""COMPUTED_VALUE"""),129.37)</f>
        <v>129.37</v>
      </c>
      <c r="F1170" s="1">
        <f ca="1">IFERROR(__xludf.DUMMYFUNCTION("""COMPUTED_VALUE"""),528)</f>
        <v>528</v>
      </c>
      <c r="G1170" s="1">
        <f ca="1">IFERROR(__xludf.DUMMYFUNCTION("""COMPUTED_VALUE"""),167.43)</f>
        <v>167.43</v>
      </c>
      <c r="H1170" s="1">
        <f ca="1">IFERROR(__xludf.DUMMYFUNCTION("""COMPUTED_VALUE"""),220.32)</f>
        <v>220.32</v>
      </c>
      <c r="I1170" s="1">
        <f ca="1">IFERROR(__xludf.DUMMYFUNCTION("""COMPUTED_VALUE"""),175.87)</f>
        <v>175.87</v>
      </c>
      <c r="J1170" s="1">
        <f ca="1">IFERROR(__xludf.DUMMYFUNCTION("""COMPUTED_VALUE"""),879.21)</f>
        <v>879.21</v>
      </c>
      <c r="K1170" s="1">
        <f ca="1">IFERROR(__xludf.DUMMYFUNCTION("""COMPUTED_VALUE"""),166.36)</f>
        <v>166.36</v>
      </c>
      <c r="L1170" s="1">
        <f ca="1">IFERROR(__xludf.DUMMYFUNCTION("""COMPUTED_VALUE"""),558.3)</f>
        <v>558.29999999999995</v>
      </c>
      <c r="M1170" s="1">
        <f ca="1">IFERROR(__xludf.DUMMYFUNCTION("""COMPUTED_VALUE"""),686.73)</f>
        <v>686.73</v>
      </c>
      <c r="N1170" s="1">
        <f ca="1">IFERROR(__xludf.DUMMYFUNCTION("""COMPUTED_VALUE"""),218.31)</f>
        <v>218.31</v>
      </c>
      <c r="O1170" s="1">
        <f ca="1">IFERROR(__xludf.DUMMYFUNCTION("""COMPUTED_VALUE"""),267.44)</f>
        <v>267.44</v>
      </c>
      <c r="P1170" s="1">
        <f ca="1">IFERROR(__xludf.DUMMYFUNCTION("""COMPUTED_VALUE"""),164.13)</f>
        <v>164.13</v>
      </c>
      <c r="Q1170" s="1">
        <f ca="1">IFERROR(__xludf.DUMMYFUNCTION("""COMPUTED_VALUE"""),584.51)</f>
        <v>584.51</v>
      </c>
      <c r="R1170" s="1">
        <f ca="1">IFERROR(__xludf.DUMMYFUNCTION("""COMPUTED_VALUE"""),116.32)</f>
        <v>116.32</v>
      </c>
      <c r="S1170" s="1">
        <f ca="1">IFERROR(__xludf.DUMMYFUNCTION("""COMPUTED_VALUE"""),79.66)</f>
        <v>79.66</v>
      </c>
      <c r="T1170" s="1">
        <f ca="1">IFERROR(__xludf.DUMMYFUNCTION("""COMPUTED_VALUE"""),75.7)</f>
        <v>75.7</v>
      </c>
      <c r="U1170" s="1">
        <f ca="1">IFERROR(__xludf.DUMMYFUNCTION("""COMPUTED_VALUE"""),84.05)</f>
        <v>84.05</v>
      </c>
      <c r="V1170" s="1">
        <f ca="1">IFERROR(__xludf.DUMMYFUNCTION("""COMPUTED_VALUE"""),348.41)</f>
        <v>348.41</v>
      </c>
      <c r="W1170" s="1">
        <f ca="1">IFERROR(__xludf.DUMMYFUNCTION("""COMPUTED_VALUE"""),555.01)</f>
        <v>555.01</v>
      </c>
      <c r="X1170" s="1">
        <f ca="1">IFERROR(__xludf.DUMMYFUNCTION("""COMPUTED_VALUE"""),907.26)</f>
        <v>907.26</v>
      </c>
      <c r="Y1170" s="1">
        <f ca="1">IFERROR(__xludf.DUMMYFUNCTION("""COMPUTED_VALUE"""),171.28)</f>
        <v>171.28</v>
      </c>
      <c r="Z1170" s="1">
        <f ca="1">IFERROR(__xludf.DUMMYFUNCTION("""COMPUTED_VALUE"""),509.42)</f>
        <v>509.42</v>
      </c>
      <c r="AA1170" s="1">
        <f ca="1">IFERROR(__xludf.DUMMYFUNCTION("""COMPUTED_VALUE"""),28.9)</f>
        <v>28.9</v>
      </c>
      <c r="AB1170" s="1">
        <f ca="1">IFERROR(__xludf.DUMMYFUNCTION("""COMPUTED_VALUE"""),94.02)</f>
        <v>94.02</v>
      </c>
      <c r="AC1170" s="1">
        <f ca="1">IFERROR(__xludf.DUMMYFUNCTION("""COMPUTED_VALUE"""),154.98)</f>
        <v>154.97999999999999</v>
      </c>
    </row>
    <row r="1171" spans="1:29" x14ac:dyDescent="0.25">
      <c r="A1171" s="2">
        <f ca="1">IFERROR(__xludf.DUMMYFUNCTION("""COMPUTED_VALUE"""),45530.6666666666)</f>
        <v>45530.666666666599</v>
      </c>
      <c r="B1171" s="1">
        <f ca="1">IFERROR(__xludf.DUMMYFUNCTION("""COMPUTED_VALUE"""),227.18)</f>
        <v>227.18</v>
      </c>
      <c r="C1171" s="1">
        <f ca="1">IFERROR(__xludf.DUMMYFUNCTION("""COMPUTED_VALUE"""),413.49)</f>
        <v>413.49</v>
      </c>
      <c r="D1171" s="1">
        <f ca="1">IFERROR(__xludf.DUMMYFUNCTION("""COMPUTED_VALUE"""),175.5)</f>
        <v>175.5</v>
      </c>
      <c r="E1171" s="1">
        <f ca="1">IFERROR(__xludf.DUMMYFUNCTION("""COMPUTED_VALUE"""),126.46)</f>
        <v>126.46</v>
      </c>
      <c r="F1171" s="1">
        <f ca="1">IFERROR(__xludf.DUMMYFUNCTION("""COMPUTED_VALUE"""),521.12)</f>
        <v>521.12</v>
      </c>
      <c r="G1171" s="1">
        <f ca="1">IFERROR(__xludf.DUMMYFUNCTION("""COMPUTED_VALUE"""),167.93)</f>
        <v>167.93</v>
      </c>
      <c r="H1171" s="1">
        <f ca="1">IFERROR(__xludf.DUMMYFUNCTION("""COMPUTED_VALUE"""),213.21)</f>
        <v>213.21</v>
      </c>
      <c r="I1171" s="1">
        <f ca="1">IFERROR(__xludf.DUMMYFUNCTION("""COMPUTED_VALUE"""),175.97)</f>
        <v>175.97</v>
      </c>
      <c r="J1171" s="1">
        <f ca="1">IFERROR(__xludf.DUMMYFUNCTION("""COMPUTED_VALUE"""),892.51)</f>
        <v>892.51</v>
      </c>
      <c r="K1171" s="1">
        <f ca="1">IFERROR(__xludf.DUMMYFUNCTION("""COMPUTED_VALUE"""),159.62)</f>
        <v>159.62</v>
      </c>
      <c r="L1171" s="1">
        <f ca="1">IFERROR(__xludf.DUMMYFUNCTION("""COMPUTED_VALUE"""),559.44)</f>
        <v>559.44000000000005</v>
      </c>
      <c r="M1171" s="1">
        <f ca="1">IFERROR(__xludf.DUMMYFUNCTION("""COMPUTED_VALUE"""),688.44)</f>
        <v>688.44</v>
      </c>
      <c r="N1171" s="1">
        <f ca="1">IFERROR(__xludf.DUMMYFUNCTION("""COMPUTED_VALUE"""),219.17)</f>
        <v>219.17</v>
      </c>
      <c r="O1171" s="1">
        <f ca="1">IFERROR(__xludf.DUMMYFUNCTION("""COMPUTED_VALUE"""),268.21)</f>
        <v>268.20999999999998</v>
      </c>
      <c r="P1171" s="1">
        <f ca="1">IFERROR(__xludf.DUMMYFUNCTION("""COMPUTED_VALUE"""),164.61)</f>
        <v>164.61</v>
      </c>
      <c r="Q1171" s="1">
        <f ca="1">IFERROR(__xludf.DUMMYFUNCTION("""COMPUTED_VALUE"""),587.13)</f>
        <v>587.13</v>
      </c>
      <c r="R1171" s="1">
        <f ca="1">IFERROR(__xludf.DUMMYFUNCTION("""COMPUTED_VALUE"""),118.81)</f>
        <v>118.81</v>
      </c>
      <c r="S1171" s="1">
        <f ca="1">IFERROR(__xludf.DUMMYFUNCTION("""COMPUTED_VALUE"""),80.64)</f>
        <v>80.64</v>
      </c>
      <c r="T1171" s="1">
        <f ca="1">IFERROR(__xludf.DUMMYFUNCTION("""COMPUTED_VALUE"""),76.03)</f>
        <v>76.03</v>
      </c>
      <c r="U1171" s="1">
        <f ca="1">IFERROR(__xludf.DUMMYFUNCTION("""COMPUTED_VALUE"""),84.28)</f>
        <v>84.28</v>
      </c>
      <c r="V1171" s="1">
        <f ca="1">IFERROR(__xludf.DUMMYFUNCTION("""COMPUTED_VALUE"""),351.16)</f>
        <v>351.16</v>
      </c>
      <c r="W1171" s="1">
        <f ca="1">IFERROR(__xludf.DUMMYFUNCTION("""COMPUTED_VALUE"""),558.1)</f>
        <v>558.1</v>
      </c>
      <c r="X1171" s="1">
        <f ca="1">IFERROR(__xludf.DUMMYFUNCTION("""COMPUTED_VALUE"""),883.31)</f>
        <v>883.31</v>
      </c>
      <c r="Y1171" s="1">
        <f ca="1">IFERROR(__xludf.DUMMYFUNCTION("""COMPUTED_VALUE"""),169.07)</f>
        <v>169.07</v>
      </c>
      <c r="Z1171" s="1">
        <f ca="1">IFERROR(__xludf.DUMMYFUNCTION("""COMPUTED_VALUE"""),507.87)</f>
        <v>507.87</v>
      </c>
      <c r="AA1171" s="1">
        <f ca="1">IFERROR(__xludf.DUMMYFUNCTION("""COMPUTED_VALUE"""),28.92)</f>
        <v>28.92</v>
      </c>
      <c r="AB1171" s="1">
        <f ca="1">IFERROR(__xludf.DUMMYFUNCTION("""COMPUTED_VALUE"""),95.63)</f>
        <v>95.63</v>
      </c>
      <c r="AC1171" s="1">
        <f ca="1">IFERROR(__xludf.DUMMYFUNCTION("""COMPUTED_VALUE"""),149.99)</f>
        <v>149.99</v>
      </c>
    </row>
    <row r="1172" spans="1:29" x14ac:dyDescent="0.25">
      <c r="A1172" s="2">
        <f ca="1">IFERROR(__xludf.DUMMYFUNCTION("""COMPUTED_VALUE"""),45531.6666666666)</f>
        <v>45531.666666666599</v>
      </c>
      <c r="B1172" s="1">
        <f ca="1">IFERROR(__xludf.DUMMYFUNCTION("""COMPUTED_VALUE"""),228.03)</f>
        <v>228.03</v>
      </c>
      <c r="C1172" s="1">
        <f ca="1">IFERROR(__xludf.DUMMYFUNCTION("""COMPUTED_VALUE"""),413.84)</f>
        <v>413.84</v>
      </c>
      <c r="D1172" s="1">
        <f ca="1">IFERROR(__xludf.DUMMYFUNCTION("""COMPUTED_VALUE"""),173.12)</f>
        <v>173.12</v>
      </c>
      <c r="E1172" s="1">
        <f ca="1">IFERROR(__xludf.DUMMYFUNCTION("""COMPUTED_VALUE"""),128.3)</f>
        <v>128.30000000000001</v>
      </c>
      <c r="F1172" s="1">
        <f ca="1">IFERROR(__xludf.DUMMYFUNCTION("""COMPUTED_VALUE"""),519.1)</f>
        <v>519.1</v>
      </c>
      <c r="G1172" s="1">
        <f ca="1">IFERROR(__xludf.DUMMYFUNCTION("""COMPUTED_VALUE"""),166.38)</f>
        <v>166.38</v>
      </c>
      <c r="H1172" s="1">
        <f ca="1">IFERROR(__xludf.DUMMYFUNCTION("""COMPUTED_VALUE"""),209.21)</f>
        <v>209.21</v>
      </c>
      <c r="I1172" s="1">
        <f ca="1">IFERROR(__xludf.DUMMYFUNCTION("""COMPUTED_VALUE"""),175.3)</f>
        <v>175.3</v>
      </c>
      <c r="J1172" s="1">
        <f ca="1">IFERROR(__xludf.DUMMYFUNCTION("""COMPUTED_VALUE"""),908.9)</f>
        <v>908.9</v>
      </c>
      <c r="K1172" s="1">
        <f ca="1">IFERROR(__xludf.DUMMYFUNCTION("""COMPUTED_VALUE"""),161.39)</f>
        <v>161.38999999999999</v>
      </c>
      <c r="L1172" s="1">
        <f ca="1">IFERROR(__xludf.DUMMYFUNCTION("""COMPUTED_VALUE"""),567.82)</f>
        <v>567.82000000000005</v>
      </c>
      <c r="M1172" s="1">
        <f ca="1">IFERROR(__xludf.DUMMYFUNCTION("""COMPUTED_VALUE"""),695.72)</f>
        <v>695.72</v>
      </c>
      <c r="N1172" s="1">
        <f ca="1">IFERROR(__xludf.DUMMYFUNCTION("""COMPUTED_VALUE"""),220.18)</f>
        <v>220.18</v>
      </c>
      <c r="O1172" s="1">
        <f ca="1">IFERROR(__xludf.DUMMYFUNCTION("""COMPUTED_VALUE"""),270.72)</f>
        <v>270.72000000000003</v>
      </c>
      <c r="P1172" s="1">
        <f ca="1">IFERROR(__xludf.DUMMYFUNCTION("""COMPUTED_VALUE"""),162.95)</f>
        <v>162.94999999999999</v>
      </c>
      <c r="Q1172" s="1">
        <f ca="1">IFERROR(__xludf.DUMMYFUNCTION("""COMPUTED_VALUE"""),587.35)</f>
        <v>587.35</v>
      </c>
      <c r="R1172" s="1">
        <f ca="1">IFERROR(__xludf.DUMMYFUNCTION("""COMPUTED_VALUE"""),117.68)</f>
        <v>117.68</v>
      </c>
      <c r="S1172" s="1">
        <f ca="1">IFERROR(__xludf.DUMMYFUNCTION("""COMPUTED_VALUE"""),79.61)</f>
        <v>79.61</v>
      </c>
      <c r="T1172" s="1">
        <f ca="1">IFERROR(__xludf.DUMMYFUNCTION("""COMPUTED_VALUE"""),76.13)</f>
        <v>76.13</v>
      </c>
      <c r="U1172" s="1">
        <f ca="1">IFERROR(__xludf.DUMMYFUNCTION("""COMPUTED_VALUE"""),85.29)</f>
        <v>85.29</v>
      </c>
      <c r="V1172" s="1">
        <f ca="1">IFERROR(__xludf.DUMMYFUNCTION("""COMPUTED_VALUE"""),351.12)</f>
        <v>351.12</v>
      </c>
      <c r="W1172" s="1">
        <f ca="1">IFERROR(__xludf.DUMMYFUNCTION("""COMPUTED_VALUE"""),560.41)</f>
        <v>560.41</v>
      </c>
      <c r="X1172" s="1">
        <f ca="1">IFERROR(__xludf.DUMMYFUNCTION("""COMPUTED_VALUE"""),889.88)</f>
        <v>889.88</v>
      </c>
      <c r="Y1172" s="1">
        <f ca="1">IFERROR(__xludf.DUMMYFUNCTION("""COMPUTED_VALUE"""),170.55)</f>
        <v>170.55</v>
      </c>
      <c r="Z1172" s="1">
        <f ca="1">IFERROR(__xludf.DUMMYFUNCTION("""COMPUTED_VALUE"""),507.26)</f>
        <v>507.26</v>
      </c>
      <c r="AA1172" s="1">
        <f ca="1">IFERROR(__xludf.DUMMYFUNCTION("""COMPUTED_VALUE"""),28.82)</f>
        <v>28.82</v>
      </c>
      <c r="AB1172" s="1">
        <f ca="1">IFERROR(__xludf.DUMMYFUNCTION("""COMPUTED_VALUE"""),98.6)</f>
        <v>98.6</v>
      </c>
      <c r="AC1172" s="1">
        <f ca="1">IFERROR(__xludf.DUMMYFUNCTION("""COMPUTED_VALUE"""),150.5)</f>
        <v>150.5</v>
      </c>
    </row>
    <row r="1173" spans="1:29" x14ac:dyDescent="0.25">
      <c r="A1173" s="2">
        <f ca="1">IFERROR(__xludf.DUMMYFUNCTION("""COMPUTED_VALUE"""),45532.6666666666)</f>
        <v>45532.666666666599</v>
      </c>
      <c r="B1173" s="1">
        <f ca="1">IFERROR(__xludf.DUMMYFUNCTION("""COMPUTED_VALUE"""),226.49)</f>
        <v>226.49</v>
      </c>
      <c r="C1173" s="1">
        <f ca="1">IFERROR(__xludf.DUMMYFUNCTION("""COMPUTED_VALUE"""),410.6)</f>
        <v>410.6</v>
      </c>
      <c r="D1173" s="1">
        <f ca="1">IFERROR(__xludf.DUMMYFUNCTION("""COMPUTED_VALUE"""),170.8)</f>
        <v>170.8</v>
      </c>
      <c r="E1173" s="1">
        <f ca="1">IFERROR(__xludf.DUMMYFUNCTION("""COMPUTED_VALUE"""),125.61)</f>
        <v>125.61</v>
      </c>
      <c r="F1173" s="1">
        <f ca="1">IFERROR(__xludf.DUMMYFUNCTION("""COMPUTED_VALUE"""),516.78)</f>
        <v>516.78</v>
      </c>
      <c r="G1173" s="1">
        <f ca="1">IFERROR(__xludf.DUMMYFUNCTION("""COMPUTED_VALUE"""),164.5)</f>
        <v>164.5</v>
      </c>
      <c r="H1173" s="1">
        <f ca="1">IFERROR(__xludf.DUMMYFUNCTION("""COMPUTED_VALUE"""),205.75)</f>
        <v>205.75</v>
      </c>
      <c r="I1173" s="1">
        <f ca="1">IFERROR(__xludf.DUMMYFUNCTION("""COMPUTED_VALUE"""),173.92)</f>
        <v>173.92</v>
      </c>
      <c r="J1173" s="1">
        <f ca="1">IFERROR(__xludf.DUMMYFUNCTION("""COMPUTED_VALUE"""),888.05)</f>
        <v>888.05</v>
      </c>
      <c r="K1173" s="1">
        <f ca="1">IFERROR(__xludf.DUMMYFUNCTION("""COMPUTED_VALUE"""),158.18)</f>
        <v>158.18</v>
      </c>
      <c r="L1173" s="1">
        <f ca="1">IFERROR(__xludf.DUMMYFUNCTION("""COMPUTED_VALUE"""),560.54)</f>
        <v>560.54</v>
      </c>
      <c r="M1173" s="1">
        <f ca="1">IFERROR(__xludf.DUMMYFUNCTION("""COMPUTED_VALUE"""),683.84)</f>
        <v>683.84</v>
      </c>
      <c r="N1173" s="1">
        <f ca="1">IFERROR(__xludf.DUMMYFUNCTION("""COMPUTED_VALUE"""),221.29)</f>
        <v>221.29</v>
      </c>
      <c r="O1173" s="1">
        <f ca="1">IFERROR(__xludf.DUMMYFUNCTION("""COMPUTED_VALUE"""),269.19)</f>
        <v>269.19</v>
      </c>
      <c r="P1173" s="1">
        <f ca="1">IFERROR(__xludf.DUMMYFUNCTION("""COMPUTED_VALUE"""),163.92)</f>
        <v>163.92</v>
      </c>
      <c r="Q1173" s="1">
        <f ca="1">IFERROR(__xludf.DUMMYFUNCTION("""COMPUTED_VALUE"""),588.54)</f>
        <v>588.54</v>
      </c>
      <c r="R1173" s="1">
        <f ca="1">IFERROR(__xludf.DUMMYFUNCTION("""COMPUTED_VALUE"""),116.52)</f>
        <v>116.52</v>
      </c>
      <c r="S1173" s="1">
        <f ca="1">IFERROR(__xludf.DUMMYFUNCTION("""COMPUTED_VALUE"""),79.41)</f>
        <v>79.41</v>
      </c>
      <c r="T1173" s="1">
        <f ca="1">IFERROR(__xludf.DUMMYFUNCTION("""COMPUTED_VALUE"""),76.08)</f>
        <v>76.08</v>
      </c>
      <c r="U1173" s="1">
        <f ca="1">IFERROR(__xludf.DUMMYFUNCTION("""COMPUTED_VALUE"""),82.79)</f>
        <v>82.79</v>
      </c>
      <c r="V1173" s="1">
        <f ca="1">IFERROR(__xludf.DUMMYFUNCTION("""COMPUTED_VALUE"""),348.2)</f>
        <v>348.2</v>
      </c>
      <c r="W1173" s="1">
        <f ca="1">IFERROR(__xludf.DUMMYFUNCTION("""COMPUTED_VALUE"""),563.98)</f>
        <v>563.98</v>
      </c>
      <c r="X1173" s="1">
        <f ca="1">IFERROR(__xludf.DUMMYFUNCTION("""COMPUTED_VALUE"""),888.13)</f>
        <v>888.13</v>
      </c>
      <c r="Y1173" s="1">
        <f ca="1">IFERROR(__xludf.DUMMYFUNCTION("""COMPUTED_VALUE"""),169.2)</f>
        <v>169.2</v>
      </c>
      <c r="Z1173" s="1">
        <f ca="1">IFERROR(__xludf.DUMMYFUNCTION("""COMPUTED_VALUE"""),503.33)</f>
        <v>503.33</v>
      </c>
      <c r="AA1173" s="1">
        <f ca="1">IFERROR(__xludf.DUMMYFUNCTION("""COMPUTED_VALUE"""),28.75)</f>
        <v>28.75</v>
      </c>
      <c r="AB1173" s="1">
        <f ca="1">IFERROR(__xludf.DUMMYFUNCTION("""COMPUTED_VALUE"""),95.3)</f>
        <v>95.3</v>
      </c>
      <c r="AC1173" s="1">
        <f ca="1">IFERROR(__xludf.DUMMYFUNCTION("""COMPUTED_VALUE"""),146.36)</f>
        <v>146.36000000000001</v>
      </c>
    </row>
    <row r="1174" spans="1:29" x14ac:dyDescent="0.25">
      <c r="A1174" s="2">
        <f ca="1">IFERROR(__xludf.DUMMYFUNCTION("""COMPUTED_VALUE"""),45533.6666666666)</f>
        <v>45533.666666666599</v>
      </c>
      <c r="B1174" s="1">
        <f ca="1">IFERROR(__xludf.DUMMYFUNCTION("""COMPUTED_VALUE"""),229.79)</f>
        <v>229.79</v>
      </c>
      <c r="C1174" s="1">
        <f ca="1">IFERROR(__xludf.DUMMYFUNCTION("""COMPUTED_VALUE"""),413.12)</f>
        <v>413.12</v>
      </c>
      <c r="D1174" s="1">
        <f ca="1">IFERROR(__xludf.DUMMYFUNCTION("""COMPUTED_VALUE"""),172.12)</f>
        <v>172.12</v>
      </c>
      <c r="E1174" s="1">
        <f ca="1">IFERROR(__xludf.DUMMYFUNCTION("""COMPUTED_VALUE"""),117.59)</f>
        <v>117.59</v>
      </c>
      <c r="F1174" s="1">
        <f ca="1">IFERROR(__xludf.DUMMYFUNCTION("""COMPUTED_VALUE"""),518.22)</f>
        <v>518.22</v>
      </c>
      <c r="G1174" s="1">
        <f ca="1">IFERROR(__xludf.DUMMYFUNCTION("""COMPUTED_VALUE"""),163.4)</f>
        <v>163.4</v>
      </c>
      <c r="H1174" s="1">
        <f ca="1">IFERROR(__xludf.DUMMYFUNCTION("""COMPUTED_VALUE"""),206.28)</f>
        <v>206.28</v>
      </c>
      <c r="I1174" s="1">
        <f ca="1">IFERROR(__xludf.DUMMYFUNCTION("""COMPUTED_VALUE"""),172.09)</f>
        <v>172.09</v>
      </c>
      <c r="J1174" s="1">
        <f ca="1">IFERROR(__xludf.DUMMYFUNCTION("""COMPUTED_VALUE"""),886.63)</f>
        <v>886.63</v>
      </c>
      <c r="K1174" s="1">
        <f ca="1">IFERROR(__xludf.DUMMYFUNCTION("""COMPUTED_VALUE"""),156.93)</f>
        <v>156.93</v>
      </c>
      <c r="L1174" s="1">
        <f ca="1">IFERROR(__xludf.DUMMYFUNCTION("""COMPUTED_VALUE"""),569.63)</f>
        <v>569.63</v>
      </c>
      <c r="M1174" s="1">
        <f ca="1">IFERROR(__xludf.DUMMYFUNCTION("""COMPUTED_VALUE"""),692.48)</f>
        <v>692.48</v>
      </c>
      <c r="N1174" s="1">
        <f ca="1">IFERROR(__xludf.DUMMYFUNCTION("""COMPUTED_VALUE"""),222.21)</f>
        <v>222.21</v>
      </c>
      <c r="O1174" s="1">
        <f ca="1">IFERROR(__xludf.DUMMYFUNCTION("""COMPUTED_VALUE"""),274.32)</f>
        <v>274.32</v>
      </c>
      <c r="P1174" s="1">
        <f ca="1">IFERROR(__xludf.DUMMYFUNCTION("""COMPUTED_VALUE"""),164.23)</f>
        <v>164.23</v>
      </c>
      <c r="Q1174" s="1">
        <f ca="1">IFERROR(__xludf.DUMMYFUNCTION("""COMPUTED_VALUE"""),591.57)</f>
        <v>591.57000000000005</v>
      </c>
      <c r="R1174" s="1">
        <f ca="1">IFERROR(__xludf.DUMMYFUNCTION("""COMPUTED_VALUE"""),118.13)</f>
        <v>118.13</v>
      </c>
      <c r="S1174" s="1">
        <f ca="1">IFERROR(__xludf.DUMMYFUNCTION("""COMPUTED_VALUE"""),80.03)</f>
        <v>80.03</v>
      </c>
      <c r="T1174" s="1">
        <f ca="1">IFERROR(__xludf.DUMMYFUNCTION("""COMPUTED_VALUE"""),76.42)</f>
        <v>76.42</v>
      </c>
      <c r="U1174" s="1">
        <f ca="1">IFERROR(__xludf.DUMMYFUNCTION("""COMPUTED_VALUE"""),83.26)</f>
        <v>83.26</v>
      </c>
      <c r="V1174" s="1">
        <f ca="1">IFERROR(__xludf.DUMMYFUNCTION("""COMPUTED_VALUE"""),351.64)</f>
        <v>351.64</v>
      </c>
      <c r="W1174" s="1">
        <f ca="1">IFERROR(__xludf.DUMMYFUNCTION("""COMPUTED_VALUE"""),566.85)</f>
        <v>566.85</v>
      </c>
      <c r="X1174" s="1">
        <f ca="1">IFERROR(__xludf.DUMMYFUNCTION("""COMPUTED_VALUE"""),887.71)</f>
        <v>887.71</v>
      </c>
      <c r="Y1174" s="1">
        <f ca="1">IFERROR(__xludf.DUMMYFUNCTION("""COMPUTED_VALUE"""),169.15)</f>
        <v>169.15</v>
      </c>
      <c r="Z1174" s="1">
        <f ca="1">IFERROR(__xludf.DUMMYFUNCTION("""COMPUTED_VALUE"""),510.1)</f>
        <v>510.1</v>
      </c>
      <c r="AA1174" s="1">
        <f ca="1">IFERROR(__xludf.DUMMYFUNCTION("""COMPUTED_VALUE"""),28.72)</f>
        <v>28.72</v>
      </c>
      <c r="AB1174" s="1">
        <f ca="1">IFERROR(__xludf.DUMMYFUNCTION("""COMPUTED_VALUE"""),94.86)</f>
        <v>94.86</v>
      </c>
      <c r="AC1174" s="1">
        <f ca="1">IFERROR(__xludf.DUMMYFUNCTION("""COMPUTED_VALUE"""),145.49)</f>
        <v>145.49</v>
      </c>
    </row>
    <row r="1175" spans="1:29" x14ac:dyDescent="0.25">
      <c r="A1175" s="2">
        <f ca="1">IFERROR(__xludf.DUMMYFUNCTION("""COMPUTED_VALUE"""),45534.6666666666)</f>
        <v>45534.666666666599</v>
      </c>
      <c r="B1175" s="1">
        <f ca="1">IFERROR(__xludf.DUMMYFUNCTION("""COMPUTED_VALUE"""),229)</f>
        <v>229</v>
      </c>
      <c r="C1175" s="1">
        <f ca="1">IFERROR(__xludf.DUMMYFUNCTION("""COMPUTED_VALUE"""),417.14)</f>
        <v>417.14</v>
      </c>
      <c r="D1175" s="1">
        <f ca="1">IFERROR(__xludf.DUMMYFUNCTION("""COMPUTED_VALUE"""),178.5)</f>
        <v>178.5</v>
      </c>
      <c r="E1175" s="1">
        <f ca="1">IFERROR(__xludf.DUMMYFUNCTION("""COMPUTED_VALUE"""),119.37)</f>
        <v>119.37</v>
      </c>
      <c r="F1175" s="1">
        <f ca="1">IFERROR(__xludf.DUMMYFUNCTION("""COMPUTED_VALUE"""),521.31)</f>
        <v>521.30999999999995</v>
      </c>
      <c r="G1175" s="1">
        <f ca="1">IFERROR(__xludf.DUMMYFUNCTION("""COMPUTED_VALUE"""),165.11)</f>
        <v>165.11</v>
      </c>
      <c r="H1175" s="1">
        <f ca="1">IFERROR(__xludf.DUMMYFUNCTION("""COMPUTED_VALUE"""),214.11)</f>
        <v>214.11</v>
      </c>
      <c r="I1175" s="1">
        <f ca="1">IFERROR(__xludf.DUMMYFUNCTION("""COMPUTED_VALUE"""),172.88)</f>
        <v>172.88</v>
      </c>
      <c r="J1175" s="1">
        <f ca="1">IFERROR(__xludf.DUMMYFUNCTION("""COMPUTED_VALUE"""),892.38)</f>
        <v>892.38</v>
      </c>
      <c r="K1175" s="1">
        <f ca="1">IFERROR(__xludf.DUMMYFUNCTION("""COMPUTED_VALUE"""),162.82)</f>
        <v>162.82</v>
      </c>
      <c r="L1175" s="1">
        <f ca="1">IFERROR(__xludf.DUMMYFUNCTION("""COMPUTED_VALUE"""),574.41)</f>
        <v>574.41</v>
      </c>
      <c r="M1175" s="1">
        <f ca="1">IFERROR(__xludf.DUMMYFUNCTION("""COMPUTED_VALUE"""),701.35)</f>
        <v>701.35</v>
      </c>
      <c r="N1175" s="1">
        <f ca="1">IFERROR(__xludf.DUMMYFUNCTION("""COMPUTED_VALUE"""),224.8)</f>
        <v>224.8</v>
      </c>
      <c r="O1175" s="1">
        <f ca="1">IFERROR(__xludf.DUMMYFUNCTION("""COMPUTED_VALUE"""),276.37)</f>
        <v>276.37</v>
      </c>
      <c r="P1175" s="1">
        <f ca="1">IFERROR(__xludf.DUMMYFUNCTION("""COMPUTED_VALUE"""),165.86)</f>
        <v>165.86</v>
      </c>
      <c r="Q1175" s="1">
        <f ca="1">IFERROR(__xludf.DUMMYFUNCTION("""COMPUTED_VALUE"""),590.2)</f>
        <v>590.20000000000005</v>
      </c>
      <c r="R1175" s="1">
        <f ca="1">IFERROR(__xludf.DUMMYFUNCTION("""COMPUTED_VALUE"""),117.94)</f>
        <v>117.94</v>
      </c>
      <c r="S1175" s="1">
        <f ca="1">IFERROR(__xludf.DUMMYFUNCTION("""COMPUTED_VALUE"""),80.51)</f>
        <v>80.510000000000005</v>
      </c>
      <c r="T1175" s="1">
        <f ca="1">IFERROR(__xludf.DUMMYFUNCTION("""COMPUTED_VALUE"""),77.23)</f>
        <v>77.23</v>
      </c>
      <c r="U1175" s="1">
        <f ca="1">IFERROR(__xludf.DUMMYFUNCTION("""COMPUTED_VALUE"""),83.32)</f>
        <v>83.32</v>
      </c>
      <c r="V1175" s="1">
        <f ca="1">IFERROR(__xludf.DUMMYFUNCTION("""COMPUTED_VALUE"""),356.1)</f>
        <v>356.1</v>
      </c>
      <c r="W1175" s="1">
        <f ca="1">IFERROR(__xludf.DUMMYFUNCTION("""COMPUTED_VALUE"""),568.1)</f>
        <v>568.1</v>
      </c>
      <c r="X1175" s="1">
        <f ca="1">IFERROR(__xludf.DUMMYFUNCTION("""COMPUTED_VALUE"""),903.87)</f>
        <v>903.87</v>
      </c>
      <c r="Y1175" s="1">
        <f ca="1">IFERROR(__xludf.DUMMYFUNCTION("""COMPUTED_VALUE"""),171.7)</f>
        <v>171.7</v>
      </c>
      <c r="Z1175" s="1">
        <f ca="1">IFERROR(__xludf.DUMMYFUNCTION("""COMPUTED_VALUE"""),510.25)</f>
        <v>510.25</v>
      </c>
      <c r="AA1175" s="1">
        <f ca="1">IFERROR(__xludf.DUMMYFUNCTION("""COMPUTED_VALUE"""),29.01)</f>
        <v>29.01</v>
      </c>
      <c r="AB1175" s="1">
        <f ca="1">IFERROR(__xludf.DUMMYFUNCTION("""COMPUTED_VALUE"""),94.57)</f>
        <v>94.57</v>
      </c>
      <c r="AC1175" s="1">
        <f ca="1">IFERROR(__xludf.DUMMYFUNCTION("""COMPUTED_VALUE"""),148.56)</f>
        <v>148.56</v>
      </c>
    </row>
    <row r="1176" spans="1:29" x14ac:dyDescent="0.25">
      <c r="A1176" s="2">
        <f ca="1">IFERROR(__xludf.DUMMYFUNCTION("""COMPUTED_VALUE"""),45538.6666666666)</f>
        <v>45538.666666666599</v>
      </c>
      <c r="B1176" s="1">
        <f ca="1">IFERROR(__xludf.DUMMYFUNCTION("""COMPUTED_VALUE"""),222.77)</f>
        <v>222.77</v>
      </c>
      <c r="C1176" s="1">
        <f ca="1">IFERROR(__xludf.DUMMYFUNCTION("""COMPUTED_VALUE"""),409.44)</f>
        <v>409.44</v>
      </c>
      <c r="D1176" s="1">
        <f ca="1">IFERROR(__xludf.DUMMYFUNCTION("""COMPUTED_VALUE"""),176.25)</f>
        <v>176.25</v>
      </c>
      <c r="E1176" s="1">
        <f ca="1">IFERROR(__xludf.DUMMYFUNCTION("""COMPUTED_VALUE"""),108)</f>
        <v>108</v>
      </c>
      <c r="F1176" s="1">
        <f ca="1">IFERROR(__xludf.DUMMYFUNCTION("""COMPUTED_VALUE"""),511.76)</f>
        <v>511.76</v>
      </c>
      <c r="G1176" s="1">
        <f ca="1">IFERROR(__xludf.DUMMYFUNCTION("""COMPUTED_VALUE"""),158.61)</f>
        <v>158.61000000000001</v>
      </c>
      <c r="H1176" s="1">
        <f ca="1">IFERROR(__xludf.DUMMYFUNCTION("""COMPUTED_VALUE"""),210.6)</f>
        <v>210.6</v>
      </c>
      <c r="I1176" s="1">
        <f ca="1">IFERROR(__xludf.DUMMYFUNCTION("""COMPUTED_VALUE"""),177.54)</f>
        <v>177.54</v>
      </c>
      <c r="J1176" s="1">
        <f ca="1">IFERROR(__xludf.DUMMYFUNCTION("""COMPUTED_VALUE"""),878.57)</f>
        <v>878.57</v>
      </c>
      <c r="K1176" s="1">
        <f ca="1">IFERROR(__xludf.DUMMYFUNCTION("""COMPUTED_VALUE"""),152.79)</f>
        <v>152.79</v>
      </c>
      <c r="L1176" s="1">
        <f ca="1">IFERROR(__xludf.DUMMYFUNCTION("""COMPUTED_VALUE"""),571.04)</f>
        <v>571.04</v>
      </c>
      <c r="M1176" s="1">
        <f ca="1">IFERROR(__xludf.DUMMYFUNCTION("""COMPUTED_VALUE"""),675.32)</f>
        <v>675.32</v>
      </c>
      <c r="N1176" s="1">
        <f ca="1">IFERROR(__xludf.DUMMYFUNCTION("""COMPUTED_VALUE"""),220.3)</f>
        <v>220.3</v>
      </c>
      <c r="O1176" s="1">
        <f ca="1">IFERROR(__xludf.DUMMYFUNCTION("""COMPUTED_VALUE"""),278.54)</f>
        <v>278.54000000000002</v>
      </c>
      <c r="P1176" s="1">
        <f ca="1">IFERROR(__xludf.DUMMYFUNCTION("""COMPUTED_VALUE"""),167.16)</f>
        <v>167.16</v>
      </c>
      <c r="Q1176" s="1">
        <f ca="1">IFERROR(__xludf.DUMMYFUNCTION("""COMPUTED_VALUE"""),598.68)</f>
        <v>598.67999999999995</v>
      </c>
      <c r="R1176" s="1">
        <f ca="1">IFERROR(__xludf.DUMMYFUNCTION("""COMPUTED_VALUE"""),115.47)</f>
        <v>115.47</v>
      </c>
      <c r="S1176" s="1">
        <f ca="1">IFERROR(__xludf.DUMMYFUNCTION("""COMPUTED_VALUE"""),79.93)</f>
        <v>79.930000000000007</v>
      </c>
      <c r="T1176" s="1">
        <f ca="1">IFERROR(__xludf.DUMMYFUNCTION("""COMPUTED_VALUE"""),77.17)</f>
        <v>77.17</v>
      </c>
      <c r="U1176" s="1">
        <f ca="1">IFERROR(__xludf.DUMMYFUNCTION("""COMPUTED_VALUE"""),81.32)</f>
        <v>81.319999999999993</v>
      </c>
      <c r="V1176" s="1">
        <f ca="1">IFERROR(__xludf.DUMMYFUNCTION("""COMPUTED_VALUE"""),340.24)</f>
        <v>340.24</v>
      </c>
      <c r="W1176" s="1">
        <f ca="1">IFERROR(__xludf.DUMMYFUNCTION("""COMPUTED_VALUE"""),567.22)</f>
        <v>567.22</v>
      </c>
      <c r="X1176" s="1">
        <f ca="1">IFERROR(__xludf.DUMMYFUNCTION("""COMPUTED_VALUE"""),845.39)</f>
        <v>845.39</v>
      </c>
      <c r="Y1176" s="1">
        <f ca="1">IFERROR(__xludf.DUMMYFUNCTION("""COMPUTED_VALUE"""),160.49)</f>
        <v>160.49</v>
      </c>
      <c r="Z1176" s="1">
        <f ca="1">IFERROR(__xludf.DUMMYFUNCTION("""COMPUTED_VALUE"""),487.46)</f>
        <v>487.46</v>
      </c>
      <c r="AA1176" s="1">
        <f ca="1">IFERROR(__xludf.DUMMYFUNCTION("""COMPUTED_VALUE"""),28.3)</f>
        <v>28.3</v>
      </c>
      <c r="AB1176" s="1">
        <f ca="1">IFERROR(__xludf.DUMMYFUNCTION("""COMPUTED_VALUE"""),93.18)</f>
        <v>93.18</v>
      </c>
      <c r="AC1176" s="1">
        <f ca="1">IFERROR(__xludf.DUMMYFUNCTION("""COMPUTED_VALUE"""),136.94)</f>
        <v>136.94</v>
      </c>
    </row>
    <row r="1177" spans="1:29" x14ac:dyDescent="0.25">
      <c r="A1177" s="2">
        <f ca="1">IFERROR(__xludf.DUMMYFUNCTION("""COMPUTED_VALUE"""),45539.6666666666)</f>
        <v>45539.666666666599</v>
      </c>
      <c r="B1177" s="1">
        <f ca="1">IFERROR(__xludf.DUMMYFUNCTION("""COMPUTED_VALUE"""),220.85)</f>
        <v>220.85</v>
      </c>
      <c r="C1177" s="1">
        <f ca="1">IFERROR(__xludf.DUMMYFUNCTION("""COMPUTED_VALUE"""),408.9)</f>
        <v>408.9</v>
      </c>
      <c r="D1177" s="1">
        <f ca="1">IFERROR(__xludf.DUMMYFUNCTION("""COMPUTED_VALUE"""),173.33)</f>
        <v>173.33</v>
      </c>
      <c r="E1177" s="1">
        <f ca="1">IFERROR(__xludf.DUMMYFUNCTION("""COMPUTED_VALUE"""),106.21)</f>
        <v>106.21</v>
      </c>
      <c r="F1177" s="1">
        <f ca="1">IFERROR(__xludf.DUMMYFUNCTION("""COMPUTED_VALUE"""),512.74)</f>
        <v>512.74</v>
      </c>
      <c r="G1177" s="1">
        <f ca="1">IFERROR(__xludf.DUMMYFUNCTION("""COMPUTED_VALUE"""),157.81)</f>
        <v>157.81</v>
      </c>
      <c r="H1177" s="1">
        <f ca="1">IFERROR(__xludf.DUMMYFUNCTION("""COMPUTED_VALUE"""),219.41)</f>
        <v>219.41</v>
      </c>
      <c r="I1177" s="1">
        <f ca="1">IFERROR(__xludf.DUMMYFUNCTION("""COMPUTED_VALUE"""),178.52)</f>
        <v>178.52</v>
      </c>
      <c r="J1177" s="1">
        <f ca="1">IFERROR(__xludf.DUMMYFUNCTION("""COMPUTED_VALUE"""),890.02)</f>
        <v>890.02</v>
      </c>
      <c r="K1177" s="1">
        <f ca="1">IFERROR(__xludf.DUMMYFUNCTION("""COMPUTED_VALUE"""),154.12)</f>
        <v>154.12</v>
      </c>
      <c r="L1177" s="1">
        <f ca="1">IFERROR(__xludf.DUMMYFUNCTION("""COMPUTED_VALUE"""),575.25)</f>
        <v>575.25</v>
      </c>
      <c r="M1177" s="1">
        <f ca="1">IFERROR(__xludf.DUMMYFUNCTION("""COMPUTED_VALUE"""),679.68)</f>
        <v>679.68</v>
      </c>
      <c r="N1177" s="1">
        <f ca="1">IFERROR(__xludf.DUMMYFUNCTION("""COMPUTED_VALUE"""),219.33)</f>
        <v>219.33</v>
      </c>
      <c r="O1177" s="1">
        <f ca="1">IFERROR(__xludf.DUMMYFUNCTION("""COMPUTED_VALUE"""),280.49)</f>
        <v>280.49</v>
      </c>
      <c r="P1177" s="1">
        <f ca="1">IFERROR(__xludf.DUMMYFUNCTION("""COMPUTED_VALUE"""),167.36)</f>
        <v>167.36</v>
      </c>
      <c r="Q1177" s="1">
        <f ca="1">IFERROR(__xludf.DUMMYFUNCTION("""COMPUTED_VALUE"""),604.18)</f>
        <v>604.17999999999995</v>
      </c>
      <c r="R1177" s="1">
        <f ca="1">IFERROR(__xludf.DUMMYFUNCTION("""COMPUTED_VALUE"""),114.06)</f>
        <v>114.06</v>
      </c>
      <c r="S1177" s="1">
        <f ca="1">IFERROR(__xludf.DUMMYFUNCTION("""COMPUTED_VALUE"""),81.08)</f>
        <v>81.08</v>
      </c>
      <c r="T1177" s="1">
        <f ca="1">IFERROR(__xludf.DUMMYFUNCTION("""COMPUTED_VALUE"""),77.24)</f>
        <v>77.239999999999995</v>
      </c>
      <c r="U1177" s="1">
        <f ca="1">IFERROR(__xludf.DUMMYFUNCTION("""COMPUTED_VALUE"""),81.02)</f>
        <v>81.02</v>
      </c>
      <c r="V1177" s="1">
        <f ca="1">IFERROR(__xludf.DUMMYFUNCTION("""COMPUTED_VALUE"""),336.75)</f>
        <v>336.75</v>
      </c>
      <c r="W1177" s="1">
        <f ca="1">IFERROR(__xludf.DUMMYFUNCTION("""COMPUTED_VALUE"""),574.78)</f>
        <v>574.78</v>
      </c>
      <c r="X1177" s="1">
        <f ca="1">IFERROR(__xludf.DUMMYFUNCTION("""COMPUTED_VALUE"""),811.48)</f>
        <v>811.48</v>
      </c>
      <c r="Y1177" s="1">
        <f ca="1">IFERROR(__xludf.DUMMYFUNCTION("""COMPUTED_VALUE"""),160.87)</f>
        <v>160.87</v>
      </c>
      <c r="Z1177" s="1">
        <f ca="1">IFERROR(__xludf.DUMMYFUNCTION("""COMPUTED_VALUE"""),490.64)</f>
        <v>490.64</v>
      </c>
      <c r="AA1177" s="1">
        <f ca="1">IFERROR(__xludf.DUMMYFUNCTION("""COMPUTED_VALUE"""),28.39)</f>
        <v>28.39</v>
      </c>
      <c r="AB1177" s="1">
        <f ca="1">IFERROR(__xludf.DUMMYFUNCTION("""COMPUTED_VALUE"""),92.33)</f>
        <v>92.33</v>
      </c>
      <c r="AC1177" s="1">
        <f ca="1">IFERROR(__xludf.DUMMYFUNCTION("""COMPUTED_VALUE"""),140.87)</f>
        <v>140.87</v>
      </c>
    </row>
    <row r="1178" spans="1:29" x14ac:dyDescent="0.25">
      <c r="A1178" s="2">
        <f ca="1">IFERROR(__xludf.DUMMYFUNCTION("""COMPUTED_VALUE"""),45540.6666666666)</f>
        <v>45540.666666666599</v>
      </c>
      <c r="B1178" s="1">
        <f ca="1">IFERROR(__xludf.DUMMYFUNCTION("""COMPUTED_VALUE"""),222.38)</f>
        <v>222.38</v>
      </c>
      <c r="C1178" s="1">
        <f ca="1">IFERROR(__xludf.DUMMYFUNCTION("""COMPUTED_VALUE"""),408.39)</f>
        <v>408.39</v>
      </c>
      <c r="D1178" s="1">
        <f ca="1">IFERROR(__xludf.DUMMYFUNCTION("""COMPUTED_VALUE"""),177.89)</f>
        <v>177.89</v>
      </c>
      <c r="E1178" s="1">
        <f ca="1">IFERROR(__xludf.DUMMYFUNCTION("""COMPUTED_VALUE"""),107.21)</f>
        <v>107.21</v>
      </c>
      <c r="F1178" s="1">
        <f ca="1">IFERROR(__xludf.DUMMYFUNCTION("""COMPUTED_VALUE"""),516.86)</f>
        <v>516.86</v>
      </c>
      <c r="G1178" s="1">
        <f ca="1">IFERROR(__xludf.DUMMYFUNCTION("""COMPUTED_VALUE"""),158.6)</f>
        <v>158.6</v>
      </c>
      <c r="H1178" s="1">
        <f ca="1">IFERROR(__xludf.DUMMYFUNCTION("""COMPUTED_VALUE"""),230.17)</f>
        <v>230.17</v>
      </c>
      <c r="I1178" s="1">
        <f ca="1">IFERROR(__xludf.DUMMYFUNCTION("""COMPUTED_VALUE"""),179.3)</f>
        <v>179.3</v>
      </c>
      <c r="J1178" s="1">
        <f ca="1">IFERROR(__xludf.DUMMYFUNCTION("""COMPUTED_VALUE"""),885.98)</f>
        <v>885.98</v>
      </c>
      <c r="K1178" s="1">
        <f ca="1">IFERROR(__xludf.DUMMYFUNCTION("""COMPUTED_VALUE"""),152.82)</f>
        <v>152.82</v>
      </c>
      <c r="L1178" s="1">
        <f ca="1">IFERROR(__xludf.DUMMYFUNCTION("""COMPUTED_VALUE"""),567.93)</f>
        <v>567.92999999999995</v>
      </c>
      <c r="M1178" s="1">
        <f ca="1">IFERROR(__xludf.DUMMYFUNCTION("""COMPUTED_VALUE"""),683.62)</f>
        <v>683.62</v>
      </c>
      <c r="N1178" s="1">
        <f ca="1">IFERROR(__xludf.DUMMYFUNCTION("""COMPUTED_VALUE"""),217.63)</f>
        <v>217.63</v>
      </c>
      <c r="O1178" s="1">
        <f ca="1">IFERROR(__xludf.DUMMYFUNCTION("""COMPUTED_VALUE"""),278.62)</f>
        <v>278.62</v>
      </c>
      <c r="P1178" s="1">
        <f ca="1">IFERROR(__xludf.DUMMYFUNCTION("""COMPUTED_VALUE"""),164.99)</f>
        <v>164.99</v>
      </c>
      <c r="Q1178" s="1">
        <f ca="1">IFERROR(__xludf.DUMMYFUNCTION("""COMPUTED_VALUE"""),595.49)</f>
        <v>595.49</v>
      </c>
      <c r="R1178" s="1">
        <f ca="1">IFERROR(__xludf.DUMMYFUNCTION("""COMPUTED_VALUE"""),113.17)</f>
        <v>113.17</v>
      </c>
      <c r="S1178" s="1">
        <f ca="1">IFERROR(__xludf.DUMMYFUNCTION("""COMPUTED_VALUE"""),80.33)</f>
        <v>80.33</v>
      </c>
      <c r="T1178" s="1">
        <f ca="1">IFERROR(__xludf.DUMMYFUNCTION("""COMPUTED_VALUE"""),76.96)</f>
        <v>76.959999999999994</v>
      </c>
      <c r="U1178" s="1">
        <f ca="1">IFERROR(__xludf.DUMMYFUNCTION("""COMPUTED_VALUE"""),80.83)</f>
        <v>80.83</v>
      </c>
      <c r="V1178" s="1">
        <f ca="1">IFERROR(__xludf.DUMMYFUNCTION("""COMPUTED_VALUE"""),333.56)</f>
        <v>333.56</v>
      </c>
      <c r="W1178" s="1">
        <f ca="1">IFERROR(__xludf.DUMMYFUNCTION("""COMPUTED_VALUE"""),568.59)</f>
        <v>568.59</v>
      </c>
      <c r="X1178" s="1">
        <f ca="1">IFERROR(__xludf.DUMMYFUNCTION("""COMPUTED_VALUE"""),795.6)</f>
        <v>795.6</v>
      </c>
      <c r="Y1178" s="1">
        <f ca="1">IFERROR(__xludf.DUMMYFUNCTION("""COMPUTED_VALUE"""),163.7)</f>
        <v>163.69999999999999</v>
      </c>
      <c r="Z1178" s="1">
        <f ca="1">IFERROR(__xludf.DUMMYFUNCTION("""COMPUTED_VALUE"""),487.88)</f>
        <v>487.88</v>
      </c>
      <c r="AA1178" s="1">
        <f ca="1">IFERROR(__xludf.DUMMYFUNCTION("""COMPUTED_VALUE"""),28.51)</f>
        <v>28.51</v>
      </c>
      <c r="AB1178" s="1">
        <f ca="1">IFERROR(__xludf.DUMMYFUNCTION("""COMPUTED_VALUE"""),91.56)</f>
        <v>91.56</v>
      </c>
      <c r="AC1178" s="1">
        <f ca="1">IFERROR(__xludf.DUMMYFUNCTION("""COMPUTED_VALUE"""),139.44)</f>
        <v>139.44</v>
      </c>
    </row>
    <row r="1179" spans="1:29" x14ac:dyDescent="0.25">
      <c r="A1179" s="2">
        <f ca="1">IFERROR(__xludf.DUMMYFUNCTION("""COMPUTED_VALUE"""),45541.6666666666)</f>
        <v>45541.666666666599</v>
      </c>
      <c r="B1179" s="1">
        <f ca="1">IFERROR(__xludf.DUMMYFUNCTION("""COMPUTED_VALUE"""),220.82)</f>
        <v>220.82</v>
      </c>
      <c r="C1179" s="1">
        <f ca="1">IFERROR(__xludf.DUMMYFUNCTION("""COMPUTED_VALUE"""),401.7)</f>
        <v>401.7</v>
      </c>
      <c r="D1179" s="1">
        <f ca="1">IFERROR(__xludf.DUMMYFUNCTION("""COMPUTED_VALUE"""),171.39)</f>
        <v>171.39</v>
      </c>
      <c r="E1179" s="1">
        <f ca="1">IFERROR(__xludf.DUMMYFUNCTION("""COMPUTED_VALUE"""),102.83)</f>
        <v>102.83</v>
      </c>
      <c r="F1179" s="1">
        <f ca="1">IFERROR(__xludf.DUMMYFUNCTION("""COMPUTED_VALUE"""),500.27)</f>
        <v>500.27</v>
      </c>
      <c r="G1179" s="1">
        <f ca="1">IFERROR(__xludf.DUMMYFUNCTION("""COMPUTED_VALUE"""),152.13)</f>
        <v>152.13</v>
      </c>
      <c r="H1179" s="1">
        <f ca="1">IFERROR(__xludf.DUMMYFUNCTION("""COMPUTED_VALUE"""),210.73)</f>
        <v>210.73</v>
      </c>
      <c r="I1179" s="1">
        <f ca="1">IFERROR(__xludf.DUMMYFUNCTION("""COMPUTED_VALUE"""),177.34)</f>
        <v>177.34</v>
      </c>
      <c r="J1179" s="1">
        <f ca="1">IFERROR(__xludf.DUMMYFUNCTION("""COMPUTED_VALUE"""),876.68)</f>
        <v>876.68</v>
      </c>
      <c r="K1179" s="1">
        <f ca="1">IFERROR(__xludf.DUMMYFUNCTION("""COMPUTED_VALUE"""),137)</f>
        <v>137</v>
      </c>
      <c r="L1179" s="1">
        <f ca="1">IFERROR(__xludf.DUMMYFUNCTION("""COMPUTED_VALUE"""),563.41)</f>
        <v>563.41</v>
      </c>
      <c r="M1179" s="1">
        <f ca="1">IFERROR(__xludf.DUMMYFUNCTION("""COMPUTED_VALUE"""),665.77)</f>
        <v>665.77</v>
      </c>
      <c r="N1179" s="1">
        <f ca="1">IFERROR(__xludf.DUMMYFUNCTION("""COMPUTED_VALUE"""),212.46)</f>
        <v>212.46</v>
      </c>
      <c r="O1179" s="1">
        <f ca="1">IFERROR(__xludf.DUMMYFUNCTION("""COMPUTED_VALUE"""),279.37)</f>
        <v>279.37</v>
      </c>
      <c r="P1179" s="1">
        <f ca="1">IFERROR(__xludf.DUMMYFUNCTION("""COMPUTED_VALUE"""),164.38)</f>
        <v>164.38</v>
      </c>
      <c r="Q1179" s="1">
        <f ca="1">IFERROR(__xludf.DUMMYFUNCTION("""COMPUTED_VALUE"""),596.88)</f>
        <v>596.88</v>
      </c>
      <c r="R1179" s="1">
        <f ca="1">IFERROR(__xludf.DUMMYFUNCTION("""COMPUTED_VALUE"""),112.64)</f>
        <v>112.64</v>
      </c>
      <c r="S1179" s="1">
        <f ca="1">IFERROR(__xludf.DUMMYFUNCTION("""COMPUTED_VALUE"""),79.98)</f>
        <v>79.98</v>
      </c>
      <c r="T1179" s="1">
        <f ca="1">IFERROR(__xludf.DUMMYFUNCTION("""COMPUTED_VALUE"""),76.64)</f>
        <v>76.64</v>
      </c>
      <c r="U1179" s="1">
        <f ca="1">IFERROR(__xludf.DUMMYFUNCTION("""COMPUTED_VALUE"""),80.63)</f>
        <v>80.63</v>
      </c>
      <c r="V1179" s="1">
        <f ca="1">IFERROR(__xludf.DUMMYFUNCTION("""COMPUTED_VALUE"""),329.36)</f>
        <v>329.36</v>
      </c>
      <c r="W1179" s="1">
        <f ca="1">IFERROR(__xludf.DUMMYFUNCTION("""COMPUTED_VALUE"""),566.63)</f>
        <v>566.63</v>
      </c>
      <c r="X1179" s="1">
        <f ca="1">IFERROR(__xludf.DUMMYFUNCTION("""COMPUTED_VALUE"""),752.79)</f>
        <v>752.79</v>
      </c>
      <c r="Y1179" s="1">
        <f ca="1">IFERROR(__xludf.DUMMYFUNCTION("""COMPUTED_VALUE"""),156.82)</f>
        <v>156.82</v>
      </c>
      <c r="Z1179" s="1">
        <f ca="1">IFERROR(__xludf.DUMMYFUNCTION("""COMPUTED_VALUE"""),479.61)</f>
        <v>479.61</v>
      </c>
      <c r="AA1179" s="1">
        <f ca="1">IFERROR(__xludf.DUMMYFUNCTION("""COMPUTED_VALUE"""),28.56)</f>
        <v>28.56</v>
      </c>
      <c r="AB1179" s="1">
        <f ca="1">IFERROR(__xludf.DUMMYFUNCTION("""COMPUTED_VALUE"""),91.15)</f>
        <v>91.15</v>
      </c>
      <c r="AC1179" s="1">
        <f ca="1">IFERROR(__xludf.DUMMYFUNCTION("""COMPUTED_VALUE"""),134.35)</f>
        <v>134.35</v>
      </c>
    </row>
    <row r="1180" spans="1:29" x14ac:dyDescent="0.25">
      <c r="A1180" s="2">
        <f ca="1">IFERROR(__xludf.DUMMYFUNCTION("""COMPUTED_VALUE"""),45544.6666666666)</f>
        <v>45544.666666666599</v>
      </c>
      <c r="B1180" s="1">
        <f ca="1">IFERROR(__xludf.DUMMYFUNCTION("""COMPUTED_VALUE"""),220.91)</f>
        <v>220.91</v>
      </c>
      <c r="C1180" s="1">
        <f ca="1">IFERROR(__xludf.DUMMYFUNCTION("""COMPUTED_VALUE"""),405.72)</f>
        <v>405.72</v>
      </c>
      <c r="D1180" s="1">
        <f ca="1">IFERROR(__xludf.DUMMYFUNCTION("""COMPUTED_VALUE"""),175.4)</f>
        <v>175.4</v>
      </c>
      <c r="E1180" s="1">
        <f ca="1">IFERROR(__xludf.DUMMYFUNCTION("""COMPUTED_VALUE"""),106.47)</f>
        <v>106.47</v>
      </c>
      <c r="F1180" s="1">
        <f ca="1">IFERROR(__xludf.DUMMYFUNCTION("""COMPUTED_VALUE"""),504.79)</f>
        <v>504.79</v>
      </c>
      <c r="G1180" s="1">
        <f ca="1">IFERROR(__xludf.DUMMYFUNCTION("""COMPUTED_VALUE"""),149.54)</f>
        <v>149.54</v>
      </c>
      <c r="H1180" s="1">
        <f ca="1">IFERROR(__xludf.DUMMYFUNCTION("""COMPUTED_VALUE"""),216.27)</f>
        <v>216.27</v>
      </c>
      <c r="I1180" s="1">
        <f ca="1">IFERROR(__xludf.DUMMYFUNCTION("""COMPUTED_VALUE"""),178.19)</f>
        <v>178.19</v>
      </c>
      <c r="J1180" s="1">
        <f ca="1">IFERROR(__xludf.DUMMYFUNCTION("""COMPUTED_VALUE"""),896.49)</f>
        <v>896.49</v>
      </c>
      <c r="K1180" s="1">
        <f ca="1">IFERROR(__xludf.DUMMYFUNCTION("""COMPUTED_VALUE"""),140.82)</f>
        <v>140.82</v>
      </c>
      <c r="L1180" s="1">
        <f ca="1">IFERROR(__xludf.DUMMYFUNCTION("""COMPUTED_VALUE"""),569.88)</f>
        <v>569.88</v>
      </c>
      <c r="M1180" s="1">
        <f ca="1">IFERROR(__xludf.DUMMYFUNCTION("""COMPUTED_VALUE"""),675.42)</f>
        <v>675.42</v>
      </c>
      <c r="N1180" s="1">
        <f ca="1">IFERROR(__xludf.DUMMYFUNCTION("""COMPUTED_VALUE"""),216.81)</f>
        <v>216.81</v>
      </c>
      <c r="O1180" s="1">
        <f ca="1">IFERROR(__xludf.DUMMYFUNCTION("""COMPUTED_VALUE"""),285.61)</f>
        <v>285.61</v>
      </c>
      <c r="P1180" s="1">
        <f ca="1">IFERROR(__xludf.DUMMYFUNCTION("""COMPUTED_VALUE"""),166.61)</f>
        <v>166.61</v>
      </c>
      <c r="Q1180" s="1">
        <f ca="1">IFERROR(__xludf.DUMMYFUNCTION("""COMPUTED_VALUE"""),594.1)</f>
        <v>594.1</v>
      </c>
      <c r="R1180" s="1">
        <f ca="1">IFERROR(__xludf.DUMMYFUNCTION("""COMPUTED_VALUE"""),115.01)</f>
        <v>115.01</v>
      </c>
      <c r="S1180" s="1">
        <f ca="1">IFERROR(__xludf.DUMMYFUNCTION("""COMPUTED_VALUE"""),81.19)</f>
        <v>81.19</v>
      </c>
      <c r="T1180" s="1">
        <f ca="1">IFERROR(__xludf.DUMMYFUNCTION("""COMPUTED_VALUE"""),77.34)</f>
        <v>77.34</v>
      </c>
      <c r="U1180" s="1">
        <f ca="1">IFERROR(__xludf.DUMMYFUNCTION("""COMPUTED_VALUE"""),79.49)</f>
        <v>79.489999999999995</v>
      </c>
      <c r="V1180" s="1">
        <f ca="1">IFERROR(__xludf.DUMMYFUNCTION("""COMPUTED_VALUE"""),334.04)</f>
        <v>334.04</v>
      </c>
      <c r="W1180" s="1">
        <f ca="1">IFERROR(__xludf.DUMMYFUNCTION("""COMPUTED_VALUE"""),576.57)</f>
        <v>576.57000000000005</v>
      </c>
      <c r="X1180" s="1">
        <f ca="1">IFERROR(__xludf.DUMMYFUNCTION("""COMPUTED_VALUE"""),749.82)</f>
        <v>749.82</v>
      </c>
      <c r="Y1180" s="1">
        <f ca="1">IFERROR(__xludf.DUMMYFUNCTION("""COMPUTED_VALUE"""),162.78)</f>
        <v>162.78</v>
      </c>
      <c r="Z1180" s="1">
        <f ca="1">IFERROR(__xludf.DUMMYFUNCTION("""COMPUTED_VALUE"""),488.57)</f>
        <v>488.57</v>
      </c>
      <c r="AA1180" s="1">
        <f ca="1">IFERROR(__xludf.DUMMYFUNCTION("""COMPUTED_VALUE"""),29.41)</f>
        <v>29.41</v>
      </c>
      <c r="AB1180" s="1">
        <f ca="1">IFERROR(__xludf.DUMMYFUNCTION("""COMPUTED_VALUE"""),92.21)</f>
        <v>92.21</v>
      </c>
      <c r="AC1180" s="1">
        <f ca="1">IFERROR(__xludf.DUMMYFUNCTION("""COMPUTED_VALUE"""),138.15)</f>
        <v>138.15</v>
      </c>
    </row>
    <row r="1181" spans="1:29" x14ac:dyDescent="0.25">
      <c r="A1181" s="2">
        <f ca="1">IFERROR(__xludf.DUMMYFUNCTION("""COMPUTED_VALUE"""),45545.6666666666)</f>
        <v>45545.666666666599</v>
      </c>
      <c r="B1181" s="1">
        <f ca="1">IFERROR(__xludf.DUMMYFUNCTION("""COMPUTED_VALUE"""),220.11)</f>
        <v>220.11</v>
      </c>
      <c r="C1181" s="1">
        <f ca="1">IFERROR(__xludf.DUMMYFUNCTION("""COMPUTED_VALUE"""),414.2)</f>
        <v>414.2</v>
      </c>
      <c r="D1181" s="1">
        <f ca="1">IFERROR(__xludf.DUMMYFUNCTION("""COMPUTED_VALUE"""),179.55)</f>
        <v>179.55</v>
      </c>
      <c r="E1181" s="1">
        <f ca="1">IFERROR(__xludf.DUMMYFUNCTION("""COMPUTED_VALUE"""),108.1)</f>
        <v>108.1</v>
      </c>
      <c r="F1181" s="1">
        <f ca="1">IFERROR(__xludf.DUMMYFUNCTION("""COMPUTED_VALUE"""),504.79)</f>
        <v>504.79</v>
      </c>
      <c r="G1181" s="1">
        <f ca="1">IFERROR(__xludf.DUMMYFUNCTION("""COMPUTED_VALUE"""),150.01)</f>
        <v>150.01</v>
      </c>
      <c r="H1181" s="1">
        <f ca="1">IFERROR(__xludf.DUMMYFUNCTION("""COMPUTED_VALUE"""),226.17)</f>
        <v>226.17</v>
      </c>
      <c r="I1181" s="1">
        <f ca="1">IFERROR(__xludf.DUMMYFUNCTION("""COMPUTED_VALUE"""),177.81)</f>
        <v>177.81</v>
      </c>
      <c r="J1181" s="1">
        <f ca="1">IFERROR(__xludf.DUMMYFUNCTION("""COMPUTED_VALUE"""),894.29)</f>
        <v>894.29</v>
      </c>
      <c r="K1181" s="1">
        <f ca="1">IFERROR(__xludf.DUMMYFUNCTION("""COMPUTED_VALUE"""),148.21)</f>
        <v>148.21</v>
      </c>
      <c r="L1181" s="1">
        <f ca="1">IFERROR(__xludf.DUMMYFUNCTION("""COMPUTED_VALUE"""),574.48)</f>
        <v>574.48</v>
      </c>
      <c r="M1181" s="1">
        <f ca="1">IFERROR(__xludf.DUMMYFUNCTION("""COMPUTED_VALUE"""),673.62)</f>
        <v>673.62</v>
      </c>
      <c r="N1181" s="1">
        <f ca="1">IFERROR(__xludf.DUMMYFUNCTION("""COMPUTED_VALUE"""),205.56)</f>
        <v>205.56</v>
      </c>
      <c r="O1181" s="1">
        <f ca="1">IFERROR(__xludf.DUMMYFUNCTION("""COMPUTED_VALUE"""),285.34)</f>
        <v>285.33999999999997</v>
      </c>
      <c r="P1181" s="1">
        <f ca="1">IFERROR(__xludf.DUMMYFUNCTION("""COMPUTED_VALUE"""),167.38)</f>
        <v>167.38</v>
      </c>
      <c r="Q1181" s="1">
        <f ca="1">IFERROR(__xludf.DUMMYFUNCTION("""COMPUTED_VALUE"""),599.03)</f>
        <v>599.03</v>
      </c>
      <c r="R1181" s="1">
        <f ca="1">IFERROR(__xludf.DUMMYFUNCTION("""COMPUTED_VALUE"""),110.82)</f>
        <v>110.82</v>
      </c>
      <c r="S1181" s="1">
        <f ca="1">IFERROR(__xludf.DUMMYFUNCTION("""COMPUTED_VALUE"""),82.3)</f>
        <v>82.3</v>
      </c>
      <c r="T1181" s="1">
        <f ca="1">IFERROR(__xludf.DUMMYFUNCTION("""COMPUTED_VALUE"""),78.81)</f>
        <v>78.81</v>
      </c>
      <c r="U1181" s="1">
        <f ca="1">IFERROR(__xludf.DUMMYFUNCTION("""COMPUTED_VALUE"""),78.09)</f>
        <v>78.09</v>
      </c>
      <c r="V1181" s="1">
        <f ca="1">IFERROR(__xludf.DUMMYFUNCTION("""COMPUTED_VALUE"""),334.16)</f>
        <v>334.16</v>
      </c>
      <c r="W1181" s="1">
        <f ca="1">IFERROR(__xludf.DUMMYFUNCTION("""COMPUTED_VALUE"""),572.19)</f>
        <v>572.19000000000005</v>
      </c>
      <c r="X1181" s="1">
        <f ca="1">IFERROR(__xludf.DUMMYFUNCTION("""COMPUTED_VALUE"""),751.38)</f>
        <v>751.38</v>
      </c>
      <c r="Y1181" s="1">
        <f ca="1">IFERROR(__xludf.DUMMYFUNCTION("""COMPUTED_VALUE"""),162.43)</f>
        <v>162.43</v>
      </c>
      <c r="Z1181" s="1">
        <f ca="1">IFERROR(__xludf.DUMMYFUNCTION("""COMPUTED_VALUE"""),467.13)</f>
        <v>467.13</v>
      </c>
      <c r="AA1181" s="1">
        <f ca="1">IFERROR(__xludf.DUMMYFUNCTION("""COMPUTED_VALUE"""),29.74)</f>
        <v>29.74</v>
      </c>
      <c r="AB1181" s="1">
        <f ca="1">IFERROR(__xludf.DUMMYFUNCTION("""COMPUTED_VALUE"""),93.34)</f>
        <v>93.34</v>
      </c>
      <c r="AC1181" s="1">
        <f ca="1">IFERROR(__xludf.DUMMYFUNCTION("""COMPUTED_VALUE"""),142.84)</f>
        <v>142.84</v>
      </c>
    </row>
    <row r="1182" spans="1:29" x14ac:dyDescent="0.25">
      <c r="A1182" s="2">
        <f ca="1">IFERROR(__xludf.DUMMYFUNCTION("""COMPUTED_VALUE"""),45546.6666666666)</f>
        <v>45546.666666666599</v>
      </c>
      <c r="B1182" s="1">
        <f ca="1">IFERROR(__xludf.DUMMYFUNCTION("""COMPUTED_VALUE"""),222.66)</f>
        <v>222.66</v>
      </c>
      <c r="C1182" s="1">
        <f ca="1">IFERROR(__xludf.DUMMYFUNCTION("""COMPUTED_VALUE"""),423.04)</f>
        <v>423.04</v>
      </c>
      <c r="D1182" s="1">
        <f ca="1">IFERROR(__xludf.DUMMYFUNCTION("""COMPUTED_VALUE"""),184.52)</f>
        <v>184.52</v>
      </c>
      <c r="E1182" s="1">
        <f ca="1">IFERROR(__xludf.DUMMYFUNCTION("""COMPUTED_VALUE"""),116.91)</f>
        <v>116.91</v>
      </c>
      <c r="F1182" s="1">
        <f ca="1">IFERROR(__xludf.DUMMYFUNCTION("""COMPUTED_VALUE"""),511.83)</f>
        <v>511.83</v>
      </c>
      <c r="G1182" s="1">
        <f ca="1">IFERROR(__xludf.DUMMYFUNCTION("""COMPUTED_VALUE"""),152.15)</f>
        <v>152.15</v>
      </c>
      <c r="H1182" s="1">
        <f ca="1">IFERROR(__xludf.DUMMYFUNCTION("""COMPUTED_VALUE"""),228.13)</f>
        <v>228.13</v>
      </c>
      <c r="I1182" s="1">
        <f ca="1">IFERROR(__xludf.DUMMYFUNCTION("""COMPUTED_VALUE"""),175.78)</f>
        <v>175.78</v>
      </c>
      <c r="J1182" s="1">
        <f ca="1">IFERROR(__xludf.DUMMYFUNCTION("""COMPUTED_VALUE"""),900.4)</f>
        <v>900.4</v>
      </c>
      <c r="K1182" s="1">
        <f ca="1">IFERROR(__xludf.DUMMYFUNCTION("""COMPUTED_VALUE"""),158.27)</f>
        <v>158.27000000000001</v>
      </c>
      <c r="L1182" s="1">
        <f ca="1">IFERROR(__xludf.DUMMYFUNCTION("""COMPUTED_VALUE"""),580.38)</f>
        <v>580.38</v>
      </c>
      <c r="M1182" s="1">
        <f ca="1">IFERROR(__xludf.DUMMYFUNCTION("""COMPUTED_VALUE"""),681.47)</f>
        <v>681.47</v>
      </c>
      <c r="N1182" s="1">
        <f ca="1">IFERROR(__xludf.DUMMYFUNCTION("""COMPUTED_VALUE"""),207.23)</f>
        <v>207.23</v>
      </c>
      <c r="O1182" s="1">
        <f ca="1">IFERROR(__xludf.DUMMYFUNCTION("""COMPUTED_VALUE"""),283.96)</f>
        <v>283.95999999999998</v>
      </c>
      <c r="P1182" s="1">
        <f ca="1">IFERROR(__xludf.DUMMYFUNCTION("""COMPUTED_VALUE"""),164.82)</f>
        <v>164.82</v>
      </c>
      <c r="Q1182" s="1">
        <f ca="1">IFERROR(__xludf.DUMMYFUNCTION("""COMPUTED_VALUE"""),589.75)</f>
        <v>589.75</v>
      </c>
      <c r="R1182" s="1">
        <f ca="1">IFERROR(__xludf.DUMMYFUNCTION("""COMPUTED_VALUE"""),109.72)</f>
        <v>109.72</v>
      </c>
      <c r="S1182" s="1">
        <f ca="1">IFERROR(__xludf.DUMMYFUNCTION("""COMPUTED_VALUE"""),83.43)</f>
        <v>83.43</v>
      </c>
      <c r="T1182" s="1">
        <f ca="1">IFERROR(__xludf.DUMMYFUNCTION("""COMPUTED_VALUE"""),78.84)</f>
        <v>78.84</v>
      </c>
      <c r="U1182" s="1">
        <f ca="1">IFERROR(__xludf.DUMMYFUNCTION("""COMPUTED_VALUE"""),78.4)</f>
        <v>78.400000000000006</v>
      </c>
      <c r="V1182" s="1">
        <f ca="1">IFERROR(__xludf.DUMMYFUNCTION("""COMPUTED_VALUE"""),335)</f>
        <v>335</v>
      </c>
      <c r="W1182" s="1">
        <f ca="1">IFERROR(__xludf.DUMMYFUNCTION("""COMPUTED_VALUE"""),566.96)</f>
        <v>566.96</v>
      </c>
      <c r="X1182" s="1">
        <f ca="1">IFERROR(__xludf.DUMMYFUNCTION("""COMPUTED_VALUE"""),800.14)</f>
        <v>800.14</v>
      </c>
      <c r="Y1182" s="1">
        <f ca="1">IFERROR(__xludf.DUMMYFUNCTION("""COMPUTED_VALUE"""),170.23)</f>
        <v>170.23</v>
      </c>
      <c r="Z1182" s="1">
        <f ca="1">IFERROR(__xludf.DUMMYFUNCTION("""COMPUTED_VALUE"""),471.17)</f>
        <v>471.17</v>
      </c>
      <c r="AA1182" s="1">
        <f ca="1">IFERROR(__xludf.DUMMYFUNCTION("""COMPUTED_VALUE"""),29.66)</f>
        <v>29.66</v>
      </c>
      <c r="AB1182" s="1">
        <f ca="1">IFERROR(__xludf.DUMMYFUNCTION("""COMPUTED_VALUE"""),98.2)</f>
        <v>98.2</v>
      </c>
      <c r="AC1182" s="1">
        <f ca="1">IFERROR(__xludf.DUMMYFUNCTION("""COMPUTED_VALUE"""),149.86)</f>
        <v>149.86000000000001</v>
      </c>
    </row>
    <row r="1183" spans="1:29" x14ac:dyDescent="0.25">
      <c r="A1183" s="2">
        <f ca="1">IFERROR(__xludf.DUMMYFUNCTION("""COMPUTED_VALUE"""),45547.6666666666)</f>
        <v>45547.666666666599</v>
      </c>
      <c r="B1183" s="1">
        <f ca="1">IFERROR(__xludf.DUMMYFUNCTION("""COMPUTED_VALUE"""),222.77)</f>
        <v>222.77</v>
      </c>
      <c r="C1183" s="1">
        <f ca="1">IFERROR(__xludf.DUMMYFUNCTION("""COMPUTED_VALUE"""),427)</f>
        <v>427</v>
      </c>
      <c r="D1183" s="1">
        <f ca="1">IFERROR(__xludf.DUMMYFUNCTION("""COMPUTED_VALUE"""),187)</f>
        <v>187</v>
      </c>
      <c r="E1183" s="1">
        <f ca="1">IFERROR(__xludf.DUMMYFUNCTION("""COMPUTED_VALUE"""),119.14)</f>
        <v>119.14</v>
      </c>
      <c r="F1183" s="1">
        <f ca="1">IFERROR(__xludf.DUMMYFUNCTION("""COMPUTED_VALUE"""),525.6)</f>
        <v>525.6</v>
      </c>
      <c r="G1183" s="1">
        <f ca="1">IFERROR(__xludf.DUMMYFUNCTION("""COMPUTED_VALUE"""),155.54)</f>
        <v>155.54</v>
      </c>
      <c r="H1183" s="1">
        <f ca="1">IFERROR(__xludf.DUMMYFUNCTION("""COMPUTED_VALUE"""),229.81)</f>
        <v>229.81</v>
      </c>
      <c r="I1183" s="1">
        <f ca="1">IFERROR(__xludf.DUMMYFUNCTION("""COMPUTED_VALUE"""),177.25)</f>
        <v>177.25</v>
      </c>
      <c r="J1183" s="1">
        <f ca="1">IFERROR(__xludf.DUMMYFUNCTION("""COMPUTED_VALUE"""),915.03)</f>
        <v>915.03</v>
      </c>
      <c r="K1183" s="1">
        <f ca="1">IFERROR(__xludf.DUMMYFUNCTION("""COMPUTED_VALUE"""),164.56)</f>
        <v>164.56</v>
      </c>
      <c r="L1183" s="1">
        <f ca="1">IFERROR(__xludf.DUMMYFUNCTION("""COMPUTED_VALUE"""),586.55)</f>
        <v>586.54999999999995</v>
      </c>
      <c r="M1183" s="1">
        <f ca="1">IFERROR(__xludf.DUMMYFUNCTION("""COMPUTED_VALUE"""),686.8)</f>
        <v>686.8</v>
      </c>
      <c r="N1183" s="1">
        <f ca="1">IFERROR(__xludf.DUMMYFUNCTION("""COMPUTED_VALUE"""),206.6)</f>
        <v>206.6</v>
      </c>
      <c r="O1183" s="1">
        <f ca="1">IFERROR(__xludf.DUMMYFUNCTION("""COMPUTED_VALUE"""),285.37)</f>
        <v>285.37</v>
      </c>
      <c r="P1183" s="1">
        <f ca="1">IFERROR(__xludf.DUMMYFUNCTION("""COMPUTED_VALUE"""),164.64)</f>
        <v>164.64</v>
      </c>
      <c r="Q1183" s="1">
        <f ca="1">IFERROR(__xludf.DUMMYFUNCTION("""COMPUTED_VALUE"""),588.42)</f>
        <v>588.41999999999996</v>
      </c>
      <c r="R1183" s="1">
        <f ca="1">IFERROR(__xludf.DUMMYFUNCTION("""COMPUTED_VALUE"""),111.23)</f>
        <v>111.23</v>
      </c>
      <c r="S1183" s="1">
        <f ca="1">IFERROR(__xludf.DUMMYFUNCTION("""COMPUTED_VALUE"""),83.46)</f>
        <v>83.46</v>
      </c>
      <c r="T1183" s="1">
        <f ca="1">IFERROR(__xludf.DUMMYFUNCTION("""COMPUTED_VALUE"""),79.66)</f>
        <v>79.66</v>
      </c>
      <c r="U1183" s="1">
        <f ca="1">IFERROR(__xludf.DUMMYFUNCTION("""COMPUTED_VALUE"""),78.4)</f>
        <v>78.400000000000006</v>
      </c>
      <c r="V1183" s="1">
        <f ca="1">IFERROR(__xludf.DUMMYFUNCTION("""COMPUTED_VALUE"""),339.58)</f>
        <v>339.58</v>
      </c>
      <c r="W1183" s="1">
        <f ca="1">IFERROR(__xludf.DUMMYFUNCTION("""COMPUTED_VALUE"""),568.27)</f>
        <v>568.27</v>
      </c>
      <c r="X1183" s="1">
        <f ca="1">IFERROR(__xludf.DUMMYFUNCTION("""COMPUTED_VALUE"""),800.17)</f>
        <v>800.17</v>
      </c>
      <c r="Y1183" s="1">
        <f ca="1">IFERROR(__xludf.DUMMYFUNCTION("""COMPUTED_VALUE"""),171.43)</f>
        <v>171.43</v>
      </c>
      <c r="Z1183" s="1">
        <f ca="1">IFERROR(__xludf.DUMMYFUNCTION("""COMPUTED_VALUE"""),474.06)</f>
        <v>474.06</v>
      </c>
      <c r="AA1183" s="1">
        <f ca="1">IFERROR(__xludf.DUMMYFUNCTION("""COMPUTED_VALUE"""),29.16)</f>
        <v>29.16</v>
      </c>
      <c r="AB1183" s="1">
        <f ca="1">IFERROR(__xludf.DUMMYFUNCTION("""COMPUTED_VALUE"""),99.28)</f>
        <v>99.28</v>
      </c>
      <c r="AC1183" s="1">
        <f ca="1">IFERROR(__xludf.DUMMYFUNCTION("""COMPUTED_VALUE"""),150.77)</f>
        <v>150.77000000000001</v>
      </c>
    </row>
    <row r="1184" spans="1:29" x14ac:dyDescent="0.25">
      <c r="A1184" s="2">
        <f ca="1">IFERROR(__xludf.DUMMYFUNCTION("""COMPUTED_VALUE"""),45548.6666666666)</f>
        <v>45548.666666666599</v>
      </c>
      <c r="B1184" s="1">
        <f ca="1">IFERROR(__xludf.DUMMYFUNCTION("""COMPUTED_VALUE"""),222.5)</f>
        <v>222.5</v>
      </c>
      <c r="C1184" s="1">
        <f ca="1">IFERROR(__xludf.DUMMYFUNCTION("""COMPUTED_VALUE"""),430.59)</f>
        <v>430.59</v>
      </c>
      <c r="D1184" s="1">
        <f ca="1">IFERROR(__xludf.DUMMYFUNCTION("""COMPUTED_VALUE"""),186.49)</f>
        <v>186.49</v>
      </c>
      <c r="E1184" s="1">
        <f ca="1">IFERROR(__xludf.DUMMYFUNCTION("""COMPUTED_VALUE"""),119.1)</f>
        <v>119.1</v>
      </c>
      <c r="F1184" s="1">
        <f ca="1">IFERROR(__xludf.DUMMYFUNCTION("""COMPUTED_VALUE"""),524.62)</f>
        <v>524.62</v>
      </c>
      <c r="G1184" s="1">
        <f ca="1">IFERROR(__xludf.DUMMYFUNCTION("""COMPUTED_VALUE"""),158.37)</f>
        <v>158.37</v>
      </c>
      <c r="H1184" s="1">
        <f ca="1">IFERROR(__xludf.DUMMYFUNCTION("""COMPUTED_VALUE"""),230.29)</f>
        <v>230.29</v>
      </c>
      <c r="I1184" s="1">
        <f ca="1">IFERROR(__xludf.DUMMYFUNCTION("""COMPUTED_VALUE"""),177.36)</f>
        <v>177.36</v>
      </c>
      <c r="J1184" s="1">
        <f ca="1">IFERROR(__xludf.DUMMYFUNCTION("""COMPUTED_VALUE"""),916)</f>
        <v>916</v>
      </c>
      <c r="K1184" s="1">
        <f ca="1">IFERROR(__xludf.DUMMYFUNCTION("""COMPUTED_VALUE"""),167.69)</f>
        <v>167.69</v>
      </c>
      <c r="L1184" s="1">
        <f ca="1">IFERROR(__xludf.DUMMYFUNCTION("""COMPUTED_VALUE"""),536.87)</f>
        <v>536.87</v>
      </c>
      <c r="M1184" s="1">
        <f ca="1">IFERROR(__xludf.DUMMYFUNCTION("""COMPUTED_VALUE"""),697.06)</f>
        <v>697.06</v>
      </c>
      <c r="N1184" s="1">
        <f ca="1">IFERROR(__xludf.DUMMYFUNCTION("""COMPUTED_VALUE"""),204.32)</f>
        <v>204.32</v>
      </c>
      <c r="O1184" s="1">
        <f ca="1">IFERROR(__xludf.DUMMYFUNCTION("""COMPUTED_VALUE"""),287.35)</f>
        <v>287.35000000000002</v>
      </c>
      <c r="P1184" s="1">
        <f ca="1">IFERROR(__xludf.DUMMYFUNCTION("""COMPUTED_VALUE"""),165.52)</f>
        <v>165.52</v>
      </c>
      <c r="Q1184" s="1">
        <f ca="1">IFERROR(__xludf.DUMMYFUNCTION("""COMPUTED_VALUE"""),594.32)</f>
        <v>594.32000000000005</v>
      </c>
      <c r="R1184" s="1">
        <f ca="1">IFERROR(__xludf.DUMMYFUNCTION("""COMPUTED_VALUE"""),111.15)</f>
        <v>111.15</v>
      </c>
      <c r="S1184" s="1">
        <f ca="1">IFERROR(__xludf.DUMMYFUNCTION("""COMPUTED_VALUE"""),84.65)</f>
        <v>84.65</v>
      </c>
      <c r="T1184" s="1">
        <f ca="1">IFERROR(__xludf.DUMMYFUNCTION("""COMPUTED_VALUE"""),80.6)</f>
        <v>80.599999999999994</v>
      </c>
      <c r="U1184" s="1">
        <f ca="1">IFERROR(__xludf.DUMMYFUNCTION("""COMPUTED_VALUE"""),79.01)</f>
        <v>79.010000000000005</v>
      </c>
      <c r="V1184" s="1">
        <f ca="1">IFERROR(__xludf.DUMMYFUNCTION("""COMPUTED_VALUE"""),345.31)</f>
        <v>345.31</v>
      </c>
      <c r="W1184" s="1">
        <f ca="1">IFERROR(__xludf.DUMMYFUNCTION("""COMPUTED_VALUE"""),569.91)</f>
        <v>569.91</v>
      </c>
      <c r="X1184" s="1">
        <f ca="1">IFERROR(__xludf.DUMMYFUNCTION("""COMPUTED_VALUE"""),816.36)</f>
        <v>816.36</v>
      </c>
      <c r="Y1184" s="1">
        <f ca="1">IFERROR(__xludf.DUMMYFUNCTION("""COMPUTED_VALUE"""),172.5)</f>
        <v>172.5</v>
      </c>
      <c r="Z1184" s="1">
        <f ca="1">IFERROR(__xludf.DUMMYFUNCTION("""COMPUTED_VALUE"""),478.99)</f>
        <v>478.99</v>
      </c>
      <c r="AA1184" s="1">
        <f ca="1">IFERROR(__xludf.DUMMYFUNCTION("""COMPUTED_VALUE"""),29.27)</f>
        <v>29.27</v>
      </c>
      <c r="AB1184" s="1">
        <f ca="1">IFERROR(__xludf.DUMMYFUNCTION("""COMPUTED_VALUE"""),98.57)</f>
        <v>98.57</v>
      </c>
      <c r="AC1184" s="1">
        <f ca="1">IFERROR(__xludf.DUMMYFUNCTION("""COMPUTED_VALUE"""),152.31)</f>
        <v>152.31</v>
      </c>
    </row>
    <row r="1185" spans="1:29" x14ac:dyDescent="0.25">
      <c r="A1185" s="2">
        <f ca="1">IFERROR(__xludf.DUMMYFUNCTION("""COMPUTED_VALUE"""),45551.6666666666)</f>
        <v>45551.666666666599</v>
      </c>
      <c r="B1185" s="1">
        <f ca="1">IFERROR(__xludf.DUMMYFUNCTION("""COMPUTED_VALUE"""),216.32)</f>
        <v>216.32</v>
      </c>
      <c r="C1185" s="1">
        <f ca="1">IFERROR(__xludf.DUMMYFUNCTION("""COMPUTED_VALUE"""),431.34)</f>
        <v>431.34</v>
      </c>
      <c r="D1185" s="1">
        <f ca="1">IFERROR(__xludf.DUMMYFUNCTION("""COMPUTED_VALUE"""),184.89)</f>
        <v>184.89</v>
      </c>
      <c r="E1185" s="1">
        <f ca="1">IFERROR(__xludf.DUMMYFUNCTION("""COMPUTED_VALUE"""),116.78)</f>
        <v>116.78</v>
      </c>
      <c r="F1185" s="1">
        <f ca="1">IFERROR(__xludf.DUMMYFUNCTION("""COMPUTED_VALUE"""),533.28)</f>
        <v>533.28</v>
      </c>
      <c r="G1185" s="1">
        <f ca="1">IFERROR(__xludf.DUMMYFUNCTION("""COMPUTED_VALUE"""),158.99)</f>
        <v>158.99</v>
      </c>
      <c r="H1185" s="1">
        <f ca="1">IFERROR(__xludf.DUMMYFUNCTION("""COMPUTED_VALUE"""),226.78)</f>
        <v>226.78</v>
      </c>
      <c r="I1185" s="1">
        <f ca="1">IFERROR(__xludf.DUMMYFUNCTION("""COMPUTED_VALUE"""),177.21)</f>
        <v>177.21</v>
      </c>
      <c r="J1185" s="1">
        <f ca="1">IFERROR(__xludf.DUMMYFUNCTION("""COMPUTED_VALUE"""),907.87)</f>
        <v>907.87</v>
      </c>
      <c r="K1185" s="1">
        <f ca="1">IFERROR(__xludf.DUMMYFUNCTION("""COMPUTED_VALUE"""),164.02)</f>
        <v>164.02</v>
      </c>
      <c r="L1185" s="1">
        <f ca="1">IFERROR(__xludf.DUMMYFUNCTION("""COMPUTED_VALUE"""),521.5)</f>
        <v>521.5</v>
      </c>
      <c r="M1185" s="1">
        <f ca="1">IFERROR(__xludf.DUMMYFUNCTION("""COMPUTED_VALUE"""),696.5)</f>
        <v>696.5</v>
      </c>
      <c r="N1185" s="1">
        <f ca="1">IFERROR(__xludf.DUMMYFUNCTION("""COMPUTED_VALUE"""),207.86)</f>
        <v>207.86</v>
      </c>
      <c r="O1185" s="1">
        <f ca="1">IFERROR(__xludf.DUMMYFUNCTION("""COMPUTED_VALUE"""),290.48)</f>
        <v>290.48</v>
      </c>
      <c r="P1185" s="1">
        <f ca="1">IFERROR(__xludf.DUMMYFUNCTION("""COMPUTED_VALUE"""),166.99)</f>
        <v>166.99</v>
      </c>
      <c r="Q1185" s="1">
        <f ca="1">IFERROR(__xludf.DUMMYFUNCTION("""COMPUTED_VALUE"""),589.14)</f>
        <v>589.14</v>
      </c>
      <c r="R1185" s="1">
        <f ca="1">IFERROR(__xludf.DUMMYFUNCTION("""COMPUTED_VALUE"""),112.71)</f>
        <v>112.71</v>
      </c>
      <c r="S1185" s="1">
        <f ca="1">IFERROR(__xludf.DUMMYFUNCTION("""COMPUTED_VALUE"""),84.64)</f>
        <v>84.64</v>
      </c>
      <c r="T1185" s="1">
        <f ca="1">IFERROR(__xludf.DUMMYFUNCTION("""COMPUTED_VALUE"""),80.56)</f>
        <v>80.56</v>
      </c>
      <c r="U1185" s="1">
        <f ca="1">IFERROR(__xludf.DUMMYFUNCTION("""COMPUTED_VALUE"""),79.8)</f>
        <v>79.8</v>
      </c>
      <c r="V1185" s="1">
        <f ca="1">IFERROR(__xludf.DUMMYFUNCTION("""COMPUTED_VALUE"""),347.96)</f>
        <v>347.96</v>
      </c>
      <c r="W1185" s="1">
        <f ca="1">IFERROR(__xludf.DUMMYFUNCTION("""COMPUTED_VALUE"""),572.92)</f>
        <v>572.91999999999996</v>
      </c>
      <c r="X1185" s="1">
        <f ca="1">IFERROR(__xludf.DUMMYFUNCTION("""COMPUTED_VALUE"""),803.04)</f>
        <v>803.04</v>
      </c>
      <c r="Y1185" s="1">
        <f ca="1">IFERROR(__xludf.DUMMYFUNCTION("""COMPUTED_VALUE"""),169.08)</f>
        <v>169.08</v>
      </c>
      <c r="Z1185" s="1">
        <f ca="1">IFERROR(__xludf.DUMMYFUNCTION("""COMPUTED_VALUE"""),485.16)</f>
        <v>485.16</v>
      </c>
      <c r="AA1185" s="1">
        <f ca="1">IFERROR(__xludf.DUMMYFUNCTION("""COMPUTED_VALUE"""),30.07)</f>
        <v>30.07</v>
      </c>
      <c r="AB1185" s="1">
        <f ca="1">IFERROR(__xludf.DUMMYFUNCTION("""COMPUTED_VALUE"""),96.31)</f>
        <v>96.31</v>
      </c>
      <c r="AC1185" s="1">
        <f ca="1">IFERROR(__xludf.DUMMYFUNCTION("""COMPUTED_VALUE"""),152.08)</f>
        <v>152.08000000000001</v>
      </c>
    </row>
    <row r="1186" spans="1:29" x14ac:dyDescent="0.25">
      <c r="A1186" s="2">
        <f ca="1">IFERROR(__xludf.DUMMYFUNCTION("""COMPUTED_VALUE"""),45552.6666666666)</f>
        <v>45552.666666666599</v>
      </c>
      <c r="B1186" s="1">
        <f ca="1">IFERROR(__xludf.DUMMYFUNCTION("""COMPUTED_VALUE"""),216.79)</f>
        <v>216.79</v>
      </c>
      <c r="C1186" s="1">
        <f ca="1">IFERROR(__xludf.DUMMYFUNCTION("""COMPUTED_VALUE"""),435.15)</f>
        <v>435.15</v>
      </c>
      <c r="D1186" s="1">
        <f ca="1">IFERROR(__xludf.DUMMYFUNCTION("""COMPUTED_VALUE"""),186.88)</f>
        <v>186.88</v>
      </c>
      <c r="E1186" s="1">
        <f ca="1">IFERROR(__xludf.DUMMYFUNCTION("""COMPUTED_VALUE"""),115.59)</f>
        <v>115.59</v>
      </c>
      <c r="F1186" s="1">
        <f ca="1">IFERROR(__xludf.DUMMYFUNCTION("""COMPUTED_VALUE"""),536.32)</f>
        <v>536.32000000000005</v>
      </c>
      <c r="G1186" s="1">
        <f ca="1">IFERROR(__xludf.DUMMYFUNCTION("""COMPUTED_VALUE"""),160.28)</f>
        <v>160.28</v>
      </c>
      <c r="H1186" s="1">
        <f ca="1">IFERROR(__xludf.DUMMYFUNCTION("""COMPUTED_VALUE"""),227.87)</f>
        <v>227.87</v>
      </c>
      <c r="I1186" s="1">
        <f ca="1">IFERROR(__xludf.DUMMYFUNCTION("""COMPUTED_VALUE"""),176.87)</f>
        <v>176.87</v>
      </c>
      <c r="J1186" s="1">
        <f ca="1">IFERROR(__xludf.DUMMYFUNCTION("""COMPUTED_VALUE"""),897.27)</f>
        <v>897.27</v>
      </c>
      <c r="K1186" s="1">
        <f ca="1">IFERROR(__xludf.DUMMYFUNCTION("""COMPUTED_VALUE"""),162.47)</f>
        <v>162.47</v>
      </c>
      <c r="L1186" s="1">
        <f ca="1">IFERROR(__xludf.DUMMYFUNCTION("""COMPUTED_VALUE"""),515.03)</f>
        <v>515.03</v>
      </c>
      <c r="M1186" s="1">
        <f ca="1">IFERROR(__xludf.DUMMYFUNCTION("""COMPUTED_VALUE"""),706.91)</f>
        <v>706.91</v>
      </c>
      <c r="N1186" s="1">
        <f ca="1">IFERROR(__xludf.DUMMYFUNCTION("""COMPUTED_VALUE"""),209.25)</f>
        <v>209.25</v>
      </c>
      <c r="O1186" s="1">
        <f ca="1">IFERROR(__xludf.DUMMYFUNCTION("""COMPUTED_VALUE"""),291.56)</f>
        <v>291.56</v>
      </c>
      <c r="P1186" s="1">
        <f ca="1">IFERROR(__xludf.DUMMYFUNCTION("""COMPUTED_VALUE"""),167.07)</f>
        <v>167.07</v>
      </c>
      <c r="Q1186" s="1">
        <f ca="1">IFERROR(__xludf.DUMMYFUNCTION("""COMPUTED_VALUE"""),577.96)</f>
        <v>577.96</v>
      </c>
      <c r="R1186" s="1">
        <f ca="1">IFERROR(__xludf.DUMMYFUNCTION("""COMPUTED_VALUE"""),114.18)</f>
        <v>114.18</v>
      </c>
      <c r="S1186" s="1">
        <f ca="1">IFERROR(__xludf.DUMMYFUNCTION("""COMPUTED_VALUE"""),84.97)</f>
        <v>84.97</v>
      </c>
      <c r="T1186" s="1">
        <f ca="1">IFERROR(__xludf.DUMMYFUNCTION("""COMPUTED_VALUE"""),78.6)</f>
        <v>78.599999999999994</v>
      </c>
      <c r="U1186" s="1">
        <f ca="1">IFERROR(__xludf.DUMMYFUNCTION("""COMPUTED_VALUE"""),80.64)</f>
        <v>80.64</v>
      </c>
      <c r="V1186" s="1">
        <f ca="1">IFERROR(__xludf.DUMMYFUNCTION("""COMPUTED_VALUE"""),353.69)</f>
        <v>353.69</v>
      </c>
      <c r="W1186" s="1">
        <f ca="1">IFERROR(__xludf.DUMMYFUNCTION("""COMPUTED_VALUE"""),567.01)</f>
        <v>567.01</v>
      </c>
      <c r="X1186" s="1">
        <f ca="1">IFERROR(__xludf.DUMMYFUNCTION("""COMPUTED_VALUE"""),805.69)</f>
        <v>805.69</v>
      </c>
      <c r="Y1186" s="1">
        <f ca="1">IFERROR(__xludf.DUMMYFUNCTION("""COMPUTED_VALUE"""),167.35)</f>
        <v>167.35</v>
      </c>
      <c r="Z1186" s="1">
        <f ca="1">IFERROR(__xludf.DUMMYFUNCTION("""COMPUTED_VALUE"""),485.39)</f>
        <v>485.39</v>
      </c>
      <c r="AA1186" s="1">
        <f ca="1">IFERROR(__xludf.DUMMYFUNCTION("""COMPUTED_VALUE"""),29.83)</f>
        <v>29.83</v>
      </c>
      <c r="AB1186" s="1">
        <f ca="1">IFERROR(__xludf.DUMMYFUNCTION("""COMPUTED_VALUE"""),96.44)</f>
        <v>96.44</v>
      </c>
      <c r="AC1186" s="1">
        <f ca="1">IFERROR(__xludf.DUMMYFUNCTION("""COMPUTED_VALUE"""),150.82)</f>
        <v>150.82</v>
      </c>
    </row>
    <row r="1187" spans="1:29" x14ac:dyDescent="0.25">
      <c r="A1187" s="2">
        <f ca="1">IFERROR(__xludf.DUMMYFUNCTION("""COMPUTED_VALUE"""),45553.6666666666)</f>
        <v>45553.666666666599</v>
      </c>
      <c r="B1187" s="1">
        <f ca="1">IFERROR(__xludf.DUMMYFUNCTION("""COMPUTED_VALUE"""),220.69)</f>
        <v>220.69</v>
      </c>
      <c r="C1187" s="1">
        <f ca="1">IFERROR(__xludf.DUMMYFUNCTION("""COMPUTED_VALUE"""),430.81)</f>
        <v>430.81</v>
      </c>
      <c r="D1187" s="1">
        <f ca="1">IFERROR(__xludf.DUMMYFUNCTION("""COMPUTED_VALUE"""),186.43)</f>
        <v>186.43</v>
      </c>
      <c r="E1187" s="1">
        <f ca="1">IFERROR(__xludf.DUMMYFUNCTION("""COMPUTED_VALUE"""),113.37)</f>
        <v>113.37</v>
      </c>
      <c r="F1187" s="1">
        <f ca="1">IFERROR(__xludf.DUMMYFUNCTION("""COMPUTED_VALUE"""),537.95)</f>
        <v>537.95000000000005</v>
      </c>
      <c r="G1187" s="1">
        <f ca="1">IFERROR(__xludf.DUMMYFUNCTION("""COMPUTED_VALUE"""),160.81)</f>
        <v>160.81</v>
      </c>
      <c r="H1187" s="1">
        <f ca="1">IFERROR(__xludf.DUMMYFUNCTION("""COMPUTED_VALUE"""),227.2)</f>
        <v>227.2</v>
      </c>
      <c r="I1187" s="1">
        <f ca="1">IFERROR(__xludf.DUMMYFUNCTION("""COMPUTED_VALUE"""),175.21)</f>
        <v>175.21</v>
      </c>
      <c r="J1187" s="1">
        <f ca="1">IFERROR(__xludf.DUMMYFUNCTION("""COMPUTED_VALUE"""),892.52)</f>
        <v>892.52</v>
      </c>
      <c r="K1187" s="1">
        <f ca="1">IFERROR(__xludf.DUMMYFUNCTION("""COMPUTED_VALUE"""),161.67)</f>
        <v>161.66999999999999</v>
      </c>
      <c r="L1187" s="1">
        <f ca="1">IFERROR(__xludf.DUMMYFUNCTION("""COMPUTED_VALUE"""),508.13)</f>
        <v>508.13</v>
      </c>
      <c r="M1187" s="1">
        <f ca="1">IFERROR(__xludf.DUMMYFUNCTION("""COMPUTED_VALUE"""),690.47)</f>
        <v>690.47</v>
      </c>
      <c r="N1187" s="1">
        <f ca="1">IFERROR(__xludf.DUMMYFUNCTION("""COMPUTED_VALUE"""),207.53)</f>
        <v>207.53</v>
      </c>
      <c r="O1187" s="1">
        <f ca="1">IFERROR(__xludf.DUMMYFUNCTION("""COMPUTED_VALUE"""),288.48)</f>
        <v>288.48</v>
      </c>
      <c r="P1187" s="1">
        <f ca="1">IFERROR(__xludf.DUMMYFUNCTION("""COMPUTED_VALUE"""),166.15)</f>
        <v>166.15</v>
      </c>
      <c r="Q1187" s="1">
        <f ca="1">IFERROR(__xludf.DUMMYFUNCTION("""COMPUTED_VALUE"""),580.65)</f>
        <v>580.65</v>
      </c>
      <c r="R1187" s="1">
        <f ca="1">IFERROR(__xludf.DUMMYFUNCTION("""COMPUTED_VALUE"""),114.58)</f>
        <v>114.58</v>
      </c>
      <c r="S1187" s="1">
        <f ca="1">IFERROR(__xludf.DUMMYFUNCTION("""COMPUTED_VALUE"""),84.28)</f>
        <v>84.28</v>
      </c>
      <c r="T1187" s="1">
        <f ca="1">IFERROR(__xludf.DUMMYFUNCTION("""COMPUTED_VALUE"""),79.03)</f>
        <v>79.03</v>
      </c>
      <c r="U1187" s="1">
        <f ca="1">IFERROR(__xludf.DUMMYFUNCTION("""COMPUTED_VALUE"""),80.9)</f>
        <v>80.900000000000006</v>
      </c>
      <c r="V1187" s="1">
        <f ca="1">IFERROR(__xludf.DUMMYFUNCTION("""COMPUTED_VALUE"""),355.12)</f>
        <v>355.12</v>
      </c>
      <c r="W1187" s="1">
        <f ca="1">IFERROR(__xludf.DUMMYFUNCTION("""COMPUTED_VALUE"""),565.49)</f>
        <v>565.49</v>
      </c>
      <c r="X1187" s="1">
        <f ca="1">IFERROR(__xludf.DUMMYFUNCTION("""COMPUTED_VALUE"""),787.84)</f>
        <v>787.84</v>
      </c>
      <c r="Y1187" s="1">
        <f ca="1">IFERROR(__xludf.DUMMYFUNCTION("""COMPUTED_VALUE"""),167.28)</f>
        <v>167.28</v>
      </c>
      <c r="Z1187" s="1">
        <f ca="1">IFERROR(__xludf.DUMMYFUNCTION("""COMPUTED_VALUE"""),484.58)</f>
        <v>484.58</v>
      </c>
      <c r="AA1187" s="1">
        <f ca="1">IFERROR(__xludf.DUMMYFUNCTION("""COMPUTED_VALUE"""),29.75)</f>
        <v>29.75</v>
      </c>
      <c r="AB1187" s="1">
        <f ca="1">IFERROR(__xludf.DUMMYFUNCTION("""COMPUTED_VALUE"""),96.12)</f>
        <v>96.12</v>
      </c>
      <c r="AC1187" s="1">
        <f ca="1">IFERROR(__xludf.DUMMYFUNCTION("""COMPUTED_VALUE"""),148.29)</f>
        <v>148.29</v>
      </c>
    </row>
    <row r="1188" spans="1:29" x14ac:dyDescent="0.25">
      <c r="A1188" s="2">
        <f ca="1">IFERROR(__xludf.DUMMYFUNCTION("""COMPUTED_VALUE"""),45554.6666666666)</f>
        <v>45554.666666666599</v>
      </c>
      <c r="B1188" s="1">
        <f ca="1">IFERROR(__xludf.DUMMYFUNCTION("""COMPUTED_VALUE"""),228.87)</f>
        <v>228.87</v>
      </c>
      <c r="C1188" s="1">
        <f ca="1">IFERROR(__xludf.DUMMYFUNCTION("""COMPUTED_VALUE"""),438.69)</f>
        <v>438.69</v>
      </c>
      <c r="D1188" s="1">
        <f ca="1">IFERROR(__xludf.DUMMYFUNCTION("""COMPUTED_VALUE"""),189.87)</f>
        <v>189.87</v>
      </c>
      <c r="E1188" s="1">
        <f ca="1">IFERROR(__xludf.DUMMYFUNCTION("""COMPUTED_VALUE"""),117.87)</f>
        <v>117.87</v>
      </c>
      <c r="F1188" s="1">
        <f ca="1">IFERROR(__xludf.DUMMYFUNCTION("""COMPUTED_VALUE"""),559.1)</f>
        <v>559.1</v>
      </c>
      <c r="G1188" s="1">
        <f ca="1">IFERROR(__xludf.DUMMYFUNCTION("""COMPUTED_VALUE"""),163.24)</f>
        <v>163.24</v>
      </c>
      <c r="H1188" s="1">
        <f ca="1">IFERROR(__xludf.DUMMYFUNCTION("""COMPUTED_VALUE"""),243.92)</f>
        <v>243.92</v>
      </c>
      <c r="I1188" s="1">
        <f ca="1">IFERROR(__xludf.DUMMYFUNCTION("""COMPUTED_VALUE"""),174.66)</f>
        <v>174.66</v>
      </c>
      <c r="J1188" s="1">
        <f ca="1">IFERROR(__xludf.DUMMYFUNCTION("""COMPUTED_VALUE"""),900.74)</f>
        <v>900.74</v>
      </c>
      <c r="K1188" s="1">
        <f ca="1">IFERROR(__xludf.DUMMYFUNCTION("""COMPUTED_VALUE"""),167.42)</f>
        <v>167.42</v>
      </c>
      <c r="L1188" s="1">
        <f ca="1">IFERROR(__xludf.DUMMYFUNCTION("""COMPUTED_VALUE"""),526.44)</f>
        <v>526.44000000000005</v>
      </c>
      <c r="M1188" s="1">
        <f ca="1">IFERROR(__xludf.DUMMYFUNCTION("""COMPUTED_VALUE"""),704.32)</f>
        <v>704.32</v>
      </c>
      <c r="N1188" s="1">
        <f ca="1">IFERROR(__xludf.DUMMYFUNCTION("""COMPUTED_VALUE"""),210.48)</f>
        <v>210.48</v>
      </c>
      <c r="O1188" s="1">
        <f ca="1">IFERROR(__xludf.DUMMYFUNCTION("""COMPUTED_VALUE"""),285.24)</f>
        <v>285.24</v>
      </c>
      <c r="P1188" s="1">
        <f ca="1">IFERROR(__xludf.DUMMYFUNCTION("""COMPUTED_VALUE"""),164.82)</f>
        <v>164.82</v>
      </c>
      <c r="Q1188" s="1">
        <f ca="1">IFERROR(__xludf.DUMMYFUNCTION("""COMPUTED_VALUE"""),577.07)</f>
        <v>577.07000000000005</v>
      </c>
      <c r="R1188" s="1">
        <f ca="1">IFERROR(__xludf.DUMMYFUNCTION("""COMPUTED_VALUE"""),116)</f>
        <v>116</v>
      </c>
      <c r="S1188" s="1">
        <f ca="1">IFERROR(__xludf.DUMMYFUNCTION("""COMPUTED_VALUE"""),82.29)</f>
        <v>82.29</v>
      </c>
      <c r="T1188" s="1">
        <f ca="1">IFERROR(__xludf.DUMMYFUNCTION("""COMPUTED_VALUE"""),78.04)</f>
        <v>78.040000000000006</v>
      </c>
      <c r="U1188" s="1">
        <f ca="1">IFERROR(__xludf.DUMMYFUNCTION("""COMPUTED_VALUE"""),80.98)</f>
        <v>80.98</v>
      </c>
      <c r="V1188" s="1">
        <f ca="1">IFERROR(__xludf.DUMMYFUNCTION("""COMPUTED_VALUE"""),373.31)</f>
        <v>373.31</v>
      </c>
      <c r="W1188" s="1">
        <f ca="1">IFERROR(__xludf.DUMMYFUNCTION("""COMPUTED_VALUE"""),565.18)</f>
        <v>565.17999999999995</v>
      </c>
      <c r="X1188" s="1">
        <f ca="1">IFERROR(__xludf.DUMMYFUNCTION("""COMPUTED_VALUE"""),828.16)</f>
        <v>828.16</v>
      </c>
      <c r="Y1188" s="1">
        <f ca="1">IFERROR(__xludf.DUMMYFUNCTION("""COMPUTED_VALUE"""),176.22)</f>
        <v>176.22</v>
      </c>
      <c r="Z1188" s="1">
        <f ca="1">IFERROR(__xludf.DUMMYFUNCTION("""COMPUTED_VALUE"""),503.83)</f>
        <v>503.83</v>
      </c>
      <c r="AA1188" s="1">
        <f ca="1">IFERROR(__xludf.DUMMYFUNCTION("""COMPUTED_VALUE"""),29.66)</f>
        <v>29.66</v>
      </c>
      <c r="AB1188" s="1">
        <f ca="1">IFERROR(__xludf.DUMMYFUNCTION("""COMPUTED_VALUE"""),96.9)</f>
        <v>96.9</v>
      </c>
      <c r="AC1188" s="1">
        <f ca="1">IFERROR(__xludf.DUMMYFUNCTION("""COMPUTED_VALUE"""),156.74)</f>
        <v>156.74</v>
      </c>
    </row>
    <row r="1189" spans="1:29" x14ac:dyDescent="0.25">
      <c r="A1189" s="2">
        <f ca="1">IFERROR(__xludf.DUMMYFUNCTION("""COMPUTED_VALUE"""),45555.6666666666)</f>
        <v>45555.666666666599</v>
      </c>
      <c r="B1189" s="1">
        <f ca="1">IFERROR(__xludf.DUMMYFUNCTION("""COMPUTED_VALUE"""),228.2)</f>
        <v>228.2</v>
      </c>
      <c r="C1189" s="1">
        <f ca="1">IFERROR(__xludf.DUMMYFUNCTION("""COMPUTED_VALUE"""),435.27)</f>
        <v>435.27</v>
      </c>
      <c r="D1189" s="1">
        <f ca="1">IFERROR(__xludf.DUMMYFUNCTION("""COMPUTED_VALUE"""),191.6)</f>
        <v>191.6</v>
      </c>
      <c r="E1189" s="1">
        <f ca="1">IFERROR(__xludf.DUMMYFUNCTION("""COMPUTED_VALUE"""),116)</f>
        <v>116</v>
      </c>
      <c r="F1189" s="1">
        <f ca="1">IFERROR(__xludf.DUMMYFUNCTION("""COMPUTED_VALUE"""),561.35)</f>
        <v>561.35</v>
      </c>
      <c r="G1189" s="1">
        <f ca="1">IFERROR(__xludf.DUMMYFUNCTION("""COMPUTED_VALUE"""),164.64)</f>
        <v>164.64</v>
      </c>
      <c r="H1189" s="1">
        <f ca="1">IFERROR(__xludf.DUMMYFUNCTION("""COMPUTED_VALUE"""),238.25)</f>
        <v>238.25</v>
      </c>
      <c r="I1189" s="1">
        <f ca="1">IFERROR(__xludf.DUMMYFUNCTION("""COMPUTED_VALUE"""),171.18)</f>
        <v>171.18</v>
      </c>
      <c r="J1189" s="1">
        <f ca="1">IFERROR(__xludf.DUMMYFUNCTION("""COMPUTED_VALUE"""),906.98)</f>
        <v>906.98</v>
      </c>
      <c r="K1189" s="1">
        <f ca="1">IFERROR(__xludf.DUMMYFUNCTION("""COMPUTED_VALUE"""),171.1)</f>
        <v>171.1</v>
      </c>
      <c r="L1189" s="1">
        <f ca="1">IFERROR(__xludf.DUMMYFUNCTION("""COMPUTED_VALUE"""),522.3)</f>
        <v>522.29999999999995</v>
      </c>
      <c r="M1189" s="1">
        <f ca="1">IFERROR(__xludf.DUMMYFUNCTION("""COMPUTED_VALUE"""),701.03)</f>
        <v>701.03</v>
      </c>
      <c r="N1189" s="1">
        <f ca="1">IFERROR(__xludf.DUMMYFUNCTION("""COMPUTED_VALUE"""),211.09)</f>
        <v>211.09</v>
      </c>
      <c r="O1189" s="1">
        <f ca="1">IFERROR(__xludf.DUMMYFUNCTION("""COMPUTED_VALUE"""),284.77)</f>
        <v>284.77</v>
      </c>
      <c r="P1189" s="1">
        <f ca="1">IFERROR(__xludf.DUMMYFUNCTION("""COMPUTED_VALUE"""),164.16)</f>
        <v>164.16</v>
      </c>
      <c r="Q1189" s="1">
        <f ca="1">IFERROR(__xludf.DUMMYFUNCTION("""COMPUTED_VALUE"""),575)</f>
        <v>575</v>
      </c>
      <c r="R1189" s="1">
        <f ca="1">IFERROR(__xludf.DUMMYFUNCTION("""COMPUTED_VALUE"""),115.27)</f>
        <v>115.27</v>
      </c>
      <c r="S1189" s="1">
        <f ca="1">IFERROR(__xludf.DUMMYFUNCTION("""COMPUTED_VALUE"""),82.76)</f>
        <v>82.76</v>
      </c>
      <c r="T1189" s="1">
        <f ca="1">IFERROR(__xludf.DUMMYFUNCTION("""COMPUTED_VALUE"""),79.06)</f>
        <v>79.06</v>
      </c>
      <c r="U1189" s="1">
        <f ca="1">IFERROR(__xludf.DUMMYFUNCTION("""COMPUTED_VALUE"""),86.52)</f>
        <v>86.52</v>
      </c>
      <c r="V1189" s="1">
        <f ca="1">IFERROR(__xludf.DUMMYFUNCTION("""COMPUTED_VALUE"""),368.82)</f>
        <v>368.82</v>
      </c>
      <c r="W1189" s="1">
        <f ca="1">IFERROR(__xludf.DUMMYFUNCTION("""COMPUTED_VALUE"""),571.92)</f>
        <v>571.91999999999996</v>
      </c>
      <c r="X1189" s="1">
        <f ca="1">IFERROR(__xludf.DUMMYFUNCTION("""COMPUTED_VALUE"""),795.28)</f>
        <v>795.28</v>
      </c>
      <c r="Y1189" s="1">
        <f ca="1">IFERROR(__xludf.DUMMYFUNCTION("""COMPUTED_VALUE"""),174.08)</f>
        <v>174.08</v>
      </c>
      <c r="Z1189" s="1">
        <f ca="1">IFERROR(__xludf.DUMMYFUNCTION("""COMPUTED_VALUE"""),498.43)</f>
        <v>498.43</v>
      </c>
      <c r="AA1189" s="1">
        <f ca="1">IFERROR(__xludf.DUMMYFUNCTION("""COMPUTED_VALUE"""),29.42)</f>
        <v>29.42</v>
      </c>
      <c r="AB1189" s="1">
        <f ca="1">IFERROR(__xludf.DUMMYFUNCTION("""COMPUTED_VALUE"""),96.05)</f>
        <v>96.05</v>
      </c>
      <c r="AC1189" s="1">
        <f ca="1">IFERROR(__xludf.DUMMYFUNCTION("""COMPUTED_VALUE"""),155.95)</f>
        <v>155.94999999999999</v>
      </c>
    </row>
    <row r="1190" spans="1:29" x14ac:dyDescent="0.25">
      <c r="A1190" s="2">
        <f ca="1">IFERROR(__xludf.DUMMYFUNCTION("""COMPUTED_VALUE"""),45558.6666666666)</f>
        <v>45558.666666666599</v>
      </c>
      <c r="B1190" s="1">
        <f ca="1">IFERROR(__xludf.DUMMYFUNCTION("""COMPUTED_VALUE"""),226.47)</f>
        <v>226.47</v>
      </c>
      <c r="C1190" s="1">
        <f ca="1">IFERROR(__xludf.DUMMYFUNCTION("""COMPUTED_VALUE"""),433.51)</f>
        <v>433.51</v>
      </c>
      <c r="D1190" s="1">
        <f ca="1">IFERROR(__xludf.DUMMYFUNCTION("""COMPUTED_VALUE"""),193.88)</f>
        <v>193.88</v>
      </c>
      <c r="E1190" s="1">
        <f ca="1">IFERROR(__xludf.DUMMYFUNCTION("""COMPUTED_VALUE"""),116.26)</f>
        <v>116.26</v>
      </c>
      <c r="F1190" s="1">
        <f ca="1">IFERROR(__xludf.DUMMYFUNCTION("""COMPUTED_VALUE"""),564.41)</f>
        <v>564.41</v>
      </c>
      <c r="G1190" s="1">
        <f ca="1">IFERROR(__xludf.DUMMYFUNCTION("""COMPUTED_VALUE"""),163.07)</f>
        <v>163.07</v>
      </c>
      <c r="H1190" s="1">
        <f ca="1">IFERROR(__xludf.DUMMYFUNCTION("""COMPUTED_VALUE"""),250)</f>
        <v>250</v>
      </c>
      <c r="I1190" s="1">
        <f ca="1">IFERROR(__xludf.DUMMYFUNCTION("""COMPUTED_VALUE"""),172.11)</f>
        <v>172.11</v>
      </c>
      <c r="J1190" s="1">
        <f ca="1">IFERROR(__xludf.DUMMYFUNCTION("""COMPUTED_VALUE"""),917.08)</f>
        <v>917.08</v>
      </c>
      <c r="K1190" s="1">
        <f ca="1">IFERROR(__xludf.DUMMYFUNCTION("""COMPUTED_VALUE"""),172.94)</f>
        <v>172.94</v>
      </c>
      <c r="L1190" s="1">
        <f ca="1">IFERROR(__xludf.DUMMYFUNCTION("""COMPUTED_VALUE"""),527.87)</f>
        <v>527.87</v>
      </c>
      <c r="M1190" s="1">
        <f ca="1">IFERROR(__xludf.DUMMYFUNCTION("""COMPUTED_VALUE"""),705.37)</f>
        <v>705.37</v>
      </c>
      <c r="N1190" s="1">
        <f ca="1">IFERROR(__xludf.DUMMYFUNCTION("""COMPUTED_VALUE"""),211.44)</f>
        <v>211.44</v>
      </c>
      <c r="O1190" s="1">
        <f ca="1">IFERROR(__xludf.DUMMYFUNCTION("""COMPUTED_VALUE"""),288.63)</f>
        <v>288.63</v>
      </c>
      <c r="P1190" s="1">
        <f ca="1">IFERROR(__xludf.DUMMYFUNCTION("""COMPUTED_VALUE"""),163.22)</f>
        <v>163.22</v>
      </c>
      <c r="Q1190" s="1">
        <f ca="1">IFERROR(__xludf.DUMMYFUNCTION("""COMPUTED_VALUE"""),573.41)</f>
        <v>573.41</v>
      </c>
      <c r="R1190" s="1">
        <f ca="1">IFERROR(__xludf.DUMMYFUNCTION("""COMPUTED_VALUE"""),117.36)</f>
        <v>117.36</v>
      </c>
      <c r="S1190" s="1">
        <f ca="1">IFERROR(__xludf.DUMMYFUNCTION("""COMPUTED_VALUE"""),84.82)</f>
        <v>84.82</v>
      </c>
      <c r="T1190" s="1">
        <f ca="1">IFERROR(__xludf.DUMMYFUNCTION("""COMPUTED_VALUE"""),80.33)</f>
        <v>80.33</v>
      </c>
      <c r="U1190" s="1">
        <f ca="1">IFERROR(__xludf.DUMMYFUNCTION("""COMPUTED_VALUE"""),86.2)</f>
        <v>86.2</v>
      </c>
      <c r="V1190" s="1">
        <f ca="1">IFERROR(__xludf.DUMMYFUNCTION("""COMPUTED_VALUE"""),371.17)</f>
        <v>371.17</v>
      </c>
      <c r="W1190" s="1">
        <f ca="1">IFERROR(__xludf.DUMMYFUNCTION("""COMPUTED_VALUE"""),580.51)</f>
        <v>580.51</v>
      </c>
      <c r="X1190" s="1">
        <f ca="1">IFERROR(__xludf.DUMMYFUNCTION("""COMPUTED_VALUE"""),803.5)</f>
        <v>803.5</v>
      </c>
      <c r="Y1190" s="1">
        <f ca="1">IFERROR(__xludf.DUMMYFUNCTION("""COMPUTED_VALUE"""),174.76)</f>
        <v>174.76</v>
      </c>
      <c r="Z1190" s="1">
        <f ca="1">IFERROR(__xludf.DUMMYFUNCTION("""COMPUTED_VALUE"""),497.41)</f>
        <v>497.41</v>
      </c>
      <c r="AA1190" s="1">
        <f ca="1">IFERROR(__xludf.DUMMYFUNCTION("""COMPUTED_VALUE"""),29.31)</f>
        <v>29.31</v>
      </c>
      <c r="AB1190" s="1">
        <f ca="1">IFERROR(__xludf.DUMMYFUNCTION("""COMPUTED_VALUE"""),95.48)</f>
        <v>95.48</v>
      </c>
      <c r="AC1190" s="1">
        <f ca="1">IFERROR(__xludf.DUMMYFUNCTION("""COMPUTED_VALUE"""),156.75)</f>
        <v>156.75</v>
      </c>
    </row>
    <row r="1191" spans="1:29" x14ac:dyDescent="0.25">
      <c r="A1191" s="2">
        <f ca="1">IFERROR(__xludf.DUMMYFUNCTION("""COMPUTED_VALUE"""),45559.6666666666)</f>
        <v>45559.666666666599</v>
      </c>
      <c r="B1191" s="1">
        <f ca="1">IFERROR(__xludf.DUMMYFUNCTION("""COMPUTED_VALUE"""),227.37)</f>
        <v>227.37</v>
      </c>
      <c r="C1191" s="1">
        <f ca="1">IFERROR(__xludf.DUMMYFUNCTION("""COMPUTED_VALUE"""),429.17)</f>
        <v>429.17</v>
      </c>
      <c r="D1191" s="1">
        <f ca="1">IFERROR(__xludf.DUMMYFUNCTION("""COMPUTED_VALUE"""),193.96)</f>
        <v>193.96</v>
      </c>
      <c r="E1191" s="1">
        <f ca="1">IFERROR(__xludf.DUMMYFUNCTION("""COMPUTED_VALUE"""),120.87)</f>
        <v>120.87</v>
      </c>
      <c r="F1191" s="1">
        <f ca="1">IFERROR(__xludf.DUMMYFUNCTION("""COMPUTED_VALUE"""),563.33)</f>
        <v>563.33000000000004</v>
      </c>
      <c r="G1191" s="1">
        <f ca="1">IFERROR(__xludf.DUMMYFUNCTION("""COMPUTED_VALUE"""),163.64)</f>
        <v>163.63999999999999</v>
      </c>
      <c r="H1191" s="1">
        <f ca="1">IFERROR(__xludf.DUMMYFUNCTION("""COMPUTED_VALUE"""),254.27)</f>
        <v>254.27</v>
      </c>
      <c r="I1191" s="1">
        <f ca="1">IFERROR(__xludf.DUMMYFUNCTION("""COMPUTED_VALUE"""),169.92)</f>
        <v>169.92</v>
      </c>
      <c r="J1191" s="1">
        <f ca="1">IFERROR(__xludf.DUMMYFUNCTION("""COMPUTED_VALUE"""),901.54)</f>
        <v>901.54</v>
      </c>
      <c r="K1191" s="1">
        <f ca="1">IFERROR(__xludf.DUMMYFUNCTION("""COMPUTED_VALUE"""),174.84)</f>
        <v>174.84</v>
      </c>
      <c r="L1191" s="1">
        <f ca="1">IFERROR(__xludf.DUMMYFUNCTION("""COMPUTED_VALUE"""),524.07)</f>
        <v>524.07000000000005</v>
      </c>
      <c r="M1191" s="1">
        <f ca="1">IFERROR(__xludf.DUMMYFUNCTION("""COMPUTED_VALUE"""),722.26)</f>
        <v>722.26</v>
      </c>
      <c r="N1191" s="1">
        <f ca="1">IFERROR(__xludf.DUMMYFUNCTION("""COMPUTED_VALUE"""),211.59)</f>
        <v>211.59</v>
      </c>
      <c r="O1191" s="1">
        <f ca="1">IFERROR(__xludf.DUMMYFUNCTION("""COMPUTED_VALUE"""),272.78)</f>
        <v>272.77999999999997</v>
      </c>
      <c r="P1191" s="1">
        <f ca="1">IFERROR(__xludf.DUMMYFUNCTION("""COMPUTED_VALUE"""),162.78)</f>
        <v>162.78</v>
      </c>
      <c r="Q1191" s="1">
        <f ca="1">IFERROR(__xludf.DUMMYFUNCTION("""COMPUTED_VALUE"""),575.19)</f>
        <v>575.19000000000005</v>
      </c>
      <c r="R1191" s="1">
        <f ca="1">IFERROR(__xludf.DUMMYFUNCTION("""COMPUTED_VALUE"""),117.05)</f>
        <v>117.05</v>
      </c>
      <c r="S1191" s="1">
        <f ca="1">IFERROR(__xludf.DUMMYFUNCTION("""COMPUTED_VALUE"""),84.29)</f>
        <v>84.29</v>
      </c>
      <c r="T1191" s="1">
        <f ca="1">IFERROR(__xludf.DUMMYFUNCTION("""COMPUTED_VALUE"""),80.67)</f>
        <v>80.67</v>
      </c>
      <c r="U1191" s="1">
        <f ca="1">IFERROR(__xludf.DUMMYFUNCTION("""COMPUTED_VALUE"""),87.46)</f>
        <v>87.46</v>
      </c>
      <c r="V1191" s="1">
        <f ca="1">IFERROR(__xludf.DUMMYFUNCTION("""COMPUTED_VALUE"""),385.93)</f>
        <v>385.93</v>
      </c>
      <c r="W1191" s="1">
        <f ca="1">IFERROR(__xludf.DUMMYFUNCTION("""COMPUTED_VALUE"""),578.63)</f>
        <v>578.63</v>
      </c>
      <c r="X1191" s="1">
        <f ca="1">IFERROR(__xludf.DUMMYFUNCTION("""COMPUTED_VALUE"""),814)</f>
        <v>814</v>
      </c>
      <c r="Y1191" s="1">
        <f ca="1">IFERROR(__xludf.DUMMYFUNCTION("""COMPUTED_VALUE"""),181.97)</f>
        <v>181.97</v>
      </c>
      <c r="Z1191" s="1">
        <f ca="1">IFERROR(__xludf.DUMMYFUNCTION("""COMPUTED_VALUE"""),498.02)</f>
        <v>498.02</v>
      </c>
      <c r="AA1191" s="1">
        <f ca="1">IFERROR(__xludf.DUMMYFUNCTION("""COMPUTED_VALUE"""),29.5)</f>
        <v>29.5</v>
      </c>
      <c r="AB1191" s="1">
        <f ca="1">IFERROR(__xludf.DUMMYFUNCTION("""COMPUTED_VALUE"""),94.45)</f>
        <v>94.45</v>
      </c>
      <c r="AC1191" s="1">
        <f ca="1">IFERROR(__xludf.DUMMYFUNCTION("""COMPUTED_VALUE"""),158.32)</f>
        <v>158.32</v>
      </c>
    </row>
    <row r="1192" spans="1:29" x14ac:dyDescent="0.25">
      <c r="A1192" s="2">
        <f ca="1">IFERROR(__xludf.DUMMYFUNCTION("""COMPUTED_VALUE"""),45560.6666666666)</f>
        <v>45560.666666666599</v>
      </c>
      <c r="B1192" s="1">
        <f ca="1">IFERROR(__xludf.DUMMYFUNCTION("""COMPUTED_VALUE"""),226.37)</f>
        <v>226.37</v>
      </c>
      <c r="C1192" s="1">
        <f ca="1">IFERROR(__xludf.DUMMYFUNCTION("""COMPUTED_VALUE"""),432.11)</f>
        <v>432.11</v>
      </c>
      <c r="D1192" s="1">
        <f ca="1">IFERROR(__xludf.DUMMYFUNCTION("""COMPUTED_VALUE"""),192.53)</f>
        <v>192.53</v>
      </c>
      <c r="E1192" s="1">
        <f ca="1">IFERROR(__xludf.DUMMYFUNCTION("""COMPUTED_VALUE"""),123.51)</f>
        <v>123.51</v>
      </c>
      <c r="F1192" s="1">
        <f ca="1">IFERROR(__xludf.DUMMYFUNCTION("""COMPUTED_VALUE"""),568.31)</f>
        <v>568.30999999999995</v>
      </c>
      <c r="G1192" s="1">
        <f ca="1">IFERROR(__xludf.DUMMYFUNCTION("""COMPUTED_VALUE"""),162.99)</f>
        <v>162.99</v>
      </c>
      <c r="H1192" s="1">
        <f ca="1">IFERROR(__xludf.DUMMYFUNCTION("""COMPUTED_VALUE"""),257.02)</f>
        <v>257.02</v>
      </c>
      <c r="I1192" s="1">
        <f ca="1">IFERROR(__xludf.DUMMYFUNCTION("""COMPUTED_VALUE"""),169.4)</f>
        <v>169.4</v>
      </c>
      <c r="J1192" s="1">
        <f ca="1">IFERROR(__xludf.DUMMYFUNCTION("""COMPUTED_VALUE"""),908.42)</f>
        <v>908.42</v>
      </c>
      <c r="K1192" s="1">
        <f ca="1">IFERROR(__xludf.DUMMYFUNCTION("""COMPUTED_VALUE"""),175.52)</f>
        <v>175.52</v>
      </c>
      <c r="L1192" s="1">
        <f ca="1">IFERROR(__xludf.DUMMYFUNCTION("""COMPUTED_VALUE"""),517.9)</f>
        <v>517.9</v>
      </c>
      <c r="M1192" s="1">
        <f ca="1">IFERROR(__xludf.DUMMYFUNCTION("""COMPUTED_VALUE"""),721.56)</f>
        <v>721.56</v>
      </c>
      <c r="N1192" s="1">
        <f ca="1">IFERROR(__xludf.DUMMYFUNCTION("""COMPUTED_VALUE"""),210.19)</f>
        <v>210.19</v>
      </c>
      <c r="O1192" s="1">
        <f ca="1">IFERROR(__xludf.DUMMYFUNCTION("""COMPUTED_VALUE"""),269.63)</f>
        <v>269.63</v>
      </c>
      <c r="P1192" s="1">
        <f ca="1">IFERROR(__xludf.DUMMYFUNCTION("""COMPUTED_VALUE"""),160.6)</f>
        <v>160.6</v>
      </c>
      <c r="Q1192" s="1">
        <f ca="1">IFERROR(__xludf.DUMMYFUNCTION("""COMPUTED_VALUE"""),576.31)</f>
        <v>576.30999999999995</v>
      </c>
      <c r="R1192" s="1">
        <f ca="1">IFERROR(__xludf.DUMMYFUNCTION("""COMPUTED_VALUE"""),114.77)</f>
        <v>114.77</v>
      </c>
      <c r="S1192" s="1">
        <f ca="1">IFERROR(__xludf.DUMMYFUNCTION("""COMPUTED_VALUE"""),84.62)</f>
        <v>84.62</v>
      </c>
      <c r="T1192" s="1">
        <f ca="1">IFERROR(__xludf.DUMMYFUNCTION("""COMPUTED_VALUE"""),81.4)</f>
        <v>81.400000000000006</v>
      </c>
      <c r="U1192" s="1">
        <f ca="1">IFERROR(__xludf.DUMMYFUNCTION("""COMPUTED_VALUE"""),88)</f>
        <v>88</v>
      </c>
      <c r="V1192" s="1">
        <f ca="1">IFERROR(__xludf.DUMMYFUNCTION("""COMPUTED_VALUE"""),378.25)</f>
        <v>378.25</v>
      </c>
      <c r="W1192" s="1">
        <f ca="1">IFERROR(__xludf.DUMMYFUNCTION("""COMPUTED_VALUE"""),577.94)</f>
        <v>577.94000000000005</v>
      </c>
      <c r="X1192" s="1">
        <f ca="1">IFERROR(__xludf.DUMMYFUNCTION("""COMPUTED_VALUE"""),818.18)</f>
        <v>818.18</v>
      </c>
      <c r="Y1192" s="1">
        <f ca="1">IFERROR(__xludf.DUMMYFUNCTION("""COMPUTED_VALUE"""),182.35)</f>
        <v>182.35</v>
      </c>
      <c r="Z1192" s="1">
        <f ca="1">IFERROR(__xludf.DUMMYFUNCTION("""COMPUTED_VALUE"""),491.14)</f>
        <v>491.14</v>
      </c>
      <c r="AA1192" s="1">
        <f ca="1">IFERROR(__xludf.DUMMYFUNCTION("""COMPUTED_VALUE"""),28.93)</f>
        <v>28.93</v>
      </c>
      <c r="AB1192" s="1">
        <f ca="1">IFERROR(__xludf.DUMMYFUNCTION("""COMPUTED_VALUE"""),95.62)</f>
        <v>95.62</v>
      </c>
      <c r="AC1192" s="1">
        <f ca="1">IFERROR(__xludf.DUMMYFUNCTION("""COMPUTED_VALUE"""),162.02)</f>
        <v>162.02000000000001</v>
      </c>
    </row>
    <row r="1193" spans="1:29" x14ac:dyDescent="0.25">
      <c r="A1193" s="2">
        <f ca="1">IFERROR(__xludf.DUMMYFUNCTION("""COMPUTED_VALUE"""),45561.6666666666)</f>
        <v>45561.666666666599</v>
      </c>
      <c r="B1193" s="1">
        <f ca="1">IFERROR(__xludf.DUMMYFUNCTION("""COMPUTED_VALUE"""),227.52)</f>
        <v>227.52</v>
      </c>
      <c r="C1193" s="1">
        <f ca="1">IFERROR(__xludf.DUMMYFUNCTION("""COMPUTED_VALUE"""),431.31)</f>
        <v>431.31</v>
      </c>
      <c r="D1193" s="1">
        <f ca="1">IFERROR(__xludf.DUMMYFUNCTION("""COMPUTED_VALUE"""),191.16)</f>
        <v>191.16</v>
      </c>
      <c r="E1193" s="1">
        <f ca="1">IFERROR(__xludf.DUMMYFUNCTION("""COMPUTED_VALUE"""),124.04)</f>
        <v>124.04</v>
      </c>
      <c r="F1193" s="1">
        <f ca="1">IFERROR(__xludf.DUMMYFUNCTION("""COMPUTED_VALUE"""),567.84)</f>
        <v>567.84</v>
      </c>
      <c r="G1193" s="1">
        <f ca="1">IFERROR(__xludf.DUMMYFUNCTION("""COMPUTED_VALUE"""),163.83)</f>
        <v>163.83000000000001</v>
      </c>
      <c r="H1193" s="1">
        <f ca="1">IFERROR(__xludf.DUMMYFUNCTION("""COMPUTED_VALUE"""),254.22)</f>
        <v>254.22</v>
      </c>
      <c r="I1193" s="1">
        <f ca="1">IFERROR(__xludf.DUMMYFUNCTION("""COMPUTED_VALUE"""),169.69)</f>
        <v>169.69</v>
      </c>
      <c r="J1193" s="1">
        <f ca="1">IFERROR(__xludf.DUMMYFUNCTION("""COMPUTED_VALUE"""),901.44)</f>
        <v>901.44</v>
      </c>
      <c r="K1193" s="1">
        <f ca="1">IFERROR(__xludf.DUMMYFUNCTION("""COMPUTED_VALUE"""),178.09)</f>
        <v>178.09</v>
      </c>
      <c r="L1193" s="1">
        <f ca="1">IFERROR(__xludf.DUMMYFUNCTION("""COMPUTED_VALUE"""),515.38)</f>
        <v>515.38</v>
      </c>
      <c r="M1193" s="1">
        <f ca="1">IFERROR(__xludf.DUMMYFUNCTION("""COMPUTED_VALUE"""),711.43)</f>
        <v>711.43</v>
      </c>
      <c r="N1193" s="1">
        <f ca="1">IFERROR(__xludf.DUMMYFUNCTION("""COMPUTED_VALUE"""),209.78)</f>
        <v>209.78</v>
      </c>
      <c r="O1193" s="1">
        <f ca="1">IFERROR(__xludf.DUMMYFUNCTION("""COMPUTED_VALUE"""),271.69)</f>
        <v>271.69</v>
      </c>
      <c r="P1193" s="1">
        <f ca="1">IFERROR(__xludf.DUMMYFUNCTION("""COMPUTED_VALUE"""),161.39)</f>
        <v>161.38999999999999</v>
      </c>
      <c r="Q1193" s="1">
        <f ca="1">IFERROR(__xludf.DUMMYFUNCTION("""COMPUTED_VALUE"""),574.81)</f>
        <v>574.80999999999995</v>
      </c>
      <c r="R1193" s="1">
        <f ca="1">IFERROR(__xludf.DUMMYFUNCTION("""COMPUTED_VALUE"""),112.8)</f>
        <v>112.8</v>
      </c>
      <c r="S1193" s="1">
        <f ca="1">IFERROR(__xludf.DUMMYFUNCTION("""COMPUTED_VALUE"""),83.46)</f>
        <v>83.46</v>
      </c>
      <c r="T1193" s="1">
        <f ca="1">IFERROR(__xludf.DUMMYFUNCTION("""COMPUTED_VALUE"""),79.92)</f>
        <v>79.92</v>
      </c>
      <c r="U1193" s="1">
        <f ca="1">IFERROR(__xludf.DUMMYFUNCTION("""COMPUTED_VALUE"""),89.39)</f>
        <v>89.39</v>
      </c>
      <c r="V1193" s="1">
        <f ca="1">IFERROR(__xludf.DUMMYFUNCTION("""COMPUTED_VALUE"""),390.96)</f>
        <v>390.96</v>
      </c>
      <c r="W1193" s="1">
        <f ca="1">IFERROR(__xludf.DUMMYFUNCTION("""COMPUTED_VALUE"""),577.4)</f>
        <v>577.4</v>
      </c>
      <c r="X1193" s="1">
        <f ca="1">IFERROR(__xludf.DUMMYFUNCTION("""COMPUTED_VALUE"""),852.44)</f>
        <v>852.44</v>
      </c>
      <c r="Y1193" s="1">
        <f ca="1">IFERROR(__xludf.DUMMYFUNCTION("""COMPUTED_VALUE"""),186.83)</f>
        <v>186.83</v>
      </c>
      <c r="Z1193" s="1">
        <f ca="1">IFERROR(__xludf.DUMMYFUNCTION("""COMPUTED_VALUE"""),496.92)</f>
        <v>496.92</v>
      </c>
      <c r="AA1193" s="1">
        <f ca="1">IFERROR(__xludf.DUMMYFUNCTION("""COMPUTED_VALUE"""),28.97)</f>
        <v>28.97</v>
      </c>
      <c r="AB1193" s="1">
        <f ca="1">IFERROR(__xludf.DUMMYFUNCTION("""COMPUTED_VALUE"""),97.47)</f>
        <v>97.47</v>
      </c>
      <c r="AC1193" s="1">
        <f ca="1">IFERROR(__xludf.DUMMYFUNCTION("""COMPUTED_VALUE"""),167.49)</f>
        <v>167.49</v>
      </c>
    </row>
    <row r="1194" spans="1:29" x14ac:dyDescent="0.25">
      <c r="A1194" s="2">
        <f ca="1">IFERROR(__xludf.DUMMYFUNCTION("""COMPUTED_VALUE"""),45562.6666666666)</f>
        <v>45562.666666666599</v>
      </c>
      <c r="B1194" s="1">
        <f ca="1">IFERROR(__xludf.DUMMYFUNCTION("""COMPUTED_VALUE"""),227.79)</f>
        <v>227.79</v>
      </c>
      <c r="C1194" s="1">
        <f ca="1">IFERROR(__xludf.DUMMYFUNCTION("""COMPUTED_VALUE"""),428.02)</f>
        <v>428.02</v>
      </c>
      <c r="D1194" s="1">
        <f ca="1">IFERROR(__xludf.DUMMYFUNCTION("""COMPUTED_VALUE"""),187.97)</f>
        <v>187.97</v>
      </c>
      <c r="E1194" s="1">
        <f ca="1">IFERROR(__xludf.DUMMYFUNCTION("""COMPUTED_VALUE"""),121.4)</f>
        <v>121.4</v>
      </c>
      <c r="F1194" s="1">
        <f ca="1">IFERROR(__xludf.DUMMYFUNCTION("""COMPUTED_VALUE"""),567.36)</f>
        <v>567.36</v>
      </c>
      <c r="G1194" s="1">
        <f ca="1">IFERROR(__xludf.DUMMYFUNCTION("""COMPUTED_VALUE"""),165.29)</f>
        <v>165.29</v>
      </c>
      <c r="H1194" s="1">
        <f ca="1">IFERROR(__xludf.DUMMYFUNCTION("""COMPUTED_VALUE"""),260.46)</f>
        <v>260.45999999999998</v>
      </c>
      <c r="I1194" s="1">
        <f ca="1">IFERROR(__xludf.DUMMYFUNCTION("""COMPUTED_VALUE"""),170)</f>
        <v>170</v>
      </c>
      <c r="J1194" s="1">
        <f ca="1">IFERROR(__xludf.DUMMYFUNCTION("""COMPUTED_VALUE"""),885.62)</f>
        <v>885.62</v>
      </c>
      <c r="K1194" s="1">
        <f ca="1">IFERROR(__xludf.DUMMYFUNCTION("""COMPUTED_VALUE"""),172.69)</f>
        <v>172.69</v>
      </c>
      <c r="L1194" s="1">
        <f ca="1">IFERROR(__xludf.DUMMYFUNCTION("""COMPUTED_VALUE"""),515.48)</f>
        <v>515.48</v>
      </c>
      <c r="M1194" s="1">
        <f ca="1">IFERROR(__xludf.DUMMYFUNCTION("""COMPUTED_VALUE"""),707.35)</f>
        <v>707.35</v>
      </c>
      <c r="N1194" s="1">
        <f ca="1">IFERROR(__xludf.DUMMYFUNCTION("""COMPUTED_VALUE"""),210.5)</f>
        <v>210.5</v>
      </c>
      <c r="O1194" s="1">
        <f ca="1">IFERROR(__xludf.DUMMYFUNCTION("""COMPUTED_VALUE"""),275.17)</f>
        <v>275.17</v>
      </c>
      <c r="P1194" s="1">
        <f ca="1">IFERROR(__xludf.DUMMYFUNCTION("""COMPUTED_VALUE"""),161.4)</f>
        <v>161.4</v>
      </c>
      <c r="Q1194" s="1">
        <f ca="1">IFERROR(__xludf.DUMMYFUNCTION("""COMPUTED_VALUE"""),581.85)</f>
        <v>581.85</v>
      </c>
      <c r="R1194" s="1">
        <f ca="1">IFERROR(__xludf.DUMMYFUNCTION("""COMPUTED_VALUE"""),115.82)</f>
        <v>115.82</v>
      </c>
      <c r="S1194" s="1">
        <f ca="1">IFERROR(__xludf.DUMMYFUNCTION("""COMPUTED_VALUE"""),84.54)</f>
        <v>84.54</v>
      </c>
      <c r="T1194" s="1">
        <f ca="1">IFERROR(__xludf.DUMMYFUNCTION("""COMPUTED_VALUE"""),79.78)</f>
        <v>79.78</v>
      </c>
      <c r="U1194" s="1">
        <f ca="1">IFERROR(__xludf.DUMMYFUNCTION("""COMPUTED_VALUE"""),89.44)</f>
        <v>89.44</v>
      </c>
      <c r="V1194" s="1">
        <f ca="1">IFERROR(__xludf.DUMMYFUNCTION("""COMPUTED_VALUE"""),391.08)</f>
        <v>391.08</v>
      </c>
      <c r="W1194" s="1">
        <f ca="1">IFERROR(__xludf.DUMMYFUNCTION("""COMPUTED_VALUE"""),582.36)</f>
        <v>582.36</v>
      </c>
      <c r="X1194" s="1">
        <f ca="1">IFERROR(__xludf.DUMMYFUNCTION("""COMPUTED_VALUE"""),841.54)</f>
        <v>841.54</v>
      </c>
      <c r="Y1194" s="1">
        <f ca="1">IFERROR(__xludf.DUMMYFUNCTION("""COMPUTED_VALUE"""),177.97)</f>
        <v>177.97</v>
      </c>
      <c r="Z1194" s="1">
        <f ca="1">IFERROR(__xludf.DUMMYFUNCTION("""COMPUTED_VALUE"""),498.51)</f>
        <v>498.51</v>
      </c>
      <c r="AA1194" s="1">
        <f ca="1">IFERROR(__xludf.DUMMYFUNCTION("""COMPUTED_VALUE"""),29.09)</f>
        <v>29.09</v>
      </c>
      <c r="AB1194" s="1">
        <f ca="1">IFERROR(__xludf.DUMMYFUNCTION("""COMPUTED_VALUE"""),97.36)</f>
        <v>97.36</v>
      </c>
      <c r="AC1194" s="1">
        <f ca="1">IFERROR(__xludf.DUMMYFUNCTION("""COMPUTED_VALUE"""),164.35)</f>
        <v>164.35</v>
      </c>
    </row>
    <row r="1195" spans="1:29" x14ac:dyDescent="0.25">
      <c r="A1195" s="2">
        <f ca="1">IFERROR(__xludf.DUMMYFUNCTION("""COMPUTED_VALUE"""),45565.6666666666)</f>
        <v>45565.666666666599</v>
      </c>
      <c r="B1195" s="1">
        <f ca="1">IFERROR(__xludf.DUMMYFUNCTION("""COMPUTED_VALUE"""),233)</f>
        <v>233</v>
      </c>
      <c r="C1195" s="1">
        <f ca="1">IFERROR(__xludf.DUMMYFUNCTION("""COMPUTED_VALUE"""),430.3)</f>
        <v>430.3</v>
      </c>
      <c r="D1195" s="1">
        <f ca="1">IFERROR(__xludf.DUMMYFUNCTION("""COMPUTED_VALUE"""),186.33)</f>
        <v>186.33</v>
      </c>
      <c r="E1195" s="1">
        <f ca="1">IFERROR(__xludf.DUMMYFUNCTION("""COMPUTED_VALUE"""),121.44)</f>
        <v>121.44</v>
      </c>
      <c r="F1195" s="1">
        <f ca="1">IFERROR(__xludf.DUMMYFUNCTION("""COMPUTED_VALUE"""),572.44)</f>
        <v>572.44000000000005</v>
      </c>
      <c r="G1195" s="1">
        <f ca="1">IFERROR(__xludf.DUMMYFUNCTION("""COMPUTED_VALUE"""),167.19)</f>
        <v>167.19</v>
      </c>
      <c r="H1195" s="1">
        <f ca="1">IFERROR(__xludf.DUMMYFUNCTION("""COMPUTED_VALUE"""),261.63)</f>
        <v>261.63</v>
      </c>
      <c r="I1195" s="1">
        <f ca="1">IFERROR(__xludf.DUMMYFUNCTION("""COMPUTED_VALUE"""),170.05)</f>
        <v>170.05</v>
      </c>
      <c r="J1195" s="1">
        <f ca="1">IFERROR(__xludf.DUMMYFUNCTION("""COMPUTED_VALUE"""),886.52)</f>
        <v>886.52</v>
      </c>
      <c r="K1195" s="1">
        <f ca="1">IFERROR(__xludf.DUMMYFUNCTION("""COMPUTED_VALUE"""),172.5)</f>
        <v>172.5</v>
      </c>
      <c r="L1195" s="1">
        <f ca="1">IFERROR(__xludf.DUMMYFUNCTION("""COMPUTED_VALUE"""),517.78)</f>
        <v>517.78</v>
      </c>
      <c r="M1195" s="1">
        <f ca="1">IFERROR(__xludf.DUMMYFUNCTION("""COMPUTED_VALUE"""),709.27)</f>
        <v>709.27</v>
      </c>
      <c r="N1195" s="1">
        <f ca="1">IFERROR(__xludf.DUMMYFUNCTION("""COMPUTED_VALUE"""),210.86)</f>
        <v>210.86</v>
      </c>
      <c r="O1195" s="1">
        <f ca="1">IFERROR(__xludf.DUMMYFUNCTION("""COMPUTED_VALUE"""),274.95)</f>
        <v>274.95</v>
      </c>
      <c r="P1195" s="1">
        <f ca="1">IFERROR(__xludf.DUMMYFUNCTION("""COMPUTED_VALUE"""),162.06)</f>
        <v>162.06</v>
      </c>
      <c r="Q1195" s="1">
        <f ca="1">IFERROR(__xludf.DUMMYFUNCTION("""COMPUTED_VALUE"""),584.68)</f>
        <v>584.67999999999995</v>
      </c>
      <c r="R1195" s="1">
        <f ca="1">IFERROR(__xludf.DUMMYFUNCTION("""COMPUTED_VALUE"""),117.22)</f>
        <v>117.22</v>
      </c>
      <c r="S1195" s="1">
        <f ca="1">IFERROR(__xludf.DUMMYFUNCTION("""COMPUTED_VALUE"""),84.53)</f>
        <v>84.53</v>
      </c>
      <c r="T1195" s="1">
        <f ca="1">IFERROR(__xludf.DUMMYFUNCTION("""COMPUTED_VALUE"""),80.75)</f>
        <v>80.75</v>
      </c>
      <c r="U1195" s="1">
        <f ca="1">IFERROR(__xludf.DUMMYFUNCTION("""COMPUTED_VALUE"""),88.4)</f>
        <v>88.4</v>
      </c>
      <c r="V1195" s="1">
        <f ca="1">IFERROR(__xludf.DUMMYFUNCTION("""COMPUTED_VALUE"""),391.12)</f>
        <v>391.12</v>
      </c>
      <c r="W1195" s="1">
        <f ca="1">IFERROR(__xludf.DUMMYFUNCTION("""COMPUTED_VALUE"""),584.56)</f>
        <v>584.55999999999995</v>
      </c>
      <c r="X1195" s="1">
        <f ca="1">IFERROR(__xludf.DUMMYFUNCTION("""COMPUTED_VALUE"""),833.25)</f>
        <v>833.25</v>
      </c>
      <c r="Y1195" s="1">
        <f ca="1">IFERROR(__xludf.DUMMYFUNCTION("""COMPUTED_VALUE"""),173.67)</f>
        <v>173.67</v>
      </c>
      <c r="Z1195" s="1">
        <f ca="1">IFERROR(__xludf.DUMMYFUNCTION("""COMPUTED_VALUE"""),495.11)</f>
        <v>495.11</v>
      </c>
      <c r="AA1195" s="1">
        <f ca="1">IFERROR(__xludf.DUMMYFUNCTION("""COMPUTED_VALUE"""),28.94)</f>
        <v>28.94</v>
      </c>
      <c r="AB1195" s="1">
        <f ca="1">IFERROR(__xludf.DUMMYFUNCTION("""COMPUTED_VALUE"""),97.49)</f>
        <v>97.49</v>
      </c>
      <c r="AC1195" s="1">
        <f ca="1">IFERROR(__xludf.DUMMYFUNCTION("""COMPUTED_VALUE"""),164.08)</f>
        <v>164.08</v>
      </c>
    </row>
    <row r="1196" spans="1:29" x14ac:dyDescent="0.25">
      <c r="A1196" s="2">
        <f ca="1">IFERROR(__xludf.DUMMYFUNCTION("""COMPUTED_VALUE"""),45566.6666666666)</f>
        <v>45566.666666666599</v>
      </c>
      <c r="B1196" s="1">
        <f ca="1">IFERROR(__xludf.DUMMYFUNCTION("""COMPUTED_VALUE"""),226.21)</f>
        <v>226.21</v>
      </c>
      <c r="C1196" s="1">
        <f ca="1">IFERROR(__xludf.DUMMYFUNCTION("""COMPUTED_VALUE"""),420.69)</f>
        <v>420.69</v>
      </c>
      <c r="D1196" s="1">
        <f ca="1">IFERROR(__xludf.DUMMYFUNCTION("""COMPUTED_VALUE"""),185.13)</f>
        <v>185.13</v>
      </c>
      <c r="E1196" s="1">
        <f ca="1">IFERROR(__xludf.DUMMYFUNCTION("""COMPUTED_VALUE"""),117)</f>
        <v>117</v>
      </c>
      <c r="F1196" s="1">
        <f ca="1">IFERROR(__xludf.DUMMYFUNCTION("""COMPUTED_VALUE"""),576.47)</f>
        <v>576.47</v>
      </c>
      <c r="G1196" s="1">
        <f ca="1">IFERROR(__xludf.DUMMYFUNCTION("""COMPUTED_VALUE"""),168.42)</f>
        <v>168.42</v>
      </c>
      <c r="H1196" s="1">
        <f ca="1">IFERROR(__xludf.DUMMYFUNCTION("""COMPUTED_VALUE"""),258.02)</f>
        <v>258.02</v>
      </c>
      <c r="I1196" s="1">
        <f ca="1">IFERROR(__xludf.DUMMYFUNCTION("""COMPUTED_VALUE"""),171.38)</f>
        <v>171.38</v>
      </c>
      <c r="J1196" s="1">
        <f ca="1">IFERROR(__xludf.DUMMYFUNCTION("""COMPUTED_VALUE"""),877.38)</f>
        <v>877.38</v>
      </c>
      <c r="K1196" s="1">
        <f ca="1">IFERROR(__xludf.DUMMYFUNCTION("""COMPUTED_VALUE"""),167.47)</f>
        <v>167.47</v>
      </c>
      <c r="L1196" s="1">
        <f ca="1">IFERROR(__xludf.DUMMYFUNCTION("""COMPUTED_VALUE"""),502.8)</f>
        <v>502.8</v>
      </c>
      <c r="M1196" s="1">
        <f ca="1">IFERROR(__xludf.DUMMYFUNCTION("""COMPUTED_VALUE"""),706.13)</f>
        <v>706.13</v>
      </c>
      <c r="N1196" s="1">
        <f ca="1">IFERROR(__xludf.DUMMYFUNCTION("""COMPUTED_VALUE"""),207.04)</f>
        <v>207.04</v>
      </c>
      <c r="O1196" s="1">
        <f ca="1">IFERROR(__xludf.DUMMYFUNCTION("""COMPUTED_VALUE"""),277.6)</f>
        <v>277.60000000000002</v>
      </c>
      <c r="P1196" s="1">
        <f ca="1">IFERROR(__xludf.DUMMYFUNCTION("""COMPUTED_VALUE"""),161.99)</f>
        <v>161.99</v>
      </c>
      <c r="Q1196" s="1">
        <f ca="1">IFERROR(__xludf.DUMMYFUNCTION("""COMPUTED_VALUE"""),583.3)</f>
        <v>583.29999999999995</v>
      </c>
      <c r="R1196" s="1">
        <f ca="1">IFERROR(__xludf.DUMMYFUNCTION("""COMPUTED_VALUE"""),119.93)</f>
        <v>119.93</v>
      </c>
      <c r="S1196" s="1">
        <f ca="1">IFERROR(__xludf.DUMMYFUNCTION("""COMPUTED_VALUE"""),85.27)</f>
        <v>85.27</v>
      </c>
      <c r="T1196" s="1">
        <f ca="1">IFERROR(__xludf.DUMMYFUNCTION("""COMPUTED_VALUE"""),81.27)</f>
        <v>81.27</v>
      </c>
      <c r="U1196" s="1">
        <f ca="1">IFERROR(__xludf.DUMMYFUNCTION("""COMPUTED_VALUE"""),89.13)</f>
        <v>89.13</v>
      </c>
      <c r="V1196" s="1">
        <f ca="1">IFERROR(__xludf.DUMMYFUNCTION("""COMPUTED_VALUE"""),392.39)</f>
        <v>392.39</v>
      </c>
      <c r="W1196" s="1">
        <f ca="1">IFERROR(__xludf.DUMMYFUNCTION("""COMPUTED_VALUE"""),605.86)</f>
        <v>605.86</v>
      </c>
      <c r="X1196" s="1">
        <f ca="1">IFERROR(__xludf.DUMMYFUNCTION("""COMPUTED_VALUE"""),822.35)</f>
        <v>822.35</v>
      </c>
      <c r="Y1196" s="1">
        <f ca="1">IFERROR(__xludf.DUMMYFUNCTION("""COMPUTED_VALUE"""),172.07)</f>
        <v>172.07</v>
      </c>
      <c r="Z1196" s="1">
        <f ca="1">IFERROR(__xludf.DUMMYFUNCTION("""COMPUTED_VALUE"""),490.17)</f>
        <v>490.17</v>
      </c>
      <c r="AA1196" s="1">
        <f ca="1">IFERROR(__xludf.DUMMYFUNCTION("""COMPUTED_VALUE"""),28.67)</f>
        <v>28.67</v>
      </c>
      <c r="AB1196" s="1">
        <f ca="1">IFERROR(__xludf.DUMMYFUNCTION("""COMPUTED_VALUE"""),97.43)</f>
        <v>97.43</v>
      </c>
      <c r="AC1196" s="1">
        <f ca="1">IFERROR(__xludf.DUMMYFUNCTION("""COMPUTED_VALUE"""),159.75)</f>
        <v>159.75</v>
      </c>
    </row>
    <row r="1197" spans="1:29" x14ac:dyDescent="0.25">
      <c r="A1197" s="2">
        <f ca="1">IFERROR(__xludf.DUMMYFUNCTION("""COMPUTED_VALUE"""),45567.6666666666)</f>
        <v>45567.666666666599</v>
      </c>
      <c r="B1197" s="1">
        <f ca="1">IFERROR(__xludf.DUMMYFUNCTION("""COMPUTED_VALUE"""),226.78)</f>
        <v>226.78</v>
      </c>
      <c r="C1197" s="1">
        <f ca="1">IFERROR(__xludf.DUMMYFUNCTION("""COMPUTED_VALUE"""),417.13)</f>
        <v>417.13</v>
      </c>
      <c r="D1197" s="1">
        <f ca="1">IFERROR(__xludf.DUMMYFUNCTION("""COMPUTED_VALUE"""),184.76)</f>
        <v>184.76</v>
      </c>
      <c r="E1197" s="1">
        <f ca="1">IFERROR(__xludf.DUMMYFUNCTION("""COMPUTED_VALUE"""),118.85)</f>
        <v>118.85</v>
      </c>
      <c r="F1197" s="1">
        <f ca="1">IFERROR(__xludf.DUMMYFUNCTION("""COMPUTED_VALUE"""),572.81)</f>
        <v>572.80999999999995</v>
      </c>
      <c r="G1197" s="1">
        <f ca="1">IFERROR(__xludf.DUMMYFUNCTION("""COMPUTED_VALUE"""),167.31)</f>
        <v>167.31</v>
      </c>
      <c r="H1197" s="1">
        <f ca="1">IFERROR(__xludf.DUMMYFUNCTION("""COMPUTED_VALUE"""),249.02)</f>
        <v>249.02</v>
      </c>
      <c r="I1197" s="1">
        <f ca="1">IFERROR(__xludf.DUMMYFUNCTION("""COMPUTED_VALUE"""),169.55)</f>
        <v>169.55</v>
      </c>
      <c r="J1197" s="1">
        <f ca="1">IFERROR(__xludf.DUMMYFUNCTION("""COMPUTED_VALUE"""),878.53)</f>
        <v>878.53</v>
      </c>
      <c r="K1197" s="1">
        <f ca="1">IFERROR(__xludf.DUMMYFUNCTION("""COMPUTED_VALUE"""),170.66)</f>
        <v>170.66</v>
      </c>
      <c r="L1197" s="1">
        <f ca="1">IFERROR(__xludf.DUMMYFUNCTION("""COMPUTED_VALUE"""),505.81)</f>
        <v>505.81</v>
      </c>
      <c r="M1197" s="1">
        <f ca="1">IFERROR(__xludf.DUMMYFUNCTION("""COMPUTED_VALUE"""),711.09)</f>
        <v>711.09</v>
      </c>
      <c r="N1197" s="1">
        <f ca="1">IFERROR(__xludf.DUMMYFUNCTION("""COMPUTED_VALUE"""),207.29)</f>
        <v>207.29</v>
      </c>
      <c r="O1197" s="1">
        <f ca="1">IFERROR(__xludf.DUMMYFUNCTION("""COMPUTED_VALUE"""),277)</f>
        <v>277</v>
      </c>
      <c r="P1197" s="1">
        <f ca="1">IFERROR(__xludf.DUMMYFUNCTION("""COMPUTED_VALUE"""),161.17)</f>
        <v>161.16999999999999</v>
      </c>
      <c r="Q1197" s="1">
        <f ca="1">IFERROR(__xludf.DUMMYFUNCTION("""COMPUTED_VALUE"""),592.31)</f>
        <v>592.30999999999995</v>
      </c>
      <c r="R1197" s="1">
        <f ca="1">IFERROR(__xludf.DUMMYFUNCTION("""COMPUTED_VALUE"""),121.52)</f>
        <v>121.52</v>
      </c>
      <c r="S1197" s="1">
        <f ca="1">IFERROR(__xludf.DUMMYFUNCTION("""COMPUTED_VALUE"""),85.43)</f>
        <v>85.43</v>
      </c>
      <c r="T1197" s="1">
        <f ca="1">IFERROR(__xludf.DUMMYFUNCTION("""COMPUTED_VALUE"""),80.43)</f>
        <v>80.430000000000007</v>
      </c>
      <c r="U1197" s="1">
        <f ca="1">IFERROR(__xludf.DUMMYFUNCTION("""COMPUTED_VALUE"""),83.1)</f>
        <v>83.1</v>
      </c>
      <c r="V1197" s="1">
        <f ca="1">IFERROR(__xludf.DUMMYFUNCTION("""COMPUTED_VALUE"""),394.05)</f>
        <v>394.05</v>
      </c>
      <c r="W1197" s="1">
        <f ca="1">IFERROR(__xludf.DUMMYFUNCTION("""COMPUTED_VALUE"""),603.2)</f>
        <v>603.20000000000005</v>
      </c>
      <c r="X1197" s="1">
        <f ca="1">IFERROR(__xludf.DUMMYFUNCTION("""COMPUTED_VALUE"""),832.19)</f>
        <v>832.19</v>
      </c>
      <c r="Y1197" s="1">
        <f ca="1">IFERROR(__xludf.DUMMYFUNCTION("""COMPUTED_VALUE"""),175.8)</f>
        <v>175.8</v>
      </c>
      <c r="Z1197" s="1">
        <f ca="1">IFERROR(__xludf.DUMMYFUNCTION("""COMPUTED_VALUE"""),491.99)</f>
        <v>491.99</v>
      </c>
      <c r="AA1197" s="1">
        <f ca="1">IFERROR(__xludf.DUMMYFUNCTION("""COMPUTED_VALUE"""),28.61)</f>
        <v>28.61</v>
      </c>
      <c r="AB1197" s="1">
        <f ca="1">IFERROR(__xludf.DUMMYFUNCTION("""COMPUTED_VALUE"""),96.5)</f>
        <v>96.5</v>
      </c>
      <c r="AC1197" s="1">
        <f ca="1">IFERROR(__xludf.DUMMYFUNCTION("""COMPUTED_VALUE"""),159.78)</f>
        <v>159.78</v>
      </c>
    </row>
    <row r="1198" spans="1:29" x14ac:dyDescent="0.25">
      <c r="A1198" s="2">
        <f ca="1">IFERROR(__xludf.DUMMYFUNCTION("""COMPUTED_VALUE"""),45568.6666666666)</f>
        <v>45568.666666666599</v>
      </c>
      <c r="B1198" s="1">
        <f ca="1">IFERROR(__xludf.DUMMYFUNCTION("""COMPUTED_VALUE"""),225.67)</f>
        <v>225.67</v>
      </c>
      <c r="C1198" s="1">
        <f ca="1">IFERROR(__xludf.DUMMYFUNCTION("""COMPUTED_VALUE"""),416.54)</f>
        <v>416.54</v>
      </c>
      <c r="D1198" s="1">
        <f ca="1">IFERROR(__xludf.DUMMYFUNCTION("""COMPUTED_VALUE"""),181.96)</f>
        <v>181.96</v>
      </c>
      <c r="E1198" s="1">
        <f ca="1">IFERROR(__xludf.DUMMYFUNCTION("""COMPUTED_VALUE"""),122.85)</f>
        <v>122.85</v>
      </c>
      <c r="F1198" s="1">
        <f ca="1">IFERROR(__xludf.DUMMYFUNCTION("""COMPUTED_VALUE"""),582.77)</f>
        <v>582.77</v>
      </c>
      <c r="G1198" s="1">
        <f ca="1">IFERROR(__xludf.DUMMYFUNCTION("""COMPUTED_VALUE"""),167.21)</f>
        <v>167.21</v>
      </c>
      <c r="H1198" s="1">
        <f ca="1">IFERROR(__xludf.DUMMYFUNCTION("""COMPUTED_VALUE"""),240.66)</f>
        <v>240.66</v>
      </c>
      <c r="I1198" s="1">
        <f ca="1">IFERROR(__xludf.DUMMYFUNCTION("""COMPUTED_VALUE"""),168.53)</f>
        <v>168.53</v>
      </c>
      <c r="J1198" s="1">
        <f ca="1">IFERROR(__xludf.DUMMYFUNCTION("""COMPUTED_VALUE"""),875.67)</f>
        <v>875.67</v>
      </c>
      <c r="K1198" s="1">
        <f ca="1">IFERROR(__xludf.DUMMYFUNCTION("""COMPUTED_VALUE"""),171.89)</f>
        <v>171.89</v>
      </c>
      <c r="L1198" s="1">
        <f ca="1">IFERROR(__xludf.DUMMYFUNCTION("""COMPUTED_VALUE"""),503.8)</f>
        <v>503.8</v>
      </c>
      <c r="M1198" s="1">
        <f ca="1">IFERROR(__xludf.DUMMYFUNCTION("""COMPUTED_VALUE"""),706.8)</f>
        <v>706.8</v>
      </c>
      <c r="N1198" s="1">
        <f ca="1">IFERROR(__xludf.DUMMYFUNCTION("""COMPUTED_VALUE"""),205.23)</f>
        <v>205.23</v>
      </c>
      <c r="O1198" s="1">
        <f ca="1">IFERROR(__xludf.DUMMYFUNCTION("""COMPUTED_VALUE"""),276.86)</f>
        <v>276.86</v>
      </c>
      <c r="P1198" s="1">
        <f ca="1">IFERROR(__xludf.DUMMYFUNCTION("""COMPUTED_VALUE"""),160.5)</f>
        <v>160.5</v>
      </c>
      <c r="Q1198" s="1">
        <f ca="1">IFERROR(__xludf.DUMMYFUNCTION("""COMPUTED_VALUE"""),592.75)</f>
        <v>592.75</v>
      </c>
      <c r="R1198" s="1">
        <f ca="1">IFERROR(__xludf.DUMMYFUNCTION("""COMPUTED_VALUE"""),122.58)</f>
        <v>122.58</v>
      </c>
      <c r="S1198" s="1">
        <f ca="1">IFERROR(__xludf.DUMMYFUNCTION("""COMPUTED_VALUE"""),85.05)</f>
        <v>85.05</v>
      </c>
      <c r="T1198" s="1">
        <f ca="1">IFERROR(__xludf.DUMMYFUNCTION("""COMPUTED_VALUE"""),80.43)</f>
        <v>80.430000000000007</v>
      </c>
      <c r="U1198" s="1">
        <f ca="1">IFERROR(__xludf.DUMMYFUNCTION("""COMPUTED_VALUE"""),82.1)</f>
        <v>82.1</v>
      </c>
      <c r="V1198" s="1">
        <f ca="1">IFERROR(__xludf.DUMMYFUNCTION("""COMPUTED_VALUE"""),391.09)</f>
        <v>391.09</v>
      </c>
      <c r="W1198" s="1">
        <f ca="1">IFERROR(__xludf.DUMMYFUNCTION("""COMPUTED_VALUE"""),605.82)</f>
        <v>605.82000000000005</v>
      </c>
      <c r="X1198" s="1">
        <f ca="1">IFERROR(__xludf.DUMMYFUNCTION("""COMPUTED_VALUE"""),832.41)</f>
        <v>832.41</v>
      </c>
      <c r="Y1198" s="1">
        <f ca="1">IFERROR(__xludf.DUMMYFUNCTION("""COMPUTED_VALUE"""),179.48)</f>
        <v>179.48</v>
      </c>
      <c r="Z1198" s="1">
        <f ca="1">IFERROR(__xludf.DUMMYFUNCTION("""COMPUTED_VALUE"""),486.1)</f>
        <v>486.1</v>
      </c>
      <c r="AA1198" s="1">
        <f ca="1">IFERROR(__xludf.DUMMYFUNCTION("""COMPUTED_VALUE"""),28.34)</f>
        <v>28.34</v>
      </c>
      <c r="AB1198" s="1">
        <f ca="1">IFERROR(__xludf.DUMMYFUNCTION("""COMPUTED_VALUE"""),95.56)</f>
        <v>95.56</v>
      </c>
      <c r="AC1198" s="1">
        <f ca="1">IFERROR(__xludf.DUMMYFUNCTION("""COMPUTED_VALUE"""),162.85)</f>
        <v>162.85</v>
      </c>
    </row>
    <row r="1199" spans="1:29" x14ac:dyDescent="0.25">
      <c r="A1199" s="2">
        <f ca="1">IFERROR(__xludf.DUMMYFUNCTION("""COMPUTED_VALUE"""),45569.6666666666)</f>
        <v>45569.666666666599</v>
      </c>
      <c r="B1199" s="1">
        <f ca="1">IFERROR(__xludf.DUMMYFUNCTION("""COMPUTED_VALUE"""),226.8)</f>
        <v>226.8</v>
      </c>
      <c r="C1199" s="1">
        <f ca="1">IFERROR(__xludf.DUMMYFUNCTION("""COMPUTED_VALUE"""),416.06)</f>
        <v>416.06</v>
      </c>
      <c r="D1199" s="1">
        <f ca="1">IFERROR(__xludf.DUMMYFUNCTION("""COMPUTED_VALUE"""),186.51)</f>
        <v>186.51</v>
      </c>
      <c r="E1199" s="1">
        <f ca="1">IFERROR(__xludf.DUMMYFUNCTION("""COMPUTED_VALUE"""),124.92)</f>
        <v>124.92</v>
      </c>
      <c r="F1199" s="1">
        <f ca="1">IFERROR(__xludf.DUMMYFUNCTION("""COMPUTED_VALUE"""),595.94)</f>
        <v>595.94000000000005</v>
      </c>
      <c r="G1199" s="1">
        <f ca="1">IFERROR(__xludf.DUMMYFUNCTION("""COMPUTED_VALUE"""),168.56)</f>
        <v>168.56</v>
      </c>
      <c r="H1199" s="1">
        <f ca="1">IFERROR(__xludf.DUMMYFUNCTION("""COMPUTED_VALUE"""),250.08)</f>
        <v>250.08</v>
      </c>
      <c r="I1199" s="1">
        <f ca="1">IFERROR(__xludf.DUMMYFUNCTION("""COMPUTED_VALUE"""),167.97)</f>
        <v>167.97</v>
      </c>
      <c r="J1199" s="1">
        <f ca="1">IFERROR(__xludf.DUMMYFUNCTION("""COMPUTED_VALUE"""),883.11)</f>
        <v>883.11</v>
      </c>
      <c r="K1199" s="1">
        <f ca="1">IFERROR(__xludf.DUMMYFUNCTION("""COMPUTED_VALUE"""),176.64)</f>
        <v>176.64</v>
      </c>
      <c r="L1199" s="1">
        <f ca="1">IFERROR(__xludf.DUMMYFUNCTION("""COMPUTED_VALUE"""),507.22)</f>
        <v>507.22</v>
      </c>
      <c r="M1199" s="1">
        <f ca="1">IFERROR(__xludf.DUMMYFUNCTION("""COMPUTED_VALUE"""),719.7)</f>
        <v>719.7</v>
      </c>
      <c r="N1199" s="1">
        <f ca="1">IFERROR(__xludf.DUMMYFUNCTION("""COMPUTED_VALUE"""),211.22)</f>
        <v>211.22</v>
      </c>
      <c r="O1199" s="1">
        <f ca="1">IFERROR(__xludf.DUMMYFUNCTION("""COMPUTED_VALUE"""),277.93)</f>
        <v>277.93</v>
      </c>
      <c r="P1199" s="1">
        <f ca="1">IFERROR(__xludf.DUMMYFUNCTION("""COMPUTED_VALUE"""),160.29)</f>
        <v>160.29</v>
      </c>
      <c r="Q1199" s="1">
        <f ca="1">IFERROR(__xludf.DUMMYFUNCTION("""COMPUTED_VALUE"""),591.2)</f>
        <v>591.20000000000005</v>
      </c>
      <c r="R1199" s="1">
        <f ca="1">IFERROR(__xludf.DUMMYFUNCTION("""COMPUTED_VALUE"""),124.83)</f>
        <v>124.83</v>
      </c>
      <c r="S1199" s="1">
        <f ca="1">IFERROR(__xludf.DUMMYFUNCTION("""COMPUTED_VALUE"""),83.85)</f>
        <v>83.85</v>
      </c>
      <c r="T1199" s="1">
        <f ca="1">IFERROR(__xludf.DUMMYFUNCTION("""COMPUTED_VALUE"""),80.94)</f>
        <v>80.94</v>
      </c>
      <c r="U1199" s="1">
        <f ca="1">IFERROR(__xludf.DUMMYFUNCTION("""COMPUTED_VALUE"""),82.25)</f>
        <v>82.25</v>
      </c>
      <c r="V1199" s="1">
        <f ca="1">IFERROR(__xludf.DUMMYFUNCTION("""COMPUTED_VALUE"""),397.09)</f>
        <v>397.09</v>
      </c>
      <c r="W1199" s="1">
        <f ca="1">IFERROR(__xludf.DUMMYFUNCTION("""COMPUTED_VALUE"""),605.13)</f>
        <v>605.13</v>
      </c>
      <c r="X1199" s="1">
        <f ca="1">IFERROR(__xludf.DUMMYFUNCTION("""COMPUTED_VALUE"""),833)</f>
        <v>833</v>
      </c>
      <c r="Y1199" s="1">
        <f ca="1">IFERROR(__xludf.DUMMYFUNCTION("""COMPUTED_VALUE"""),181.16)</f>
        <v>181.16</v>
      </c>
      <c r="Z1199" s="1">
        <f ca="1">IFERROR(__xludf.DUMMYFUNCTION("""COMPUTED_VALUE"""),495.16)</f>
        <v>495.16</v>
      </c>
      <c r="AA1199" s="1">
        <f ca="1">IFERROR(__xludf.DUMMYFUNCTION("""COMPUTED_VALUE"""),28.58)</f>
        <v>28.58</v>
      </c>
      <c r="AB1199" s="1">
        <f ca="1">IFERROR(__xludf.DUMMYFUNCTION("""COMPUTED_VALUE"""),96.58)</f>
        <v>96.58</v>
      </c>
      <c r="AC1199" s="1">
        <f ca="1">IFERROR(__xludf.DUMMYFUNCTION("""COMPUTED_VALUE"""),170.9)</f>
        <v>170.9</v>
      </c>
    </row>
    <row r="1200" spans="1:29" x14ac:dyDescent="0.25">
      <c r="A1200" s="2">
        <f ca="1">IFERROR(__xludf.DUMMYFUNCTION("""COMPUTED_VALUE"""),45572.6666666666)</f>
        <v>45572.666666666599</v>
      </c>
      <c r="B1200" s="1">
        <f ca="1">IFERROR(__xludf.DUMMYFUNCTION("""COMPUTED_VALUE"""),221.69)</f>
        <v>221.69</v>
      </c>
      <c r="C1200" s="1">
        <f ca="1">IFERROR(__xludf.DUMMYFUNCTION("""COMPUTED_VALUE"""),409.54)</f>
        <v>409.54</v>
      </c>
      <c r="D1200" s="1">
        <f ca="1">IFERROR(__xludf.DUMMYFUNCTION("""COMPUTED_VALUE"""),180.8)</f>
        <v>180.8</v>
      </c>
      <c r="E1200" s="1">
        <f ca="1">IFERROR(__xludf.DUMMYFUNCTION("""COMPUTED_VALUE"""),127.72)</f>
        <v>127.72</v>
      </c>
      <c r="F1200" s="1">
        <f ca="1">IFERROR(__xludf.DUMMYFUNCTION("""COMPUTED_VALUE"""),584.78)</f>
        <v>584.78</v>
      </c>
      <c r="G1200" s="1">
        <f ca="1">IFERROR(__xludf.DUMMYFUNCTION("""COMPUTED_VALUE"""),164.39)</f>
        <v>164.39</v>
      </c>
      <c r="H1200" s="1">
        <f ca="1">IFERROR(__xludf.DUMMYFUNCTION("""COMPUTED_VALUE"""),240.83)</f>
        <v>240.83</v>
      </c>
      <c r="I1200" s="1">
        <f ca="1">IFERROR(__xludf.DUMMYFUNCTION("""COMPUTED_VALUE"""),167.21)</f>
        <v>167.21</v>
      </c>
      <c r="J1200" s="1">
        <f ca="1">IFERROR(__xludf.DUMMYFUNCTION("""COMPUTED_VALUE"""),873.59)</f>
        <v>873.59</v>
      </c>
      <c r="K1200" s="1">
        <f ca="1">IFERROR(__xludf.DUMMYFUNCTION("""COMPUTED_VALUE"""),175.08)</f>
        <v>175.08</v>
      </c>
      <c r="L1200" s="1">
        <f ca="1">IFERROR(__xludf.DUMMYFUNCTION("""COMPUTED_VALUE"""),487.3)</f>
        <v>487.3</v>
      </c>
      <c r="M1200" s="1">
        <f ca="1">IFERROR(__xludf.DUMMYFUNCTION("""COMPUTED_VALUE"""),701.92)</f>
        <v>701.92</v>
      </c>
      <c r="N1200" s="1">
        <f ca="1">IFERROR(__xludf.DUMMYFUNCTION("""COMPUTED_VALUE"""),210.93)</f>
        <v>210.93</v>
      </c>
      <c r="O1200" s="1">
        <f ca="1">IFERROR(__xludf.DUMMYFUNCTION("""COMPUTED_VALUE"""),273.79)</f>
        <v>273.79000000000002</v>
      </c>
      <c r="P1200" s="1">
        <f ca="1">IFERROR(__xludf.DUMMYFUNCTION("""COMPUTED_VALUE"""),159.53)</f>
        <v>159.53</v>
      </c>
      <c r="Q1200" s="1">
        <f ca="1">IFERROR(__xludf.DUMMYFUNCTION("""COMPUTED_VALUE"""),583.56)</f>
        <v>583.55999999999995</v>
      </c>
      <c r="R1200" s="1">
        <f ca="1">IFERROR(__xludf.DUMMYFUNCTION("""COMPUTED_VALUE"""),125.37)</f>
        <v>125.37</v>
      </c>
      <c r="S1200" s="1">
        <f ca="1">IFERROR(__xludf.DUMMYFUNCTION("""COMPUTED_VALUE"""),80.29)</f>
        <v>80.290000000000006</v>
      </c>
      <c r="T1200" s="1">
        <f ca="1">IFERROR(__xludf.DUMMYFUNCTION("""COMPUTED_VALUE"""),79.1)</f>
        <v>79.099999999999994</v>
      </c>
      <c r="U1200" s="1">
        <f ca="1">IFERROR(__xludf.DUMMYFUNCTION("""COMPUTED_VALUE"""),80.83)</f>
        <v>80.83</v>
      </c>
      <c r="V1200" s="1">
        <f ca="1">IFERROR(__xludf.DUMMYFUNCTION("""COMPUTED_VALUE"""),398.25)</f>
        <v>398.25</v>
      </c>
      <c r="W1200" s="1">
        <f ca="1">IFERROR(__xludf.DUMMYFUNCTION("""COMPUTED_VALUE"""),605.54)</f>
        <v>605.54</v>
      </c>
      <c r="X1200" s="1">
        <f ca="1">IFERROR(__xludf.DUMMYFUNCTION("""COMPUTED_VALUE"""),817.25)</f>
        <v>817.25</v>
      </c>
      <c r="Y1200" s="1">
        <f ca="1">IFERROR(__xludf.DUMMYFUNCTION("""COMPUTED_VALUE"""),184.51)</f>
        <v>184.51</v>
      </c>
      <c r="Z1200" s="1">
        <f ca="1">IFERROR(__xludf.DUMMYFUNCTION("""COMPUTED_VALUE"""),494.62)</f>
        <v>494.62</v>
      </c>
      <c r="AA1200" s="1">
        <f ca="1">IFERROR(__xludf.DUMMYFUNCTION("""COMPUTED_VALUE"""),29.2)</f>
        <v>29.2</v>
      </c>
      <c r="AB1200" s="1">
        <f ca="1">IFERROR(__xludf.DUMMYFUNCTION("""COMPUTED_VALUE"""),96.09)</f>
        <v>96.09</v>
      </c>
      <c r="AC1200" s="1">
        <f ca="1">IFERROR(__xludf.DUMMYFUNCTION("""COMPUTED_VALUE"""),170.97)</f>
        <v>170.97</v>
      </c>
    </row>
    <row r="1201" spans="1:29" x14ac:dyDescent="0.25">
      <c r="A1201" s="2">
        <f ca="1">IFERROR(__xludf.DUMMYFUNCTION("""COMPUTED_VALUE"""),45573.6666666666)</f>
        <v>45573.666666666599</v>
      </c>
      <c r="B1201" s="1">
        <f ca="1">IFERROR(__xludf.DUMMYFUNCTION("""COMPUTED_VALUE"""),225.77)</f>
        <v>225.77</v>
      </c>
      <c r="C1201" s="1">
        <f ca="1">IFERROR(__xludf.DUMMYFUNCTION("""COMPUTED_VALUE"""),414.71)</f>
        <v>414.71</v>
      </c>
      <c r="D1201" s="1">
        <f ca="1">IFERROR(__xludf.DUMMYFUNCTION("""COMPUTED_VALUE"""),182.72)</f>
        <v>182.72</v>
      </c>
      <c r="E1201" s="1">
        <f ca="1">IFERROR(__xludf.DUMMYFUNCTION("""COMPUTED_VALUE"""),132.89)</f>
        <v>132.88999999999999</v>
      </c>
      <c r="F1201" s="1">
        <f ca="1">IFERROR(__xludf.DUMMYFUNCTION("""COMPUTED_VALUE"""),592.89)</f>
        <v>592.89</v>
      </c>
      <c r="G1201" s="1">
        <f ca="1">IFERROR(__xludf.DUMMYFUNCTION("""COMPUTED_VALUE"""),165.7)</f>
        <v>165.7</v>
      </c>
      <c r="H1201" s="1">
        <f ca="1">IFERROR(__xludf.DUMMYFUNCTION("""COMPUTED_VALUE"""),244.5)</f>
        <v>244.5</v>
      </c>
      <c r="I1201" s="1">
        <f ca="1">IFERROR(__xludf.DUMMYFUNCTION("""COMPUTED_VALUE"""),170.42)</f>
        <v>170.42</v>
      </c>
      <c r="J1201" s="1">
        <f ca="1">IFERROR(__xludf.DUMMYFUNCTION("""COMPUTED_VALUE"""),890.42)</f>
        <v>890.42</v>
      </c>
      <c r="K1201" s="1">
        <f ca="1">IFERROR(__xludf.DUMMYFUNCTION("""COMPUTED_VALUE"""),180.73)</f>
        <v>180.73</v>
      </c>
      <c r="L1201" s="1">
        <f ca="1">IFERROR(__xludf.DUMMYFUNCTION("""COMPUTED_VALUE"""),496.24)</f>
        <v>496.24</v>
      </c>
      <c r="M1201" s="1">
        <f ca="1">IFERROR(__xludf.DUMMYFUNCTION("""COMPUTED_VALUE"""),721.76)</f>
        <v>721.76</v>
      </c>
      <c r="N1201" s="1">
        <f ca="1">IFERROR(__xludf.DUMMYFUNCTION("""COMPUTED_VALUE"""),210.75)</f>
        <v>210.75</v>
      </c>
      <c r="O1201" s="1">
        <f ca="1">IFERROR(__xludf.DUMMYFUNCTION("""COMPUTED_VALUE"""),274.96)</f>
        <v>274.95999999999998</v>
      </c>
      <c r="P1201" s="1">
        <f ca="1">IFERROR(__xludf.DUMMYFUNCTION("""COMPUTED_VALUE"""),159.69)</f>
        <v>159.69</v>
      </c>
      <c r="Q1201" s="1">
        <f ca="1">IFERROR(__xludf.DUMMYFUNCTION("""COMPUTED_VALUE"""),581.58)</f>
        <v>581.58000000000004</v>
      </c>
      <c r="R1201" s="1">
        <f ca="1">IFERROR(__xludf.DUMMYFUNCTION("""COMPUTED_VALUE"""),122.04)</f>
        <v>122.04</v>
      </c>
      <c r="S1201" s="1">
        <f ca="1">IFERROR(__xludf.DUMMYFUNCTION("""COMPUTED_VALUE"""),80.5)</f>
        <v>80.5</v>
      </c>
      <c r="T1201" s="1">
        <f ca="1">IFERROR(__xludf.DUMMYFUNCTION("""COMPUTED_VALUE"""),79.71)</f>
        <v>79.709999999999994</v>
      </c>
      <c r="U1201" s="1">
        <f ca="1">IFERROR(__xludf.DUMMYFUNCTION("""COMPUTED_VALUE"""),80.77)</f>
        <v>80.77</v>
      </c>
      <c r="V1201" s="1">
        <f ca="1">IFERROR(__xludf.DUMMYFUNCTION("""COMPUTED_VALUE"""),387.96)</f>
        <v>387.96</v>
      </c>
      <c r="W1201" s="1">
        <f ca="1">IFERROR(__xludf.DUMMYFUNCTION("""COMPUTED_VALUE"""),608.05)</f>
        <v>608.04999999999995</v>
      </c>
      <c r="X1201" s="1">
        <f ca="1">IFERROR(__xludf.DUMMYFUNCTION("""COMPUTED_VALUE"""),824.26)</f>
        <v>824.26</v>
      </c>
      <c r="Y1201" s="1">
        <f ca="1">IFERROR(__xludf.DUMMYFUNCTION("""COMPUTED_VALUE"""),186.05)</f>
        <v>186.05</v>
      </c>
      <c r="Z1201" s="1">
        <f ca="1">IFERROR(__xludf.DUMMYFUNCTION("""COMPUTED_VALUE"""),496.57)</f>
        <v>496.57</v>
      </c>
      <c r="AA1201" s="1">
        <f ca="1">IFERROR(__xludf.DUMMYFUNCTION("""COMPUTED_VALUE"""),29.18)</f>
        <v>29.18</v>
      </c>
      <c r="AB1201" s="1">
        <f ca="1">IFERROR(__xludf.DUMMYFUNCTION("""COMPUTED_VALUE"""),96.21)</f>
        <v>96.21</v>
      </c>
      <c r="AC1201" s="1">
        <f ca="1">IFERROR(__xludf.DUMMYFUNCTION("""COMPUTED_VALUE"""),172.8)</f>
        <v>172.8</v>
      </c>
    </row>
    <row r="1202" spans="1:29" x14ac:dyDescent="0.25">
      <c r="A1202" s="2">
        <f ca="1">IFERROR(__xludf.DUMMYFUNCTION("""COMPUTED_VALUE"""),45574.6666666666)</f>
        <v>45574.666666666599</v>
      </c>
      <c r="B1202" s="1">
        <f ca="1">IFERROR(__xludf.DUMMYFUNCTION("""COMPUTED_VALUE"""),229.54)</f>
        <v>229.54</v>
      </c>
      <c r="C1202" s="1">
        <f ca="1">IFERROR(__xludf.DUMMYFUNCTION("""COMPUTED_VALUE"""),417.46)</f>
        <v>417.46</v>
      </c>
      <c r="D1202" s="1">
        <f ca="1">IFERROR(__xludf.DUMMYFUNCTION("""COMPUTED_VALUE"""),185.17)</f>
        <v>185.17</v>
      </c>
      <c r="E1202" s="1">
        <f ca="1">IFERROR(__xludf.DUMMYFUNCTION("""COMPUTED_VALUE"""),132.65)</f>
        <v>132.65</v>
      </c>
      <c r="F1202" s="1">
        <f ca="1">IFERROR(__xludf.DUMMYFUNCTION("""COMPUTED_VALUE"""),590.51)</f>
        <v>590.51</v>
      </c>
      <c r="G1202" s="1">
        <f ca="1">IFERROR(__xludf.DUMMYFUNCTION("""COMPUTED_VALUE"""),163.06)</f>
        <v>163.06</v>
      </c>
      <c r="H1202" s="1">
        <f ca="1">IFERROR(__xludf.DUMMYFUNCTION("""COMPUTED_VALUE"""),241.05)</f>
        <v>241.05</v>
      </c>
      <c r="I1202" s="1">
        <f ca="1">IFERROR(__xludf.DUMMYFUNCTION("""COMPUTED_VALUE"""),172.54)</f>
        <v>172.54</v>
      </c>
      <c r="J1202" s="1">
        <f ca="1">IFERROR(__xludf.DUMMYFUNCTION("""COMPUTED_VALUE"""),909.1)</f>
        <v>909.1</v>
      </c>
      <c r="K1202" s="1">
        <f ca="1">IFERROR(__xludf.DUMMYFUNCTION("""COMPUTED_VALUE"""),185.95)</f>
        <v>185.95</v>
      </c>
      <c r="L1202" s="1">
        <f ca="1">IFERROR(__xludf.DUMMYFUNCTION("""COMPUTED_VALUE"""),494.08)</f>
        <v>494.08</v>
      </c>
      <c r="M1202" s="1">
        <f ca="1">IFERROR(__xludf.DUMMYFUNCTION("""COMPUTED_VALUE"""),727.43)</f>
        <v>727.43</v>
      </c>
      <c r="N1202" s="1">
        <f ca="1">IFERROR(__xludf.DUMMYFUNCTION("""COMPUTED_VALUE"""),213.42)</f>
        <v>213.42</v>
      </c>
      <c r="O1202" s="1">
        <f ca="1">IFERROR(__xludf.DUMMYFUNCTION("""COMPUTED_VALUE"""),276.93)</f>
        <v>276.93</v>
      </c>
      <c r="P1202" s="1">
        <f ca="1">IFERROR(__xludf.DUMMYFUNCTION("""COMPUTED_VALUE"""),160.65)</f>
        <v>160.65</v>
      </c>
      <c r="Q1202" s="1">
        <f ca="1">IFERROR(__xludf.DUMMYFUNCTION("""COMPUTED_VALUE"""),591.22)</f>
        <v>591.22</v>
      </c>
      <c r="R1202" s="1">
        <f ca="1">IFERROR(__xludf.DUMMYFUNCTION("""COMPUTED_VALUE"""),122.09)</f>
        <v>122.09</v>
      </c>
      <c r="S1202" s="1">
        <f ca="1">IFERROR(__xludf.DUMMYFUNCTION("""COMPUTED_VALUE"""),80.58)</f>
        <v>80.58</v>
      </c>
      <c r="T1202" s="1">
        <f ca="1">IFERROR(__xludf.DUMMYFUNCTION("""COMPUTED_VALUE"""),80.4)</f>
        <v>80.400000000000006</v>
      </c>
      <c r="U1202" s="1">
        <f ca="1">IFERROR(__xludf.DUMMYFUNCTION("""COMPUTED_VALUE"""),82.45)</f>
        <v>82.45</v>
      </c>
      <c r="V1202" s="1">
        <f ca="1">IFERROR(__xludf.DUMMYFUNCTION("""COMPUTED_VALUE"""),396.19)</f>
        <v>396.19</v>
      </c>
      <c r="W1202" s="1">
        <f ca="1">IFERROR(__xludf.DUMMYFUNCTION("""COMPUTED_VALUE"""),605.11)</f>
        <v>605.11</v>
      </c>
      <c r="X1202" s="1">
        <f ca="1">IFERROR(__xludf.DUMMYFUNCTION("""COMPUTED_VALUE"""),845.9)</f>
        <v>845.9</v>
      </c>
      <c r="Y1202" s="1">
        <f ca="1">IFERROR(__xludf.DUMMYFUNCTION("""COMPUTED_VALUE"""),187.14)</f>
        <v>187.14</v>
      </c>
      <c r="Z1202" s="1">
        <f ca="1">IFERROR(__xludf.DUMMYFUNCTION("""COMPUTED_VALUE"""),505.18)</f>
        <v>505.18</v>
      </c>
      <c r="AA1202" s="1">
        <f ca="1">IFERROR(__xludf.DUMMYFUNCTION("""COMPUTED_VALUE"""),30.19)</f>
        <v>30.19</v>
      </c>
      <c r="AB1202" s="1">
        <f ca="1">IFERROR(__xludf.DUMMYFUNCTION("""COMPUTED_VALUE"""),95.88)</f>
        <v>95.88</v>
      </c>
      <c r="AC1202" s="1">
        <f ca="1">IFERROR(__xludf.DUMMYFUNCTION("""COMPUTED_VALUE"""),171.02)</f>
        <v>171.02</v>
      </c>
    </row>
    <row r="1203" spans="1:29" x14ac:dyDescent="0.25">
      <c r="A1203" s="2">
        <f ca="1">IFERROR(__xludf.DUMMYFUNCTION("""COMPUTED_VALUE"""),45575.6666666666)</f>
        <v>45575.666666666599</v>
      </c>
      <c r="B1203" s="1">
        <f ca="1">IFERROR(__xludf.DUMMYFUNCTION("""COMPUTED_VALUE"""),229.04)</f>
        <v>229.04</v>
      </c>
      <c r="C1203" s="1">
        <f ca="1">IFERROR(__xludf.DUMMYFUNCTION("""COMPUTED_VALUE"""),415.84)</f>
        <v>415.84</v>
      </c>
      <c r="D1203" s="1">
        <f ca="1">IFERROR(__xludf.DUMMYFUNCTION("""COMPUTED_VALUE"""),186.65)</f>
        <v>186.65</v>
      </c>
      <c r="E1203" s="1">
        <f ca="1">IFERROR(__xludf.DUMMYFUNCTION("""COMPUTED_VALUE"""),134.81)</f>
        <v>134.81</v>
      </c>
      <c r="F1203" s="1">
        <f ca="1">IFERROR(__xludf.DUMMYFUNCTION("""COMPUTED_VALUE"""),583.83)</f>
        <v>583.83000000000004</v>
      </c>
      <c r="G1203" s="1">
        <f ca="1">IFERROR(__xludf.DUMMYFUNCTION("""COMPUTED_VALUE"""),163.18)</f>
        <v>163.18</v>
      </c>
      <c r="H1203" s="1">
        <f ca="1">IFERROR(__xludf.DUMMYFUNCTION("""COMPUTED_VALUE"""),238.77)</f>
        <v>238.77</v>
      </c>
      <c r="I1203" s="1">
        <f ca="1">IFERROR(__xludf.DUMMYFUNCTION("""COMPUTED_VALUE"""),172.99)</f>
        <v>172.99</v>
      </c>
      <c r="J1203" s="1">
        <f ca="1">IFERROR(__xludf.DUMMYFUNCTION("""COMPUTED_VALUE"""),893.63)</f>
        <v>893.63</v>
      </c>
      <c r="K1203" s="1">
        <f ca="1">IFERROR(__xludf.DUMMYFUNCTION("""COMPUTED_VALUE"""),185.69)</f>
        <v>185.69</v>
      </c>
      <c r="L1203" s="1">
        <f ca="1">IFERROR(__xludf.DUMMYFUNCTION("""COMPUTED_VALUE"""),503.57)</f>
        <v>503.57</v>
      </c>
      <c r="M1203" s="1">
        <f ca="1">IFERROR(__xludf.DUMMYFUNCTION("""COMPUTED_VALUE"""),730.29)</f>
        <v>730.29</v>
      </c>
      <c r="N1203" s="1">
        <f ca="1">IFERROR(__xludf.DUMMYFUNCTION("""COMPUTED_VALUE"""),212.84)</f>
        <v>212.84</v>
      </c>
      <c r="O1203" s="1">
        <f ca="1">IFERROR(__xludf.DUMMYFUNCTION("""COMPUTED_VALUE"""),277.47)</f>
        <v>277.47000000000003</v>
      </c>
      <c r="P1203" s="1">
        <f ca="1">IFERROR(__xludf.DUMMYFUNCTION("""COMPUTED_VALUE"""),160.51)</f>
        <v>160.51</v>
      </c>
      <c r="Q1203" s="1">
        <f ca="1">IFERROR(__xludf.DUMMYFUNCTION("""COMPUTED_VALUE"""),597.7)</f>
        <v>597.70000000000005</v>
      </c>
      <c r="R1203" s="1">
        <f ca="1">IFERROR(__xludf.DUMMYFUNCTION("""COMPUTED_VALUE"""),123.14)</f>
        <v>123.14</v>
      </c>
      <c r="S1203" s="1">
        <f ca="1">IFERROR(__xludf.DUMMYFUNCTION("""COMPUTED_VALUE"""),80.94)</f>
        <v>80.94</v>
      </c>
      <c r="T1203" s="1">
        <f ca="1">IFERROR(__xludf.DUMMYFUNCTION("""COMPUTED_VALUE"""),79.61)</f>
        <v>79.61</v>
      </c>
      <c r="U1203" s="1">
        <f ca="1">IFERROR(__xludf.DUMMYFUNCTION("""COMPUTED_VALUE"""),82.1)</f>
        <v>82.1</v>
      </c>
      <c r="V1203" s="1">
        <f ca="1">IFERROR(__xludf.DUMMYFUNCTION("""COMPUTED_VALUE"""),396.64)</f>
        <v>396.64</v>
      </c>
      <c r="W1203" s="1">
        <f ca="1">IFERROR(__xludf.DUMMYFUNCTION("""COMPUTED_VALUE"""),597.49)</f>
        <v>597.49</v>
      </c>
      <c r="X1203" s="1">
        <f ca="1">IFERROR(__xludf.DUMMYFUNCTION("""COMPUTED_VALUE"""),833.97)</f>
        <v>833.97</v>
      </c>
      <c r="Y1203" s="1">
        <f ca="1">IFERROR(__xludf.DUMMYFUNCTION("""COMPUTED_VALUE"""),185.78)</f>
        <v>185.78</v>
      </c>
      <c r="Z1203" s="1">
        <f ca="1">IFERROR(__xludf.DUMMYFUNCTION("""COMPUTED_VALUE"""),503.72)</f>
        <v>503.72</v>
      </c>
      <c r="AA1203" s="1">
        <f ca="1">IFERROR(__xludf.DUMMYFUNCTION("""COMPUTED_VALUE"""),29.34)</f>
        <v>29.34</v>
      </c>
      <c r="AB1203" s="1">
        <f ca="1">IFERROR(__xludf.DUMMYFUNCTION("""COMPUTED_VALUE"""),93.88)</f>
        <v>93.88</v>
      </c>
      <c r="AC1203" s="1">
        <f ca="1">IFERROR(__xludf.DUMMYFUNCTION("""COMPUTED_VALUE"""),164.18)</f>
        <v>164.18</v>
      </c>
    </row>
    <row r="1204" spans="1:29" x14ac:dyDescent="0.25">
      <c r="A1204" s="2">
        <f ca="1">IFERROR(__xludf.DUMMYFUNCTION("""COMPUTED_VALUE"""),45576.6666666666)</f>
        <v>45576.666666666599</v>
      </c>
      <c r="B1204" s="1">
        <f ca="1">IFERROR(__xludf.DUMMYFUNCTION("""COMPUTED_VALUE"""),227.55)</f>
        <v>227.55</v>
      </c>
      <c r="C1204" s="1">
        <f ca="1">IFERROR(__xludf.DUMMYFUNCTION("""COMPUTED_VALUE"""),416.32)</f>
        <v>416.32</v>
      </c>
      <c r="D1204" s="1">
        <f ca="1">IFERROR(__xludf.DUMMYFUNCTION("""COMPUTED_VALUE"""),188.82)</f>
        <v>188.82</v>
      </c>
      <c r="E1204" s="1">
        <f ca="1">IFERROR(__xludf.DUMMYFUNCTION("""COMPUTED_VALUE"""),134.8)</f>
        <v>134.80000000000001</v>
      </c>
      <c r="F1204" s="1">
        <f ca="1">IFERROR(__xludf.DUMMYFUNCTION("""COMPUTED_VALUE"""),589.95)</f>
        <v>589.95000000000005</v>
      </c>
      <c r="G1204" s="1">
        <f ca="1">IFERROR(__xludf.DUMMYFUNCTION("""COMPUTED_VALUE"""),164.52)</f>
        <v>164.52</v>
      </c>
      <c r="H1204" s="1">
        <f ca="1">IFERROR(__xludf.DUMMYFUNCTION("""COMPUTED_VALUE"""),217.8)</f>
        <v>217.8</v>
      </c>
      <c r="I1204" s="1">
        <f ca="1">IFERROR(__xludf.DUMMYFUNCTION("""COMPUTED_VALUE"""),174.81)</f>
        <v>174.81</v>
      </c>
      <c r="J1204" s="1">
        <f ca="1">IFERROR(__xludf.DUMMYFUNCTION("""COMPUTED_VALUE"""),889.03)</f>
        <v>889.03</v>
      </c>
      <c r="K1204" s="1">
        <f ca="1">IFERROR(__xludf.DUMMYFUNCTION("""COMPUTED_VALUE"""),181.48)</f>
        <v>181.48</v>
      </c>
      <c r="L1204" s="1">
        <f ca="1">IFERROR(__xludf.DUMMYFUNCTION("""COMPUTED_VALUE"""),495.42)</f>
        <v>495.42</v>
      </c>
      <c r="M1204" s="1">
        <f ca="1">IFERROR(__xludf.DUMMYFUNCTION("""COMPUTED_VALUE"""),722.79)</f>
        <v>722.79</v>
      </c>
      <c r="N1204" s="1">
        <f ca="1">IFERROR(__xludf.DUMMYFUNCTION("""COMPUTED_VALUE"""),222.29)</f>
        <v>222.29</v>
      </c>
      <c r="O1204" s="1">
        <f ca="1">IFERROR(__xludf.DUMMYFUNCTION("""COMPUTED_VALUE"""),277.84)</f>
        <v>277.83999999999997</v>
      </c>
      <c r="P1204" s="1">
        <f ca="1">IFERROR(__xludf.DUMMYFUNCTION("""COMPUTED_VALUE"""),161.46)</f>
        <v>161.46</v>
      </c>
      <c r="Q1204" s="1">
        <f ca="1">IFERROR(__xludf.DUMMYFUNCTION("""COMPUTED_VALUE"""),598.05)</f>
        <v>598.04999999999995</v>
      </c>
      <c r="R1204" s="1">
        <f ca="1">IFERROR(__xludf.DUMMYFUNCTION("""COMPUTED_VALUE"""),123.61)</f>
        <v>123.61</v>
      </c>
      <c r="S1204" s="1">
        <f ca="1">IFERROR(__xludf.DUMMYFUNCTION("""COMPUTED_VALUE"""),81.86)</f>
        <v>81.86</v>
      </c>
      <c r="T1204" s="1">
        <f ca="1">IFERROR(__xludf.DUMMYFUNCTION("""COMPUTED_VALUE"""),80.1)</f>
        <v>80.099999999999994</v>
      </c>
      <c r="U1204" s="1">
        <f ca="1">IFERROR(__xludf.DUMMYFUNCTION("""COMPUTED_VALUE"""),82.15)</f>
        <v>82.15</v>
      </c>
      <c r="V1204" s="1">
        <f ca="1">IFERROR(__xludf.DUMMYFUNCTION("""COMPUTED_VALUE"""),402.02)</f>
        <v>402.02</v>
      </c>
      <c r="W1204" s="1">
        <f ca="1">IFERROR(__xludf.DUMMYFUNCTION("""COMPUTED_VALUE"""),604.17)</f>
        <v>604.16999999999996</v>
      </c>
      <c r="X1204" s="1">
        <f ca="1">IFERROR(__xludf.DUMMYFUNCTION("""COMPUTED_VALUE"""),840.69)</f>
        <v>840.69</v>
      </c>
      <c r="Y1204" s="1">
        <f ca="1">IFERROR(__xludf.DUMMYFUNCTION("""COMPUTED_VALUE"""),190.81)</f>
        <v>190.81</v>
      </c>
      <c r="Z1204" s="1">
        <f ca="1">IFERROR(__xludf.DUMMYFUNCTION("""COMPUTED_VALUE"""),516.3)</f>
        <v>516.29999999999995</v>
      </c>
      <c r="AA1204" s="1">
        <f ca="1">IFERROR(__xludf.DUMMYFUNCTION("""COMPUTED_VALUE"""),29.16)</f>
        <v>29.16</v>
      </c>
      <c r="AB1204" s="1">
        <f ca="1">IFERROR(__xludf.DUMMYFUNCTION("""COMPUTED_VALUE"""),95.55)</f>
        <v>95.55</v>
      </c>
      <c r="AC1204" s="1">
        <f ca="1">IFERROR(__xludf.DUMMYFUNCTION("""COMPUTED_VALUE"""),167.89)</f>
        <v>167.89</v>
      </c>
    </row>
    <row r="1205" spans="1:29" x14ac:dyDescent="0.25">
      <c r="A1205" s="2">
        <f ca="1">IFERROR(__xludf.DUMMYFUNCTION("""COMPUTED_VALUE"""),45579.6666666666)</f>
        <v>45579.666666666599</v>
      </c>
      <c r="B1205" s="1">
        <f ca="1">IFERROR(__xludf.DUMMYFUNCTION("""COMPUTED_VALUE"""),231.3)</f>
        <v>231.3</v>
      </c>
      <c r="C1205" s="1">
        <f ca="1">IFERROR(__xludf.DUMMYFUNCTION("""COMPUTED_VALUE"""),419.14)</f>
        <v>419.14</v>
      </c>
      <c r="D1205" s="1">
        <f ca="1">IFERROR(__xludf.DUMMYFUNCTION("""COMPUTED_VALUE"""),187.54)</f>
        <v>187.54</v>
      </c>
      <c r="E1205" s="1">
        <f ca="1">IFERROR(__xludf.DUMMYFUNCTION("""COMPUTED_VALUE"""),138.07)</f>
        <v>138.07</v>
      </c>
      <c r="F1205" s="1">
        <f ca="1">IFERROR(__xludf.DUMMYFUNCTION("""COMPUTED_VALUE"""),590.42)</f>
        <v>590.41999999999996</v>
      </c>
      <c r="G1205" s="1">
        <f ca="1">IFERROR(__xludf.DUMMYFUNCTION("""COMPUTED_VALUE"""),166.35)</f>
        <v>166.35</v>
      </c>
      <c r="H1205" s="1">
        <f ca="1">IFERROR(__xludf.DUMMYFUNCTION("""COMPUTED_VALUE"""),219.16)</f>
        <v>219.16</v>
      </c>
      <c r="I1205" s="1">
        <f ca="1">IFERROR(__xludf.DUMMYFUNCTION("""COMPUTED_VALUE"""),176.1)</f>
        <v>176.1</v>
      </c>
      <c r="J1205" s="1">
        <f ca="1">IFERROR(__xludf.DUMMYFUNCTION("""COMPUTED_VALUE"""),889.76)</f>
        <v>889.76</v>
      </c>
      <c r="K1205" s="1">
        <f ca="1">IFERROR(__xludf.DUMMYFUNCTION("""COMPUTED_VALUE"""),182.31)</f>
        <v>182.31</v>
      </c>
      <c r="L1205" s="1">
        <f ca="1">IFERROR(__xludf.DUMMYFUNCTION("""COMPUTED_VALUE"""),509.65)</f>
        <v>509.65</v>
      </c>
      <c r="M1205" s="1">
        <f ca="1">IFERROR(__xludf.DUMMYFUNCTION("""COMPUTED_VALUE"""),713)</f>
        <v>713</v>
      </c>
      <c r="N1205" s="1">
        <f ca="1">IFERROR(__xludf.DUMMYFUNCTION("""COMPUTED_VALUE"""),221.48)</f>
        <v>221.48</v>
      </c>
      <c r="O1205" s="1">
        <f ca="1">IFERROR(__xludf.DUMMYFUNCTION("""COMPUTED_VALUE"""),280.68)</f>
        <v>280.68</v>
      </c>
      <c r="P1205" s="1">
        <f ca="1">IFERROR(__xludf.DUMMYFUNCTION("""COMPUTED_VALUE"""),161.6)</f>
        <v>161.6</v>
      </c>
      <c r="Q1205" s="1">
        <f ca="1">IFERROR(__xludf.DUMMYFUNCTION("""COMPUTED_VALUE"""),605.4)</f>
        <v>605.4</v>
      </c>
      <c r="R1205" s="1">
        <f ca="1">IFERROR(__xludf.DUMMYFUNCTION("""COMPUTED_VALUE"""),124.08)</f>
        <v>124.08</v>
      </c>
      <c r="S1205" s="1">
        <f ca="1">IFERROR(__xludf.DUMMYFUNCTION("""COMPUTED_VALUE"""),82.91)</f>
        <v>82.91</v>
      </c>
      <c r="T1205" s="1">
        <f ca="1">IFERROR(__xludf.DUMMYFUNCTION("""COMPUTED_VALUE"""),80.29)</f>
        <v>80.290000000000006</v>
      </c>
      <c r="U1205" s="1">
        <f ca="1">IFERROR(__xludf.DUMMYFUNCTION("""COMPUTED_VALUE"""),81.6)</f>
        <v>81.599999999999994</v>
      </c>
      <c r="V1205" s="1">
        <f ca="1">IFERROR(__xludf.DUMMYFUNCTION("""COMPUTED_VALUE"""),393.95)</f>
        <v>393.95</v>
      </c>
      <c r="W1205" s="1">
        <f ca="1">IFERROR(__xludf.DUMMYFUNCTION("""COMPUTED_VALUE"""),610.87)</f>
        <v>610.87</v>
      </c>
      <c r="X1205" s="1">
        <f ca="1">IFERROR(__xludf.DUMMYFUNCTION("""COMPUTED_VALUE"""),872.27)</f>
        <v>872.27</v>
      </c>
      <c r="Y1205" s="1">
        <f ca="1">IFERROR(__xludf.DUMMYFUNCTION("""COMPUTED_VALUE"""),192.21)</f>
        <v>192.21</v>
      </c>
      <c r="Z1205" s="1">
        <f ca="1">IFERROR(__xludf.DUMMYFUNCTION("""COMPUTED_VALUE"""),522.75)</f>
        <v>522.75</v>
      </c>
      <c r="AA1205" s="1">
        <f ca="1">IFERROR(__xludf.DUMMYFUNCTION("""COMPUTED_VALUE"""),29.08)</f>
        <v>29.08</v>
      </c>
      <c r="AB1205" s="1">
        <f ca="1">IFERROR(__xludf.DUMMYFUNCTION("""COMPUTED_VALUE"""),94.76)</f>
        <v>94.76</v>
      </c>
      <c r="AC1205" s="1">
        <f ca="1">IFERROR(__xludf.DUMMYFUNCTION("""COMPUTED_VALUE"""),165.27)</f>
        <v>165.27</v>
      </c>
    </row>
    <row r="1206" spans="1:29" x14ac:dyDescent="0.25">
      <c r="A1206" s="2">
        <f ca="1">IFERROR(__xludf.DUMMYFUNCTION("""COMPUTED_VALUE"""),45580.6666666666)</f>
        <v>45580.666666666599</v>
      </c>
      <c r="B1206" s="1">
        <f ca="1">IFERROR(__xludf.DUMMYFUNCTION("""COMPUTED_VALUE"""),233.85)</f>
        <v>233.85</v>
      </c>
      <c r="C1206" s="1">
        <f ca="1">IFERROR(__xludf.DUMMYFUNCTION("""COMPUTED_VALUE"""),418.74)</f>
        <v>418.74</v>
      </c>
      <c r="D1206" s="1">
        <f ca="1">IFERROR(__xludf.DUMMYFUNCTION("""COMPUTED_VALUE"""),187.69)</f>
        <v>187.69</v>
      </c>
      <c r="E1206" s="1">
        <f ca="1">IFERROR(__xludf.DUMMYFUNCTION("""COMPUTED_VALUE"""),131.6)</f>
        <v>131.6</v>
      </c>
      <c r="F1206" s="1">
        <f ca="1">IFERROR(__xludf.DUMMYFUNCTION("""COMPUTED_VALUE"""),590.42)</f>
        <v>590.41999999999996</v>
      </c>
      <c r="G1206" s="1">
        <f ca="1">IFERROR(__xludf.DUMMYFUNCTION("""COMPUTED_VALUE"""),166.9)</f>
        <v>166.9</v>
      </c>
      <c r="H1206" s="1">
        <f ca="1">IFERROR(__xludf.DUMMYFUNCTION("""COMPUTED_VALUE"""),219.16)</f>
        <v>219.16</v>
      </c>
      <c r="I1206" s="1">
        <f ca="1">IFERROR(__xludf.DUMMYFUNCTION("""COMPUTED_VALUE"""),176.1)</f>
        <v>176.1</v>
      </c>
      <c r="J1206" s="1">
        <f ca="1">IFERROR(__xludf.DUMMYFUNCTION("""COMPUTED_VALUE"""),894.61)</f>
        <v>894.61</v>
      </c>
      <c r="K1206" s="1">
        <f ca="1">IFERROR(__xludf.DUMMYFUNCTION("""COMPUTED_VALUE"""),175.98)</f>
        <v>175.98</v>
      </c>
      <c r="L1206" s="1">
        <f ca="1">IFERROR(__xludf.DUMMYFUNCTION("""COMPUTED_VALUE"""),508.03)</f>
        <v>508.03</v>
      </c>
      <c r="M1206" s="1">
        <f ca="1">IFERROR(__xludf.DUMMYFUNCTION("""COMPUTED_VALUE"""),705.98)</f>
        <v>705.98</v>
      </c>
      <c r="N1206" s="1">
        <f ca="1">IFERROR(__xludf.DUMMYFUNCTION("""COMPUTED_VALUE"""),221.48)</f>
        <v>221.48</v>
      </c>
      <c r="O1206" s="1">
        <f ca="1">IFERROR(__xludf.DUMMYFUNCTION("""COMPUTED_VALUE"""),279.29)</f>
        <v>279.29000000000002</v>
      </c>
      <c r="P1206" s="1">
        <f ca="1">IFERROR(__xludf.DUMMYFUNCTION("""COMPUTED_VALUE"""),164.1)</f>
        <v>164.1</v>
      </c>
      <c r="Q1206" s="1">
        <f ca="1">IFERROR(__xludf.DUMMYFUNCTION("""COMPUTED_VALUE"""),556.29)</f>
        <v>556.29</v>
      </c>
      <c r="R1206" s="1">
        <f ca="1">IFERROR(__xludf.DUMMYFUNCTION("""COMPUTED_VALUE"""),120.35)</f>
        <v>120.35</v>
      </c>
      <c r="S1206" s="1">
        <f ca="1">IFERROR(__xludf.DUMMYFUNCTION("""COMPUTED_VALUE"""),82.79)</f>
        <v>82.79</v>
      </c>
      <c r="T1206" s="1">
        <f ca="1">IFERROR(__xludf.DUMMYFUNCTION("""COMPUTED_VALUE"""),80.29)</f>
        <v>80.290000000000006</v>
      </c>
      <c r="U1206" s="1">
        <f ca="1">IFERROR(__xludf.DUMMYFUNCTION("""COMPUTED_VALUE"""),81.6)</f>
        <v>81.599999999999994</v>
      </c>
      <c r="V1206" s="1">
        <f ca="1">IFERROR(__xludf.DUMMYFUNCTION("""COMPUTED_VALUE"""),387.99)</f>
        <v>387.99</v>
      </c>
      <c r="W1206" s="1">
        <f ca="1">IFERROR(__xludf.DUMMYFUNCTION("""COMPUTED_VALUE"""),605)</f>
        <v>605</v>
      </c>
      <c r="X1206" s="1">
        <f ca="1">IFERROR(__xludf.DUMMYFUNCTION("""COMPUTED_VALUE"""),730.43)</f>
        <v>730.43</v>
      </c>
      <c r="Y1206" s="1">
        <f ca="1">IFERROR(__xludf.DUMMYFUNCTION("""COMPUTED_VALUE"""),187.13)</f>
        <v>187.13</v>
      </c>
      <c r="Z1206" s="1">
        <f ca="1">IFERROR(__xludf.DUMMYFUNCTION("""COMPUTED_VALUE"""),522.75)</f>
        <v>522.75</v>
      </c>
      <c r="AA1206" s="1">
        <f ca="1">IFERROR(__xludf.DUMMYFUNCTION("""COMPUTED_VALUE"""),29.44)</f>
        <v>29.44</v>
      </c>
      <c r="AB1206" s="1">
        <f ca="1">IFERROR(__xludf.DUMMYFUNCTION("""COMPUTED_VALUE"""),94.76)</f>
        <v>94.76</v>
      </c>
      <c r="AC1206" s="1">
        <f ca="1">IFERROR(__xludf.DUMMYFUNCTION("""COMPUTED_VALUE"""),165.27)</f>
        <v>165.27</v>
      </c>
    </row>
    <row r="1207" spans="1:29" x14ac:dyDescent="0.25">
      <c r="A1207" s="2">
        <f ca="1">IFERROR(__xludf.DUMMYFUNCTION("""COMPUTED_VALUE"""),45581.6666666666)</f>
        <v>45581.666666666599</v>
      </c>
      <c r="B1207" s="1">
        <f ca="1">IFERROR(__xludf.DUMMYFUNCTION("""COMPUTED_VALUE"""),231.78)</f>
        <v>231.78</v>
      </c>
      <c r="C1207" s="1">
        <f ca="1">IFERROR(__xludf.DUMMYFUNCTION("""COMPUTED_VALUE"""),416.12)</f>
        <v>416.12</v>
      </c>
      <c r="D1207" s="1">
        <f ca="1">IFERROR(__xludf.DUMMYFUNCTION("""COMPUTED_VALUE"""),186.89)</f>
        <v>186.89</v>
      </c>
      <c r="E1207" s="1">
        <f ca="1">IFERROR(__xludf.DUMMYFUNCTION("""COMPUTED_VALUE"""),135.72)</f>
        <v>135.72</v>
      </c>
      <c r="F1207" s="1">
        <f ca="1">IFERROR(__xludf.DUMMYFUNCTION("""COMPUTED_VALUE"""),576.79)</f>
        <v>576.79</v>
      </c>
      <c r="G1207" s="1">
        <f ca="1">IFERROR(__xludf.DUMMYFUNCTION("""COMPUTED_VALUE"""),166.74)</f>
        <v>166.74</v>
      </c>
      <c r="H1207" s="1">
        <f ca="1">IFERROR(__xludf.DUMMYFUNCTION("""COMPUTED_VALUE"""),221.33)</f>
        <v>221.33</v>
      </c>
      <c r="I1207" s="1">
        <f ca="1">IFERROR(__xludf.DUMMYFUNCTION("""COMPUTED_VALUE"""),174.48)</f>
        <v>174.48</v>
      </c>
      <c r="J1207" s="1">
        <f ca="1">IFERROR(__xludf.DUMMYFUNCTION("""COMPUTED_VALUE"""),887.38)</f>
        <v>887.38</v>
      </c>
      <c r="K1207" s="1">
        <f ca="1">IFERROR(__xludf.DUMMYFUNCTION("""COMPUTED_VALUE"""),176.82)</f>
        <v>176.82</v>
      </c>
      <c r="L1207" s="1">
        <f ca="1">IFERROR(__xludf.DUMMYFUNCTION("""COMPUTED_VALUE"""),502.54)</f>
        <v>502.54</v>
      </c>
      <c r="M1207" s="1">
        <f ca="1">IFERROR(__xludf.DUMMYFUNCTION("""COMPUTED_VALUE"""),702)</f>
        <v>702</v>
      </c>
      <c r="N1207" s="1">
        <f ca="1">IFERROR(__xludf.DUMMYFUNCTION("""COMPUTED_VALUE"""),223.64)</f>
        <v>223.64</v>
      </c>
      <c r="O1207" s="1">
        <f ca="1">IFERROR(__xludf.DUMMYFUNCTION("""COMPUTED_VALUE"""),287.52)</f>
        <v>287.52</v>
      </c>
      <c r="P1207" s="1">
        <f ca="1">IFERROR(__xludf.DUMMYFUNCTION("""COMPUTED_VALUE"""),164.28)</f>
        <v>164.28</v>
      </c>
      <c r="Q1207" s="1">
        <f ca="1">IFERROR(__xludf.DUMMYFUNCTION("""COMPUTED_VALUE"""),571.34)</f>
        <v>571.34</v>
      </c>
      <c r="R1207" s="1">
        <f ca="1">IFERROR(__xludf.DUMMYFUNCTION("""COMPUTED_VALUE"""),120.66)</f>
        <v>120.66</v>
      </c>
      <c r="S1207" s="1">
        <f ca="1">IFERROR(__xludf.DUMMYFUNCTION("""COMPUTED_VALUE"""),84.39)</f>
        <v>84.39</v>
      </c>
      <c r="T1207" s="1">
        <f ca="1">IFERROR(__xludf.DUMMYFUNCTION("""COMPUTED_VALUE"""),81.22)</f>
        <v>81.22</v>
      </c>
      <c r="U1207" s="1">
        <f ca="1">IFERROR(__xludf.DUMMYFUNCTION("""COMPUTED_VALUE"""),83.94)</f>
        <v>83.94</v>
      </c>
      <c r="V1207" s="1">
        <f ca="1">IFERROR(__xludf.DUMMYFUNCTION("""COMPUTED_VALUE"""),393.62)</f>
        <v>393.62</v>
      </c>
      <c r="W1207" s="1">
        <f ca="1">IFERROR(__xludf.DUMMYFUNCTION("""COMPUTED_VALUE"""),612.83)</f>
        <v>612.83000000000004</v>
      </c>
      <c r="X1207" s="1">
        <f ca="1">IFERROR(__xludf.DUMMYFUNCTION("""COMPUTED_VALUE"""),683.52)</f>
        <v>683.52</v>
      </c>
      <c r="Y1207" s="1">
        <f ca="1">IFERROR(__xludf.DUMMYFUNCTION("""COMPUTED_VALUE"""),187.48)</f>
        <v>187.48</v>
      </c>
      <c r="Z1207" s="1">
        <f ca="1">IFERROR(__xludf.DUMMYFUNCTION("""COMPUTED_VALUE"""),529.86)</f>
        <v>529.86</v>
      </c>
      <c r="AA1207" s="1">
        <f ca="1">IFERROR(__xludf.DUMMYFUNCTION("""COMPUTED_VALUE"""),29.67)</f>
        <v>29.67</v>
      </c>
      <c r="AB1207" s="1">
        <f ca="1">IFERROR(__xludf.DUMMYFUNCTION("""COMPUTED_VALUE"""),95.46)</f>
        <v>95.46</v>
      </c>
      <c r="AC1207" s="1">
        <f ca="1">IFERROR(__xludf.DUMMYFUNCTION("""COMPUTED_VALUE"""),156.13)</f>
        <v>156.13</v>
      </c>
    </row>
    <row r="1208" spans="1:29" x14ac:dyDescent="0.25">
      <c r="A1208" s="2">
        <f ca="1">IFERROR(__xludf.DUMMYFUNCTION("""COMPUTED_VALUE"""),45582.6666666666)</f>
        <v>45582.666666666599</v>
      </c>
      <c r="B1208" s="1">
        <f ca="1">IFERROR(__xludf.DUMMYFUNCTION("""COMPUTED_VALUE"""),232.15)</f>
        <v>232.15</v>
      </c>
      <c r="C1208" s="1">
        <f ca="1">IFERROR(__xludf.DUMMYFUNCTION("""COMPUTED_VALUE"""),416.72)</f>
        <v>416.72</v>
      </c>
      <c r="D1208" s="1">
        <f ca="1">IFERROR(__xludf.DUMMYFUNCTION("""COMPUTED_VALUE"""),187.53)</f>
        <v>187.53</v>
      </c>
      <c r="E1208" s="1">
        <f ca="1">IFERROR(__xludf.DUMMYFUNCTION("""COMPUTED_VALUE"""),136.93)</f>
        <v>136.93</v>
      </c>
      <c r="F1208" s="1">
        <f ca="1">IFERROR(__xludf.DUMMYFUNCTION("""COMPUTED_VALUE"""),576.93)</f>
        <v>576.92999999999995</v>
      </c>
      <c r="G1208" s="1">
        <f ca="1">IFERROR(__xludf.DUMMYFUNCTION("""COMPUTED_VALUE"""),164.51)</f>
        <v>164.51</v>
      </c>
      <c r="H1208" s="1">
        <f ca="1">IFERROR(__xludf.DUMMYFUNCTION("""COMPUTED_VALUE"""),220.89)</f>
        <v>220.89</v>
      </c>
      <c r="I1208" s="1">
        <f ca="1">IFERROR(__xludf.DUMMYFUNCTION("""COMPUTED_VALUE"""),174.67)</f>
        <v>174.67</v>
      </c>
      <c r="J1208" s="1">
        <f ca="1">IFERROR(__xludf.DUMMYFUNCTION("""COMPUTED_VALUE"""),885.29)</f>
        <v>885.29</v>
      </c>
      <c r="K1208" s="1">
        <f ca="1">IFERROR(__xludf.DUMMYFUNCTION("""COMPUTED_VALUE"""),181.53)</f>
        <v>181.53</v>
      </c>
      <c r="L1208" s="1">
        <f ca="1">IFERROR(__xludf.DUMMYFUNCTION("""COMPUTED_VALUE"""),496.83)</f>
        <v>496.83</v>
      </c>
      <c r="M1208" s="1">
        <f ca="1">IFERROR(__xludf.DUMMYFUNCTION("""COMPUTED_VALUE"""),687.65)</f>
        <v>687.65</v>
      </c>
      <c r="N1208" s="1">
        <f ca="1">IFERROR(__xludf.DUMMYFUNCTION("""COMPUTED_VALUE"""),224.42)</f>
        <v>224.42</v>
      </c>
      <c r="O1208" s="1">
        <f ca="1">IFERROR(__xludf.DUMMYFUNCTION("""COMPUTED_VALUE"""),290.39)</f>
        <v>290.39</v>
      </c>
      <c r="P1208" s="1">
        <f ca="1">IFERROR(__xludf.DUMMYFUNCTION("""COMPUTED_VALUE"""),164.47)</f>
        <v>164.47</v>
      </c>
      <c r="Q1208" s="1">
        <f ca="1">IFERROR(__xludf.DUMMYFUNCTION("""COMPUTED_VALUE"""),566.03)</f>
        <v>566.03</v>
      </c>
      <c r="R1208" s="1">
        <f ca="1">IFERROR(__xludf.DUMMYFUNCTION("""COMPUTED_VALUE"""),120.35)</f>
        <v>120.35</v>
      </c>
      <c r="S1208" s="1">
        <f ca="1">IFERROR(__xludf.DUMMYFUNCTION("""COMPUTED_VALUE"""),83.78)</f>
        <v>83.78</v>
      </c>
      <c r="T1208" s="1">
        <f ca="1">IFERROR(__xludf.DUMMYFUNCTION("""COMPUTED_VALUE"""),80.89)</f>
        <v>80.89</v>
      </c>
      <c r="U1208" s="1">
        <f ca="1">IFERROR(__xludf.DUMMYFUNCTION("""COMPUTED_VALUE"""),83.4)</f>
        <v>83.4</v>
      </c>
      <c r="V1208" s="1">
        <f ca="1">IFERROR(__xludf.DUMMYFUNCTION("""COMPUTED_VALUE"""),394.49)</f>
        <v>394.49</v>
      </c>
      <c r="W1208" s="1">
        <f ca="1">IFERROR(__xludf.DUMMYFUNCTION("""COMPUTED_VALUE"""),609.62)</f>
        <v>609.62</v>
      </c>
      <c r="X1208" s="1">
        <f ca="1">IFERROR(__xludf.DUMMYFUNCTION("""COMPUTED_VALUE"""),700.6)</f>
        <v>700.6</v>
      </c>
      <c r="Y1208" s="1">
        <f ca="1">IFERROR(__xludf.DUMMYFUNCTION("""COMPUTED_VALUE"""),205.84)</f>
        <v>205.84</v>
      </c>
      <c r="Z1208" s="1">
        <f ca="1">IFERROR(__xludf.DUMMYFUNCTION("""COMPUTED_VALUE"""),529)</f>
        <v>529</v>
      </c>
      <c r="AA1208" s="1">
        <f ca="1">IFERROR(__xludf.DUMMYFUNCTION("""COMPUTED_VALUE"""),29.27)</f>
        <v>29.27</v>
      </c>
      <c r="AB1208" s="1">
        <f ca="1">IFERROR(__xludf.DUMMYFUNCTION("""COMPUTED_VALUE"""),95.27)</f>
        <v>95.27</v>
      </c>
      <c r="AC1208" s="1">
        <f ca="1">IFERROR(__xludf.DUMMYFUNCTION("""COMPUTED_VALUE"""),156.25)</f>
        <v>156.25</v>
      </c>
    </row>
    <row r="1209" spans="1:29" x14ac:dyDescent="0.25">
      <c r="A1209" s="2">
        <f ca="1">IFERROR(__xludf.DUMMYFUNCTION("""COMPUTED_VALUE"""),45583.6666666666)</f>
        <v>45583.666666666599</v>
      </c>
      <c r="B1209" s="1">
        <f ca="1">IFERROR(__xludf.DUMMYFUNCTION("""COMPUTED_VALUE"""),235)</f>
        <v>235</v>
      </c>
      <c r="C1209" s="1">
        <f ca="1">IFERROR(__xludf.DUMMYFUNCTION("""COMPUTED_VALUE"""),418.16)</f>
        <v>418.16</v>
      </c>
      <c r="D1209" s="1">
        <f ca="1">IFERROR(__xludf.DUMMYFUNCTION("""COMPUTED_VALUE"""),188.99)</f>
        <v>188.99</v>
      </c>
      <c r="E1209" s="1">
        <f ca="1">IFERROR(__xludf.DUMMYFUNCTION("""COMPUTED_VALUE"""),138)</f>
        <v>138</v>
      </c>
      <c r="F1209" s="1">
        <f ca="1">IFERROR(__xludf.DUMMYFUNCTION("""COMPUTED_VALUE"""),576.47)</f>
        <v>576.47</v>
      </c>
      <c r="G1209" s="1">
        <f ca="1">IFERROR(__xludf.DUMMYFUNCTION("""COMPUTED_VALUE"""),165.05)</f>
        <v>165.05</v>
      </c>
      <c r="H1209" s="1">
        <f ca="1">IFERROR(__xludf.DUMMYFUNCTION("""COMPUTED_VALUE"""),220.7)</f>
        <v>220.7</v>
      </c>
      <c r="I1209" s="1">
        <f ca="1">IFERROR(__xludf.DUMMYFUNCTION("""COMPUTED_VALUE"""),175.06)</f>
        <v>175.06</v>
      </c>
      <c r="J1209" s="1">
        <f ca="1">IFERROR(__xludf.DUMMYFUNCTION("""COMPUTED_VALUE"""),889.56)</f>
        <v>889.56</v>
      </c>
      <c r="K1209" s="1">
        <f ca="1">IFERROR(__xludf.DUMMYFUNCTION("""COMPUTED_VALUE"""),179.89)</f>
        <v>179.89</v>
      </c>
      <c r="L1209" s="1">
        <f ca="1">IFERROR(__xludf.DUMMYFUNCTION("""COMPUTED_VALUE"""),494.9)</f>
        <v>494.9</v>
      </c>
      <c r="M1209" s="1">
        <f ca="1">IFERROR(__xludf.DUMMYFUNCTION("""COMPUTED_VALUE"""),763.89)</f>
        <v>763.89</v>
      </c>
      <c r="N1209" s="1">
        <f ca="1">IFERROR(__xludf.DUMMYFUNCTION("""COMPUTED_VALUE"""),225.37)</f>
        <v>225.37</v>
      </c>
      <c r="O1209" s="1">
        <f ca="1">IFERROR(__xludf.DUMMYFUNCTION("""COMPUTED_VALUE"""),290.62)</f>
        <v>290.62</v>
      </c>
      <c r="P1209" s="1">
        <f ca="1">IFERROR(__xludf.DUMMYFUNCTION("""COMPUTED_VALUE"""),165.12)</f>
        <v>165.12</v>
      </c>
      <c r="Q1209" s="1">
        <f ca="1">IFERROR(__xludf.DUMMYFUNCTION("""COMPUTED_VALUE"""),569.61)</f>
        <v>569.61</v>
      </c>
      <c r="R1209" s="1">
        <f ca="1">IFERROR(__xludf.DUMMYFUNCTION("""COMPUTED_VALUE"""),120.01)</f>
        <v>120.01</v>
      </c>
      <c r="S1209" s="1">
        <f ca="1">IFERROR(__xludf.DUMMYFUNCTION("""COMPUTED_VALUE"""),84.38)</f>
        <v>84.38</v>
      </c>
      <c r="T1209" s="1">
        <f ca="1">IFERROR(__xludf.DUMMYFUNCTION("""COMPUTED_VALUE"""),81.31)</f>
        <v>81.31</v>
      </c>
      <c r="U1209" s="1">
        <f ca="1">IFERROR(__xludf.DUMMYFUNCTION("""COMPUTED_VALUE"""),82.92)</f>
        <v>82.92</v>
      </c>
      <c r="V1209" s="1">
        <f ca="1">IFERROR(__xludf.DUMMYFUNCTION("""COMPUTED_VALUE"""),393.86)</f>
        <v>393.86</v>
      </c>
      <c r="W1209" s="1">
        <f ca="1">IFERROR(__xludf.DUMMYFUNCTION("""COMPUTED_VALUE"""),611.81)</f>
        <v>611.80999999999995</v>
      </c>
      <c r="X1209" s="1">
        <f ca="1">IFERROR(__xludf.DUMMYFUNCTION("""COMPUTED_VALUE"""),723.26)</f>
        <v>723.26</v>
      </c>
      <c r="Y1209" s="1">
        <f ca="1">IFERROR(__xludf.DUMMYFUNCTION("""COMPUTED_VALUE"""),200.78)</f>
        <v>200.78</v>
      </c>
      <c r="Z1209" s="1">
        <f ca="1">IFERROR(__xludf.DUMMYFUNCTION("""COMPUTED_VALUE"""),528.5)</f>
        <v>528.5</v>
      </c>
      <c r="AA1209" s="1">
        <f ca="1">IFERROR(__xludf.DUMMYFUNCTION("""COMPUTED_VALUE"""),29.22)</f>
        <v>29.22</v>
      </c>
      <c r="AB1209" s="1">
        <f ca="1">IFERROR(__xludf.DUMMYFUNCTION("""COMPUTED_VALUE"""),96.84)</f>
        <v>96.84</v>
      </c>
      <c r="AC1209" s="1">
        <f ca="1">IFERROR(__xludf.DUMMYFUNCTION("""COMPUTED_VALUE"""),155.97)</f>
        <v>155.97</v>
      </c>
    </row>
    <row r="1210" spans="1:29" x14ac:dyDescent="0.25">
      <c r="A1210" s="2">
        <f ca="1">IFERROR(__xludf.DUMMYFUNCTION("""COMPUTED_VALUE"""),45586.6666666666)</f>
        <v>45586.666666666599</v>
      </c>
      <c r="B1210" s="1">
        <f ca="1">IFERROR(__xludf.DUMMYFUNCTION("""COMPUTED_VALUE"""),236.48)</f>
        <v>236.48</v>
      </c>
      <c r="C1210" s="1">
        <f ca="1">IFERROR(__xludf.DUMMYFUNCTION("""COMPUTED_VALUE"""),418.78)</f>
        <v>418.78</v>
      </c>
      <c r="D1210" s="1">
        <f ca="1">IFERROR(__xludf.DUMMYFUNCTION("""COMPUTED_VALUE"""),189.07)</f>
        <v>189.07</v>
      </c>
      <c r="E1210" s="1">
        <f ca="1">IFERROR(__xludf.DUMMYFUNCTION("""COMPUTED_VALUE"""),143.71)</f>
        <v>143.71</v>
      </c>
      <c r="F1210" s="1">
        <f ca="1">IFERROR(__xludf.DUMMYFUNCTION("""COMPUTED_VALUE"""),575.16)</f>
        <v>575.16</v>
      </c>
      <c r="G1210" s="1">
        <f ca="1">IFERROR(__xludf.DUMMYFUNCTION("""COMPUTED_VALUE"""),165.8)</f>
        <v>165.8</v>
      </c>
      <c r="H1210" s="1">
        <f ca="1">IFERROR(__xludf.DUMMYFUNCTION("""COMPUTED_VALUE"""),218.85)</f>
        <v>218.85</v>
      </c>
      <c r="I1210" s="1">
        <f ca="1">IFERROR(__xludf.DUMMYFUNCTION("""COMPUTED_VALUE"""),175.01)</f>
        <v>175.01</v>
      </c>
      <c r="J1210" s="1">
        <f ca="1">IFERROR(__xludf.DUMMYFUNCTION("""COMPUTED_VALUE"""),886.77)</f>
        <v>886.77</v>
      </c>
      <c r="K1210" s="1">
        <f ca="1">IFERROR(__xludf.DUMMYFUNCTION("""COMPUTED_VALUE"""),179.99)</f>
        <v>179.99</v>
      </c>
      <c r="L1210" s="1">
        <f ca="1">IFERROR(__xludf.DUMMYFUNCTION("""COMPUTED_VALUE"""),497.71)</f>
        <v>497.71</v>
      </c>
      <c r="M1210" s="1">
        <f ca="1">IFERROR(__xludf.DUMMYFUNCTION("""COMPUTED_VALUE"""),772.07)</f>
        <v>772.07</v>
      </c>
      <c r="N1210" s="1">
        <f ca="1">IFERROR(__xludf.DUMMYFUNCTION("""COMPUTED_VALUE"""),223)</f>
        <v>223</v>
      </c>
      <c r="O1210" s="1">
        <f ca="1">IFERROR(__xludf.DUMMYFUNCTION("""COMPUTED_VALUE"""),286.85)</f>
        <v>286.85000000000002</v>
      </c>
      <c r="P1210" s="1">
        <f ca="1">IFERROR(__xludf.DUMMYFUNCTION("""COMPUTED_VALUE"""),162.83)</f>
        <v>162.83000000000001</v>
      </c>
      <c r="Q1210" s="1">
        <f ca="1">IFERROR(__xludf.DUMMYFUNCTION("""COMPUTED_VALUE"""),571.47)</f>
        <v>571.47</v>
      </c>
      <c r="R1210" s="1">
        <f ca="1">IFERROR(__xludf.DUMMYFUNCTION("""COMPUTED_VALUE"""),120.08)</f>
        <v>120.08</v>
      </c>
      <c r="S1210" s="1">
        <f ca="1">IFERROR(__xludf.DUMMYFUNCTION("""COMPUTED_VALUE"""),84.03)</f>
        <v>84.03</v>
      </c>
      <c r="T1210" s="1">
        <f ca="1">IFERROR(__xludf.DUMMYFUNCTION("""COMPUTED_VALUE"""),80.81)</f>
        <v>80.81</v>
      </c>
      <c r="U1210" s="1">
        <f ca="1">IFERROR(__xludf.DUMMYFUNCTION("""COMPUTED_VALUE"""),81.48)</f>
        <v>81.48</v>
      </c>
      <c r="V1210" s="1">
        <f ca="1">IFERROR(__xludf.DUMMYFUNCTION("""COMPUTED_VALUE"""),390.48)</f>
        <v>390.48</v>
      </c>
      <c r="W1210" s="1">
        <f ca="1">IFERROR(__xludf.DUMMYFUNCTION("""COMPUTED_VALUE"""),614.61)</f>
        <v>614.61</v>
      </c>
      <c r="X1210" s="1">
        <f ca="1">IFERROR(__xludf.DUMMYFUNCTION("""COMPUTED_VALUE"""),714.1)</f>
        <v>714.1</v>
      </c>
      <c r="Y1210" s="1">
        <f ca="1">IFERROR(__xludf.DUMMYFUNCTION("""COMPUTED_VALUE"""),201.95)</f>
        <v>201.95</v>
      </c>
      <c r="Z1210" s="1">
        <f ca="1">IFERROR(__xludf.DUMMYFUNCTION("""COMPUTED_VALUE"""),517.8)</f>
        <v>517.79999999999995</v>
      </c>
      <c r="AA1210" s="1">
        <f ca="1">IFERROR(__xludf.DUMMYFUNCTION("""COMPUTED_VALUE"""),28.93)</f>
        <v>28.93</v>
      </c>
      <c r="AB1210" s="1">
        <f ca="1">IFERROR(__xludf.DUMMYFUNCTION("""COMPUTED_VALUE"""),96.45)</f>
        <v>96.45</v>
      </c>
      <c r="AC1210" s="1">
        <f ca="1">IFERROR(__xludf.DUMMYFUNCTION("""COMPUTED_VALUE"""),157.9)</f>
        <v>157.9</v>
      </c>
    </row>
    <row r="1211" spans="1:29" x14ac:dyDescent="0.25">
      <c r="A1211" s="2">
        <f ca="1">IFERROR(__xludf.DUMMYFUNCTION("""COMPUTED_VALUE"""),45587.6666666666)</f>
        <v>45587.666666666599</v>
      </c>
      <c r="B1211" s="1">
        <f ca="1">IFERROR(__xludf.DUMMYFUNCTION("""COMPUTED_VALUE"""),235.86)</f>
        <v>235.86</v>
      </c>
      <c r="C1211" s="1">
        <f ca="1">IFERROR(__xludf.DUMMYFUNCTION("""COMPUTED_VALUE"""),427.51)</f>
        <v>427.51</v>
      </c>
      <c r="D1211" s="1">
        <f ca="1">IFERROR(__xludf.DUMMYFUNCTION("""COMPUTED_VALUE"""),189.7)</f>
        <v>189.7</v>
      </c>
      <c r="E1211" s="1">
        <f ca="1">IFERROR(__xludf.DUMMYFUNCTION("""COMPUTED_VALUE"""),143.59)</f>
        <v>143.59</v>
      </c>
      <c r="F1211" s="1">
        <f ca="1">IFERROR(__xludf.DUMMYFUNCTION("""COMPUTED_VALUE"""),582.01)</f>
        <v>582.01</v>
      </c>
      <c r="G1211" s="1">
        <f ca="1">IFERROR(__xludf.DUMMYFUNCTION("""COMPUTED_VALUE"""),166.82)</f>
        <v>166.82</v>
      </c>
      <c r="H1211" s="1">
        <f ca="1">IFERROR(__xludf.DUMMYFUNCTION("""COMPUTED_VALUE"""),217.97)</f>
        <v>217.97</v>
      </c>
      <c r="I1211" s="1">
        <f ca="1">IFERROR(__xludf.DUMMYFUNCTION("""COMPUTED_VALUE"""),174.37)</f>
        <v>174.37</v>
      </c>
      <c r="J1211" s="1">
        <f ca="1">IFERROR(__xludf.DUMMYFUNCTION("""COMPUTED_VALUE"""),893.49)</f>
        <v>893.49</v>
      </c>
      <c r="K1211" s="1">
        <f ca="1">IFERROR(__xludf.DUMMYFUNCTION("""COMPUTED_VALUE"""),179.38)</f>
        <v>179.38</v>
      </c>
      <c r="L1211" s="1">
        <f ca="1">IFERROR(__xludf.DUMMYFUNCTION("""COMPUTED_VALUE"""),493.11)</f>
        <v>493.11</v>
      </c>
      <c r="M1211" s="1">
        <f ca="1">IFERROR(__xludf.DUMMYFUNCTION("""COMPUTED_VALUE"""),764.24)</f>
        <v>764.24</v>
      </c>
      <c r="N1211" s="1">
        <f ca="1">IFERROR(__xludf.DUMMYFUNCTION("""COMPUTED_VALUE"""),224.12)</f>
        <v>224.12</v>
      </c>
      <c r="O1211" s="1">
        <f ca="1">IFERROR(__xludf.DUMMYFUNCTION("""COMPUTED_VALUE"""),284.79)</f>
        <v>284.79000000000002</v>
      </c>
      <c r="P1211" s="1">
        <f ca="1">IFERROR(__xludf.DUMMYFUNCTION("""COMPUTED_VALUE"""),163.45)</f>
        <v>163.44999999999999</v>
      </c>
      <c r="Q1211" s="1">
        <f ca="1">IFERROR(__xludf.DUMMYFUNCTION("""COMPUTED_VALUE"""),569.86)</f>
        <v>569.86</v>
      </c>
      <c r="R1211" s="1">
        <f ca="1">IFERROR(__xludf.DUMMYFUNCTION("""COMPUTED_VALUE"""),120.7)</f>
        <v>120.7</v>
      </c>
      <c r="S1211" s="1">
        <f ca="1">IFERROR(__xludf.DUMMYFUNCTION("""COMPUTED_VALUE"""),83.7)</f>
        <v>83.7</v>
      </c>
      <c r="T1211" s="1">
        <f ca="1">IFERROR(__xludf.DUMMYFUNCTION("""COMPUTED_VALUE"""),82.02)</f>
        <v>82.02</v>
      </c>
      <c r="U1211" s="1">
        <f ca="1">IFERROR(__xludf.DUMMYFUNCTION("""COMPUTED_VALUE"""),81.42)</f>
        <v>81.42</v>
      </c>
      <c r="V1211" s="1">
        <f ca="1">IFERROR(__xludf.DUMMYFUNCTION("""COMPUTED_VALUE"""),388.46)</f>
        <v>388.46</v>
      </c>
      <c r="W1211" s="1">
        <f ca="1">IFERROR(__xludf.DUMMYFUNCTION("""COMPUTED_VALUE"""),576.98)</f>
        <v>576.98</v>
      </c>
      <c r="X1211" s="1">
        <f ca="1">IFERROR(__xludf.DUMMYFUNCTION("""COMPUTED_VALUE"""),720.91)</f>
        <v>720.91</v>
      </c>
      <c r="Y1211" s="1">
        <f ca="1">IFERROR(__xludf.DUMMYFUNCTION("""COMPUTED_VALUE"""),198.48)</f>
        <v>198.48</v>
      </c>
      <c r="Z1211" s="1">
        <f ca="1">IFERROR(__xludf.DUMMYFUNCTION("""COMPUTED_VALUE"""),518.3)</f>
        <v>518.29999999999995</v>
      </c>
      <c r="AA1211" s="1">
        <f ca="1">IFERROR(__xludf.DUMMYFUNCTION("""COMPUTED_VALUE"""),28.84)</f>
        <v>28.84</v>
      </c>
      <c r="AB1211" s="1">
        <f ca="1">IFERROR(__xludf.DUMMYFUNCTION("""COMPUTED_VALUE"""),96.82)</f>
        <v>96.82</v>
      </c>
      <c r="AC1211" s="1">
        <f ca="1">IFERROR(__xludf.DUMMYFUNCTION("""COMPUTED_VALUE"""),154.09)</f>
        <v>154.09</v>
      </c>
    </row>
    <row r="1212" spans="1:29" x14ac:dyDescent="0.25">
      <c r="A1212" s="2">
        <f ca="1">IFERROR(__xludf.DUMMYFUNCTION("""COMPUTED_VALUE"""),45588.6666666666)</f>
        <v>45588.666666666599</v>
      </c>
      <c r="B1212" s="1">
        <f ca="1">IFERROR(__xludf.DUMMYFUNCTION("""COMPUTED_VALUE"""),230.76)</f>
        <v>230.76</v>
      </c>
      <c r="C1212" s="1">
        <f ca="1">IFERROR(__xludf.DUMMYFUNCTION("""COMPUTED_VALUE"""),424.6)</f>
        <v>424.6</v>
      </c>
      <c r="D1212" s="1">
        <f ca="1">IFERROR(__xludf.DUMMYFUNCTION("""COMPUTED_VALUE"""),184.71)</f>
        <v>184.71</v>
      </c>
      <c r="E1212" s="1">
        <f ca="1">IFERROR(__xludf.DUMMYFUNCTION("""COMPUTED_VALUE"""),139.56)</f>
        <v>139.56</v>
      </c>
      <c r="F1212" s="1">
        <f ca="1">IFERROR(__xludf.DUMMYFUNCTION("""COMPUTED_VALUE"""),563.69)</f>
        <v>563.69000000000005</v>
      </c>
      <c r="G1212" s="1">
        <f ca="1">IFERROR(__xludf.DUMMYFUNCTION("""COMPUTED_VALUE"""),164.48)</f>
        <v>164.48</v>
      </c>
      <c r="H1212" s="1">
        <f ca="1">IFERROR(__xludf.DUMMYFUNCTION("""COMPUTED_VALUE"""),213.65)</f>
        <v>213.65</v>
      </c>
      <c r="I1212" s="1">
        <f ca="1">IFERROR(__xludf.DUMMYFUNCTION("""COMPUTED_VALUE"""),172.95)</f>
        <v>172.95</v>
      </c>
      <c r="J1212" s="1">
        <f ca="1">IFERROR(__xludf.DUMMYFUNCTION("""COMPUTED_VALUE"""),899.17)</f>
        <v>899.17</v>
      </c>
      <c r="K1212" s="1">
        <f ca="1">IFERROR(__xludf.DUMMYFUNCTION("""COMPUTED_VALUE"""),173.51)</f>
        <v>173.51</v>
      </c>
      <c r="L1212" s="1">
        <f ca="1">IFERROR(__xludf.DUMMYFUNCTION("""COMPUTED_VALUE"""),485.03)</f>
        <v>485.03</v>
      </c>
      <c r="M1212" s="1">
        <f ca="1">IFERROR(__xludf.DUMMYFUNCTION("""COMPUTED_VALUE"""),749.29)</f>
        <v>749.29</v>
      </c>
      <c r="N1212" s="1">
        <f ca="1">IFERROR(__xludf.DUMMYFUNCTION("""COMPUTED_VALUE"""),223.41)</f>
        <v>223.41</v>
      </c>
      <c r="O1212" s="1">
        <f ca="1">IFERROR(__xludf.DUMMYFUNCTION("""COMPUTED_VALUE"""),283.76)</f>
        <v>283.76</v>
      </c>
      <c r="P1212" s="1">
        <f ca="1">IFERROR(__xludf.DUMMYFUNCTION("""COMPUTED_VALUE"""),165.86)</f>
        <v>165.86</v>
      </c>
      <c r="Q1212" s="1">
        <f ca="1">IFERROR(__xludf.DUMMYFUNCTION("""COMPUTED_VALUE"""),564.64)</f>
        <v>564.64</v>
      </c>
      <c r="R1212" s="1">
        <f ca="1">IFERROR(__xludf.DUMMYFUNCTION("""COMPUTED_VALUE"""),120.27)</f>
        <v>120.27</v>
      </c>
      <c r="S1212" s="1">
        <f ca="1">IFERROR(__xludf.DUMMYFUNCTION("""COMPUTED_VALUE"""),84.96)</f>
        <v>84.96</v>
      </c>
      <c r="T1212" s="1">
        <f ca="1">IFERROR(__xludf.DUMMYFUNCTION("""COMPUTED_VALUE"""),83.27)</f>
        <v>83.27</v>
      </c>
      <c r="U1212" s="1">
        <f ca="1">IFERROR(__xludf.DUMMYFUNCTION("""COMPUTED_VALUE"""),80.05)</f>
        <v>80.05</v>
      </c>
      <c r="V1212" s="1">
        <f ca="1">IFERROR(__xludf.DUMMYFUNCTION("""COMPUTED_VALUE"""),385.73)</f>
        <v>385.73</v>
      </c>
      <c r="W1212" s="1">
        <f ca="1">IFERROR(__xludf.DUMMYFUNCTION("""COMPUTED_VALUE"""),571.1)</f>
        <v>571.1</v>
      </c>
      <c r="X1212" s="1">
        <f ca="1">IFERROR(__xludf.DUMMYFUNCTION("""COMPUTED_VALUE"""),708.62)</f>
        <v>708.62</v>
      </c>
      <c r="Y1212" s="1">
        <f ca="1">IFERROR(__xludf.DUMMYFUNCTION("""COMPUTED_VALUE"""),200.86)</f>
        <v>200.86</v>
      </c>
      <c r="Z1212" s="1">
        <f ca="1">IFERROR(__xludf.DUMMYFUNCTION("""COMPUTED_VALUE"""),517.2)</f>
        <v>517.20000000000005</v>
      </c>
      <c r="AA1212" s="1">
        <f ca="1">IFERROR(__xludf.DUMMYFUNCTION("""COMPUTED_VALUE"""),28.86)</f>
        <v>28.86</v>
      </c>
      <c r="AB1212" s="1">
        <f ca="1">IFERROR(__xludf.DUMMYFUNCTION("""COMPUTED_VALUE"""),97.65)</f>
        <v>97.65</v>
      </c>
      <c r="AC1212" s="1">
        <f ca="1">IFERROR(__xludf.DUMMYFUNCTION("""COMPUTED_VALUE"""),152.91)</f>
        <v>152.91</v>
      </c>
    </row>
    <row r="1213" spans="1:29" x14ac:dyDescent="0.25">
      <c r="A1213" s="2">
        <f ca="1">IFERROR(__xludf.DUMMYFUNCTION("""COMPUTED_VALUE"""),45589.6666666666)</f>
        <v>45589.666666666599</v>
      </c>
      <c r="B1213" s="1">
        <f ca="1">IFERROR(__xludf.DUMMYFUNCTION("""COMPUTED_VALUE"""),230.57)</f>
        <v>230.57</v>
      </c>
      <c r="C1213" s="1">
        <f ca="1">IFERROR(__xludf.DUMMYFUNCTION("""COMPUTED_VALUE"""),424.73)</f>
        <v>424.73</v>
      </c>
      <c r="D1213" s="1">
        <f ca="1">IFERROR(__xludf.DUMMYFUNCTION("""COMPUTED_VALUE"""),186.38)</f>
        <v>186.38</v>
      </c>
      <c r="E1213" s="1">
        <f ca="1">IFERROR(__xludf.DUMMYFUNCTION("""COMPUTED_VALUE"""),140.41)</f>
        <v>140.41</v>
      </c>
      <c r="F1213" s="1">
        <f ca="1">IFERROR(__xludf.DUMMYFUNCTION("""COMPUTED_VALUE"""),567.78)</f>
        <v>567.78</v>
      </c>
      <c r="G1213" s="1">
        <f ca="1">IFERROR(__xludf.DUMMYFUNCTION("""COMPUTED_VALUE"""),164.53)</f>
        <v>164.53</v>
      </c>
      <c r="H1213" s="1">
        <f ca="1">IFERROR(__xludf.DUMMYFUNCTION("""COMPUTED_VALUE"""),260.48)</f>
        <v>260.48</v>
      </c>
      <c r="I1213" s="1">
        <f ca="1">IFERROR(__xludf.DUMMYFUNCTION("""COMPUTED_VALUE"""),172.16)</f>
        <v>172.16</v>
      </c>
      <c r="J1213" s="1">
        <f ca="1">IFERROR(__xludf.DUMMYFUNCTION("""COMPUTED_VALUE"""),893.42)</f>
        <v>893.42</v>
      </c>
      <c r="K1213" s="1">
        <f ca="1">IFERROR(__xludf.DUMMYFUNCTION("""COMPUTED_VALUE"""),171.35)</f>
        <v>171.35</v>
      </c>
      <c r="L1213" s="1">
        <f ca="1">IFERROR(__xludf.DUMMYFUNCTION("""COMPUTED_VALUE"""),482.87)</f>
        <v>482.87</v>
      </c>
      <c r="M1213" s="1">
        <f ca="1">IFERROR(__xludf.DUMMYFUNCTION("""COMPUTED_VALUE"""),754.55)</f>
        <v>754.55</v>
      </c>
      <c r="N1213" s="1">
        <f ca="1">IFERROR(__xludf.DUMMYFUNCTION("""COMPUTED_VALUE"""),224.98)</f>
        <v>224.98</v>
      </c>
      <c r="O1213" s="1">
        <f ca="1">IFERROR(__xludf.DUMMYFUNCTION("""COMPUTED_VALUE"""),283.22)</f>
        <v>283.22000000000003</v>
      </c>
      <c r="P1213" s="1">
        <f ca="1">IFERROR(__xludf.DUMMYFUNCTION("""COMPUTED_VALUE"""),163.67)</f>
        <v>163.66999999999999</v>
      </c>
      <c r="Q1213" s="1">
        <f ca="1">IFERROR(__xludf.DUMMYFUNCTION("""COMPUTED_VALUE"""),560.81)</f>
        <v>560.80999999999995</v>
      </c>
      <c r="R1213" s="1">
        <f ca="1">IFERROR(__xludf.DUMMYFUNCTION("""COMPUTED_VALUE"""),119.59)</f>
        <v>119.59</v>
      </c>
      <c r="S1213" s="1">
        <f ca="1">IFERROR(__xludf.DUMMYFUNCTION("""COMPUTED_VALUE"""),82.81)</f>
        <v>82.81</v>
      </c>
      <c r="T1213" s="1">
        <f ca="1">IFERROR(__xludf.DUMMYFUNCTION("""COMPUTED_VALUE"""),83.04)</f>
        <v>83.04</v>
      </c>
      <c r="U1213" s="1">
        <f ca="1">IFERROR(__xludf.DUMMYFUNCTION("""COMPUTED_VALUE"""),79.04)</f>
        <v>79.040000000000006</v>
      </c>
      <c r="V1213" s="1">
        <f ca="1">IFERROR(__xludf.DUMMYFUNCTION("""COMPUTED_VALUE"""),387.06)</f>
        <v>387.06</v>
      </c>
      <c r="W1213" s="1">
        <f ca="1">IFERROR(__xludf.DUMMYFUNCTION("""COMPUTED_VALUE"""),564.21)</f>
        <v>564.21</v>
      </c>
      <c r="X1213" s="1">
        <f ca="1">IFERROR(__xludf.DUMMYFUNCTION("""COMPUTED_VALUE"""),710.81)</f>
        <v>710.81</v>
      </c>
      <c r="Y1213" s="1">
        <f ca="1">IFERROR(__xludf.DUMMYFUNCTION("""COMPUTED_VALUE"""),197.93)</f>
        <v>197.93</v>
      </c>
      <c r="Z1213" s="1">
        <f ca="1">IFERROR(__xludf.DUMMYFUNCTION("""COMPUTED_VALUE"""),524.5)</f>
        <v>524.5</v>
      </c>
      <c r="AA1213" s="1">
        <f ca="1">IFERROR(__xludf.DUMMYFUNCTION("""COMPUTED_VALUE"""),28.64)</f>
        <v>28.64</v>
      </c>
      <c r="AB1213" s="1">
        <f ca="1">IFERROR(__xludf.DUMMYFUNCTION("""COMPUTED_VALUE"""),97.15)</f>
        <v>97.15</v>
      </c>
      <c r="AC1213" s="1">
        <f ca="1">IFERROR(__xludf.DUMMYFUNCTION("""COMPUTED_VALUE"""),153.44)</f>
        <v>153.44</v>
      </c>
    </row>
    <row r="1214" spans="1:29" x14ac:dyDescent="0.25">
      <c r="A1214" s="2">
        <f ca="1">IFERROR(__xludf.DUMMYFUNCTION("""COMPUTED_VALUE"""),45590.6666666666)</f>
        <v>45590.666666666599</v>
      </c>
      <c r="B1214" s="1">
        <f ca="1">IFERROR(__xludf.DUMMYFUNCTION("""COMPUTED_VALUE"""),231.41)</f>
        <v>231.41</v>
      </c>
      <c r="C1214" s="1">
        <f ca="1">IFERROR(__xludf.DUMMYFUNCTION("""COMPUTED_VALUE"""),428.15)</f>
        <v>428.15</v>
      </c>
      <c r="D1214" s="1">
        <f ca="1">IFERROR(__xludf.DUMMYFUNCTION("""COMPUTED_VALUE"""),187.83)</f>
        <v>187.83</v>
      </c>
      <c r="E1214" s="1">
        <f ca="1">IFERROR(__xludf.DUMMYFUNCTION("""COMPUTED_VALUE"""),141.54)</f>
        <v>141.54</v>
      </c>
      <c r="F1214" s="1">
        <f ca="1">IFERROR(__xludf.DUMMYFUNCTION("""COMPUTED_VALUE"""),573.25)</f>
        <v>573.25</v>
      </c>
      <c r="G1214" s="1">
        <f ca="1">IFERROR(__xludf.DUMMYFUNCTION("""COMPUTED_VALUE"""),166.99)</f>
        <v>166.99</v>
      </c>
      <c r="H1214" s="1">
        <f ca="1">IFERROR(__xludf.DUMMYFUNCTION("""COMPUTED_VALUE"""),269.19)</f>
        <v>269.19</v>
      </c>
      <c r="I1214" s="1">
        <f ca="1">IFERROR(__xludf.DUMMYFUNCTION("""COMPUTED_VALUE"""),171.79)</f>
        <v>171.79</v>
      </c>
      <c r="J1214" s="1">
        <f ca="1">IFERROR(__xludf.DUMMYFUNCTION("""COMPUTED_VALUE"""),891.22)</f>
        <v>891.22</v>
      </c>
      <c r="K1214" s="1">
        <f ca="1">IFERROR(__xludf.DUMMYFUNCTION("""COMPUTED_VALUE"""),173)</f>
        <v>173</v>
      </c>
      <c r="L1214" s="1">
        <f ca="1">IFERROR(__xludf.DUMMYFUNCTION("""COMPUTED_VALUE"""),483.72)</f>
        <v>483.72</v>
      </c>
      <c r="M1214" s="1">
        <f ca="1">IFERROR(__xludf.DUMMYFUNCTION("""COMPUTED_VALUE"""),754.68)</f>
        <v>754.68</v>
      </c>
      <c r="N1214" s="1">
        <f ca="1">IFERROR(__xludf.DUMMYFUNCTION("""COMPUTED_VALUE"""),222.31)</f>
        <v>222.31</v>
      </c>
      <c r="O1214" s="1">
        <f ca="1">IFERROR(__xludf.DUMMYFUNCTION("""COMPUTED_VALUE"""),281.73)</f>
        <v>281.73</v>
      </c>
      <c r="P1214" s="1">
        <f ca="1">IFERROR(__xludf.DUMMYFUNCTION("""COMPUTED_VALUE"""),160.88)</f>
        <v>160.88</v>
      </c>
      <c r="Q1214" s="1">
        <f ca="1">IFERROR(__xludf.DUMMYFUNCTION("""COMPUTED_VALUE"""),564.56)</f>
        <v>564.55999999999995</v>
      </c>
      <c r="R1214" s="1">
        <f ca="1">IFERROR(__xludf.DUMMYFUNCTION("""COMPUTED_VALUE"""),119.49)</f>
        <v>119.49</v>
      </c>
      <c r="S1214" s="1">
        <f ca="1">IFERROR(__xludf.DUMMYFUNCTION("""COMPUTED_VALUE"""),81.43)</f>
        <v>81.430000000000007</v>
      </c>
      <c r="T1214" s="1">
        <f ca="1">IFERROR(__xludf.DUMMYFUNCTION("""COMPUTED_VALUE"""),82.51)</f>
        <v>82.51</v>
      </c>
      <c r="U1214" s="1">
        <f ca="1">IFERROR(__xludf.DUMMYFUNCTION("""COMPUTED_VALUE"""),78.85)</f>
        <v>78.849999999999994</v>
      </c>
      <c r="V1214" s="1">
        <f ca="1">IFERROR(__xludf.DUMMYFUNCTION("""COMPUTED_VALUE"""),385.97)</f>
        <v>385.97</v>
      </c>
      <c r="W1214" s="1">
        <f ca="1">IFERROR(__xludf.DUMMYFUNCTION("""COMPUTED_VALUE"""),562.29)</f>
        <v>562.29</v>
      </c>
      <c r="X1214" s="1">
        <f ca="1">IFERROR(__xludf.DUMMYFUNCTION("""COMPUTED_VALUE"""),711.7)</f>
        <v>711.7</v>
      </c>
      <c r="Y1214" s="1">
        <f ca="1">IFERROR(__xludf.DUMMYFUNCTION("""COMPUTED_VALUE"""),203.44)</f>
        <v>203.44</v>
      </c>
      <c r="Z1214" s="1">
        <f ca="1">IFERROR(__xludf.DUMMYFUNCTION("""COMPUTED_VALUE"""),512.6)</f>
        <v>512.6</v>
      </c>
      <c r="AA1214" s="1">
        <f ca="1">IFERROR(__xludf.DUMMYFUNCTION("""COMPUTED_VALUE"""),28.45)</f>
        <v>28.45</v>
      </c>
      <c r="AB1214" s="1">
        <f ca="1">IFERROR(__xludf.DUMMYFUNCTION("""COMPUTED_VALUE"""),97.31)</f>
        <v>97.31</v>
      </c>
      <c r="AC1214" s="1">
        <f ca="1">IFERROR(__xludf.DUMMYFUNCTION("""COMPUTED_VALUE"""),156.23)</f>
        <v>156.22999999999999</v>
      </c>
    </row>
    <row r="1215" spans="1:29" x14ac:dyDescent="0.25">
      <c r="A1215" s="2">
        <f ca="1">IFERROR(__xludf.DUMMYFUNCTION("""COMPUTED_VALUE"""),45593.6666666666)</f>
        <v>45593.666666666599</v>
      </c>
      <c r="B1215" s="1">
        <f ca="1">IFERROR(__xludf.DUMMYFUNCTION("""COMPUTED_VALUE"""),233.4)</f>
        <v>233.4</v>
      </c>
      <c r="C1215" s="1">
        <f ca="1">IFERROR(__xludf.DUMMYFUNCTION("""COMPUTED_VALUE"""),426.59)</f>
        <v>426.59</v>
      </c>
      <c r="D1215" s="1">
        <f ca="1">IFERROR(__xludf.DUMMYFUNCTION("""COMPUTED_VALUE"""),188.39)</f>
        <v>188.39</v>
      </c>
      <c r="E1215" s="1">
        <f ca="1">IFERROR(__xludf.DUMMYFUNCTION("""COMPUTED_VALUE"""),140.52)</f>
        <v>140.52000000000001</v>
      </c>
      <c r="F1215" s="1">
        <f ca="1">IFERROR(__xludf.DUMMYFUNCTION("""COMPUTED_VALUE"""),578.16)</f>
        <v>578.16</v>
      </c>
      <c r="G1215" s="1">
        <f ca="1">IFERROR(__xludf.DUMMYFUNCTION("""COMPUTED_VALUE"""),168.34)</f>
        <v>168.34</v>
      </c>
      <c r="H1215" s="1">
        <f ca="1">IFERROR(__xludf.DUMMYFUNCTION("""COMPUTED_VALUE"""),262.51)</f>
        <v>262.51</v>
      </c>
      <c r="I1215" s="1">
        <f ca="1">IFERROR(__xludf.DUMMYFUNCTION("""COMPUTED_VALUE"""),169.84)</f>
        <v>169.84</v>
      </c>
      <c r="J1215" s="1">
        <f ca="1">IFERROR(__xludf.DUMMYFUNCTION("""COMPUTED_VALUE"""),890.96)</f>
        <v>890.96</v>
      </c>
      <c r="K1215" s="1">
        <f ca="1">IFERROR(__xludf.DUMMYFUNCTION("""COMPUTED_VALUE"""),172.02)</f>
        <v>172.02</v>
      </c>
      <c r="L1215" s="1">
        <f ca="1">IFERROR(__xludf.DUMMYFUNCTION("""COMPUTED_VALUE"""),481.04)</f>
        <v>481.04</v>
      </c>
      <c r="M1215" s="1">
        <f ca="1">IFERROR(__xludf.DUMMYFUNCTION("""COMPUTED_VALUE"""),749.12)</f>
        <v>749.12</v>
      </c>
      <c r="N1215" s="1">
        <f ca="1">IFERROR(__xludf.DUMMYFUNCTION("""COMPUTED_VALUE"""),225.5)</f>
        <v>225.5</v>
      </c>
      <c r="O1215" s="1">
        <f ca="1">IFERROR(__xludf.DUMMYFUNCTION("""COMPUTED_VALUE"""),284.19)</f>
        <v>284.19</v>
      </c>
      <c r="P1215" s="1">
        <f ca="1">IFERROR(__xludf.DUMMYFUNCTION("""COMPUTED_VALUE"""),161.6)</f>
        <v>161.6</v>
      </c>
      <c r="Q1215" s="1">
        <f ca="1">IFERROR(__xludf.DUMMYFUNCTION("""COMPUTED_VALUE"""),565.24)</f>
        <v>565.24</v>
      </c>
      <c r="R1215" s="1">
        <f ca="1">IFERROR(__xludf.DUMMYFUNCTION("""COMPUTED_VALUE"""),118.9)</f>
        <v>118.9</v>
      </c>
      <c r="S1215" s="1">
        <f ca="1">IFERROR(__xludf.DUMMYFUNCTION("""COMPUTED_VALUE"""),82.87)</f>
        <v>82.87</v>
      </c>
      <c r="T1215" s="1">
        <f ca="1">IFERROR(__xludf.DUMMYFUNCTION("""COMPUTED_VALUE"""),82.75)</f>
        <v>82.75</v>
      </c>
      <c r="U1215" s="1">
        <f ca="1">IFERROR(__xludf.DUMMYFUNCTION("""COMPUTED_VALUE"""),78.91)</f>
        <v>78.91</v>
      </c>
      <c r="V1215" s="1">
        <f ca="1">IFERROR(__xludf.DUMMYFUNCTION("""COMPUTED_VALUE"""),390.61)</f>
        <v>390.61</v>
      </c>
      <c r="W1215" s="1">
        <f ca="1">IFERROR(__xludf.DUMMYFUNCTION("""COMPUTED_VALUE"""),555.17)</f>
        <v>555.16999999999996</v>
      </c>
      <c r="X1215" s="1">
        <f ca="1">IFERROR(__xludf.DUMMYFUNCTION("""COMPUTED_VALUE"""),708.65)</f>
        <v>708.65</v>
      </c>
      <c r="Y1215" s="1">
        <f ca="1">IFERROR(__xludf.DUMMYFUNCTION("""COMPUTED_VALUE"""),194.68)</f>
        <v>194.68</v>
      </c>
      <c r="Z1215" s="1">
        <f ca="1">IFERROR(__xludf.DUMMYFUNCTION("""COMPUTED_VALUE"""),523.58)</f>
        <v>523.58000000000004</v>
      </c>
      <c r="AA1215" s="1">
        <f ca="1">IFERROR(__xludf.DUMMYFUNCTION("""COMPUTED_VALUE"""),28.86)</f>
        <v>28.86</v>
      </c>
      <c r="AB1215" s="1">
        <f ca="1">IFERROR(__xludf.DUMMYFUNCTION("""COMPUTED_VALUE"""),98.02)</f>
        <v>98.02</v>
      </c>
      <c r="AC1215" s="1">
        <f ca="1">IFERROR(__xludf.DUMMYFUNCTION("""COMPUTED_VALUE"""),159.92)</f>
        <v>159.91999999999999</v>
      </c>
    </row>
    <row r="1216" spans="1:29" x14ac:dyDescent="0.25">
      <c r="A1216" s="2">
        <f ca="1">IFERROR(__xludf.DUMMYFUNCTION("""COMPUTED_VALUE"""),45594.6666666666)</f>
        <v>45594.666666666599</v>
      </c>
      <c r="B1216" s="1">
        <f ca="1">IFERROR(__xludf.DUMMYFUNCTION("""COMPUTED_VALUE"""),233.67)</f>
        <v>233.67</v>
      </c>
      <c r="C1216" s="1">
        <f ca="1">IFERROR(__xludf.DUMMYFUNCTION("""COMPUTED_VALUE"""),431.95)</f>
        <v>431.95</v>
      </c>
      <c r="D1216" s="1">
        <f ca="1">IFERROR(__xludf.DUMMYFUNCTION("""COMPUTED_VALUE"""),190.83)</f>
        <v>190.83</v>
      </c>
      <c r="E1216" s="1">
        <f ca="1">IFERROR(__xludf.DUMMYFUNCTION("""COMPUTED_VALUE"""),141.25)</f>
        <v>141.25</v>
      </c>
      <c r="F1216" s="1">
        <f ca="1">IFERROR(__xludf.DUMMYFUNCTION("""COMPUTED_VALUE"""),591.8)</f>
        <v>591.79999999999995</v>
      </c>
      <c r="G1216" s="1">
        <f ca="1">IFERROR(__xludf.DUMMYFUNCTION("""COMPUTED_VALUE"""),171.14)</f>
        <v>171.14</v>
      </c>
      <c r="H1216" s="1">
        <f ca="1">IFERROR(__xludf.DUMMYFUNCTION("""COMPUTED_VALUE"""),257.55)</f>
        <v>257.55</v>
      </c>
      <c r="I1216" s="1">
        <f ca="1">IFERROR(__xludf.DUMMYFUNCTION("""COMPUTED_VALUE"""),166.21)</f>
        <v>166.21</v>
      </c>
      <c r="J1216" s="1">
        <f ca="1">IFERROR(__xludf.DUMMYFUNCTION("""COMPUTED_VALUE"""),886.99)</f>
        <v>886.99</v>
      </c>
      <c r="K1216" s="1">
        <f ca="1">IFERROR(__xludf.DUMMYFUNCTION("""COMPUTED_VALUE"""),179.24)</f>
        <v>179.24</v>
      </c>
      <c r="L1216" s="1">
        <f ca="1">IFERROR(__xludf.DUMMYFUNCTION("""COMPUTED_VALUE"""),485.39)</f>
        <v>485.39</v>
      </c>
      <c r="M1216" s="1">
        <f ca="1">IFERROR(__xludf.DUMMYFUNCTION("""COMPUTED_VALUE"""),759.44)</f>
        <v>759.44</v>
      </c>
      <c r="N1216" s="1">
        <f ca="1">IFERROR(__xludf.DUMMYFUNCTION("""COMPUTED_VALUE"""),224.41)</f>
        <v>224.41</v>
      </c>
      <c r="O1216" s="1">
        <f ca="1">IFERROR(__xludf.DUMMYFUNCTION("""COMPUTED_VALUE"""),281.88)</f>
        <v>281.88</v>
      </c>
      <c r="P1216" s="1">
        <f ca="1">IFERROR(__xludf.DUMMYFUNCTION("""COMPUTED_VALUE"""),160.09)</f>
        <v>160.09</v>
      </c>
      <c r="Q1216" s="1">
        <f ca="1">IFERROR(__xludf.DUMMYFUNCTION("""COMPUTED_VALUE"""),562.13)</f>
        <v>562.13</v>
      </c>
      <c r="R1216" s="1">
        <f ca="1">IFERROR(__xludf.DUMMYFUNCTION("""COMPUTED_VALUE"""),117.28)</f>
        <v>117.28</v>
      </c>
      <c r="S1216" s="1">
        <f ca="1">IFERROR(__xludf.DUMMYFUNCTION("""COMPUTED_VALUE"""),79.56)</f>
        <v>79.56</v>
      </c>
      <c r="T1216" s="1">
        <f ca="1">IFERROR(__xludf.DUMMYFUNCTION("""COMPUTED_VALUE"""),81.39)</f>
        <v>81.39</v>
      </c>
      <c r="U1216" s="1">
        <f ca="1">IFERROR(__xludf.DUMMYFUNCTION("""COMPUTED_VALUE"""),76.45)</f>
        <v>76.45</v>
      </c>
      <c r="V1216" s="1">
        <f ca="1">IFERROR(__xludf.DUMMYFUNCTION("""COMPUTED_VALUE"""),387.51)</f>
        <v>387.51</v>
      </c>
      <c r="W1216" s="1">
        <f ca="1">IFERROR(__xludf.DUMMYFUNCTION("""COMPUTED_VALUE"""),546.8)</f>
        <v>546.79999999999995</v>
      </c>
      <c r="X1216" s="1">
        <f ca="1">IFERROR(__xludf.DUMMYFUNCTION("""COMPUTED_VALUE"""),715.14)</f>
        <v>715.14</v>
      </c>
      <c r="Y1216" s="1">
        <f ca="1">IFERROR(__xludf.DUMMYFUNCTION("""COMPUTED_VALUE"""),196.94)</f>
        <v>196.94</v>
      </c>
      <c r="Z1216" s="1">
        <f ca="1">IFERROR(__xludf.DUMMYFUNCTION("""COMPUTED_VALUE"""),524.4)</f>
        <v>524.4</v>
      </c>
      <c r="AA1216" s="1">
        <f ca="1">IFERROR(__xludf.DUMMYFUNCTION("""COMPUTED_VALUE"""),28.46)</f>
        <v>28.46</v>
      </c>
      <c r="AB1216" s="1">
        <f ca="1">IFERROR(__xludf.DUMMYFUNCTION("""COMPUTED_VALUE"""),97.32)</f>
        <v>97.32</v>
      </c>
      <c r="AC1216" s="1">
        <f ca="1">IFERROR(__xludf.DUMMYFUNCTION("""COMPUTED_VALUE"""),148.6)</f>
        <v>148.6</v>
      </c>
    </row>
    <row r="1217" spans="1:29" x14ac:dyDescent="0.25">
      <c r="A1217" s="2">
        <f ca="1">IFERROR(__xludf.DUMMYFUNCTION("""COMPUTED_VALUE"""),45595.6666666666)</f>
        <v>45595.666666666599</v>
      </c>
      <c r="B1217" s="1">
        <f ca="1">IFERROR(__xludf.DUMMYFUNCTION("""COMPUTED_VALUE"""),230.1)</f>
        <v>230.1</v>
      </c>
      <c r="C1217" s="1">
        <f ca="1">IFERROR(__xludf.DUMMYFUNCTION("""COMPUTED_VALUE"""),432.53)</f>
        <v>432.53</v>
      </c>
      <c r="D1217" s="1">
        <f ca="1">IFERROR(__xludf.DUMMYFUNCTION("""COMPUTED_VALUE"""),192.73)</f>
        <v>192.73</v>
      </c>
      <c r="E1217" s="1">
        <f ca="1">IFERROR(__xludf.DUMMYFUNCTION("""COMPUTED_VALUE"""),139.34)</f>
        <v>139.34</v>
      </c>
      <c r="F1217" s="1">
        <f ca="1">IFERROR(__xludf.DUMMYFUNCTION("""COMPUTED_VALUE"""),567.58)</f>
        <v>567.58000000000004</v>
      </c>
      <c r="G1217" s="1">
        <f ca="1">IFERROR(__xludf.DUMMYFUNCTION("""COMPUTED_VALUE"""),176.14)</f>
        <v>176.14</v>
      </c>
      <c r="H1217" s="1">
        <f ca="1">IFERROR(__xludf.DUMMYFUNCTION("""COMPUTED_VALUE"""),249.85)</f>
        <v>249.85</v>
      </c>
      <c r="I1217" s="1">
        <f ca="1">IFERROR(__xludf.DUMMYFUNCTION("""COMPUTED_VALUE"""),166.08)</f>
        <v>166.08</v>
      </c>
      <c r="J1217" s="1">
        <f ca="1">IFERROR(__xludf.DUMMYFUNCTION("""COMPUTED_VALUE"""),879.09)</f>
        <v>879.09</v>
      </c>
      <c r="K1217" s="1">
        <f ca="1">IFERROR(__xludf.DUMMYFUNCTION("""COMPUTED_VALUE"""),176.64)</f>
        <v>176.64</v>
      </c>
      <c r="L1217" s="1">
        <f ca="1">IFERROR(__xludf.DUMMYFUNCTION("""COMPUTED_VALUE"""),486.68)</f>
        <v>486.68</v>
      </c>
      <c r="M1217" s="1">
        <f ca="1">IFERROR(__xludf.DUMMYFUNCTION("""COMPUTED_VALUE"""),753.74)</f>
        <v>753.74</v>
      </c>
      <c r="N1217" s="1">
        <f ca="1">IFERROR(__xludf.DUMMYFUNCTION("""COMPUTED_VALUE"""),221.92)</f>
        <v>221.92</v>
      </c>
      <c r="O1217" s="1">
        <f ca="1">IFERROR(__xludf.DUMMYFUNCTION("""COMPUTED_VALUE"""),290.16)</f>
        <v>290.16000000000003</v>
      </c>
      <c r="P1217" s="1">
        <f ca="1">IFERROR(__xludf.DUMMYFUNCTION("""COMPUTED_VALUE"""),160.61)</f>
        <v>160.61000000000001</v>
      </c>
      <c r="Q1217" s="1">
        <f ca="1">IFERROR(__xludf.DUMMYFUNCTION("""COMPUTED_VALUE"""),562.96)</f>
        <v>562.96</v>
      </c>
      <c r="R1217" s="1">
        <f ca="1">IFERROR(__xludf.DUMMYFUNCTION("""COMPUTED_VALUE"""),116.69)</f>
        <v>116.69</v>
      </c>
      <c r="S1217" s="1">
        <f ca="1">IFERROR(__xludf.DUMMYFUNCTION("""COMPUTED_VALUE"""),79.09)</f>
        <v>79.09</v>
      </c>
      <c r="T1217" s="1">
        <f ca="1">IFERROR(__xludf.DUMMYFUNCTION("""COMPUTED_VALUE"""),81.95)</f>
        <v>81.95</v>
      </c>
      <c r="U1217" s="1">
        <f ca="1">IFERROR(__xludf.DUMMYFUNCTION("""COMPUTED_VALUE"""),77.13)</f>
        <v>77.13</v>
      </c>
      <c r="V1217" s="1">
        <f ca="1">IFERROR(__xludf.DUMMYFUNCTION("""COMPUTED_VALUE"""),379.24)</f>
        <v>379.24</v>
      </c>
      <c r="W1217" s="1">
        <f ca="1">IFERROR(__xludf.DUMMYFUNCTION("""COMPUTED_VALUE"""),545.94)</f>
        <v>545.94000000000005</v>
      </c>
      <c r="X1217" s="1">
        <f ca="1">IFERROR(__xludf.DUMMYFUNCTION("""COMPUTED_VALUE"""),683.83)</f>
        <v>683.83</v>
      </c>
      <c r="Y1217" s="1">
        <f ca="1">IFERROR(__xludf.DUMMYFUNCTION("""COMPUTED_VALUE"""),194.48)</f>
        <v>194.48</v>
      </c>
      <c r="Z1217" s="1">
        <f ca="1">IFERROR(__xludf.DUMMYFUNCTION("""COMPUTED_VALUE"""),517.79)</f>
        <v>517.79</v>
      </c>
      <c r="AA1217" s="1">
        <f ca="1">IFERROR(__xludf.DUMMYFUNCTION("""COMPUTED_VALUE"""),28.52)</f>
        <v>28.52</v>
      </c>
      <c r="AB1217" s="1">
        <f ca="1">IFERROR(__xludf.DUMMYFUNCTION("""COMPUTED_VALUE"""),97.7)</f>
        <v>97.7</v>
      </c>
      <c r="AC1217" s="1">
        <f ca="1">IFERROR(__xludf.DUMMYFUNCTION("""COMPUTED_VALUE"""),144.07)</f>
        <v>144.07</v>
      </c>
    </row>
    <row r="1218" spans="1:29" x14ac:dyDescent="0.25">
      <c r="A1218" s="2">
        <f ca="1">IFERROR(__xludf.DUMMYFUNCTION("""COMPUTED_VALUE"""),45596.6666666666)</f>
        <v>45596.666666666599</v>
      </c>
      <c r="B1218" s="1">
        <f ca="1">IFERROR(__xludf.DUMMYFUNCTION("""COMPUTED_VALUE"""),225.91)</f>
        <v>225.91</v>
      </c>
      <c r="C1218" s="1">
        <f ca="1">IFERROR(__xludf.DUMMYFUNCTION("""COMPUTED_VALUE"""),406.35)</f>
        <v>406.35</v>
      </c>
      <c r="D1218" s="1">
        <f ca="1">IFERROR(__xludf.DUMMYFUNCTION("""COMPUTED_VALUE"""),186.4)</f>
        <v>186.4</v>
      </c>
      <c r="E1218" s="1">
        <f ca="1">IFERROR(__xludf.DUMMYFUNCTION("""COMPUTED_VALUE"""),132.76)</f>
        <v>132.76</v>
      </c>
      <c r="F1218" s="1">
        <f ca="1">IFERROR(__xludf.DUMMYFUNCTION("""COMPUTED_VALUE"""),567.16)</f>
        <v>567.16</v>
      </c>
      <c r="G1218" s="1">
        <f ca="1">IFERROR(__xludf.DUMMYFUNCTION("""COMPUTED_VALUE"""),172.69)</f>
        <v>172.69</v>
      </c>
      <c r="H1218" s="1">
        <f ca="1">IFERROR(__xludf.DUMMYFUNCTION("""COMPUTED_VALUE"""),248.98)</f>
        <v>248.98</v>
      </c>
      <c r="I1218" s="1">
        <f ca="1">IFERROR(__xludf.DUMMYFUNCTION("""COMPUTED_VALUE"""),165.59)</f>
        <v>165.59</v>
      </c>
      <c r="J1218" s="1">
        <f ca="1">IFERROR(__xludf.DUMMYFUNCTION("""COMPUTED_VALUE"""),874.18)</f>
        <v>874.18</v>
      </c>
      <c r="K1218" s="1">
        <f ca="1">IFERROR(__xludf.DUMMYFUNCTION("""COMPUTED_VALUE"""),169.77)</f>
        <v>169.77</v>
      </c>
      <c r="L1218" s="1">
        <f ca="1">IFERROR(__xludf.DUMMYFUNCTION("""COMPUTED_VALUE"""),478.08)</f>
        <v>478.08</v>
      </c>
      <c r="M1218" s="1">
        <f ca="1">IFERROR(__xludf.DUMMYFUNCTION("""COMPUTED_VALUE"""),756.03)</f>
        <v>756.03</v>
      </c>
      <c r="N1218" s="1">
        <f ca="1">IFERROR(__xludf.DUMMYFUNCTION("""COMPUTED_VALUE"""),222.94)</f>
        <v>222.94</v>
      </c>
      <c r="O1218" s="1">
        <f ca="1">IFERROR(__xludf.DUMMYFUNCTION("""COMPUTED_VALUE"""),289.85)</f>
        <v>289.85000000000002</v>
      </c>
      <c r="P1218" s="1">
        <f ca="1">IFERROR(__xludf.DUMMYFUNCTION("""COMPUTED_VALUE"""),159.86)</f>
        <v>159.86000000000001</v>
      </c>
      <c r="Q1218" s="1">
        <f ca="1">IFERROR(__xludf.DUMMYFUNCTION("""COMPUTED_VALUE"""),564.5)</f>
        <v>564.5</v>
      </c>
      <c r="R1218" s="1">
        <f ca="1">IFERROR(__xludf.DUMMYFUNCTION("""COMPUTED_VALUE"""),116.78)</f>
        <v>116.78</v>
      </c>
      <c r="S1218" s="1">
        <f ca="1">IFERROR(__xludf.DUMMYFUNCTION("""COMPUTED_VALUE"""),79.25)</f>
        <v>79.25</v>
      </c>
      <c r="T1218" s="1">
        <f ca="1">IFERROR(__xludf.DUMMYFUNCTION("""COMPUTED_VALUE"""),82.19)</f>
        <v>82.19</v>
      </c>
      <c r="U1218" s="1">
        <f ca="1">IFERROR(__xludf.DUMMYFUNCTION("""COMPUTED_VALUE"""),78.06)</f>
        <v>78.06</v>
      </c>
      <c r="V1218" s="1">
        <f ca="1">IFERROR(__xludf.DUMMYFUNCTION("""COMPUTED_VALUE"""),376.2)</f>
        <v>376.2</v>
      </c>
      <c r="W1218" s="1">
        <f ca="1">IFERROR(__xludf.DUMMYFUNCTION("""COMPUTED_VALUE"""),546.05)</f>
        <v>546.04999999999995</v>
      </c>
      <c r="X1218" s="1">
        <f ca="1">IFERROR(__xludf.DUMMYFUNCTION("""COMPUTED_VALUE"""),672.55)</f>
        <v>672.55</v>
      </c>
      <c r="Y1218" s="1">
        <f ca="1">IFERROR(__xludf.DUMMYFUNCTION("""COMPUTED_VALUE"""),190.54)</f>
        <v>190.54</v>
      </c>
      <c r="Z1218" s="1">
        <f ca="1">IFERROR(__xludf.DUMMYFUNCTION("""COMPUTED_VALUE"""),519.35)</f>
        <v>519.35</v>
      </c>
      <c r="AA1218" s="1">
        <f ca="1">IFERROR(__xludf.DUMMYFUNCTION("""COMPUTED_VALUE"""),28.3)</f>
        <v>28.3</v>
      </c>
      <c r="AB1218" s="1">
        <f ca="1">IFERROR(__xludf.DUMMYFUNCTION("""COMPUTED_VALUE"""),98.87)</f>
        <v>98.87</v>
      </c>
      <c r="AC1218" s="1">
        <f ca="1">IFERROR(__xludf.DUMMYFUNCTION("""COMPUTED_VALUE"""),141.86)</f>
        <v>141.86000000000001</v>
      </c>
    </row>
    <row r="1219" spans="1:29" x14ac:dyDescent="0.25">
      <c r="A1219" s="2">
        <f ca="1">IFERROR(__xludf.DUMMYFUNCTION("""COMPUTED_VALUE"""),45597.6666666666)</f>
        <v>45597.666666666599</v>
      </c>
      <c r="B1219" s="1">
        <f ca="1">IFERROR(__xludf.DUMMYFUNCTION("""COMPUTED_VALUE"""),222.91)</f>
        <v>222.91</v>
      </c>
      <c r="C1219" s="1">
        <f ca="1">IFERROR(__xludf.DUMMYFUNCTION("""COMPUTED_VALUE"""),410.37)</f>
        <v>410.37</v>
      </c>
      <c r="D1219" s="1">
        <f ca="1">IFERROR(__xludf.DUMMYFUNCTION("""COMPUTED_VALUE"""),197.93)</f>
        <v>197.93</v>
      </c>
      <c r="E1219" s="1">
        <f ca="1">IFERROR(__xludf.DUMMYFUNCTION("""COMPUTED_VALUE"""),135.4)</f>
        <v>135.4</v>
      </c>
      <c r="F1219" s="1">
        <f ca="1">IFERROR(__xludf.DUMMYFUNCTION("""COMPUTED_VALUE"""),560.68)</f>
        <v>560.67999999999995</v>
      </c>
      <c r="G1219" s="1">
        <f ca="1">IFERROR(__xludf.DUMMYFUNCTION("""COMPUTED_VALUE"""),172.65)</f>
        <v>172.65</v>
      </c>
      <c r="H1219" s="1">
        <f ca="1">IFERROR(__xludf.DUMMYFUNCTION("""COMPUTED_VALUE"""),242.84)</f>
        <v>242.84</v>
      </c>
      <c r="I1219" s="1">
        <f ca="1">IFERROR(__xludf.DUMMYFUNCTION("""COMPUTED_VALUE"""),166.34)</f>
        <v>166.34</v>
      </c>
      <c r="J1219" s="1">
        <f ca="1">IFERROR(__xludf.DUMMYFUNCTION("""COMPUTED_VALUE"""),877.31)</f>
        <v>877.31</v>
      </c>
      <c r="K1219" s="1">
        <f ca="1">IFERROR(__xludf.DUMMYFUNCTION("""COMPUTED_VALUE"""),168.92)</f>
        <v>168.92</v>
      </c>
      <c r="L1219" s="1">
        <f ca="1">IFERROR(__xludf.DUMMYFUNCTION("""COMPUTED_VALUE"""),482.8)</f>
        <v>482.8</v>
      </c>
      <c r="M1219" s="1">
        <f ca="1">IFERROR(__xludf.DUMMYFUNCTION("""COMPUTED_VALUE"""),756.1)</f>
        <v>756.1</v>
      </c>
      <c r="N1219" s="1">
        <f ca="1">IFERROR(__xludf.DUMMYFUNCTION("""COMPUTED_VALUE"""),219.78)</f>
        <v>219.78</v>
      </c>
      <c r="O1219" s="1">
        <f ca="1">IFERROR(__xludf.DUMMYFUNCTION("""COMPUTED_VALUE"""),290.74)</f>
        <v>290.74</v>
      </c>
      <c r="P1219" s="1">
        <f ca="1">IFERROR(__xludf.DUMMYFUNCTION("""COMPUTED_VALUE"""),160.13)</f>
        <v>160.13</v>
      </c>
      <c r="Q1219" s="1">
        <f ca="1">IFERROR(__xludf.DUMMYFUNCTION("""COMPUTED_VALUE"""),567.56)</f>
        <v>567.55999999999995</v>
      </c>
      <c r="R1219" s="1">
        <f ca="1">IFERROR(__xludf.DUMMYFUNCTION("""COMPUTED_VALUE"""),114.95)</f>
        <v>114.95</v>
      </c>
      <c r="S1219" s="1">
        <f ca="1">IFERROR(__xludf.DUMMYFUNCTION("""COMPUTED_VALUE"""),77.35)</f>
        <v>77.349999999999994</v>
      </c>
      <c r="T1219" s="1">
        <f ca="1">IFERROR(__xludf.DUMMYFUNCTION("""COMPUTED_VALUE"""),82.45)</f>
        <v>82.45</v>
      </c>
      <c r="U1219" s="1">
        <f ca="1">IFERROR(__xludf.DUMMYFUNCTION("""COMPUTED_VALUE"""),77.19)</f>
        <v>77.19</v>
      </c>
      <c r="V1219" s="1">
        <f ca="1">IFERROR(__xludf.DUMMYFUNCTION("""COMPUTED_VALUE"""),379.63)</f>
        <v>379.63</v>
      </c>
      <c r="W1219" s="1">
        <f ca="1">IFERROR(__xludf.DUMMYFUNCTION("""COMPUTED_VALUE"""),545.35)</f>
        <v>545.35</v>
      </c>
      <c r="X1219" s="1">
        <f ca="1">IFERROR(__xludf.DUMMYFUNCTION("""COMPUTED_VALUE"""),674.73)</f>
        <v>674.73</v>
      </c>
      <c r="Y1219" s="1">
        <f ca="1">IFERROR(__xludf.DUMMYFUNCTION("""COMPUTED_VALUE"""),192.95)</f>
        <v>192.95</v>
      </c>
      <c r="Z1219" s="1">
        <f ca="1">IFERROR(__xludf.DUMMYFUNCTION("""COMPUTED_VALUE"""),511.47)</f>
        <v>511.47</v>
      </c>
      <c r="AA1219" s="1">
        <f ca="1">IFERROR(__xludf.DUMMYFUNCTION("""COMPUTED_VALUE"""),28.09)</f>
        <v>28.09</v>
      </c>
      <c r="AB1219" s="1">
        <f ca="1">IFERROR(__xludf.DUMMYFUNCTION("""COMPUTED_VALUE"""),97.03)</f>
        <v>97.03</v>
      </c>
      <c r="AC1219" s="1">
        <f ca="1">IFERROR(__xludf.DUMMYFUNCTION("""COMPUTED_VALUE"""),140.71)</f>
        <v>140.71</v>
      </c>
    </row>
    <row r="1220" spans="1:29" x14ac:dyDescent="0.25">
      <c r="A1220" s="2">
        <f ca="1">IFERROR(__xludf.DUMMYFUNCTION("""COMPUTED_VALUE"""),45600.6666666666)</f>
        <v>45600.666666666599</v>
      </c>
      <c r="B1220" s="1">
        <f ca="1">IFERROR(__xludf.DUMMYFUNCTION("""COMPUTED_VALUE"""),222.01)</f>
        <v>222.01</v>
      </c>
      <c r="C1220" s="1">
        <f ca="1">IFERROR(__xludf.DUMMYFUNCTION("""COMPUTED_VALUE"""),408.46)</f>
        <v>408.46</v>
      </c>
      <c r="D1220" s="1">
        <f ca="1">IFERROR(__xludf.DUMMYFUNCTION("""COMPUTED_VALUE"""),195.78)</f>
        <v>195.78</v>
      </c>
      <c r="E1220" s="1">
        <f ca="1">IFERROR(__xludf.DUMMYFUNCTION("""COMPUTED_VALUE"""),136.05)</f>
        <v>136.05000000000001</v>
      </c>
      <c r="F1220" s="1">
        <f ca="1">IFERROR(__xludf.DUMMYFUNCTION("""COMPUTED_VALUE"""),572.43)</f>
        <v>572.42999999999995</v>
      </c>
      <c r="G1220" s="1">
        <f ca="1">IFERROR(__xludf.DUMMYFUNCTION("""COMPUTED_VALUE"""),170.68)</f>
        <v>170.68</v>
      </c>
      <c r="H1220" s="1">
        <f ca="1">IFERROR(__xludf.DUMMYFUNCTION("""COMPUTED_VALUE"""),251.44)</f>
        <v>251.44</v>
      </c>
      <c r="I1220" s="1">
        <f ca="1">IFERROR(__xludf.DUMMYFUNCTION("""COMPUTED_VALUE"""),167.85)</f>
        <v>167.85</v>
      </c>
      <c r="J1220" s="1">
        <f ca="1">IFERROR(__xludf.DUMMYFUNCTION("""COMPUTED_VALUE"""),886.07)</f>
        <v>886.07</v>
      </c>
      <c r="K1220" s="1">
        <f ca="1">IFERROR(__xludf.DUMMYFUNCTION("""COMPUTED_VALUE"""),168.55)</f>
        <v>168.55</v>
      </c>
      <c r="L1220" s="1">
        <f ca="1">IFERROR(__xludf.DUMMYFUNCTION("""COMPUTED_VALUE"""),481.35)</f>
        <v>481.35</v>
      </c>
      <c r="M1220" s="1">
        <f ca="1">IFERROR(__xludf.DUMMYFUNCTION("""COMPUTED_VALUE"""),755.51)</f>
        <v>755.51</v>
      </c>
      <c r="N1220" s="1">
        <f ca="1">IFERROR(__xludf.DUMMYFUNCTION("""COMPUTED_VALUE"""),221.49)</f>
        <v>221.49</v>
      </c>
      <c r="O1220" s="1">
        <f ca="1">IFERROR(__xludf.DUMMYFUNCTION("""COMPUTED_VALUE"""),291.85)</f>
        <v>291.85000000000002</v>
      </c>
      <c r="P1220" s="1">
        <f ca="1">IFERROR(__xludf.DUMMYFUNCTION("""COMPUTED_VALUE"""),158.24)</f>
        <v>158.24</v>
      </c>
      <c r="Q1220" s="1">
        <f ca="1">IFERROR(__xludf.DUMMYFUNCTION("""COMPUTED_VALUE"""),557.77)</f>
        <v>557.77</v>
      </c>
      <c r="R1220" s="1">
        <f ca="1">IFERROR(__xludf.DUMMYFUNCTION("""COMPUTED_VALUE"""),118.61)</f>
        <v>118.61</v>
      </c>
      <c r="S1220" s="1">
        <f ca="1">IFERROR(__xludf.DUMMYFUNCTION("""COMPUTED_VALUE"""),78.37)</f>
        <v>78.37</v>
      </c>
      <c r="T1220" s="1">
        <f ca="1">IFERROR(__xludf.DUMMYFUNCTION("""COMPUTED_VALUE"""),83.68)</f>
        <v>83.68</v>
      </c>
      <c r="U1220" s="1">
        <f ca="1">IFERROR(__xludf.DUMMYFUNCTION("""COMPUTED_VALUE"""),77.98)</f>
        <v>77.98</v>
      </c>
      <c r="V1220" s="1">
        <f ca="1">IFERROR(__xludf.DUMMYFUNCTION("""COMPUTED_VALUE"""),376.52)</f>
        <v>376.52</v>
      </c>
      <c r="W1220" s="1">
        <f ca="1">IFERROR(__xludf.DUMMYFUNCTION("""COMPUTED_VALUE"""),543.1)</f>
        <v>543.1</v>
      </c>
      <c r="X1220" s="1">
        <f ca="1">IFERROR(__xludf.DUMMYFUNCTION("""COMPUTED_VALUE"""),671.16)</f>
        <v>671.16</v>
      </c>
      <c r="Y1220" s="1">
        <f ca="1">IFERROR(__xludf.DUMMYFUNCTION("""COMPUTED_VALUE"""),191.56)</f>
        <v>191.56</v>
      </c>
      <c r="Z1220" s="1">
        <f ca="1">IFERROR(__xludf.DUMMYFUNCTION("""COMPUTED_VALUE"""),526.96)</f>
        <v>526.96</v>
      </c>
      <c r="AA1220" s="1">
        <f ca="1">IFERROR(__xludf.DUMMYFUNCTION("""COMPUTED_VALUE"""),27.76)</f>
        <v>27.76</v>
      </c>
      <c r="AB1220" s="1">
        <f ca="1">IFERROR(__xludf.DUMMYFUNCTION("""COMPUTED_VALUE"""),97.09)</f>
        <v>97.09</v>
      </c>
      <c r="AC1220" s="1">
        <f ca="1">IFERROR(__xludf.DUMMYFUNCTION("""COMPUTED_VALUE"""),141.66)</f>
        <v>141.66</v>
      </c>
    </row>
    <row r="1221" spans="1:29" x14ac:dyDescent="0.25">
      <c r="A1221" s="2">
        <f ca="1">IFERROR(__xludf.DUMMYFUNCTION("""COMPUTED_VALUE"""),45601.6666666666)</f>
        <v>45601.666666666599</v>
      </c>
      <c r="B1221" s="1">
        <f ca="1">IFERROR(__xludf.DUMMYFUNCTION("""COMPUTED_VALUE"""),223.45)</f>
        <v>223.45</v>
      </c>
      <c r="C1221" s="1">
        <f ca="1">IFERROR(__xludf.DUMMYFUNCTION("""COMPUTED_VALUE"""),411.46)</f>
        <v>411.46</v>
      </c>
      <c r="D1221" s="1">
        <f ca="1">IFERROR(__xludf.DUMMYFUNCTION("""COMPUTED_VALUE"""),199.5)</f>
        <v>199.5</v>
      </c>
      <c r="E1221" s="1">
        <f ca="1">IFERROR(__xludf.DUMMYFUNCTION("""COMPUTED_VALUE"""),139.91)</f>
        <v>139.91</v>
      </c>
      <c r="F1221" s="1">
        <f ca="1">IFERROR(__xludf.DUMMYFUNCTION("""COMPUTED_VALUE"""),572.05)</f>
        <v>572.04999999999995</v>
      </c>
      <c r="G1221" s="1">
        <f ca="1">IFERROR(__xludf.DUMMYFUNCTION("""COMPUTED_VALUE"""),171.41)</f>
        <v>171.41</v>
      </c>
      <c r="H1221" s="1">
        <f ca="1">IFERROR(__xludf.DUMMYFUNCTION("""COMPUTED_VALUE"""),288.53)</f>
        <v>288.52999999999997</v>
      </c>
      <c r="I1221" s="1">
        <f ca="1">IFERROR(__xludf.DUMMYFUNCTION("""COMPUTED_VALUE"""),164.71)</f>
        <v>164.71</v>
      </c>
      <c r="J1221" s="1">
        <f ca="1">IFERROR(__xludf.DUMMYFUNCTION("""COMPUTED_VALUE"""),890.17)</f>
        <v>890.17</v>
      </c>
      <c r="K1221" s="1">
        <f ca="1">IFERROR(__xludf.DUMMYFUNCTION("""COMPUTED_VALUE"""),173.9)</f>
        <v>173.9</v>
      </c>
      <c r="L1221" s="1">
        <f ca="1">IFERROR(__xludf.DUMMYFUNCTION("""COMPUTED_VALUE"""),486.42)</f>
        <v>486.42</v>
      </c>
      <c r="M1221" s="1">
        <f ca="1">IFERROR(__xludf.DUMMYFUNCTION("""COMPUTED_VALUE"""),763.91)</f>
        <v>763.91</v>
      </c>
      <c r="N1221" s="1">
        <f ca="1">IFERROR(__xludf.DUMMYFUNCTION("""COMPUTED_VALUE"""),247.06)</f>
        <v>247.06</v>
      </c>
      <c r="O1221" s="1">
        <f ca="1">IFERROR(__xludf.DUMMYFUNCTION("""COMPUTED_VALUE"""),293.29)</f>
        <v>293.29000000000002</v>
      </c>
      <c r="P1221" s="1">
        <f ca="1">IFERROR(__xludf.DUMMYFUNCTION("""COMPUTED_VALUE"""),158.35)</f>
        <v>158.35</v>
      </c>
      <c r="Q1221" s="1">
        <f ca="1">IFERROR(__xludf.DUMMYFUNCTION("""COMPUTED_VALUE"""),567.03)</f>
        <v>567.03</v>
      </c>
      <c r="R1221" s="1">
        <f ca="1">IFERROR(__xludf.DUMMYFUNCTION("""COMPUTED_VALUE"""),118.96)</f>
        <v>118.96</v>
      </c>
      <c r="S1221" s="1">
        <f ca="1">IFERROR(__xludf.DUMMYFUNCTION("""COMPUTED_VALUE"""),78.65)</f>
        <v>78.650000000000006</v>
      </c>
      <c r="T1221" s="1">
        <f ca="1">IFERROR(__xludf.DUMMYFUNCTION("""COMPUTED_VALUE"""),83.44)</f>
        <v>83.44</v>
      </c>
      <c r="U1221" s="1">
        <f ca="1">IFERROR(__xludf.DUMMYFUNCTION("""COMPUTED_VALUE"""),75.32)</f>
        <v>75.319999999999993</v>
      </c>
      <c r="V1221" s="1">
        <f ca="1">IFERROR(__xludf.DUMMYFUNCTION("""COMPUTED_VALUE"""),383.37)</f>
        <v>383.37</v>
      </c>
      <c r="W1221" s="1">
        <f ca="1">IFERROR(__xludf.DUMMYFUNCTION("""COMPUTED_VALUE"""),546.75)</f>
        <v>546.75</v>
      </c>
      <c r="X1221" s="1">
        <f ca="1">IFERROR(__xludf.DUMMYFUNCTION("""COMPUTED_VALUE"""),676.46)</f>
        <v>676.46</v>
      </c>
      <c r="Y1221" s="1">
        <f ca="1">IFERROR(__xludf.DUMMYFUNCTION("""COMPUTED_VALUE"""),195.76)</f>
        <v>195.76</v>
      </c>
      <c r="Z1221" s="1">
        <f ca="1">IFERROR(__xludf.DUMMYFUNCTION("""COMPUTED_VALUE"""),595.98)</f>
        <v>595.98</v>
      </c>
      <c r="AA1221" s="1">
        <f ca="1">IFERROR(__xludf.DUMMYFUNCTION("""COMPUTED_VALUE"""),27.99)</f>
        <v>27.99</v>
      </c>
      <c r="AB1221" s="1">
        <f ca="1">IFERROR(__xludf.DUMMYFUNCTION("""COMPUTED_VALUE"""),96.08)</f>
        <v>96.08</v>
      </c>
      <c r="AC1221" s="1">
        <f ca="1">IFERROR(__xludf.DUMMYFUNCTION("""COMPUTED_VALUE"""),145.1)</f>
        <v>145.1</v>
      </c>
    </row>
    <row r="1222" spans="1:29" x14ac:dyDescent="0.25">
      <c r="A1222" s="2">
        <f ca="1">IFERROR(__xludf.DUMMYFUNCTION("""COMPUTED_VALUE"""),45602.6666666666)</f>
        <v>45602.666666666599</v>
      </c>
      <c r="B1222" s="1">
        <f ca="1">IFERROR(__xludf.DUMMYFUNCTION("""COMPUTED_VALUE"""),222.72)</f>
        <v>222.72</v>
      </c>
      <c r="C1222" s="1">
        <f ca="1">IFERROR(__xludf.DUMMYFUNCTION("""COMPUTED_VALUE"""),420.18)</f>
        <v>420.18</v>
      </c>
      <c r="D1222" s="1">
        <f ca="1">IFERROR(__xludf.DUMMYFUNCTION("""COMPUTED_VALUE"""),207.09)</f>
        <v>207.09</v>
      </c>
      <c r="E1222" s="1">
        <f ca="1">IFERROR(__xludf.DUMMYFUNCTION("""COMPUTED_VALUE"""),145.61)</f>
        <v>145.61000000000001</v>
      </c>
      <c r="F1222" s="1">
        <f ca="1">IFERROR(__xludf.DUMMYFUNCTION("""COMPUTED_VALUE"""),591.7)</f>
        <v>591.70000000000005</v>
      </c>
      <c r="G1222" s="1">
        <f ca="1">IFERROR(__xludf.DUMMYFUNCTION("""COMPUTED_VALUE"""),178.33)</f>
        <v>178.33</v>
      </c>
      <c r="H1222" s="1">
        <f ca="1">IFERROR(__xludf.DUMMYFUNCTION("""COMPUTED_VALUE"""),296.91)</f>
        <v>296.91000000000003</v>
      </c>
      <c r="I1222" s="1">
        <f ca="1">IFERROR(__xludf.DUMMYFUNCTION("""COMPUTED_VALUE"""),164)</f>
        <v>164</v>
      </c>
      <c r="J1222" s="1">
        <f ca="1">IFERROR(__xludf.DUMMYFUNCTION("""COMPUTED_VALUE"""),899.25)</f>
        <v>899.25</v>
      </c>
      <c r="K1222" s="1">
        <f ca="1">IFERROR(__xludf.DUMMYFUNCTION("""COMPUTED_VALUE"""),179.55)</f>
        <v>179.55</v>
      </c>
      <c r="L1222" s="1">
        <f ca="1">IFERROR(__xludf.DUMMYFUNCTION("""COMPUTED_VALUE"""),504.83)</f>
        <v>504.83</v>
      </c>
      <c r="M1222" s="1">
        <f ca="1">IFERROR(__xludf.DUMMYFUNCTION("""COMPUTED_VALUE"""),780.21)</f>
        <v>780.21</v>
      </c>
      <c r="N1222" s="1">
        <f ca="1">IFERROR(__xludf.DUMMYFUNCTION("""COMPUTED_VALUE"""),236.38)</f>
        <v>236.38</v>
      </c>
      <c r="O1222" s="1">
        <f ca="1">IFERROR(__xludf.DUMMYFUNCTION("""COMPUTED_VALUE"""),307.4)</f>
        <v>307.39999999999998</v>
      </c>
      <c r="P1222" s="1">
        <f ca="1">IFERROR(__xludf.DUMMYFUNCTION("""COMPUTED_VALUE"""),157.88)</f>
        <v>157.88</v>
      </c>
      <c r="Q1222" s="1">
        <f ca="1">IFERROR(__xludf.DUMMYFUNCTION("""COMPUTED_VALUE"""),596.69)</f>
        <v>596.69000000000005</v>
      </c>
      <c r="R1222" s="1">
        <f ca="1">IFERROR(__xludf.DUMMYFUNCTION("""COMPUTED_VALUE"""),121)</f>
        <v>121</v>
      </c>
      <c r="S1222" s="1">
        <f ca="1">IFERROR(__xludf.DUMMYFUNCTION("""COMPUTED_VALUE"""),74.52)</f>
        <v>74.52</v>
      </c>
      <c r="T1222" s="1">
        <f ca="1">IFERROR(__xludf.DUMMYFUNCTION("""COMPUTED_VALUE"""),83.85)</f>
        <v>83.85</v>
      </c>
      <c r="U1222" s="1">
        <f ca="1">IFERROR(__xludf.DUMMYFUNCTION("""COMPUTED_VALUE"""),75.92)</f>
        <v>75.92</v>
      </c>
      <c r="V1222" s="1">
        <f ca="1">IFERROR(__xludf.DUMMYFUNCTION("""COMPUTED_VALUE"""),416.88)</f>
        <v>416.88</v>
      </c>
      <c r="W1222" s="1">
        <f ca="1">IFERROR(__xludf.DUMMYFUNCTION("""COMPUTED_VALUE"""),551.82)</f>
        <v>551.82000000000005</v>
      </c>
      <c r="X1222" s="1">
        <f ca="1">IFERROR(__xludf.DUMMYFUNCTION("""COMPUTED_VALUE"""),661.43)</f>
        <v>661.43</v>
      </c>
      <c r="Y1222" s="1">
        <f ca="1">IFERROR(__xludf.DUMMYFUNCTION("""COMPUTED_VALUE"""),193.22)</f>
        <v>193.22</v>
      </c>
      <c r="Z1222" s="1">
        <f ca="1">IFERROR(__xludf.DUMMYFUNCTION("""COMPUTED_VALUE"""),582.17)</f>
        <v>582.16999999999996</v>
      </c>
      <c r="AA1222" s="1">
        <f ca="1">IFERROR(__xludf.DUMMYFUNCTION("""COMPUTED_VALUE"""),27.36)</f>
        <v>27.36</v>
      </c>
      <c r="AB1222" s="1">
        <f ca="1">IFERROR(__xludf.DUMMYFUNCTION("""COMPUTED_VALUE"""),96.12)</f>
        <v>96.12</v>
      </c>
      <c r="AC1222" s="1">
        <f ca="1">IFERROR(__xludf.DUMMYFUNCTION("""COMPUTED_VALUE"""),149.82)</f>
        <v>149.82</v>
      </c>
    </row>
    <row r="1223" spans="1:29" x14ac:dyDescent="0.25">
      <c r="A1223" s="2">
        <f ca="1">IFERROR(__xludf.DUMMYFUNCTION("""COMPUTED_VALUE"""),45603.6666666666)</f>
        <v>45603.666666666599</v>
      </c>
      <c r="B1223" s="1">
        <f ca="1">IFERROR(__xludf.DUMMYFUNCTION("""COMPUTED_VALUE"""),227.48)</f>
        <v>227.48</v>
      </c>
      <c r="C1223" s="1">
        <f ca="1">IFERROR(__xludf.DUMMYFUNCTION("""COMPUTED_VALUE"""),425.43)</f>
        <v>425.43</v>
      </c>
      <c r="D1223" s="1">
        <f ca="1">IFERROR(__xludf.DUMMYFUNCTION("""COMPUTED_VALUE"""),210.05)</f>
        <v>210.05</v>
      </c>
      <c r="E1223" s="1">
        <f ca="1">IFERROR(__xludf.DUMMYFUNCTION("""COMPUTED_VALUE"""),148.88)</f>
        <v>148.88</v>
      </c>
      <c r="F1223" s="1">
        <f ca="1">IFERROR(__xludf.DUMMYFUNCTION("""COMPUTED_VALUE"""),589.34)</f>
        <v>589.34</v>
      </c>
      <c r="G1223" s="1">
        <f ca="1">IFERROR(__xludf.DUMMYFUNCTION("""COMPUTED_VALUE"""),182.28)</f>
        <v>182.28</v>
      </c>
      <c r="H1223" s="1">
        <f ca="1">IFERROR(__xludf.DUMMYFUNCTION("""COMPUTED_VALUE"""),321.22)</f>
        <v>321.22000000000003</v>
      </c>
      <c r="I1223" s="1">
        <f ca="1">IFERROR(__xludf.DUMMYFUNCTION("""COMPUTED_VALUE"""),165.11)</f>
        <v>165.11</v>
      </c>
      <c r="J1223" s="1">
        <f ca="1">IFERROR(__xludf.DUMMYFUNCTION("""COMPUTED_VALUE"""),913.93)</f>
        <v>913.93</v>
      </c>
      <c r="K1223" s="1">
        <f ca="1">IFERROR(__xludf.DUMMYFUNCTION("""COMPUTED_VALUE"""),183.81)</f>
        <v>183.81</v>
      </c>
      <c r="L1223" s="1">
        <f ca="1">IFERROR(__xludf.DUMMYFUNCTION("""COMPUTED_VALUE"""),500.92)</f>
        <v>500.92</v>
      </c>
      <c r="M1223" s="1">
        <f ca="1">IFERROR(__xludf.DUMMYFUNCTION("""COMPUTED_VALUE"""),796.54)</f>
        <v>796.54</v>
      </c>
      <c r="N1223" s="1">
        <f ca="1">IFERROR(__xludf.DUMMYFUNCTION("""COMPUTED_VALUE"""),236.98)</f>
        <v>236.98</v>
      </c>
      <c r="O1223" s="1">
        <f ca="1">IFERROR(__xludf.DUMMYFUNCTION("""COMPUTED_VALUE"""),305.8)</f>
        <v>305.8</v>
      </c>
      <c r="P1223" s="1">
        <f ca="1">IFERROR(__xludf.DUMMYFUNCTION("""COMPUTED_VALUE"""),156.73)</f>
        <v>156.72999999999999</v>
      </c>
      <c r="Q1223" s="1">
        <f ca="1">IFERROR(__xludf.DUMMYFUNCTION("""COMPUTED_VALUE"""),605.45)</f>
        <v>605.45000000000005</v>
      </c>
      <c r="R1223" s="1">
        <f ca="1">IFERROR(__xludf.DUMMYFUNCTION("""COMPUTED_VALUE"""),121.15)</f>
        <v>121.15</v>
      </c>
      <c r="S1223" s="1">
        <f ca="1">IFERROR(__xludf.DUMMYFUNCTION("""COMPUTED_VALUE"""),74.62)</f>
        <v>74.62</v>
      </c>
      <c r="T1223" s="1">
        <f ca="1">IFERROR(__xludf.DUMMYFUNCTION("""COMPUTED_VALUE"""),84.83)</f>
        <v>84.83</v>
      </c>
      <c r="U1223" s="1">
        <f ca="1">IFERROR(__xludf.DUMMYFUNCTION("""COMPUTED_VALUE"""),75.88)</f>
        <v>75.88</v>
      </c>
      <c r="V1223" s="1">
        <f ca="1">IFERROR(__xludf.DUMMYFUNCTION("""COMPUTED_VALUE"""),408.21)</f>
        <v>408.21</v>
      </c>
      <c r="W1223" s="1">
        <f ca="1">IFERROR(__xludf.DUMMYFUNCTION("""COMPUTED_VALUE"""),551.84)</f>
        <v>551.84</v>
      </c>
      <c r="X1223" s="1">
        <f ca="1">IFERROR(__xludf.DUMMYFUNCTION("""COMPUTED_VALUE"""),677.21)</f>
        <v>677.21</v>
      </c>
      <c r="Y1223" s="1">
        <f ca="1">IFERROR(__xludf.DUMMYFUNCTION("""COMPUTED_VALUE"""),201.19)</f>
        <v>201.19</v>
      </c>
      <c r="Z1223" s="1">
        <f ca="1">IFERROR(__xludf.DUMMYFUNCTION("""COMPUTED_VALUE"""),589.26)</f>
        <v>589.26</v>
      </c>
      <c r="AA1223" s="1">
        <f ca="1">IFERROR(__xludf.DUMMYFUNCTION("""COMPUTED_VALUE"""),27.46)</f>
        <v>27.46</v>
      </c>
      <c r="AB1223" s="1">
        <f ca="1">IFERROR(__xludf.DUMMYFUNCTION("""COMPUTED_VALUE"""),97.55)</f>
        <v>97.55</v>
      </c>
      <c r="AC1223" s="1">
        <f ca="1">IFERROR(__xludf.DUMMYFUNCTION("""COMPUTED_VALUE"""),147.95)</f>
        <v>147.94999999999999</v>
      </c>
    </row>
    <row r="1224" spans="1:29" x14ac:dyDescent="0.25">
      <c r="A1224" s="2">
        <f ca="1">IFERROR(__xludf.DUMMYFUNCTION("""COMPUTED_VALUE"""),45604.6666666666)</f>
        <v>45604.666666666599</v>
      </c>
      <c r="B1224" s="1">
        <f ca="1">IFERROR(__xludf.DUMMYFUNCTION("""COMPUTED_VALUE"""),226.96)</f>
        <v>226.96</v>
      </c>
      <c r="C1224" s="1">
        <f ca="1">IFERROR(__xludf.DUMMYFUNCTION("""COMPUTED_VALUE"""),422.54)</f>
        <v>422.54</v>
      </c>
      <c r="D1224" s="1">
        <f ca="1">IFERROR(__xludf.DUMMYFUNCTION("""COMPUTED_VALUE"""),208.18)</f>
        <v>208.18</v>
      </c>
      <c r="E1224" s="1">
        <f ca="1">IFERROR(__xludf.DUMMYFUNCTION("""COMPUTED_VALUE"""),147.63)</f>
        <v>147.63</v>
      </c>
      <c r="F1224" s="1">
        <f ca="1">IFERROR(__xludf.DUMMYFUNCTION("""COMPUTED_VALUE"""),583.17)</f>
        <v>583.16999999999996</v>
      </c>
      <c r="G1224" s="1">
        <f ca="1">IFERROR(__xludf.DUMMYFUNCTION("""COMPUTED_VALUE"""),179.86)</f>
        <v>179.86</v>
      </c>
      <c r="H1224" s="1">
        <f ca="1">IFERROR(__xludf.DUMMYFUNCTION("""COMPUTED_VALUE"""),350)</f>
        <v>350</v>
      </c>
      <c r="I1224" s="1">
        <f ca="1">IFERROR(__xludf.DUMMYFUNCTION("""COMPUTED_VALUE"""),164.26)</f>
        <v>164.26</v>
      </c>
      <c r="J1224" s="1">
        <f ca="1">IFERROR(__xludf.DUMMYFUNCTION("""COMPUTED_VALUE"""),943.8)</f>
        <v>943.8</v>
      </c>
      <c r="K1224" s="1">
        <f ca="1">IFERROR(__xludf.DUMMYFUNCTION("""COMPUTED_VALUE"""),183.64)</f>
        <v>183.64</v>
      </c>
      <c r="L1224" s="1">
        <f ca="1">IFERROR(__xludf.DUMMYFUNCTION("""COMPUTED_VALUE"""),494.68)</f>
        <v>494.68</v>
      </c>
      <c r="M1224" s="1">
        <f ca="1">IFERROR(__xludf.DUMMYFUNCTION("""COMPUTED_VALUE"""),795.04)</f>
        <v>795.04</v>
      </c>
      <c r="N1224" s="1">
        <f ca="1">IFERROR(__xludf.DUMMYFUNCTION("""COMPUTED_VALUE"""),239.29)</f>
        <v>239.29</v>
      </c>
      <c r="O1224" s="1">
        <f ca="1">IFERROR(__xludf.DUMMYFUNCTION("""COMPUTED_VALUE"""),307.87)</f>
        <v>307.87</v>
      </c>
      <c r="P1224" s="1">
        <f ca="1">IFERROR(__xludf.DUMMYFUNCTION("""COMPUTED_VALUE"""),155.47)</f>
        <v>155.47</v>
      </c>
      <c r="Q1224" s="1">
        <f ca="1">IFERROR(__xludf.DUMMYFUNCTION("""COMPUTED_VALUE"""),615.81)</f>
        <v>615.80999999999995</v>
      </c>
      <c r="R1224" s="1">
        <f ca="1">IFERROR(__xludf.DUMMYFUNCTION("""COMPUTED_VALUE"""),121.11)</f>
        <v>121.11</v>
      </c>
      <c r="S1224" s="1">
        <f ca="1">IFERROR(__xludf.DUMMYFUNCTION("""COMPUTED_VALUE"""),76.97)</f>
        <v>76.97</v>
      </c>
      <c r="T1224" s="1">
        <f ca="1">IFERROR(__xludf.DUMMYFUNCTION("""COMPUTED_VALUE"""),84.21)</f>
        <v>84.21</v>
      </c>
      <c r="U1224" s="1">
        <f ca="1">IFERROR(__xludf.DUMMYFUNCTION("""COMPUTED_VALUE"""),76.6)</f>
        <v>76.599999999999994</v>
      </c>
      <c r="V1224" s="1">
        <f ca="1">IFERROR(__xludf.DUMMYFUNCTION("""COMPUTED_VALUE"""),393.37)</f>
        <v>393.37</v>
      </c>
      <c r="W1224" s="1">
        <f ca="1">IFERROR(__xludf.DUMMYFUNCTION("""COMPUTED_VALUE"""),564.56)</f>
        <v>564.55999999999995</v>
      </c>
      <c r="X1224" s="1">
        <f ca="1">IFERROR(__xludf.DUMMYFUNCTION("""COMPUTED_VALUE"""),669.47)</f>
        <v>669.47</v>
      </c>
      <c r="Y1224" s="1">
        <f ca="1">IFERROR(__xludf.DUMMYFUNCTION("""COMPUTED_VALUE"""),201.2)</f>
        <v>201.2</v>
      </c>
      <c r="Z1224" s="1">
        <f ca="1">IFERROR(__xludf.DUMMYFUNCTION("""COMPUTED_VALUE"""),602.34)</f>
        <v>602.34</v>
      </c>
      <c r="AA1224" s="1">
        <f ca="1">IFERROR(__xludf.DUMMYFUNCTION("""COMPUTED_VALUE"""),26.72)</f>
        <v>26.72</v>
      </c>
      <c r="AB1224" s="1">
        <f ca="1">IFERROR(__xludf.DUMMYFUNCTION("""COMPUTED_VALUE"""),100.31)</f>
        <v>100.31</v>
      </c>
      <c r="AC1224" s="1">
        <f ca="1">IFERROR(__xludf.DUMMYFUNCTION("""COMPUTED_VALUE"""),147.35)</f>
        <v>147.35</v>
      </c>
    </row>
    <row r="1225" spans="1:29" x14ac:dyDescent="0.25">
      <c r="A1225" s="2">
        <f ca="1">IFERROR(__xludf.DUMMYFUNCTION("""COMPUTED_VALUE"""),45607.6666666666)</f>
        <v>45607.666666666599</v>
      </c>
      <c r="B1225" s="1">
        <f ca="1">IFERROR(__xludf.DUMMYFUNCTION("""COMPUTED_VALUE"""),224.23)</f>
        <v>224.23</v>
      </c>
      <c r="C1225" s="1">
        <f ca="1">IFERROR(__xludf.DUMMYFUNCTION("""COMPUTED_VALUE"""),418.01)</f>
        <v>418.01</v>
      </c>
      <c r="D1225" s="1">
        <f ca="1">IFERROR(__xludf.DUMMYFUNCTION("""COMPUTED_VALUE"""),206.84)</f>
        <v>206.84</v>
      </c>
      <c r="E1225" s="1">
        <f ca="1">IFERROR(__xludf.DUMMYFUNCTION("""COMPUTED_VALUE"""),145.26)</f>
        <v>145.26</v>
      </c>
      <c r="F1225" s="1">
        <f ca="1">IFERROR(__xludf.DUMMYFUNCTION("""COMPUTED_VALUE"""),584.82)</f>
        <v>584.82000000000005</v>
      </c>
      <c r="G1225" s="1">
        <f ca="1">IFERROR(__xludf.DUMMYFUNCTION("""COMPUTED_VALUE"""),181.97)</f>
        <v>181.97</v>
      </c>
      <c r="H1225" s="1">
        <f ca="1">IFERROR(__xludf.DUMMYFUNCTION("""COMPUTED_VALUE"""),328.49)</f>
        <v>328.49</v>
      </c>
      <c r="I1225" s="1">
        <f ca="1">IFERROR(__xludf.DUMMYFUNCTION("""COMPUTED_VALUE"""),164.34)</f>
        <v>164.34</v>
      </c>
      <c r="J1225" s="1">
        <f ca="1">IFERROR(__xludf.DUMMYFUNCTION("""COMPUTED_VALUE"""),932.88)</f>
        <v>932.88</v>
      </c>
      <c r="K1225" s="1">
        <f ca="1">IFERROR(__xludf.DUMMYFUNCTION("""COMPUTED_VALUE"""),178.91)</f>
        <v>178.91</v>
      </c>
      <c r="L1225" s="1">
        <f ca="1">IFERROR(__xludf.DUMMYFUNCTION("""COMPUTED_VALUE"""),504.48)</f>
        <v>504.48</v>
      </c>
      <c r="M1225" s="1">
        <f ca="1">IFERROR(__xludf.DUMMYFUNCTION("""COMPUTED_VALUE"""),805.44)</f>
        <v>805.44</v>
      </c>
      <c r="N1225" s="1">
        <f ca="1">IFERROR(__xludf.DUMMYFUNCTION("""COMPUTED_VALUE"""),239.56)</f>
        <v>239.56</v>
      </c>
      <c r="O1225" s="1">
        <f ca="1">IFERROR(__xludf.DUMMYFUNCTION("""COMPUTED_VALUE"""),310.92)</f>
        <v>310.92</v>
      </c>
      <c r="P1225" s="1">
        <f ca="1">IFERROR(__xludf.DUMMYFUNCTION("""COMPUTED_VALUE"""),155.04)</f>
        <v>155.04</v>
      </c>
      <c r="Q1225" s="1">
        <f ca="1">IFERROR(__xludf.DUMMYFUNCTION("""COMPUTED_VALUE"""),625.25)</f>
        <v>625.25</v>
      </c>
      <c r="R1225" s="1">
        <f ca="1">IFERROR(__xludf.DUMMYFUNCTION("""COMPUTED_VALUE"""),120.47)</f>
        <v>120.47</v>
      </c>
      <c r="S1225" s="1">
        <f ca="1">IFERROR(__xludf.DUMMYFUNCTION("""COMPUTED_VALUE"""),75.91)</f>
        <v>75.91</v>
      </c>
      <c r="T1225" s="1">
        <f ca="1">IFERROR(__xludf.DUMMYFUNCTION("""COMPUTED_VALUE"""),84.99)</f>
        <v>84.99</v>
      </c>
      <c r="U1225" s="1">
        <f ca="1">IFERROR(__xludf.DUMMYFUNCTION("""COMPUTED_VALUE"""),76.66)</f>
        <v>76.66</v>
      </c>
      <c r="V1225" s="1">
        <f ca="1">IFERROR(__xludf.DUMMYFUNCTION("""COMPUTED_VALUE"""),396.54)</f>
        <v>396.54</v>
      </c>
      <c r="W1225" s="1">
        <f ca="1">IFERROR(__xludf.DUMMYFUNCTION("""COMPUTED_VALUE"""),570.58)</f>
        <v>570.58000000000004</v>
      </c>
      <c r="X1225" s="1">
        <f ca="1">IFERROR(__xludf.DUMMYFUNCTION("""COMPUTED_VALUE"""),671.31)</f>
        <v>671.31</v>
      </c>
      <c r="Y1225" s="1">
        <f ca="1">IFERROR(__xludf.DUMMYFUNCTION("""COMPUTED_VALUE"""),194.05)</f>
        <v>194.05</v>
      </c>
      <c r="Z1225" s="1">
        <f ca="1">IFERROR(__xludf.DUMMYFUNCTION("""COMPUTED_VALUE"""),592.59)</f>
        <v>592.59</v>
      </c>
      <c r="AA1225" s="1">
        <f ca="1">IFERROR(__xludf.DUMMYFUNCTION("""COMPUTED_VALUE"""),26.24)</f>
        <v>26.24</v>
      </c>
      <c r="AB1225" s="1">
        <f ca="1">IFERROR(__xludf.DUMMYFUNCTION("""COMPUTED_VALUE"""),98.8)</f>
        <v>98.8</v>
      </c>
      <c r="AC1225" s="1">
        <f ca="1">IFERROR(__xludf.DUMMYFUNCTION("""COMPUTED_VALUE"""),143.63)</f>
        <v>143.63</v>
      </c>
    </row>
    <row r="1226" spans="1:29" x14ac:dyDescent="0.25">
      <c r="A1226" s="2">
        <f ca="1">IFERROR(__xludf.DUMMYFUNCTION("""COMPUTED_VALUE"""),45608.6666666666)</f>
        <v>45608.666666666599</v>
      </c>
      <c r="B1226" s="1">
        <f ca="1">IFERROR(__xludf.DUMMYFUNCTION("""COMPUTED_VALUE"""),224.23)</f>
        <v>224.23</v>
      </c>
      <c r="C1226" s="1">
        <f ca="1">IFERROR(__xludf.DUMMYFUNCTION("""COMPUTED_VALUE"""),423.03)</f>
        <v>423.03</v>
      </c>
      <c r="D1226" s="1">
        <f ca="1">IFERROR(__xludf.DUMMYFUNCTION("""COMPUTED_VALUE"""),208.91)</f>
        <v>208.91</v>
      </c>
      <c r="E1226" s="1">
        <f ca="1">IFERROR(__xludf.DUMMYFUNCTION("""COMPUTED_VALUE"""),148.29)</f>
        <v>148.29</v>
      </c>
      <c r="F1226" s="1">
        <f ca="1">IFERROR(__xludf.DUMMYFUNCTION("""COMPUTED_VALUE"""),580)</f>
        <v>580</v>
      </c>
      <c r="G1226" s="1">
        <f ca="1">IFERROR(__xludf.DUMMYFUNCTION("""COMPUTED_VALUE"""),183.32)</f>
        <v>183.32</v>
      </c>
      <c r="H1226" s="1">
        <f ca="1">IFERROR(__xludf.DUMMYFUNCTION("""COMPUTED_VALUE"""),330.24)</f>
        <v>330.24</v>
      </c>
      <c r="I1226" s="1">
        <f ca="1">IFERROR(__xludf.DUMMYFUNCTION("""COMPUTED_VALUE"""),164.74)</f>
        <v>164.74</v>
      </c>
      <c r="J1226" s="1">
        <f ca="1">IFERROR(__xludf.DUMMYFUNCTION("""COMPUTED_VALUE"""),932.38)</f>
        <v>932.38</v>
      </c>
      <c r="K1226" s="1">
        <f ca="1">IFERROR(__xludf.DUMMYFUNCTION("""COMPUTED_VALUE"""),176.22)</f>
        <v>176.22</v>
      </c>
      <c r="L1226" s="1">
        <f ca="1">IFERROR(__xludf.DUMMYFUNCTION("""COMPUTED_VALUE"""),526.42)</f>
        <v>526.41999999999996</v>
      </c>
      <c r="M1226" s="1">
        <f ca="1">IFERROR(__xludf.DUMMYFUNCTION("""COMPUTED_VALUE"""),819.5)</f>
        <v>819.5</v>
      </c>
      <c r="N1226" s="1">
        <f ca="1">IFERROR(__xludf.DUMMYFUNCTION("""COMPUTED_VALUE"""),241.16)</f>
        <v>241.16</v>
      </c>
      <c r="O1226" s="1">
        <f ca="1">IFERROR(__xludf.DUMMYFUNCTION("""COMPUTED_VALUE"""),309.85)</f>
        <v>309.85000000000002</v>
      </c>
      <c r="P1226" s="1">
        <f ca="1">IFERROR(__xludf.DUMMYFUNCTION("""COMPUTED_VALUE"""),152.64)</f>
        <v>152.63999999999999</v>
      </c>
      <c r="Q1226" s="1">
        <f ca="1">IFERROR(__xludf.DUMMYFUNCTION("""COMPUTED_VALUE"""),614.67)</f>
        <v>614.66999999999996</v>
      </c>
      <c r="R1226" s="1">
        <f ca="1">IFERROR(__xludf.DUMMYFUNCTION("""COMPUTED_VALUE"""),120.35)</f>
        <v>120.35</v>
      </c>
      <c r="S1226" s="1">
        <f ca="1">IFERROR(__xludf.DUMMYFUNCTION("""COMPUTED_VALUE"""),74.26)</f>
        <v>74.260000000000005</v>
      </c>
      <c r="T1226" s="1">
        <f ca="1">IFERROR(__xludf.DUMMYFUNCTION("""COMPUTED_VALUE"""),85.5)</f>
        <v>85.5</v>
      </c>
      <c r="U1226" s="1">
        <f ca="1">IFERROR(__xludf.DUMMYFUNCTION("""COMPUTED_VALUE"""),76.52)</f>
        <v>76.52</v>
      </c>
      <c r="V1226" s="1">
        <f ca="1">IFERROR(__xludf.DUMMYFUNCTION("""COMPUTED_VALUE"""),393.01)</f>
        <v>393.01</v>
      </c>
      <c r="W1226" s="1">
        <f ca="1">IFERROR(__xludf.DUMMYFUNCTION("""COMPUTED_VALUE"""),565.96)</f>
        <v>565.96</v>
      </c>
      <c r="X1226" s="1">
        <f ca="1">IFERROR(__xludf.DUMMYFUNCTION("""COMPUTED_VALUE"""),669.18)</f>
        <v>669.18</v>
      </c>
      <c r="Y1226" s="1">
        <f ca="1">IFERROR(__xludf.DUMMYFUNCTION("""COMPUTED_VALUE"""),191.77)</f>
        <v>191.77</v>
      </c>
      <c r="Z1226" s="1">
        <f ca="1">IFERROR(__xludf.DUMMYFUNCTION("""COMPUTED_VALUE"""),594.22)</f>
        <v>594.22</v>
      </c>
      <c r="AA1226" s="1">
        <f ca="1">IFERROR(__xludf.DUMMYFUNCTION("""COMPUTED_VALUE"""),26.19)</f>
        <v>26.19</v>
      </c>
      <c r="AB1226" s="1">
        <f ca="1">IFERROR(__xludf.DUMMYFUNCTION("""COMPUTED_VALUE"""),99.8)</f>
        <v>99.8</v>
      </c>
      <c r="AC1226" s="1">
        <f ca="1">IFERROR(__xludf.DUMMYFUNCTION("""COMPUTED_VALUE"""),139.3)</f>
        <v>139.30000000000001</v>
      </c>
    </row>
    <row r="1227" spans="1:29" x14ac:dyDescent="0.25">
      <c r="A1227" s="2">
        <f ca="1">IFERROR(__xludf.DUMMYFUNCTION("""COMPUTED_VALUE"""),45609.6666666666)</f>
        <v>45609.666666666599</v>
      </c>
      <c r="B1227" s="1">
        <f ca="1">IFERROR(__xludf.DUMMYFUNCTION("""COMPUTED_VALUE"""),225.12)</f>
        <v>225.12</v>
      </c>
      <c r="C1227" s="1">
        <f ca="1">IFERROR(__xludf.DUMMYFUNCTION("""COMPUTED_VALUE"""),425.2)</f>
        <v>425.2</v>
      </c>
      <c r="D1227" s="1">
        <f ca="1">IFERROR(__xludf.DUMMYFUNCTION("""COMPUTED_VALUE"""),214.1)</f>
        <v>214.1</v>
      </c>
      <c r="E1227" s="1">
        <f ca="1">IFERROR(__xludf.DUMMYFUNCTION("""COMPUTED_VALUE"""),146.27)</f>
        <v>146.27000000000001</v>
      </c>
      <c r="F1227" s="1">
        <f ca="1">IFERROR(__xludf.DUMMYFUNCTION("""COMPUTED_VALUE"""),577.16)</f>
        <v>577.16</v>
      </c>
      <c r="G1227" s="1">
        <f ca="1">IFERROR(__xludf.DUMMYFUNCTION("""COMPUTED_VALUE"""),180.49)</f>
        <v>180.49</v>
      </c>
      <c r="H1227" s="1">
        <f ca="1">IFERROR(__xludf.DUMMYFUNCTION("""COMPUTED_VALUE"""),311.18)</f>
        <v>311.18</v>
      </c>
      <c r="I1227" s="1">
        <f ca="1">IFERROR(__xludf.DUMMYFUNCTION("""COMPUTED_VALUE"""),165.15)</f>
        <v>165.15</v>
      </c>
      <c r="J1227" s="1">
        <f ca="1">IFERROR(__xludf.DUMMYFUNCTION("""COMPUTED_VALUE"""),933.73)</f>
        <v>933.73</v>
      </c>
      <c r="K1227" s="1">
        <f ca="1">IFERROR(__xludf.DUMMYFUNCTION("""COMPUTED_VALUE"""),173.58)</f>
        <v>173.58</v>
      </c>
      <c r="L1227" s="1">
        <f ca="1">IFERROR(__xludf.DUMMYFUNCTION("""COMPUTED_VALUE"""),532.5)</f>
        <v>532.5</v>
      </c>
      <c r="M1227" s="1">
        <f ca="1">IFERROR(__xludf.DUMMYFUNCTION("""COMPUTED_VALUE"""),830.47)</f>
        <v>830.47</v>
      </c>
      <c r="N1227" s="1">
        <f ca="1">IFERROR(__xludf.DUMMYFUNCTION("""COMPUTED_VALUE"""),241.87)</f>
        <v>241.87</v>
      </c>
      <c r="O1227" s="1">
        <f ca="1">IFERROR(__xludf.DUMMYFUNCTION("""COMPUTED_VALUE"""),309.48)</f>
        <v>309.48</v>
      </c>
      <c r="P1227" s="1">
        <f ca="1">IFERROR(__xludf.DUMMYFUNCTION("""COMPUTED_VALUE"""),153.24)</f>
        <v>153.24</v>
      </c>
      <c r="Q1227" s="1">
        <f ca="1">IFERROR(__xludf.DUMMYFUNCTION("""COMPUTED_VALUE"""),605.87)</f>
        <v>605.87</v>
      </c>
      <c r="R1227" s="1">
        <f ca="1">IFERROR(__xludf.DUMMYFUNCTION("""COMPUTED_VALUE"""),121.47)</f>
        <v>121.47</v>
      </c>
      <c r="S1227" s="1">
        <f ca="1">IFERROR(__xludf.DUMMYFUNCTION("""COMPUTED_VALUE"""),74.24)</f>
        <v>74.239999999999995</v>
      </c>
      <c r="T1227" s="1">
        <f ca="1">IFERROR(__xludf.DUMMYFUNCTION("""COMPUTED_VALUE"""),84.47)</f>
        <v>84.47</v>
      </c>
      <c r="U1227" s="1">
        <f ca="1">IFERROR(__xludf.DUMMYFUNCTION("""COMPUTED_VALUE"""),75.68)</f>
        <v>75.680000000000007</v>
      </c>
      <c r="V1227" s="1">
        <f ca="1">IFERROR(__xludf.DUMMYFUNCTION("""COMPUTED_VALUE"""),387.07)</f>
        <v>387.07</v>
      </c>
      <c r="W1227" s="1">
        <f ca="1">IFERROR(__xludf.DUMMYFUNCTION("""COMPUTED_VALUE"""),557.73)</f>
        <v>557.73</v>
      </c>
      <c r="X1227" s="1">
        <f ca="1">IFERROR(__xludf.DUMMYFUNCTION("""COMPUTED_VALUE"""),673.41)</f>
        <v>673.41</v>
      </c>
      <c r="Y1227" s="1">
        <f ca="1">IFERROR(__xludf.DUMMYFUNCTION("""COMPUTED_VALUE"""),186.66)</f>
        <v>186.66</v>
      </c>
      <c r="Z1227" s="1">
        <f ca="1">IFERROR(__xludf.DUMMYFUNCTION("""COMPUTED_VALUE"""),588.61)</f>
        <v>588.61</v>
      </c>
      <c r="AA1227" s="1">
        <f ca="1">IFERROR(__xludf.DUMMYFUNCTION("""COMPUTED_VALUE"""),26.72)</f>
        <v>26.72</v>
      </c>
      <c r="AB1227" s="1">
        <f ca="1">IFERROR(__xludf.DUMMYFUNCTION("""COMPUTED_VALUE"""),99.23)</f>
        <v>99.23</v>
      </c>
      <c r="AC1227" s="1">
        <f ca="1">IFERROR(__xludf.DUMMYFUNCTION("""COMPUTED_VALUE"""),138.84)</f>
        <v>138.84</v>
      </c>
    </row>
    <row r="1228" spans="1:29" x14ac:dyDescent="0.25">
      <c r="A1228" s="2">
        <f ca="1">IFERROR(__xludf.DUMMYFUNCTION("""COMPUTED_VALUE"""),45610.6666666666)</f>
        <v>45610.666666666599</v>
      </c>
      <c r="B1228" s="1">
        <f ca="1">IFERROR(__xludf.DUMMYFUNCTION("""COMPUTED_VALUE"""),228.22)</f>
        <v>228.22</v>
      </c>
      <c r="C1228" s="1">
        <f ca="1">IFERROR(__xludf.DUMMYFUNCTION("""COMPUTED_VALUE"""),426.89)</f>
        <v>426.89</v>
      </c>
      <c r="D1228" s="1">
        <f ca="1">IFERROR(__xludf.DUMMYFUNCTION("""COMPUTED_VALUE"""),211.48)</f>
        <v>211.48</v>
      </c>
      <c r="E1228" s="1">
        <f ca="1">IFERROR(__xludf.DUMMYFUNCTION("""COMPUTED_VALUE"""),146.76)</f>
        <v>146.76</v>
      </c>
      <c r="F1228" s="1">
        <f ca="1">IFERROR(__xludf.DUMMYFUNCTION("""COMPUTED_VALUE"""),554.08)</f>
        <v>554.08000000000004</v>
      </c>
      <c r="G1228" s="1">
        <f ca="1">IFERROR(__xludf.DUMMYFUNCTION("""COMPUTED_VALUE"""),177.35)</f>
        <v>177.35</v>
      </c>
      <c r="H1228" s="1">
        <f ca="1">IFERROR(__xludf.DUMMYFUNCTION("""COMPUTED_VALUE"""),320.72)</f>
        <v>320.72000000000003</v>
      </c>
      <c r="I1228" s="1">
        <f ca="1">IFERROR(__xludf.DUMMYFUNCTION("""COMPUTED_VALUE"""),158.62)</f>
        <v>158.62</v>
      </c>
      <c r="J1228" s="1">
        <f ca="1">IFERROR(__xludf.DUMMYFUNCTION("""COMPUTED_VALUE"""),923.89)</f>
        <v>923.89</v>
      </c>
      <c r="K1228" s="1">
        <f ca="1">IFERROR(__xludf.DUMMYFUNCTION("""COMPUTED_VALUE"""),170.38)</f>
        <v>170.38</v>
      </c>
      <c r="L1228" s="1">
        <f ca="1">IFERROR(__xludf.DUMMYFUNCTION("""COMPUTED_VALUE"""),529.87)</f>
        <v>529.87</v>
      </c>
      <c r="M1228" s="1">
        <f ca="1">IFERROR(__xludf.DUMMYFUNCTION("""COMPUTED_VALUE"""),837.26)</f>
        <v>837.26</v>
      </c>
      <c r="N1228" s="1">
        <f ca="1">IFERROR(__xludf.DUMMYFUNCTION("""COMPUTED_VALUE"""),245.31)</f>
        <v>245.31</v>
      </c>
      <c r="O1228" s="1">
        <f ca="1">IFERROR(__xludf.DUMMYFUNCTION("""COMPUTED_VALUE"""),308.25)</f>
        <v>308.25</v>
      </c>
      <c r="P1228" s="1">
        <f ca="1">IFERROR(__xludf.DUMMYFUNCTION("""COMPUTED_VALUE"""),151.87)</f>
        <v>151.87</v>
      </c>
      <c r="Q1228" s="1">
        <f ca="1">IFERROR(__xludf.DUMMYFUNCTION("""COMPUTED_VALUE"""),593.15)</f>
        <v>593.15</v>
      </c>
      <c r="R1228" s="1">
        <f ca="1">IFERROR(__xludf.DUMMYFUNCTION("""COMPUTED_VALUE"""),120.56)</f>
        <v>120.56</v>
      </c>
      <c r="S1228" s="1">
        <f ca="1">IFERROR(__xludf.DUMMYFUNCTION("""COMPUTED_VALUE"""),75.28)</f>
        <v>75.28</v>
      </c>
      <c r="T1228" s="1">
        <f ca="1">IFERROR(__xludf.DUMMYFUNCTION("""COMPUTED_VALUE"""),84.25)</f>
        <v>84.25</v>
      </c>
      <c r="U1228" s="1">
        <f ca="1">IFERROR(__xludf.DUMMYFUNCTION("""COMPUTED_VALUE"""),76.66)</f>
        <v>76.66</v>
      </c>
      <c r="V1228" s="1">
        <f ca="1">IFERROR(__xludf.DUMMYFUNCTION("""COMPUTED_VALUE"""),387.36)</f>
        <v>387.36</v>
      </c>
      <c r="W1228" s="1">
        <f ca="1">IFERROR(__xludf.DUMMYFUNCTION("""COMPUTED_VALUE"""),538.99)</f>
        <v>538.99</v>
      </c>
      <c r="X1228" s="1">
        <f ca="1">IFERROR(__xludf.DUMMYFUNCTION("""COMPUTED_VALUE"""),692.96)</f>
        <v>692.96</v>
      </c>
      <c r="Y1228" s="1">
        <f ca="1">IFERROR(__xludf.DUMMYFUNCTION("""COMPUTED_VALUE"""),188.5)</f>
        <v>188.5</v>
      </c>
      <c r="Z1228" s="1">
        <f ca="1">IFERROR(__xludf.DUMMYFUNCTION("""COMPUTED_VALUE"""),593.54)</f>
        <v>593.54</v>
      </c>
      <c r="AA1228" s="1">
        <f ca="1">IFERROR(__xludf.DUMMYFUNCTION("""COMPUTED_VALUE"""),26.02)</f>
        <v>26.02</v>
      </c>
      <c r="AB1228" s="1">
        <f ca="1">IFERROR(__xludf.DUMMYFUNCTION("""COMPUTED_VALUE"""),98.42)</f>
        <v>98.42</v>
      </c>
      <c r="AC1228" s="1">
        <f ca="1">IFERROR(__xludf.DUMMYFUNCTION("""COMPUTED_VALUE"""),134.9)</f>
        <v>134.9</v>
      </c>
    </row>
    <row r="1229" spans="1:29" x14ac:dyDescent="0.25">
      <c r="A1229" s="2">
        <f ca="1">IFERROR(__xludf.DUMMYFUNCTION("""COMPUTED_VALUE"""),45611.6666666666)</f>
        <v>45611.666666666599</v>
      </c>
      <c r="B1229" s="1">
        <f ca="1">IFERROR(__xludf.DUMMYFUNCTION("""COMPUTED_VALUE"""),225)</f>
        <v>225</v>
      </c>
      <c r="C1229" s="1">
        <f ca="1">IFERROR(__xludf.DUMMYFUNCTION("""COMPUTED_VALUE"""),415)</f>
        <v>415</v>
      </c>
      <c r="D1229" s="1">
        <f ca="1">IFERROR(__xludf.DUMMYFUNCTION("""COMPUTED_VALUE"""),202.61)</f>
        <v>202.61</v>
      </c>
      <c r="E1229" s="1">
        <f ca="1">IFERROR(__xludf.DUMMYFUNCTION("""COMPUTED_VALUE"""),141.98)</f>
        <v>141.97999999999999</v>
      </c>
      <c r="F1229" s="1">
        <f ca="1">IFERROR(__xludf.DUMMYFUNCTION("""COMPUTED_VALUE"""),554.4)</f>
        <v>554.4</v>
      </c>
      <c r="G1229" s="1">
        <f ca="1">IFERROR(__xludf.DUMMYFUNCTION("""COMPUTED_VALUE"""),173.89)</f>
        <v>173.89</v>
      </c>
      <c r="H1229" s="1">
        <f ca="1">IFERROR(__xludf.DUMMYFUNCTION("""COMPUTED_VALUE"""),338.74)</f>
        <v>338.74</v>
      </c>
      <c r="I1229" s="1">
        <f ca="1">IFERROR(__xludf.DUMMYFUNCTION("""COMPUTED_VALUE"""),158.33)</f>
        <v>158.33000000000001</v>
      </c>
      <c r="J1229" s="1">
        <f ca="1">IFERROR(__xludf.DUMMYFUNCTION("""COMPUTED_VALUE"""),907.07)</f>
        <v>907.07</v>
      </c>
      <c r="K1229" s="1">
        <f ca="1">IFERROR(__xludf.DUMMYFUNCTION("""COMPUTED_VALUE"""),164.84)</f>
        <v>164.84</v>
      </c>
      <c r="L1229" s="1">
        <f ca="1">IFERROR(__xludf.DUMMYFUNCTION("""COMPUTED_VALUE"""),503.37)</f>
        <v>503.37</v>
      </c>
      <c r="M1229" s="1">
        <f ca="1">IFERROR(__xludf.DUMMYFUNCTION("""COMPUTED_VALUE"""),823.96)</f>
        <v>823.96</v>
      </c>
      <c r="N1229" s="1">
        <f ca="1">IFERROR(__xludf.DUMMYFUNCTION("""COMPUTED_VALUE"""),245.03)</f>
        <v>245.03</v>
      </c>
      <c r="O1229" s="1">
        <f ca="1">IFERROR(__xludf.DUMMYFUNCTION("""COMPUTED_VALUE"""),309.64)</f>
        <v>309.64</v>
      </c>
      <c r="P1229" s="1">
        <f ca="1">IFERROR(__xludf.DUMMYFUNCTION("""COMPUTED_VALUE"""),154)</f>
        <v>154</v>
      </c>
      <c r="Q1229" s="1">
        <f ca="1">IFERROR(__xludf.DUMMYFUNCTION("""COMPUTED_VALUE"""),592.23)</f>
        <v>592.23</v>
      </c>
      <c r="R1229" s="1">
        <f ca="1">IFERROR(__xludf.DUMMYFUNCTION("""COMPUTED_VALUE"""),119.31)</f>
        <v>119.31</v>
      </c>
      <c r="S1229" s="1">
        <f ca="1">IFERROR(__xludf.DUMMYFUNCTION("""COMPUTED_VALUE"""),76.35)</f>
        <v>76.349999999999994</v>
      </c>
      <c r="T1229" s="1">
        <f ca="1">IFERROR(__xludf.DUMMYFUNCTION("""COMPUTED_VALUE"""),84.08)</f>
        <v>84.08</v>
      </c>
      <c r="U1229" s="1">
        <f ca="1">IFERROR(__xludf.DUMMYFUNCTION("""COMPUTED_VALUE"""),74.89)</f>
        <v>74.89</v>
      </c>
      <c r="V1229" s="1">
        <f ca="1">IFERROR(__xludf.DUMMYFUNCTION("""COMPUTED_VALUE"""),384.07)</f>
        <v>384.07</v>
      </c>
      <c r="W1229" s="1">
        <f ca="1">IFERROR(__xludf.DUMMYFUNCTION("""COMPUTED_VALUE"""),534.83)</f>
        <v>534.83000000000004</v>
      </c>
      <c r="X1229" s="1">
        <f ca="1">IFERROR(__xludf.DUMMYFUNCTION("""COMPUTED_VALUE"""),658.63)</f>
        <v>658.63</v>
      </c>
      <c r="Y1229" s="1">
        <f ca="1">IFERROR(__xludf.DUMMYFUNCTION("""COMPUTED_VALUE"""),186.01)</f>
        <v>186.01</v>
      </c>
      <c r="Z1229" s="1">
        <f ca="1">IFERROR(__xludf.DUMMYFUNCTION("""COMPUTED_VALUE"""),587.99)</f>
        <v>587.99</v>
      </c>
      <c r="AA1229" s="1">
        <f ca="1">IFERROR(__xludf.DUMMYFUNCTION("""COMPUTED_VALUE"""),24.8)</f>
        <v>24.8</v>
      </c>
      <c r="AB1229" s="1">
        <f ca="1">IFERROR(__xludf.DUMMYFUNCTION("""COMPUTED_VALUE"""),100.4)</f>
        <v>100.4</v>
      </c>
      <c r="AC1229" s="1">
        <f ca="1">IFERROR(__xludf.DUMMYFUNCTION("""COMPUTED_VALUE"""),138.93)</f>
        <v>138.93</v>
      </c>
    </row>
    <row r="1230" spans="1:29" x14ac:dyDescent="0.25">
      <c r="A1230" s="2">
        <f ca="1">IFERROR(__xludf.DUMMYFUNCTION("""COMPUTED_VALUE"""),45614.6666666666)</f>
        <v>45614.666666666599</v>
      </c>
      <c r="B1230" s="1">
        <f ca="1">IFERROR(__xludf.DUMMYFUNCTION("""COMPUTED_VALUE"""),228.02)</f>
        <v>228.02</v>
      </c>
      <c r="C1230" s="1">
        <f ca="1">IFERROR(__xludf.DUMMYFUNCTION("""COMPUTED_VALUE"""),415.76)</f>
        <v>415.76</v>
      </c>
      <c r="D1230" s="1">
        <f ca="1">IFERROR(__xludf.DUMMYFUNCTION("""COMPUTED_VALUE"""),201.7)</f>
        <v>201.7</v>
      </c>
      <c r="E1230" s="1">
        <f ca="1">IFERROR(__xludf.DUMMYFUNCTION("""COMPUTED_VALUE"""),140.15)</f>
        <v>140.15</v>
      </c>
      <c r="F1230" s="1">
        <f ca="1">IFERROR(__xludf.DUMMYFUNCTION("""COMPUTED_VALUE"""),561.09)</f>
        <v>561.09</v>
      </c>
      <c r="G1230" s="1">
        <f ca="1">IFERROR(__xludf.DUMMYFUNCTION("""COMPUTED_VALUE"""),176.8)</f>
        <v>176.8</v>
      </c>
      <c r="H1230" s="1">
        <f ca="1">IFERROR(__xludf.DUMMYFUNCTION("""COMPUTED_VALUE"""),346)</f>
        <v>346</v>
      </c>
      <c r="I1230" s="1">
        <f ca="1">IFERROR(__xludf.DUMMYFUNCTION("""COMPUTED_VALUE"""),156.72)</f>
        <v>156.72</v>
      </c>
      <c r="J1230" s="1">
        <f ca="1">IFERROR(__xludf.DUMMYFUNCTION("""COMPUTED_VALUE"""),919.51)</f>
        <v>919.51</v>
      </c>
      <c r="K1230" s="1">
        <f ca="1">IFERROR(__xludf.DUMMYFUNCTION("""COMPUTED_VALUE"""),165.67)</f>
        <v>165.67</v>
      </c>
      <c r="L1230" s="1">
        <f ca="1">IFERROR(__xludf.DUMMYFUNCTION("""COMPUTED_VALUE"""),499.51)</f>
        <v>499.51</v>
      </c>
      <c r="M1230" s="1">
        <f ca="1">IFERROR(__xludf.DUMMYFUNCTION("""COMPUTED_VALUE"""),847.05)</f>
        <v>847.05</v>
      </c>
      <c r="N1230" s="1">
        <f ca="1">IFERROR(__xludf.DUMMYFUNCTION("""COMPUTED_VALUE"""),243.09)</f>
        <v>243.09</v>
      </c>
      <c r="O1230" s="1">
        <f ca="1">IFERROR(__xludf.DUMMYFUNCTION("""COMPUTED_VALUE"""),312.16)</f>
        <v>312.16000000000003</v>
      </c>
      <c r="P1230" s="1">
        <f ca="1">IFERROR(__xludf.DUMMYFUNCTION("""COMPUTED_VALUE"""),154.77)</f>
        <v>154.77000000000001</v>
      </c>
      <c r="Q1230" s="1">
        <f ca="1">IFERROR(__xludf.DUMMYFUNCTION("""COMPUTED_VALUE"""),589.65)</f>
        <v>589.65</v>
      </c>
      <c r="R1230" s="1">
        <f ca="1">IFERROR(__xludf.DUMMYFUNCTION("""COMPUTED_VALUE"""),120.31)</f>
        <v>120.31</v>
      </c>
      <c r="S1230" s="1">
        <f ca="1">IFERROR(__xludf.DUMMYFUNCTION("""COMPUTED_VALUE"""),76.39)</f>
        <v>76.39</v>
      </c>
      <c r="T1230" s="1">
        <f ca="1">IFERROR(__xludf.DUMMYFUNCTION("""COMPUTED_VALUE"""),86.6)</f>
        <v>86.6</v>
      </c>
      <c r="U1230" s="1">
        <f ca="1">IFERROR(__xludf.DUMMYFUNCTION("""COMPUTED_VALUE"""),73.91)</f>
        <v>73.91</v>
      </c>
      <c r="V1230" s="1">
        <f ca="1">IFERROR(__xludf.DUMMYFUNCTION("""COMPUTED_VALUE"""),384.46)</f>
        <v>384.46</v>
      </c>
      <c r="W1230" s="1">
        <f ca="1">IFERROR(__xludf.DUMMYFUNCTION("""COMPUTED_VALUE"""),530.96)</f>
        <v>530.96</v>
      </c>
      <c r="X1230" s="1">
        <f ca="1">IFERROR(__xludf.DUMMYFUNCTION("""COMPUTED_VALUE"""),665.23)</f>
        <v>665.23</v>
      </c>
      <c r="Y1230" s="1">
        <f ca="1">IFERROR(__xludf.DUMMYFUNCTION("""COMPUTED_VALUE"""),187.48)</f>
        <v>187.48</v>
      </c>
      <c r="Z1230" s="1">
        <f ca="1">IFERROR(__xludf.DUMMYFUNCTION("""COMPUTED_VALUE"""),581.38)</f>
        <v>581.38</v>
      </c>
      <c r="AA1230" s="1">
        <f ca="1">IFERROR(__xludf.DUMMYFUNCTION("""COMPUTED_VALUE"""),24.86)</f>
        <v>24.86</v>
      </c>
      <c r="AB1230" s="1">
        <f ca="1">IFERROR(__xludf.DUMMYFUNCTION("""COMPUTED_VALUE"""),98.35)</f>
        <v>98.35</v>
      </c>
      <c r="AC1230" s="1">
        <f ca="1">IFERROR(__xludf.DUMMYFUNCTION("""COMPUTED_VALUE"""),139.39)</f>
        <v>139.38999999999999</v>
      </c>
    </row>
    <row r="1231" spans="1:29" x14ac:dyDescent="0.25">
      <c r="A1231" s="2">
        <f ca="1">IFERROR(__xludf.DUMMYFUNCTION("""COMPUTED_VALUE"""),45615.6666666666)</f>
        <v>45615.666666666599</v>
      </c>
      <c r="B1231" s="1">
        <f ca="1">IFERROR(__xludf.DUMMYFUNCTION("""COMPUTED_VALUE"""),228.28)</f>
        <v>228.28</v>
      </c>
      <c r="C1231" s="1">
        <f ca="1">IFERROR(__xludf.DUMMYFUNCTION("""COMPUTED_VALUE"""),417.79)</f>
        <v>417.79</v>
      </c>
      <c r="D1231" s="1">
        <f ca="1">IFERROR(__xludf.DUMMYFUNCTION("""COMPUTED_VALUE"""),204.61)</f>
        <v>204.61</v>
      </c>
      <c r="E1231" s="1">
        <f ca="1">IFERROR(__xludf.DUMMYFUNCTION("""COMPUTED_VALUE"""),147.01)</f>
        <v>147.01</v>
      </c>
      <c r="F1231" s="1">
        <f ca="1">IFERROR(__xludf.DUMMYFUNCTION("""COMPUTED_VALUE"""),565.52)</f>
        <v>565.52</v>
      </c>
      <c r="G1231" s="1">
        <f ca="1">IFERROR(__xludf.DUMMYFUNCTION("""COMPUTED_VALUE"""),179.58)</f>
        <v>179.58</v>
      </c>
      <c r="H1231" s="1">
        <f ca="1">IFERROR(__xludf.DUMMYFUNCTION("""COMPUTED_VALUE"""),342.03)</f>
        <v>342.03</v>
      </c>
      <c r="I1231" s="1">
        <f ca="1">IFERROR(__xludf.DUMMYFUNCTION("""COMPUTED_VALUE"""),158.74)</f>
        <v>158.74</v>
      </c>
      <c r="J1231" s="1">
        <f ca="1">IFERROR(__xludf.DUMMYFUNCTION("""COMPUTED_VALUE"""),930.15)</f>
        <v>930.15</v>
      </c>
      <c r="K1231" s="1">
        <f ca="1">IFERROR(__xludf.DUMMYFUNCTION("""COMPUTED_VALUE"""),165.35)</f>
        <v>165.35</v>
      </c>
      <c r="L1231" s="1">
        <f ca="1">IFERROR(__xludf.DUMMYFUNCTION("""COMPUTED_VALUE"""),499.61)</f>
        <v>499.61</v>
      </c>
      <c r="M1231" s="1">
        <f ca="1">IFERROR(__xludf.DUMMYFUNCTION("""COMPUTED_VALUE"""),871.32)</f>
        <v>871.32</v>
      </c>
      <c r="N1231" s="1">
        <f ca="1">IFERROR(__xludf.DUMMYFUNCTION("""COMPUTED_VALUE"""),240.78)</f>
        <v>240.78</v>
      </c>
      <c r="O1231" s="1">
        <f ca="1">IFERROR(__xludf.DUMMYFUNCTION("""COMPUTED_VALUE"""),311.85)</f>
        <v>311.85000000000002</v>
      </c>
      <c r="P1231" s="1">
        <f ca="1">IFERROR(__xludf.DUMMYFUNCTION("""COMPUTED_VALUE"""),153)</f>
        <v>153</v>
      </c>
      <c r="Q1231" s="1">
        <f ca="1">IFERROR(__xludf.DUMMYFUNCTION("""COMPUTED_VALUE"""),577)</f>
        <v>577</v>
      </c>
      <c r="R1231" s="1">
        <f ca="1">IFERROR(__xludf.DUMMYFUNCTION("""COMPUTED_VALUE"""),118.63)</f>
        <v>118.63</v>
      </c>
      <c r="S1231" s="1">
        <f ca="1">IFERROR(__xludf.DUMMYFUNCTION("""COMPUTED_VALUE"""),77.08)</f>
        <v>77.08</v>
      </c>
      <c r="T1231" s="1">
        <f ca="1">IFERROR(__xludf.DUMMYFUNCTION("""COMPUTED_VALUE"""),87.18)</f>
        <v>87.18</v>
      </c>
      <c r="U1231" s="1">
        <f ca="1">IFERROR(__xludf.DUMMYFUNCTION("""COMPUTED_VALUE"""),73.36)</f>
        <v>73.36</v>
      </c>
      <c r="V1231" s="1">
        <f ca="1">IFERROR(__xludf.DUMMYFUNCTION("""COMPUTED_VALUE"""),382.33)</f>
        <v>382.33</v>
      </c>
      <c r="W1231" s="1">
        <f ca="1">IFERROR(__xludf.DUMMYFUNCTION("""COMPUTED_VALUE"""),533.26)</f>
        <v>533.26</v>
      </c>
      <c r="X1231" s="1">
        <f ca="1">IFERROR(__xludf.DUMMYFUNCTION("""COMPUTED_VALUE"""),662.16)</f>
        <v>662.16</v>
      </c>
      <c r="Y1231" s="1">
        <f ca="1">IFERROR(__xludf.DUMMYFUNCTION("""COMPUTED_VALUE"""),189.67)</f>
        <v>189.67</v>
      </c>
      <c r="Z1231" s="1">
        <f ca="1">IFERROR(__xludf.DUMMYFUNCTION("""COMPUTED_VALUE"""),581.93)</f>
        <v>581.92999999999995</v>
      </c>
      <c r="AA1231" s="1">
        <f ca="1">IFERROR(__xludf.DUMMYFUNCTION("""COMPUTED_VALUE"""),25.1)</f>
        <v>25.1</v>
      </c>
      <c r="AB1231" s="1">
        <f ca="1">IFERROR(__xludf.DUMMYFUNCTION("""COMPUTED_VALUE"""),98.26)</f>
        <v>98.26</v>
      </c>
      <c r="AC1231" s="1">
        <f ca="1">IFERROR(__xludf.DUMMYFUNCTION("""COMPUTED_VALUE"""),137.6)</f>
        <v>137.6</v>
      </c>
    </row>
    <row r="1232" spans="1:29" x14ac:dyDescent="0.25">
      <c r="A1232" s="2">
        <f ca="1">IFERROR(__xludf.DUMMYFUNCTION("""COMPUTED_VALUE"""),45616.6666666666)</f>
        <v>45616.666666666599</v>
      </c>
      <c r="B1232" s="1">
        <f ca="1">IFERROR(__xludf.DUMMYFUNCTION("""COMPUTED_VALUE"""),229)</f>
        <v>229</v>
      </c>
      <c r="C1232" s="1">
        <f ca="1">IFERROR(__xludf.DUMMYFUNCTION("""COMPUTED_VALUE"""),415.49)</f>
        <v>415.49</v>
      </c>
      <c r="D1232" s="1">
        <f ca="1">IFERROR(__xludf.DUMMYFUNCTION("""COMPUTED_VALUE"""),202.88)</f>
        <v>202.88</v>
      </c>
      <c r="E1232" s="1">
        <f ca="1">IFERROR(__xludf.DUMMYFUNCTION("""COMPUTED_VALUE"""),145.89)</f>
        <v>145.88999999999999</v>
      </c>
      <c r="F1232" s="1">
        <f ca="1">IFERROR(__xludf.DUMMYFUNCTION("""COMPUTED_VALUE"""),563.09)</f>
        <v>563.09</v>
      </c>
      <c r="G1232" s="1">
        <f ca="1">IFERROR(__xludf.DUMMYFUNCTION("""COMPUTED_VALUE"""),177.33)</f>
        <v>177.33</v>
      </c>
      <c r="H1232" s="1">
        <f ca="1">IFERROR(__xludf.DUMMYFUNCTION("""COMPUTED_VALUE"""),339.64)</f>
        <v>339.64</v>
      </c>
      <c r="I1232" s="1">
        <f ca="1">IFERROR(__xludf.DUMMYFUNCTION("""COMPUTED_VALUE"""),160.34)</f>
        <v>160.34</v>
      </c>
      <c r="J1232" s="1">
        <f ca="1">IFERROR(__xludf.DUMMYFUNCTION("""COMPUTED_VALUE"""),928.08)</f>
        <v>928.08</v>
      </c>
      <c r="K1232" s="1">
        <f ca="1">IFERROR(__xludf.DUMMYFUNCTION("""COMPUTED_VALUE"""),163.25)</f>
        <v>163.25</v>
      </c>
      <c r="L1232" s="1">
        <f ca="1">IFERROR(__xludf.DUMMYFUNCTION("""COMPUTED_VALUE"""),499.5)</f>
        <v>499.5</v>
      </c>
      <c r="M1232" s="1">
        <f ca="1">IFERROR(__xludf.DUMMYFUNCTION("""COMPUTED_VALUE"""),883.85)</f>
        <v>883.85</v>
      </c>
      <c r="N1232" s="1">
        <f ca="1">IFERROR(__xludf.DUMMYFUNCTION("""COMPUTED_VALUE"""),244.76)</f>
        <v>244.76</v>
      </c>
      <c r="O1232" s="1">
        <f ca="1">IFERROR(__xludf.DUMMYFUNCTION("""COMPUTED_VALUE"""),307.39)</f>
        <v>307.39</v>
      </c>
      <c r="P1232" s="1">
        <f ca="1">IFERROR(__xludf.DUMMYFUNCTION("""COMPUTED_VALUE"""),153.11)</f>
        <v>153.11000000000001</v>
      </c>
      <c r="Q1232" s="1">
        <f ca="1">IFERROR(__xludf.DUMMYFUNCTION("""COMPUTED_VALUE"""),600.5)</f>
        <v>600.5</v>
      </c>
      <c r="R1232" s="1">
        <f ca="1">IFERROR(__xludf.DUMMYFUNCTION("""COMPUTED_VALUE"""),120.32)</f>
        <v>120.32</v>
      </c>
      <c r="S1232" s="1">
        <f ca="1">IFERROR(__xludf.DUMMYFUNCTION("""COMPUTED_VALUE"""),76.88)</f>
        <v>76.88</v>
      </c>
      <c r="T1232" s="1">
        <f ca="1">IFERROR(__xludf.DUMMYFUNCTION("""COMPUTED_VALUE"""),88.39)</f>
        <v>88.39</v>
      </c>
      <c r="U1232" s="1">
        <f ca="1">IFERROR(__xludf.DUMMYFUNCTION("""COMPUTED_VALUE"""),75.1)</f>
        <v>75.099999999999994</v>
      </c>
      <c r="V1232" s="1">
        <f ca="1">IFERROR(__xludf.DUMMYFUNCTION("""COMPUTED_VALUE"""),381.5)</f>
        <v>381.5</v>
      </c>
      <c r="W1232" s="1">
        <f ca="1">IFERROR(__xludf.DUMMYFUNCTION("""COMPUTED_VALUE"""),534.73)</f>
        <v>534.73</v>
      </c>
      <c r="X1232" s="1">
        <f ca="1">IFERROR(__xludf.DUMMYFUNCTION("""COMPUTED_VALUE"""),658.43)</f>
        <v>658.43</v>
      </c>
      <c r="Y1232" s="1">
        <f ca="1">IFERROR(__xludf.DUMMYFUNCTION("""COMPUTED_VALUE"""),188.36)</f>
        <v>188.36</v>
      </c>
      <c r="Z1232" s="1">
        <f ca="1">IFERROR(__xludf.DUMMYFUNCTION("""COMPUTED_VALUE"""),596.11)</f>
        <v>596.11</v>
      </c>
      <c r="AA1232" s="1">
        <f ca="1">IFERROR(__xludf.DUMMYFUNCTION("""COMPUTED_VALUE"""),24.94)</f>
        <v>24.94</v>
      </c>
      <c r="AB1232" s="1">
        <f ca="1">IFERROR(__xludf.DUMMYFUNCTION("""COMPUTED_VALUE"""),100.06)</f>
        <v>100.06</v>
      </c>
      <c r="AC1232" s="1">
        <f ca="1">IFERROR(__xludf.DUMMYFUNCTION("""COMPUTED_VALUE"""),137.49)</f>
        <v>137.49</v>
      </c>
    </row>
    <row r="1233" spans="1:29" x14ac:dyDescent="0.25">
      <c r="A1233" s="2">
        <f ca="1">IFERROR(__xludf.DUMMYFUNCTION("""COMPUTED_VALUE"""),45617.6666666666)</f>
        <v>45617.666666666599</v>
      </c>
      <c r="B1233" s="1">
        <f ca="1">IFERROR(__xludf.DUMMYFUNCTION("""COMPUTED_VALUE"""),228.52)</f>
        <v>228.52</v>
      </c>
      <c r="C1233" s="1">
        <f ca="1">IFERROR(__xludf.DUMMYFUNCTION("""COMPUTED_VALUE"""),412.87)</f>
        <v>412.87</v>
      </c>
      <c r="D1233" s="1">
        <f ca="1">IFERROR(__xludf.DUMMYFUNCTION("""COMPUTED_VALUE"""),198.38)</f>
        <v>198.38</v>
      </c>
      <c r="E1233" s="1">
        <f ca="1">IFERROR(__xludf.DUMMYFUNCTION("""COMPUTED_VALUE"""),146.67)</f>
        <v>146.66999999999999</v>
      </c>
      <c r="F1233" s="1">
        <f ca="1">IFERROR(__xludf.DUMMYFUNCTION("""COMPUTED_VALUE"""),559.14)</f>
        <v>559.14</v>
      </c>
      <c r="G1233" s="1">
        <f ca="1">IFERROR(__xludf.DUMMYFUNCTION("""COMPUTED_VALUE"""),169.24)</f>
        <v>169.24</v>
      </c>
      <c r="H1233" s="1">
        <f ca="1">IFERROR(__xludf.DUMMYFUNCTION("""COMPUTED_VALUE"""),352.56)</f>
        <v>352.56</v>
      </c>
      <c r="I1233" s="1">
        <f ca="1">IFERROR(__xludf.DUMMYFUNCTION("""COMPUTED_VALUE"""),162)</f>
        <v>162</v>
      </c>
      <c r="J1233" s="1">
        <f ca="1">IFERROR(__xludf.DUMMYFUNCTION("""COMPUTED_VALUE"""),955.65)</f>
        <v>955.65</v>
      </c>
      <c r="K1233" s="1">
        <f ca="1">IFERROR(__xludf.DUMMYFUNCTION("""COMPUTED_VALUE"""),163.94)</f>
        <v>163.94</v>
      </c>
      <c r="L1233" s="1">
        <f ca="1">IFERROR(__xludf.DUMMYFUNCTION("""COMPUTED_VALUE"""),504.44)</f>
        <v>504.44</v>
      </c>
      <c r="M1233" s="1">
        <f ca="1">IFERROR(__xludf.DUMMYFUNCTION("""COMPUTED_VALUE"""),897.48)</f>
        <v>897.48</v>
      </c>
      <c r="N1233" s="1">
        <f ca="1">IFERROR(__xludf.DUMMYFUNCTION("""COMPUTED_VALUE"""),248.55)</f>
        <v>248.55</v>
      </c>
      <c r="O1233" s="1">
        <f ca="1">IFERROR(__xludf.DUMMYFUNCTION("""COMPUTED_VALUE"""),309.9)</f>
        <v>309.89999999999998</v>
      </c>
      <c r="P1233" s="1">
        <f ca="1">IFERROR(__xludf.DUMMYFUNCTION("""COMPUTED_VALUE"""),155.5)</f>
        <v>155.5</v>
      </c>
      <c r="Q1233" s="1">
        <f ca="1">IFERROR(__xludf.DUMMYFUNCTION("""COMPUTED_VALUE"""),597.49)</f>
        <v>597.49</v>
      </c>
      <c r="R1233" s="1">
        <f ca="1">IFERROR(__xludf.DUMMYFUNCTION("""COMPUTED_VALUE"""),121.93)</f>
        <v>121.93</v>
      </c>
      <c r="S1233" s="1">
        <f ca="1">IFERROR(__xludf.DUMMYFUNCTION("""COMPUTED_VALUE"""),77.36)</f>
        <v>77.36</v>
      </c>
      <c r="T1233" s="1">
        <f ca="1">IFERROR(__xludf.DUMMYFUNCTION("""COMPUTED_VALUE"""),90.44)</f>
        <v>90.44</v>
      </c>
      <c r="U1233" s="1">
        <f ca="1">IFERROR(__xludf.DUMMYFUNCTION("""COMPUTED_VALUE"""),77.4)</f>
        <v>77.400000000000006</v>
      </c>
      <c r="V1233" s="1">
        <f ca="1">IFERROR(__xludf.DUMMYFUNCTION("""COMPUTED_VALUE"""),389.59)</f>
        <v>389.59</v>
      </c>
      <c r="W1233" s="1">
        <f ca="1">IFERROR(__xludf.DUMMYFUNCTION("""COMPUTED_VALUE"""),542.01)</f>
        <v>542.01</v>
      </c>
      <c r="X1233" s="1">
        <f ca="1">IFERROR(__xludf.DUMMYFUNCTION("""COMPUTED_VALUE"""),672.16)</f>
        <v>672.16</v>
      </c>
      <c r="Y1233" s="1">
        <f ca="1">IFERROR(__xludf.DUMMYFUNCTION("""COMPUTED_VALUE"""),191.24)</f>
        <v>191.24</v>
      </c>
      <c r="Z1233" s="1">
        <f ca="1">IFERROR(__xludf.DUMMYFUNCTION("""COMPUTED_VALUE"""),602.78)</f>
        <v>602.78</v>
      </c>
      <c r="AA1233" s="1">
        <f ca="1">IFERROR(__xludf.DUMMYFUNCTION("""COMPUTED_VALUE"""),25.13)</f>
        <v>25.13</v>
      </c>
      <c r="AB1233" s="1">
        <f ca="1">IFERROR(__xludf.DUMMYFUNCTION("""COMPUTED_VALUE"""),102.5)</f>
        <v>102.5</v>
      </c>
      <c r="AC1233" s="1">
        <f ca="1">IFERROR(__xludf.DUMMYFUNCTION("""COMPUTED_VALUE"""),138.35)</f>
        <v>138.35</v>
      </c>
    </row>
    <row r="1234" spans="1:29" x14ac:dyDescent="0.25">
      <c r="A1234" s="2">
        <f ca="1">IFERROR(__xludf.DUMMYFUNCTION("""COMPUTED_VALUE"""),45618.6666666666)</f>
        <v>45618.666666666599</v>
      </c>
      <c r="B1234" s="1">
        <f ca="1">IFERROR(__xludf.DUMMYFUNCTION("""COMPUTED_VALUE"""),229.87)</f>
        <v>229.87</v>
      </c>
      <c r="C1234" s="1">
        <f ca="1">IFERROR(__xludf.DUMMYFUNCTION("""COMPUTED_VALUE"""),417)</f>
        <v>417</v>
      </c>
      <c r="D1234" s="1">
        <f ca="1">IFERROR(__xludf.DUMMYFUNCTION("""COMPUTED_VALUE"""),197.12)</f>
        <v>197.12</v>
      </c>
      <c r="E1234" s="1">
        <f ca="1">IFERROR(__xludf.DUMMYFUNCTION("""COMPUTED_VALUE"""),141.95)</f>
        <v>141.94999999999999</v>
      </c>
      <c r="F1234" s="1">
        <f ca="1">IFERROR(__xludf.DUMMYFUNCTION("""COMPUTED_VALUE"""),565.11)</f>
        <v>565.11</v>
      </c>
      <c r="G1234" s="1">
        <f ca="1">IFERROR(__xludf.DUMMYFUNCTION("""COMPUTED_VALUE"""),166.57)</f>
        <v>166.57</v>
      </c>
      <c r="H1234" s="1">
        <f ca="1">IFERROR(__xludf.DUMMYFUNCTION("""COMPUTED_VALUE"""),338.59)</f>
        <v>338.59</v>
      </c>
      <c r="I1234" s="1">
        <f ca="1">IFERROR(__xludf.DUMMYFUNCTION("""COMPUTED_VALUE"""),163.05)</f>
        <v>163.05000000000001</v>
      </c>
      <c r="J1234" s="1">
        <f ca="1">IFERROR(__xludf.DUMMYFUNCTION("""COMPUTED_VALUE"""),964.01)</f>
        <v>964.01</v>
      </c>
      <c r="K1234" s="1">
        <f ca="1">IFERROR(__xludf.DUMMYFUNCTION("""COMPUTED_VALUE"""),164.23)</f>
        <v>164.23</v>
      </c>
      <c r="L1234" s="1">
        <f ca="1">IFERROR(__xludf.DUMMYFUNCTION("""COMPUTED_VALUE"""),512.15)</f>
        <v>512.15</v>
      </c>
      <c r="M1234" s="1">
        <f ca="1">IFERROR(__xludf.DUMMYFUNCTION("""COMPUTED_VALUE"""),897.79)</f>
        <v>897.79</v>
      </c>
      <c r="N1234" s="1">
        <f ca="1">IFERROR(__xludf.DUMMYFUNCTION("""COMPUTED_VALUE"""),250.29)</f>
        <v>250.29</v>
      </c>
      <c r="O1234" s="1">
        <f ca="1">IFERROR(__xludf.DUMMYFUNCTION("""COMPUTED_VALUE"""),309.92)</f>
        <v>309.92</v>
      </c>
      <c r="P1234" s="1">
        <f ca="1">IFERROR(__xludf.DUMMYFUNCTION("""COMPUTED_VALUE"""),155.17)</f>
        <v>155.16999999999999</v>
      </c>
      <c r="Q1234" s="1">
        <f ca="1">IFERROR(__xludf.DUMMYFUNCTION("""COMPUTED_VALUE"""),590.87)</f>
        <v>590.87</v>
      </c>
      <c r="R1234" s="1">
        <f ca="1">IFERROR(__xludf.DUMMYFUNCTION("""COMPUTED_VALUE"""),121.79)</f>
        <v>121.79</v>
      </c>
      <c r="S1234" s="1">
        <f ca="1">IFERROR(__xludf.DUMMYFUNCTION("""COMPUTED_VALUE"""),76)</f>
        <v>76</v>
      </c>
      <c r="T1234" s="1">
        <f ca="1">IFERROR(__xludf.DUMMYFUNCTION("""COMPUTED_VALUE"""),89.5)</f>
        <v>89.5</v>
      </c>
      <c r="U1234" s="1">
        <f ca="1">IFERROR(__xludf.DUMMYFUNCTION("""COMPUTED_VALUE"""),79.26)</f>
        <v>79.260000000000005</v>
      </c>
      <c r="V1234" s="1">
        <f ca="1">IFERROR(__xludf.DUMMYFUNCTION("""COMPUTED_VALUE"""),397.49)</f>
        <v>397.49</v>
      </c>
      <c r="W1234" s="1">
        <f ca="1">IFERROR(__xludf.DUMMYFUNCTION("""COMPUTED_VALUE"""),542.22)</f>
        <v>542.22</v>
      </c>
      <c r="X1234" s="1">
        <f ca="1">IFERROR(__xludf.DUMMYFUNCTION("""COMPUTED_VALUE"""),672.88)</f>
        <v>672.88</v>
      </c>
      <c r="Y1234" s="1">
        <f ca="1">IFERROR(__xludf.DUMMYFUNCTION("""COMPUTED_VALUE"""),190.08)</f>
        <v>190.08</v>
      </c>
      <c r="Z1234" s="1">
        <f ca="1">IFERROR(__xludf.DUMMYFUNCTION("""COMPUTED_VALUE"""),603.03)</f>
        <v>603.03</v>
      </c>
      <c r="AA1234" s="1">
        <f ca="1">IFERROR(__xludf.DUMMYFUNCTION("""COMPUTED_VALUE"""),25.65)</f>
        <v>25.65</v>
      </c>
      <c r="AB1234" s="1">
        <f ca="1">IFERROR(__xludf.DUMMYFUNCTION("""COMPUTED_VALUE"""),101.84)</f>
        <v>101.84</v>
      </c>
      <c r="AC1234" s="1">
        <f ca="1">IFERROR(__xludf.DUMMYFUNCTION("""COMPUTED_VALUE"""),141.13)</f>
        <v>141.13</v>
      </c>
    </row>
    <row r="1235" spans="1:29" x14ac:dyDescent="0.25">
      <c r="A1235" s="2">
        <f ca="1">IFERROR(__xludf.DUMMYFUNCTION("""COMPUTED_VALUE"""),45621.6666666666)</f>
        <v>45621.666666666599</v>
      </c>
      <c r="B1235" s="1">
        <f ca="1">IFERROR(__xludf.DUMMYFUNCTION("""COMPUTED_VALUE"""),232.87)</f>
        <v>232.87</v>
      </c>
      <c r="C1235" s="1">
        <f ca="1">IFERROR(__xludf.DUMMYFUNCTION("""COMPUTED_VALUE"""),418.79)</f>
        <v>418.79</v>
      </c>
      <c r="D1235" s="1">
        <f ca="1">IFERROR(__xludf.DUMMYFUNCTION("""COMPUTED_VALUE"""),201.45)</f>
        <v>201.45</v>
      </c>
      <c r="E1235" s="1">
        <f ca="1">IFERROR(__xludf.DUMMYFUNCTION("""COMPUTED_VALUE"""),136.02)</f>
        <v>136.02000000000001</v>
      </c>
      <c r="F1235" s="1">
        <f ca="1">IFERROR(__xludf.DUMMYFUNCTION("""COMPUTED_VALUE"""),573.54)</f>
        <v>573.54</v>
      </c>
      <c r="G1235" s="1">
        <f ca="1">IFERROR(__xludf.DUMMYFUNCTION("""COMPUTED_VALUE"""),169.43)</f>
        <v>169.43</v>
      </c>
      <c r="H1235" s="1">
        <f ca="1">IFERROR(__xludf.DUMMYFUNCTION("""COMPUTED_VALUE"""),338.23)</f>
        <v>338.23</v>
      </c>
      <c r="I1235" s="1">
        <f ca="1">IFERROR(__xludf.DUMMYFUNCTION("""COMPUTED_VALUE"""),162.16)</f>
        <v>162.16</v>
      </c>
      <c r="J1235" s="1">
        <f ca="1">IFERROR(__xludf.DUMMYFUNCTION("""COMPUTED_VALUE"""),960.89)</f>
        <v>960.89</v>
      </c>
      <c r="K1235" s="1">
        <f ca="1">IFERROR(__xludf.DUMMYFUNCTION("""COMPUTED_VALUE"""),164.82)</f>
        <v>164.82</v>
      </c>
      <c r="L1235" s="1">
        <f ca="1">IFERROR(__xludf.DUMMYFUNCTION("""COMPUTED_VALUE"""),518.73)</f>
        <v>518.73</v>
      </c>
      <c r="M1235" s="1">
        <f ca="1">IFERROR(__xludf.DUMMYFUNCTION("""COMPUTED_VALUE"""),865.59)</f>
        <v>865.59</v>
      </c>
      <c r="N1235" s="1">
        <f ca="1">IFERROR(__xludf.DUMMYFUNCTION("""COMPUTED_VALUE"""),249.97)</f>
        <v>249.97</v>
      </c>
      <c r="O1235" s="1">
        <f ca="1">IFERROR(__xludf.DUMMYFUNCTION("""COMPUTED_VALUE"""),313.19)</f>
        <v>313.19</v>
      </c>
      <c r="P1235" s="1">
        <f ca="1">IFERROR(__xludf.DUMMYFUNCTION("""COMPUTED_VALUE"""),155.78)</f>
        <v>155.78</v>
      </c>
      <c r="Q1235" s="1">
        <f ca="1">IFERROR(__xludf.DUMMYFUNCTION("""COMPUTED_VALUE"""),605.83)</f>
        <v>605.83000000000004</v>
      </c>
      <c r="R1235" s="1">
        <f ca="1">IFERROR(__xludf.DUMMYFUNCTION("""COMPUTED_VALUE"""),119.97)</f>
        <v>119.97</v>
      </c>
      <c r="S1235" s="1">
        <f ca="1">IFERROR(__xludf.DUMMYFUNCTION("""COMPUTED_VALUE"""),76.64)</f>
        <v>76.64</v>
      </c>
      <c r="T1235" s="1">
        <f ca="1">IFERROR(__xludf.DUMMYFUNCTION("""COMPUTED_VALUE"""),91.31)</f>
        <v>91.31</v>
      </c>
      <c r="U1235" s="1">
        <f ca="1">IFERROR(__xludf.DUMMYFUNCTION("""COMPUTED_VALUE"""),77.61)</f>
        <v>77.61</v>
      </c>
      <c r="V1235" s="1">
        <f ca="1">IFERROR(__xludf.DUMMYFUNCTION("""COMPUTED_VALUE"""),405.65)</f>
        <v>405.65</v>
      </c>
      <c r="W1235" s="1">
        <f ca="1">IFERROR(__xludf.DUMMYFUNCTION("""COMPUTED_VALUE"""),521.89)</f>
        <v>521.89</v>
      </c>
      <c r="X1235" s="1">
        <f ca="1">IFERROR(__xludf.DUMMYFUNCTION("""COMPUTED_VALUE"""),684.47)</f>
        <v>684.47</v>
      </c>
      <c r="Y1235" s="1">
        <f ca="1">IFERROR(__xludf.DUMMYFUNCTION("""COMPUTED_VALUE"""),185.08)</f>
        <v>185.08</v>
      </c>
      <c r="Z1235" s="1">
        <f ca="1">IFERROR(__xludf.DUMMYFUNCTION("""COMPUTED_VALUE"""),605.5)</f>
        <v>605.5</v>
      </c>
      <c r="AA1235" s="1">
        <f ca="1">IFERROR(__xludf.DUMMYFUNCTION("""COMPUTED_VALUE"""),26.17)</f>
        <v>26.17</v>
      </c>
      <c r="AB1235" s="1">
        <f ca="1">IFERROR(__xludf.DUMMYFUNCTION("""COMPUTED_VALUE"""),100.68)</f>
        <v>100.68</v>
      </c>
      <c r="AC1235" s="1">
        <f ca="1">IFERROR(__xludf.DUMMYFUNCTION("""COMPUTED_VALUE"""),137.72)</f>
        <v>137.72</v>
      </c>
    </row>
    <row r="1236" spans="1:29" x14ac:dyDescent="0.25">
      <c r="A1236" s="2">
        <f ca="1">IFERROR(__xludf.DUMMYFUNCTION("""COMPUTED_VALUE"""),45622.6666666666)</f>
        <v>45622.666666666599</v>
      </c>
      <c r="B1236" s="1">
        <f ca="1">IFERROR(__xludf.DUMMYFUNCTION("""COMPUTED_VALUE"""),235.06)</f>
        <v>235.06</v>
      </c>
      <c r="C1236" s="1">
        <f ca="1">IFERROR(__xludf.DUMMYFUNCTION("""COMPUTED_VALUE"""),427.99)</f>
        <v>427.99</v>
      </c>
      <c r="D1236" s="1">
        <f ca="1">IFERROR(__xludf.DUMMYFUNCTION("""COMPUTED_VALUE"""),207.86)</f>
        <v>207.86</v>
      </c>
      <c r="E1236" s="1">
        <f ca="1">IFERROR(__xludf.DUMMYFUNCTION("""COMPUTED_VALUE"""),136.92)</f>
        <v>136.91999999999999</v>
      </c>
      <c r="F1236" s="1">
        <f ca="1">IFERROR(__xludf.DUMMYFUNCTION("""COMPUTED_VALUE"""),569.2)</f>
        <v>569.20000000000005</v>
      </c>
      <c r="G1236" s="1">
        <f ca="1">IFERROR(__xludf.DUMMYFUNCTION("""COMPUTED_VALUE"""),170.62)</f>
        <v>170.62</v>
      </c>
      <c r="H1236" s="1">
        <f ca="1">IFERROR(__xludf.DUMMYFUNCTION("""COMPUTED_VALUE"""),332.89)</f>
        <v>332.89</v>
      </c>
      <c r="I1236" s="1">
        <f ca="1">IFERROR(__xludf.DUMMYFUNCTION("""COMPUTED_VALUE"""),162.72)</f>
        <v>162.72</v>
      </c>
      <c r="J1236" s="1">
        <f ca="1">IFERROR(__xludf.DUMMYFUNCTION("""COMPUTED_VALUE"""),971.5)</f>
        <v>971.5</v>
      </c>
      <c r="K1236" s="1">
        <f ca="1">IFERROR(__xludf.DUMMYFUNCTION("""COMPUTED_VALUE"""),164.74)</f>
        <v>164.74</v>
      </c>
      <c r="L1236" s="1">
        <f ca="1">IFERROR(__xludf.DUMMYFUNCTION("""COMPUTED_VALUE"""),525.3)</f>
        <v>525.29999999999995</v>
      </c>
      <c r="M1236" s="1">
        <f ca="1">IFERROR(__xludf.DUMMYFUNCTION("""COMPUTED_VALUE"""),872.6)</f>
        <v>872.6</v>
      </c>
      <c r="N1236" s="1">
        <f ca="1">IFERROR(__xludf.DUMMYFUNCTION("""COMPUTED_VALUE"""),249.79)</f>
        <v>249.79</v>
      </c>
      <c r="O1236" s="1">
        <f ca="1">IFERROR(__xludf.DUMMYFUNCTION("""COMPUTED_VALUE"""),311.82)</f>
        <v>311.82</v>
      </c>
      <c r="P1236" s="1">
        <f ca="1">IFERROR(__xludf.DUMMYFUNCTION("""COMPUTED_VALUE"""),154.52)</f>
        <v>154.52000000000001</v>
      </c>
      <c r="Q1236" s="1">
        <f ca="1">IFERROR(__xludf.DUMMYFUNCTION("""COMPUTED_VALUE"""),606.79)</f>
        <v>606.79</v>
      </c>
      <c r="R1236" s="1">
        <f ca="1">IFERROR(__xludf.DUMMYFUNCTION("""COMPUTED_VALUE"""),117.97)</f>
        <v>117.97</v>
      </c>
      <c r="S1236" s="1">
        <f ca="1">IFERROR(__xludf.DUMMYFUNCTION("""COMPUTED_VALUE"""),77.49)</f>
        <v>77.489999999999995</v>
      </c>
      <c r="T1236" s="1">
        <f ca="1">IFERROR(__xludf.DUMMYFUNCTION("""COMPUTED_VALUE"""),91.88)</f>
        <v>91.88</v>
      </c>
      <c r="U1236" s="1">
        <f ca="1">IFERROR(__xludf.DUMMYFUNCTION("""COMPUTED_VALUE"""),78.34)</f>
        <v>78.34</v>
      </c>
      <c r="V1236" s="1">
        <f ca="1">IFERROR(__xludf.DUMMYFUNCTION("""COMPUTED_VALUE"""),407.83)</f>
        <v>407.83</v>
      </c>
      <c r="W1236" s="1">
        <f ca="1">IFERROR(__xludf.DUMMYFUNCTION("""COMPUTED_VALUE"""),521.45)</f>
        <v>521.45000000000005</v>
      </c>
      <c r="X1236" s="1">
        <f ca="1">IFERROR(__xludf.DUMMYFUNCTION("""COMPUTED_VALUE"""),671.97)</f>
        <v>671.97</v>
      </c>
      <c r="Y1236" s="1">
        <f ca="1">IFERROR(__xludf.DUMMYFUNCTION("""COMPUTED_VALUE"""),183.84)</f>
        <v>183.84</v>
      </c>
      <c r="Z1236" s="1">
        <f ca="1">IFERROR(__xludf.DUMMYFUNCTION("""COMPUTED_VALUE"""),605.43)</f>
        <v>605.42999999999995</v>
      </c>
      <c r="AA1236" s="1">
        <f ca="1">IFERROR(__xludf.DUMMYFUNCTION("""COMPUTED_VALUE"""),25.77)</f>
        <v>25.77</v>
      </c>
      <c r="AB1236" s="1">
        <f ca="1">IFERROR(__xludf.DUMMYFUNCTION("""COMPUTED_VALUE"""),101.51)</f>
        <v>101.51</v>
      </c>
      <c r="AC1236" s="1">
        <f ca="1">IFERROR(__xludf.DUMMYFUNCTION("""COMPUTED_VALUE"""),136.24)</f>
        <v>136.24</v>
      </c>
    </row>
    <row r="1237" spans="1:29" x14ac:dyDescent="0.25">
      <c r="A1237" s="2">
        <f ca="1">IFERROR(__xludf.DUMMYFUNCTION("""COMPUTED_VALUE"""),45623.6666666666)</f>
        <v>45623.666666666599</v>
      </c>
      <c r="B1237" s="1">
        <f ca="1">IFERROR(__xludf.DUMMYFUNCTION("""COMPUTED_VALUE"""),234.93)</f>
        <v>234.93</v>
      </c>
      <c r="C1237" s="1">
        <f ca="1">IFERROR(__xludf.DUMMYFUNCTION("""COMPUTED_VALUE"""),422.99)</f>
        <v>422.99</v>
      </c>
      <c r="D1237" s="1">
        <f ca="1">IFERROR(__xludf.DUMMYFUNCTION("""COMPUTED_VALUE"""),205.74)</f>
        <v>205.74</v>
      </c>
      <c r="E1237" s="1">
        <f ca="1">IFERROR(__xludf.DUMMYFUNCTION("""COMPUTED_VALUE"""),135.34)</f>
        <v>135.34</v>
      </c>
      <c r="F1237" s="1">
        <f ca="1">IFERROR(__xludf.DUMMYFUNCTION("""COMPUTED_VALUE"""),574.32)</f>
        <v>574.32000000000005</v>
      </c>
      <c r="G1237" s="1">
        <f ca="1">IFERROR(__xludf.DUMMYFUNCTION("""COMPUTED_VALUE"""),170.82)</f>
        <v>170.82</v>
      </c>
      <c r="H1237" s="1">
        <f ca="1">IFERROR(__xludf.DUMMYFUNCTION("""COMPUTED_VALUE"""),345.16)</f>
        <v>345.16</v>
      </c>
      <c r="I1237" s="1">
        <f ca="1">IFERROR(__xludf.DUMMYFUNCTION("""COMPUTED_VALUE"""),163.45)</f>
        <v>163.44999999999999</v>
      </c>
      <c r="J1237" s="1">
        <f ca="1">IFERROR(__xludf.DUMMYFUNCTION("""COMPUTED_VALUE"""),961.55)</f>
        <v>961.55</v>
      </c>
      <c r="K1237" s="1">
        <f ca="1">IFERROR(__xludf.DUMMYFUNCTION("""COMPUTED_VALUE"""),159.67)</f>
        <v>159.66999999999999</v>
      </c>
      <c r="L1237" s="1">
        <f ca="1">IFERROR(__xludf.DUMMYFUNCTION("""COMPUTED_VALUE"""),513.68)</f>
        <v>513.67999999999995</v>
      </c>
      <c r="M1237" s="1">
        <f ca="1">IFERROR(__xludf.DUMMYFUNCTION("""COMPUTED_VALUE"""),877.34)</f>
        <v>877.34</v>
      </c>
      <c r="N1237" s="1">
        <f ca="1">IFERROR(__xludf.DUMMYFUNCTION("""COMPUTED_VALUE"""),249.72)</f>
        <v>249.72</v>
      </c>
      <c r="O1237" s="1">
        <f ca="1">IFERROR(__xludf.DUMMYFUNCTION("""COMPUTED_VALUE"""),314.7)</f>
        <v>314.7</v>
      </c>
      <c r="P1237" s="1">
        <f ca="1">IFERROR(__xludf.DUMMYFUNCTION("""COMPUTED_VALUE"""),155.4)</f>
        <v>155.4</v>
      </c>
      <c r="Q1237" s="1">
        <f ca="1">IFERROR(__xludf.DUMMYFUNCTION("""COMPUTED_VALUE"""),608.38)</f>
        <v>608.38</v>
      </c>
      <c r="R1237" s="1">
        <f ca="1">IFERROR(__xludf.DUMMYFUNCTION("""COMPUTED_VALUE"""),117.66)</f>
        <v>117.66</v>
      </c>
      <c r="S1237" s="1">
        <f ca="1">IFERROR(__xludf.DUMMYFUNCTION("""COMPUTED_VALUE"""),78.52)</f>
        <v>78.52</v>
      </c>
      <c r="T1237" s="1">
        <f ca="1">IFERROR(__xludf.DUMMYFUNCTION("""COMPUTED_VALUE"""),92.5)</f>
        <v>92.5</v>
      </c>
      <c r="U1237" s="1">
        <f ca="1">IFERROR(__xludf.DUMMYFUNCTION("""COMPUTED_VALUE"""),78.77)</f>
        <v>78.77</v>
      </c>
      <c r="V1237" s="1">
        <f ca="1">IFERROR(__xludf.DUMMYFUNCTION("""COMPUTED_VALUE"""),403.7)</f>
        <v>403.7</v>
      </c>
      <c r="W1237" s="1">
        <f ca="1">IFERROR(__xludf.DUMMYFUNCTION("""COMPUTED_VALUE"""),525.75)</f>
        <v>525.75</v>
      </c>
      <c r="X1237" s="1">
        <f ca="1">IFERROR(__xludf.DUMMYFUNCTION("""COMPUTED_VALUE"""),670.48)</f>
        <v>670.48</v>
      </c>
      <c r="Y1237" s="1">
        <f ca="1">IFERROR(__xludf.DUMMYFUNCTION("""COMPUTED_VALUE"""),181.19)</f>
        <v>181.19</v>
      </c>
      <c r="Z1237" s="1">
        <f ca="1">IFERROR(__xludf.DUMMYFUNCTION("""COMPUTED_VALUE"""),608.57)</f>
        <v>608.57000000000005</v>
      </c>
      <c r="AA1237" s="1">
        <f ca="1">IFERROR(__xludf.DUMMYFUNCTION("""COMPUTED_VALUE"""),25.83)</f>
        <v>25.83</v>
      </c>
      <c r="AB1237" s="1">
        <f ca="1">IFERROR(__xludf.DUMMYFUNCTION("""COMPUTED_VALUE"""),102.46)</f>
        <v>102.46</v>
      </c>
      <c r="AC1237" s="1">
        <f ca="1">IFERROR(__xludf.DUMMYFUNCTION("""COMPUTED_VALUE"""),137.18)</f>
        <v>137.18</v>
      </c>
    </row>
    <row r="1238" spans="1:29" x14ac:dyDescent="0.25">
      <c r="A1238" s="2">
        <f ca="1">IFERROR(__xludf.DUMMYFUNCTION("""COMPUTED_VALUE"""),45625.5451388888)</f>
        <v>45625.545138888803</v>
      </c>
      <c r="B1238" s="1">
        <f ca="1">IFERROR(__xludf.DUMMYFUNCTION("""COMPUTED_VALUE"""),237.33)</f>
        <v>237.33</v>
      </c>
      <c r="C1238" s="1">
        <f ca="1">IFERROR(__xludf.DUMMYFUNCTION("""COMPUTED_VALUE"""),423.46)</f>
        <v>423.46</v>
      </c>
      <c r="D1238" s="1">
        <f ca="1">IFERROR(__xludf.DUMMYFUNCTION("""COMPUTED_VALUE"""),207.89)</f>
        <v>207.89</v>
      </c>
      <c r="E1238" s="1">
        <f ca="1">IFERROR(__xludf.DUMMYFUNCTION("""COMPUTED_VALUE"""),138.25)</f>
        <v>138.25</v>
      </c>
      <c r="F1238" s="1">
        <f ca="1">IFERROR(__xludf.DUMMYFUNCTION("""COMPUTED_VALUE"""),592.83)</f>
        <v>592.83000000000004</v>
      </c>
      <c r="G1238" s="1">
        <f ca="1">IFERROR(__xludf.DUMMYFUNCTION("""COMPUTED_VALUE"""),170.49)</f>
        <v>170.49</v>
      </c>
      <c r="H1238" s="1">
        <f ca="1">IFERROR(__xludf.DUMMYFUNCTION("""COMPUTED_VALUE"""),357.09)</f>
        <v>357.09</v>
      </c>
      <c r="I1238" s="1">
        <f ca="1">IFERROR(__xludf.DUMMYFUNCTION("""COMPUTED_VALUE"""),163.05)</f>
        <v>163.05000000000001</v>
      </c>
      <c r="J1238" s="1">
        <f ca="1">IFERROR(__xludf.DUMMYFUNCTION("""COMPUTED_VALUE"""),971.88)</f>
        <v>971.88</v>
      </c>
      <c r="K1238" s="1">
        <f ca="1">IFERROR(__xludf.DUMMYFUNCTION("""COMPUTED_VALUE"""),162.08)</f>
        <v>162.08000000000001</v>
      </c>
      <c r="L1238" s="1">
        <f ca="1">IFERROR(__xludf.DUMMYFUNCTION("""COMPUTED_VALUE"""),515.93)</f>
        <v>515.92999999999995</v>
      </c>
      <c r="M1238" s="1">
        <f ca="1">IFERROR(__xludf.DUMMYFUNCTION("""COMPUTED_VALUE"""),886.81)</f>
        <v>886.81</v>
      </c>
      <c r="N1238" s="1">
        <f ca="1">IFERROR(__xludf.DUMMYFUNCTION("""COMPUTED_VALUE"""),246.25)</f>
        <v>246.25</v>
      </c>
      <c r="O1238" s="1">
        <f ca="1">IFERROR(__xludf.DUMMYFUNCTION("""COMPUTED_VALUE"""),315.08)</f>
        <v>315.08</v>
      </c>
      <c r="P1238" s="1">
        <f ca="1">IFERROR(__xludf.DUMMYFUNCTION("""COMPUTED_VALUE"""),155.01)</f>
        <v>155.01</v>
      </c>
      <c r="Q1238" s="1">
        <f ca="1">IFERROR(__xludf.DUMMYFUNCTION("""COMPUTED_VALUE"""),610.2)</f>
        <v>610.20000000000005</v>
      </c>
      <c r="R1238" s="1">
        <f ca="1">IFERROR(__xludf.DUMMYFUNCTION("""COMPUTED_VALUE"""),117.96)</f>
        <v>117.96</v>
      </c>
      <c r="S1238" s="1">
        <f ca="1">IFERROR(__xludf.DUMMYFUNCTION("""COMPUTED_VALUE"""),78.67)</f>
        <v>78.67</v>
      </c>
      <c r="T1238" s="1">
        <f ca="1">IFERROR(__xludf.DUMMYFUNCTION("""COMPUTED_VALUE"""),92.64)</f>
        <v>92.64</v>
      </c>
      <c r="U1238" s="1">
        <f ca="1">IFERROR(__xludf.DUMMYFUNCTION("""COMPUTED_VALUE"""),79.09)</f>
        <v>79.09</v>
      </c>
      <c r="V1238" s="1">
        <f ca="1">IFERROR(__xludf.DUMMYFUNCTION("""COMPUTED_VALUE"""),406.11)</f>
        <v>406.11</v>
      </c>
      <c r="W1238" s="1">
        <f ca="1">IFERROR(__xludf.DUMMYFUNCTION("""COMPUTED_VALUE"""),529.41)</f>
        <v>529.41</v>
      </c>
      <c r="X1238" s="1">
        <f ca="1">IFERROR(__xludf.DUMMYFUNCTION("""COMPUTED_VALUE"""),686.61)</f>
        <v>686.61</v>
      </c>
      <c r="Y1238" s="1">
        <f ca="1">IFERROR(__xludf.DUMMYFUNCTION("""COMPUTED_VALUE"""),184.66)</f>
        <v>184.66</v>
      </c>
      <c r="Z1238" s="1">
        <f ca="1">IFERROR(__xludf.DUMMYFUNCTION("""COMPUTED_VALUE"""),601.71)</f>
        <v>601.71</v>
      </c>
      <c r="AA1238" s="1">
        <f ca="1">IFERROR(__xludf.DUMMYFUNCTION("""COMPUTED_VALUE"""),26.21)</f>
        <v>26.21</v>
      </c>
      <c r="AB1238" s="1">
        <f ca="1">IFERROR(__xludf.DUMMYFUNCTION("""COMPUTED_VALUE"""),101.51)</f>
        <v>101.51</v>
      </c>
      <c r="AC1238" s="1">
        <f ca="1">IFERROR(__xludf.DUMMYFUNCTION("""COMPUTED_VALUE"""),142.06)</f>
        <v>142.06</v>
      </c>
    </row>
    <row r="1239" spans="1:29" x14ac:dyDescent="0.25">
      <c r="A1239" s="2">
        <f ca="1">IFERROR(__xludf.DUMMYFUNCTION("""COMPUTED_VALUE"""),45628.6666666666)</f>
        <v>45628.666666666599</v>
      </c>
      <c r="B1239" s="1">
        <f ca="1">IFERROR(__xludf.DUMMYFUNCTION("""COMPUTED_VALUE"""),239.59)</f>
        <v>239.59</v>
      </c>
      <c r="C1239" s="1">
        <f ca="1">IFERROR(__xludf.DUMMYFUNCTION("""COMPUTED_VALUE"""),430.98)</f>
        <v>430.98</v>
      </c>
      <c r="D1239" s="1">
        <f ca="1">IFERROR(__xludf.DUMMYFUNCTION("""COMPUTED_VALUE"""),210.71)</f>
        <v>210.71</v>
      </c>
      <c r="E1239" s="1">
        <f ca="1">IFERROR(__xludf.DUMMYFUNCTION("""COMPUTED_VALUE"""),138.63)</f>
        <v>138.63</v>
      </c>
      <c r="F1239" s="1">
        <f ca="1">IFERROR(__xludf.DUMMYFUNCTION("""COMPUTED_VALUE"""),613.65)</f>
        <v>613.65</v>
      </c>
      <c r="G1239" s="1">
        <f ca="1">IFERROR(__xludf.DUMMYFUNCTION("""COMPUTED_VALUE"""),172.98)</f>
        <v>172.98</v>
      </c>
      <c r="H1239" s="1">
        <f ca="1">IFERROR(__xludf.DUMMYFUNCTION("""COMPUTED_VALUE"""),351.42)</f>
        <v>351.42</v>
      </c>
      <c r="I1239" s="1">
        <f ca="1">IFERROR(__xludf.DUMMYFUNCTION("""COMPUTED_VALUE"""),161.7)</f>
        <v>161.69999999999999</v>
      </c>
      <c r="J1239" s="1">
        <f ca="1">IFERROR(__xludf.DUMMYFUNCTION("""COMPUTED_VALUE"""),975)</f>
        <v>975</v>
      </c>
      <c r="K1239" s="1">
        <f ca="1">IFERROR(__xludf.DUMMYFUNCTION("""COMPUTED_VALUE"""),166.51)</f>
        <v>166.51</v>
      </c>
      <c r="L1239" s="1">
        <f ca="1">IFERROR(__xludf.DUMMYFUNCTION("""COMPUTED_VALUE"""),516.2)</f>
        <v>516.20000000000005</v>
      </c>
      <c r="M1239" s="1">
        <f ca="1">IFERROR(__xludf.DUMMYFUNCTION("""COMPUTED_VALUE"""),897.74)</f>
        <v>897.74</v>
      </c>
      <c r="N1239" s="1">
        <f ca="1">IFERROR(__xludf.DUMMYFUNCTION("""COMPUTED_VALUE"""),244.82)</f>
        <v>244.82</v>
      </c>
      <c r="O1239" s="1">
        <f ca="1">IFERROR(__xludf.DUMMYFUNCTION("""COMPUTED_VALUE"""),316.65)</f>
        <v>316.64999999999998</v>
      </c>
      <c r="P1239" s="1">
        <f ca="1">IFERROR(__xludf.DUMMYFUNCTION("""COMPUTED_VALUE"""),154.8)</f>
        <v>154.80000000000001</v>
      </c>
      <c r="Q1239" s="1">
        <f ca="1">IFERROR(__xludf.DUMMYFUNCTION("""COMPUTED_VALUE"""),608.52)</f>
        <v>608.52</v>
      </c>
      <c r="R1239" s="1">
        <f ca="1">IFERROR(__xludf.DUMMYFUNCTION("""COMPUTED_VALUE"""),117.85)</f>
        <v>117.85</v>
      </c>
      <c r="S1239" s="1">
        <f ca="1">IFERROR(__xludf.DUMMYFUNCTION("""COMPUTED_VALUE"""),77.07)</f>
        <v>77.069999999999993</v>
      </c>
      <c r="T1239" s="1">
        <f ca="1">IFERROR(__xludf.DUMMYFUNCTION("""COMPUTED_VALUE"""),93.51)</f>
        <v>93.51</v>
      </c>
      <c r="U1239" s="1">
        <f ca="1">IFERROR(__xludf.DUMMYFUNCTION("""COMPUTED_VALUE"""),78.86)</f>
        <v>78.86</v>
      </c>
      <c r="V1239" s="1">
        <f ca="1">IFERROR(__xludf.DUMMYFUNCTION("""COMPUTED_VALUE"""),402.51)</f>
        <v>402.51</v>
      </c>
      <c r="W1239" s="1">
        <f ca="1">IFERROR(__xludf.DUMMYFUNCTION("""COMPUTED_VALUE"""),520.34)</f>
        <v>520.34</v>
      </c>
      <c r="X1239" s="1">
        <f ca="1">IFERROR(__xludf.DUMMYFUNCTION("""COMPUTED_VALUE"""),711.47)</f>
        <v>711.47</v>
      </c>
      <c r="Y1239" s="1">
        <f ca="1">IFERROR(__xludf.DUMMYFUNCTION("""COMPUTED_VALUE"""),194.4)</f>
        <v>194.4</v>
      </c>
      <c r="Z1239" s="1">
        <f ca="1">IFERROR(__xludf.DUMMYFUNCTION("""COMPUTED_VALUE"""),602.08)</f>
        <v>602.08000000000004</v>
      </c>
      <c r="AA1239" s="1">
        <f ca="1">IFERROR(__xludf.DUMMYFUNCTION("""COMPUTED_VALUE"""),25.82)</f>
        <v>25.82</v>
      </c>
      <c r="AB1239" s="1">
        <f ca="1">IFERROR(__xludf.DUMMYFUNCTION("""COMPUTED_VALUE"""),101.57)</f>
        <v>101.57</v>
      </c>
      <c r="AC1239" s="1">
        <f ca="1">IFERROR(__xludf.DUMMYFUNCTION("""COMPUTED_VALUE"""),141.98)</f>
        <v>141.97999999999999</v>
      </c>
    </row>
    <row r="1240" spans="1:29" x14ac:dyDescent="0.25">
      <c r="A1240" s="2">
        <f ca="1">IFERROR(__xludf.DUMMYFUNCTION("""COMPUTED_VALUE"""),45629.6666666666)</f>
        <v>45629.666666666599</v>
      </c>
      <c r="B1240" s="1">
        <f ca="1">IFERROR(__xludf.DUMMYFUNCTION("""COMPUTED_VALUE"""),242.65)</f>
        <v>242.65</v>
      </c>
      <c r="C1240" s="1">
        <f ca="1">IFERROR(__xludf.DUMMYFUNCTION("""COMPUTED_VALUE"""),431.2)</f>
        <v>431.2</v>
      </c>
      <c r="D1240" s="1">
        <f ca="1">IFERROR(__xludf.DUMMYFUNCTION("""COMPUTED_VALUE"""),213.44)</f>
        <v>213.44</v>
      </c>
      <c r="E1240" s="1">
        <f ca="1">IFERROR(__xludf.DUMMYFUNCTION("""COMPUTED_VALUE"""),140.26)</f>
        <v>140.26</v>
      </c>
      <c r="F1240" s="1">
        <f ca="1">IFERROR(__xludf.DUMMYFUNCTION("""COMPUTED_VALUE"""),613.78)</f>
        <v>613.78</v>
      </c>
      <c r="G1240" s="1">
        <f ca="1">IFERROR(__xludf.DUMMYFUNCTION("""COMPUTED_VALUE"""),173.02)</f>
        <v>173.02</v>
      </c>
      <c r="H1240" s="1">
        <f ca="1">IFERROR(__xludf.DUMMYFUNCTION("""COMPUTED_VALUE"""),357.93)</f>
        <v>357.93</v>
      </c>
      <c r="I1240" s="1">
        <f ca="1">IFERROR(__xludf.DUMMYFUNCTION("""COMPUTED_VALUE"""),160.18)</f>
        <v>160.18</v>
      </c>
      <c r="J1240" s="1">
        <f ca="1">IFERROR(__xludf.DUMMYFUNCTION("""COMPUTED_VALUE"""),982.15)</f>
        <v>982.15</v>
      </c>
      <c r="K1240" s="1">
        <f ca="1">IFERROR(__xludf.DUMMYFUNCTION("""COMPUTED_VALUE"""),168.15)</f>
        <v>168.15</v>
      </c>
      <c r="L1240" s="1">
        <f ca="1">IFERROR(__xludf.DUMMYFUNCTION("""COMPUTED_VALUE"""),516.26)</f>
        <v>516.26</v>
      </c>
      <c r="M1240" s="1">
        <f ca="1">IFERROR(__xludf.DUMMYFUNCTION("""COMPUTED_VALUE"""),902.17)</f>
        <v>902.17</v>
      </c>
      <c r="N1240" s="1">
        <f ca="1">IFERROR(__xludf.DUMMYFUNCTION("""COMPUTED_VALUE"""),243.4)</f>
        <v>243.4</v>
      </c>
      <c r="O1240" s="1">
        <f ca="1">IFERROR(__xludf.DUMMYFUNCTION("""COMPUTED_VALUE"""),313.01)</f>
        <v>313.01</v>
      </c>
      <c r="P1240" s="1">
        <f ca="1">IFERROR(__xludf.DUMMYFUNCTION("""COMPUTED_VALUE"""),152.36)</f>
        <v>152.36000000000001</v>
      </c>
      <c r="Q1240" s="1">
        <f ca="1">IFERROR(__xludf.DUMMYFUNCTION("""COMPUTED_VALUE"""),605.23)</f>
        <v>605.23</v>
      </c>
      <c r="R1240" s="1">
        <f ca="1">IFERROR(__xludf.DUMMYFUNCTION("""COMPUTED_VALUE"""),117.67)</f>
        <v>117.67</v>
      </c>
      <c r="S1240" s="1">
        <f ca="1">IFERROR(__xludf.DUMMYFUNCTION("""COMPUTED_VALUE"""),76.29)</f>
        <v>76.290000000000006</v>
      </c>
      <c r="T1240" s="1">
        <f ca="1">IFERROR(__xludf.DUMMYFUNCTION("""COMPUTED_VALUE"""),94.45)</f>
        <v>94.45</v>
      </c>
      <c r="U1240" s="1">
        <f ca="1">IFERROR(__xludf.DUMMYFUNCTION("""COMPUTED_VALUE"""),78.37)</f>
        <v>78.37</v>
      </c>
      <c r="V1240" s="1">
        <f ca="1">IFERROR(__xludf.DUMMYFUNCTION("""COMPUTED_VALUE"""),399.26)</f>
        <v>399.26</v>
      </c>
      <c r="W1240" s="1">
        <f ca="1">IFERROR(__xludf.DUMMYFUNCTION("""COMPUTED_VALUE"""),517)</f>
        <v>517</v>
      </c>
      <c r="X1240" s="1">
        <f ca="1">IFERROR(__xludf.DUMMYFUNCTION("""COMPUTED_VALUE"""),718.06)</f>
        <v>718.06</v>
      </c>
      <c r="Y1240" s="1">
        <f ca="1">IFERROR(__xludf.DUMMYFUNCTION("""COMPUTED_VALUE"""),198.89)</f>
        <v>198.89</v>
      </c>
      <c r="Z1240" s="1">
        <f ca="1">IFERROR(__xludf.DUMMYFUNCTION("""COMPUTED_VALUE"""),598.71)</f>
        <v>598.71</v>
      </c>
      <c r="AA1240" s="1">
        <f ca="1">IFERROR(__xludf.DUMMYFUNCTION("""COMPUTED_VALUE"""),25.56)</f>
        <v>25.56</v>
      </c>
      <c r="AB1240" s="1">
        <f ca="1">IFERROR(__xludf.DUMMYFUNCTION("""COMPUTED_VALUE"""),100.7)</f>
        <v>100.7</v>
      </c>
      <c r="AC1240" s="1">
        <f ca="1">IFERROR(__xludf.DUMMYFUNCTION("""COMPUTED_VALUE"""),143.99)</f>
        <v>143.99</v>
      </c>
    </row>
    <row r="1241" spans="1:29" x14ac:dyDescent="0.25">
      <c r="A1241" s="2">
        <f ca="1">IFERROR(__xludf.DUMMYFUNCTION("""COMPUTED_VALUE"""),45630.6666666666)</f>
        <v>45630.666666666599</v>
      </c>
      <c r="B1241" s="1">
        <f ca="1">IFERROR(__xludf.DUMMYFUNCTION("""COMPUTED_VALUE"""),243.01)</f>
        <v>243.01</v>
      </c>
      <c r="C1241" s="1">
        <f ca="1">IFERROR(__xludf.DUMMYFUNCTION("""COMPUTED_VALUE"""),437.42)</f>
        <v>437.42</v>
      </c>
      <c r="D1241" s="1">
        <f ca="1">IFERROR(__xludf.DUMMYFUNCTION("""COMPUTED_VALUE"""),218.16)</f>
        <v>218.16</v>
      </c>
      <c r="E1241" s="1">
        <f ca="1">IFERROR(__xludf.DUMMYFUNCTION("""COMPUTED_VALUE"""),145.14)</f>
        <v>145.13999999999999</v>
      </c>
      <c r="F1241" s="1">
        <f ca="1">IFERROR(__xludf.DUMMYFUNCTION("""COMPUTED_VALUE"""),608.93)</f>
        <v>608.92999999999995</v>
      </c>
      <c r="G1241" s="1">
        <f ca="1">IFERROR(__xludf.DUMMYFUNCTION("""COMPUTED_VALUE"""),176.09)</f>
        <v>176.09</v>
      </c>
      <c r="H1241" s="1">
        <f ca="1">IFERROR(__xludf.DUMMYFUNCTION("""COMPUTED_VALUE"""),369.49)</f>
        <v>369.49</v>
      </c>
      <c r="I1241" s="1">
        <f ca="1">IFERROR(__xludf.DUMMYFUNCTION("""COMPUTED_VALUE"""),160.49)</f>
        <v>160.49</v>
      </c>
      <c r="J1241" s="1">
        <f ca="1">IFERROR(__xludf.DUMMYFUNCTION("""COMPUTED_VALUE"""),990.92)</f>
        <v>990.92</v>
      </c>
      <c r="K1241" s="1">
        <f ca="1">IFERROR(__xludf.DUMMYFUNCTION("""COMPUTED_VALUE"""),170.56)</f>
        <v>170.56</v>
      </c>
      <c r="L1241" s="1">
        <f ca="1">IFERROR(__xludf.DUMMYFUNCTION("""COMPUTED_VALUE"""),536.49)</f>
        <v>536.49</v>
      </c>
      <c r="M1241" s="1">
        <f ca="1">IFERROR(__xludf.DUMMYFUNCTION("""COMPUTED_VALUE"""),911.06)</f>
        <v>911.06</v>
      </c>
      <c r="N1241" s="1">
        <f ca="1">IFERROR(__xludf.DUMMYFUNCTION("""COMPUTED_VALUE"""),245.48)</f>
        <v>245.48</v>
      </c>
      <c r="O1241" s="1">
        <f ca="1">IFERROR(__xludf.DUMMYFUNCTION("""COMPUTED_VALUE"""),309.9)</f>
        <v>309.89999999999998</v>
      </c>
      <c r="P1241" s="1">
        <f ca="1">IFERROR(__xludf.DUMMYFUNCTION("""COMPUTED_VALUE"""),150.47)</f>
        <v>150.47</v>
      </c>
      <c r="Q1241" s="1">
        <f ca="1">IFERROR(__xludf.DUMMYFUNCTION("""COMPUTED_VALUE"""),610.79)</f>
        <v>610.79</v>
      </c>
      <c r="R1241" s="1">
        <f ca="1">IFERROR(__xludf.DUMMYFUNCTION("""COMPUTED_VALUE"""),114.28)</f>
        <v>114.28</v>
      </c>
      <c r="S1241" s="1">
        <f ca="1">IFERROR(__xludf.DUMMYFUNCTION("""COMPUTED_VALUE"""),75.74)</f>
        <v>75.739999999999995</v>
      </c>
      <c r="T1241" s="1">
        <f ca="1">IFERROR(__xludf.DUMMYFUNCTION("""COMPUTED_VALUE"""),95.3)</f>
        <v>95.3</v>
      </c>
      <c r="U1241" s="1">
        <f ca="1">IFERROR(__xludf.DUMMYFUNCTION("""COMPUTED_VALUE"""),78.58)</f>
        <v>78.58</v>
      </c>
      <c r="V1241" s="1">
        <f ca="1">IFERROR(__xludf.DUMMYFUNCTION("""COMPUTED_VALUE"""),399.51)</f>
        <v>399.51</v>
      </c>
      <c r="W1241" s="1">
        <f ca="1">IFERROR(__xludf.DUMMYFUNCTION("""COMPUTED_VALUE"""),517.5)</f>
        <v>517.5</v>
      </c>
      <c r="X1241" s="1">
        <f ca="1">IFERROR(__xludf.DUMMYFUNCTION("""COMPUTED_VALUE"""),719.92)</f>
        <v>719.92</v>
      </c>
      <c r="Y1241" s="1">
        <f ca="1">IFERROR(__xludf.DUMMYFUNCTION("""COMPUTED_VALUE"""),200.69)</f>
        <v>200.69</v>
      </c>
      <c r="Z1241" s="1">
        <f ca="1">IFERROR(__xludf.DUMMYFUNCTION("""COMPUTED_VALUE"""),596.8)</f>
        <v>596.79999999999995</v>
      </c>
      <c r="AA1241" s="1">
        <f ca="1">IFERROR(__xludf.DUMMYFUNCTION("""COMPUTED_VALUE"""),25.23)</f>
        <v>25.23</v>
      </c>
      <c r="AB1241" s="1">
        <f ca="1">IFERROR(__xludf.DUMMYFUNCTION("""COMPUTED_VALUE"""),99.23)</f>
        <v>99.23</v>
      </c>
      <c r="AC1241" s="1">
        <f ca="1">IFERROR(__xludf.DUMMYFUNCTION("""COMPUTED_VALUE"""),141.36)</f>
        <v>141.36000000000001</v>
      </c>
    </row>
    <row r="1242" spans="1:29" x14ac:dyDescent="0.25">
      <c r="A1242" s="2">
        <f ca="1">IFERROR(__xludf.DUMMYFUNCTION("""COMPUTED_VALUE"""),45631.6666666666)</f>
        <v>45631.666666666599</v>
      </c>
      <c r="B1242" s="1">
        <f ca="1">IFERROR(__xludf.DUMMYFUNCTION("""COMPUTED_VALUE"""),243.04)</f>
        <v>243.04</v>
      </c>
      <c r="C1242" s="1">
        <f ca="1">IFERROR(__xludf.DUMMYFUNCTION("""COMPUTED_VALUE"""),442.62)</f>
        <v>442.62</v>
      </c>
      <c r="D1242" s="1">
        <f ca="1">IFERROR(__xludf.DUMMYFUNCTION("""COMPUTED_VALUE"""),220.55)</f>
        <v>220.55</v>
      </c>
      <c r="E1242" s="1">
        <f ca="1">IFERROR(__xludf.DUMMYFUNCTION("""COMPUTED_VALUE"""),145.06)</f>
        <v>145.06</v>
      </c>
      <c r="F1242" s="1">
        <f ca="1">IFERROR(__xludf.DUMMYFUNCTION("""COMPUTED_VALUE"""),623.77)</f>
        <v>623.77</v>
      </c>
      <c r="G1242" s="1">
        <f ca="1">IFERROR(__xludf.DUMMYFUNCTION("""COMPUTED_VALUE"""),174.31)</f>
        <v>174.31</v>
      </c>
      <c r="H1242" s="1">
        <f ca="1">IFERROR(__xludf.DUMMYFUNCTION("""COMPUTED_VALUE"""),389.22)</f>
        <v>389.22</v>
      </c>
      <c r="I1242" s="1">
        <f ca="1">IFERROR(__xludf.DUMMYFUNCTION("""COMPUTED_VALUE"""),157.79)</f>
        <v>157.79</v>
      </c>
      <c r="J1242" s="1">
        <f ca="1">IFERROR(__xludf.DUMMYFUNCTION("""COMPUTED_VALUE"""),982.26)</f>
        <v>982.26</v>
      </c>
      <c r="K1242" s="1">
        <f ca="1">IFERROR(__xludf.DUMMYFUNCTION("""COMPUTED_VALUE"""),170.47)</f>
        <v>170.47</v>
      </c>
      <c r="L1242" s="1">
        <f ca="1">IFERROR(__xludf.DUMMYFUNCTION("""COMPUTED_VALUE"""),538.22)</f>
        <v>538.22</v>
      </c>
      <c r="M1242" s="1">
        <f ca="1">IFERROR(__xludf.DUMMYFUNCTION("""COMPUTED_VALUE"""),917.87)</f>
        <v>917.87</v>
      </c>
      <c r="N1242" s="1">
        <f ca="1">IFERROR(__xludf.DUMMYFUNCTION("""COMPUTED_VALUE"""),247.36)</f>
        <v>247.36</v>
      </c>
      <c r="O1242" s="1">
        <f ca="1">IFERROR(__xludf.DUMMYFUNCTION("""COMPUTED_VALUE"""),309.08)</f>
        <v>309.08</v>
      </c>
      <c r="P1242" s="1">
        <f ca="1">IFERROR(__xludf.DUMMYFUNCTION("""COMPUTED_VALUE"""),149.52)</f>
        <v>149.52000000000001</v>
      </c>
      <c r="Q1242" s="1">
        <f ca="1">IFERROR(__xludf.DUMMYFUNCTION("""COMPUTED_VALUE"""),578.97)</f>
        <v>578.97</v>
      </c>
      <c r="R1242" s="1">
        <f ca="1">IFERROR(__xludf.DUMMYFUNCTION("""COMPUTED_VALUE"""),114.78)</f>
        <v>114.78</v>
      </c>
      <c r="S1242" s="1">
        <f ca="1">IFERROR(__xludf.DUMMYFUNCTION("""COMPUTED_VALUE"""),76.2)</f>
        <v>76.2</v>
      </c>
      <c r="T1242" s="1">
        <f ca="1">IFERROR(__xludf.DUMMYFUNCTION("""COMPUTED_VALUE"""),95.7)</f>
        <v>95.7</v>
      </c>
      <c r="U1242" s="1">
        <f ca="1">IFERROR(__xludf.DUMMYFUNCTION("""COMPUTED_VALUE"""),78.89)</f>
        <v>78.89</v>
      </c>
      <c r="V1242" s="1">
        <f ca="1">IFERROR(__xludf.DUMMYFUNCTION("""COMPUTED_VALUE"""),394.98)</f>
        <v>394.98</v>
      </c>
      <c r="W1242" s="1">
        <f ca="1">IFERROR(__xludf.DUMMYFUNCTION("""COMPUTED_VALUE"""),517.48)</f>
        <v>517.48</v>
      </c>
      <c r="X1242" s="1">
        <f ca="1">IFERROR(__xludf.DUMMYFUNCTION("""COMPUTED_VALUE"""),711.5)</f>
        <v>711.5</v>
      </c>
      <c r="Y1242" s="1">
        <f ca="1">IFERROR(__xludf.DUMMYFUNCTION("""COMPUTED_VALUE"""),204.3)</f>
        <v>204.3</v>
      </c>
      <c r="Z1242" s="1">
        <f ca="1">IFERROR(__xludf.DUMMYFUNCTION("""COMPUTED_VALUE"""),599.68)</f>
        <v>599.67999999999995</v>
      </c>
      <c r="AA1242" s="1">
        <f ca="1">IFERROR(__xludf.DUMMYFUNCTION("""COMPUTED_VALUE"""),25.7)</f>
        <v>25.7</v>
      </c>
      <c r="AB1242" s="1">
        <f ca="1">IFERROR(__xludf.DUMMYFUNCTION("""COMPUTED_VALUE"""),100.11)</f>
        <v>100.11</v>
      </c>
      <c r="AC1242" s="1">
        <f ca="1">IFERROR(__xludf.DUMMYFUNCTION("""COMPUTED_VALUE"""),138.59)</f>
        <v>138.59</v>
      </c>
    </row>
    <row r="1243" spans="1:29" x14ac:dyDescent="0.25">
      <c r="A1243" s="2">
        <f ca="1">IFERROR(__xludf.DUMMYFUNCTION("""COMPUTED_VALUE"""),45632.6666666666)</f>
        <v>45632.666666666599</v>
      </c>
      <c r="B1243" s="1">
        <f ca="1">IFERROR(__xludf.DUMMYFUNCTION("""COMPUTED_VALUE"""),242.84)</f>
        <v>242.84</v>
      </c>
      <c r="C1243" s="1">
        <f ca="1">IFERROR(__xludf.DUMMYFUNCTION("""COMPUTED_VALUE"""),443.57)</f>
        <v>443.57</v>
      </c>
      <c r="D1243" s="1">
        <f ca="1">IFERROR(__xludf.DUMMYFUNCTION("""COMPUTED_VALUE"""),227.03)</f>
        <v>227.03</v>
      </c>
      <c r="E1243" s="1">
        <f ca="1">IFERROR(__xludf.DUMMYFUNCTION("""COMPUTED_VALUE"""),142.44)</f>
        <v>142.44</v>
      </c>
      <c r="F1243" s="1">
        <f ca="1">IFERROR(__xludf.DUMMYFUNCTION("""COMPUTED_VALUE"""),613.57)</f>
        <v>613.57000000000005</v>
      </c>
      <c r="G1243" s="1">
        <f ca="1">IFERROR(__xludf.DUMMYFUNCTION("""COMPUTED_VALUE"""),176.49)</f>
        <v>176.49</v>
      </c>
      <c r="H1243" s="1">
        <f ca="1">IFERROR(__xludf.DUMMYFUNCTION("""COMPUTED_VALUE"""),389.79)</f>
        <v>389.79</v>
      </c>
      <c r="I1243" s="1">
        <f ca="1">IFERROR(__xludf.DUMMYFUNCTION("""COMPUTED_VALUE"""),159.47)</f>
        <v>159.47</v>
      </c>
      <c r="J1243" s="1">
        <f ca="1">IFERROR(__xludf.DUMMYFUNCTION("""COMPUTED_VALUE"""),992.61)</f>
        <v>992.61</v>
      </c>
      <c r="K1243" s="1">
        <f ca="1">IFERROR(__xludf.DUMMYFUNCTION("""COMPUTED_VALUE"""),179.53)</f>
        <v>179.53</v>
      </c>
      <c r="L1243" s="1">
        <f ca="1">IFERROR(__xludf.DUMMYFUNCTION("""COMPUTED_VALUE"""),552.96)</f>
        <v>552.96</v>
      </c>
      <c r="M1243" s="1">
        <f ca="1">IFERROR(__xludf.DUMMYFUNCTION("""COMPUTED_VALUE"""),934.74)</f>
        <v>934.74</v>
      </c>
      <c r="N1243" s="1">
        <f ca="1">IFERROR(__xludf.DUMMYFUNCTION("""COMPUTED_VALUE"""),243.81)</f>
        <v>243.81</v>
      </c>
      <c r="O1243" s="1">
        <f ca="1">IFERROR(__xludf.DUMMYFUNCTION("""COMPUTED_VALUE"""),311.01)</f>
        <v>311.01</v>
      </c>
      <c r="P1243" s="1">
        <f ca="1">IFERROR(__xludf.DUMMYFUNCTION("""COMPUTED_VALUE"""),149.31)</f>
        <v>149.31</v>
      </c>
      <c r="Q1243" s="1">
        <f ca="1">IFERROR(__xludf.DUMMYFUNCTION("""COMPUTED_VALUE"""),549.62)</f>
        <v>549.62</v>
      </c>
      <c r="R1243" s="1">
        <f ca="1">IFERROR(__xludf.DUMMYFUNCTION("""COMPUTED_VALUE"""),113.57)</f>
        <v>113.57</v>
      </c>
      <c r="S1243" s="1">
        <f ca="1">IFERROR(__xludf.DUMMYFUNCTION("""COMPUTED_VALUE"""),75.24)</f>
        <v>75.239999999999995</v>
      </c>
      <c r="T1243" s="1">
        <f ca="1">IFERROR(__xludf.DUMMYFUNCTION("""COMPUTED_VALUE"""),93.83)</f>
        <v>93.83</v>
      </c>
      <c r="U1243" s="1">
        <f ca="1">IFERROR(__xludf.DUMMYFUNCTION("""COMPUTED_VALUE"""),77.64)</f>
        <v>77.64</v>
      </c>
      <c r="V1243" s="1">
        <f ca="1">IFERROR(__xludf.DUMMYFUNCTION("""COMPUTED_VALUE"""),395.03)</f>
        <v>395.03</v>
      </c>
      <c r="W1243" s="1">
        <f ca="1">IFERROR(__xludf.DUMMYFUNCTION("""COMPUTED_VALUE"""),513.03)</f>
        <v>513.03</v>
      </c>
      <c r="X1243" s="1">
        <f ca="1">IFERROR(__xludf.DUMMYFUNCTION("""COMPUTED_VALUE"""),708.98)</f>
        <v>708.98</v>
      </c>
      <c r="Y1243" s="1">
        <f ca="1">IFERROR(__xludf.DUMMYFUNCTION("""COMPUTED_VALUE"""),203.02)</f>
        <v>203.02</v>
      </c>
      <c r="Z1243" s="1">
        <f ca="1">IFERROR(__xludf.DUMMYFUNCTION("""COMPUTED_VALUE"""),594.12)</f>
        <v>594.12</v>
      </c>
      <c r="AA1243" s="1">
        <f ca="1">IFERROR(__xludf.DUMMYFUNCTION("""COMPUTED_VALUE"""),25.73)</f>
        <v>25.73</v>
      </c>
      <c r="AB1243" s="1">
        <f ca="1">IFERROR(__xludf.DUMMYFUNCTION("""COMPUTED_VALUE"""),99.31)</f>
        <v>99.31</v>
      </c>
      <c r="AC1243" s="1">
        <f ca="1">IFERROR(__xludf.DUMMYFUNCTION("""COMPUTED_VALUE"""),130.87)</f>
        <v>130.87</v>
      </c>
    </row>
    <row r="1244" spans="1:29" x14ac:dyDescent="0.25">
      <c r="A1244" s="2">
        <f ca="1">IFERROR(__xludf.DUMMYFUNCTION("""COMPUTED_VALUE"""),45635.6666666666)</f>
        <v>45635.666666666599</v>
      </c>
      <c r="B1244" s="1">
        <f ca="1">IFERROR(__xludf.DUMMYFUNCTION("""COMPUTED_VALUE"""),246.75)</f>
        <v>246.75</v>
      </c>
      <c r="C1244" s="1">
        <f ca="1">IFERROR(__xludf.DUMMYFUNCTION("""COMPUTED_VALUE"""),446.02)</f>
        <v>446.02</v>
      </c>
      <c r="D1244" s="1">
        <f ca="1">IFERROR(__xludf.DUMMYFUNCTION("""COMPUTED_VALUE"""),226.09)</f>
        <v>226.09</v>
      </c>
      <c r="E1244" s="1">
        <f ca="1">IFERROR(__xludf.DUMMYFUNCTION("""COMPUTED_VALUE"""),138.81)</f>
        <v>138.81</v>
      </c>
      <c r="F1244" s="1">
        <f ca="1">IFERROR(__xludf.DUMMYFUNCTION("""COMPUTED_VALUE"""),619.32)</f>
        <v>619.32000000000005</v>
      </c>
      <c r="G1244" s="1">
        <f ca="1">IFERROR(__xludf.DUMMYFUNCTION("""COMPUTED_VALUE"""),177.1)</f>
        <v>177.1</v>
      </c>
      <c r="H1244" s="1">
        <f ca="1">IFERROR(__xludf.DUMMYFUNCTION("""COMPUTED_VALUE"""),400.99)</f>
        <v>400.99</v>
      </c>
      <c r="I1244" s="1">
        <f ca="1">IFERROR(__xludf.DUMMYFUNCTION("""COMPUTED_VALUE"""),159.84)</f>
        <v>159.84</v>
      </c>
      <c r="J1244" s="1">
        <f ca="1">IFERROR(__xludf.DUMMYFUNCTION("""COMPUTED_VALUE"""),987.86)</f>
        <v>987.86</v>
      </c>
      <c r="K1244" s="1">
        <f ca="1">IFERROR(__xludf.DUMMYFUNCTION("""COMPUTED_VALUE"""),178.94)</f>
        <v>178.94</v>
      </c>
      <c r="L1244" s="1">
        <f ca="1">IFERROR(__xludf.DUMMYFUNCTION("""COMPUTED_VALUE"""),547.93)</f>
        <v>547.92999999999995</v>
      </c>
      <c r="M1244" s="1">
        <f ca="1">IFERROR(__xludf.DUMMYFUNCTION("""COMPUTED_VALUE"""),913.69)</f>
        <v>913.69</v>
      </c>
      <c r="N1244" s="1">
        <f ca="1">IFERROR(__xludf.DUMMYFUNCTION("""COMPUTED_VALUE"""),242.86)</f>
        <v>242.86</v>
      </c>
      <c r="O1244" s="1">
        <f ca="1">IFERROR(__xludf.DUMMYFUNCTION("""COMPUTED_VALUE"""),308.3)</f>
        <v>308.3</v>
      </c>
      <c r="P1244" s="1">
        <f ca="1">IFERROR(__xludf.DUMMYFUNCTION("""COMPUTED_VALUE"""),149.6)</f>
        <v>149.6</v>
      </c>
      <c r="Q1244" s="1">
        <f ca="1">IFERROR(__xludf.DUMMYFUNCTION("""COMPUTED_VALUE"""),560.62)</f>
        <v>560.62</v>
      </c>
      <c r="R1244" s="1">
        <f ca="1">IFERROR(__xludf.DUMMYFUNCTION("""COMPUTED_VALUE"""),112.9)</f>
        <v>112.9</v>
      </c>
      <c r="S1244" s="1">
        <f ca="1">IFERROR(__xludf.DUMMYFUNCTION("""COMPUTED_VALUE"""),74.7)</f>
        <v>74.7</v>
      </c>
      <c r="T1244" s="1">
        <f ca="1">IFERROR(__xludf.DUMMYFUNCTION("""COMPUTED_VALUE"""),94.55)</f>
        <v>94.55</v>
      </c>
      <c r="U1244" s="1">
        <f ca="1">IFERROR(__xludf.DUMMYFUNCTION("""COMPUTED_VALUE"""),76.74)</f>
        <v>76.739999999999995</v>
      </c>
      <c r="V1244" s="1">
        <f ca="1">IFERROR(__xludf.DUMMYFUNCTION("""COMPUTED_VALUE"""),399.26)</f>
        <v>399.26</v>
      </c>
      <c r="W1244" s="1">
        <f ca="1">IFERROR(__xludf.DUMMYFUNCTION("""COMPUTED_VALUE"""),510.01)</f>
        <v>510.01</v>
      </c>
      <c r="X1244" s="1">
        <f ca="1">IFERROR(__xludf.DUMMYFUNCTION("""COMPUTED_VALUE"""),706.52)</f>
        <v>706.52</v>
      </c>
      <c r="Y1244" s="1">
        <f ca="1">IFERROR(__xludf.DUMMYFUNCTION("""COMPUTED_VALUE"""),199.17)</f>
        <v>199.17</v>
      </c>
      <c r="Z1244" s="1">
        <f ca="1">IFERROR(__xludf.DUMMYFUNCTION("""COMPUTED_VALUE"""),585.03)</f>
        <v>585.03</v>
      </c>
      <c r="AA1244" s="1">
        <f ca="1">IFERROR(__xludf.DUMMYFUNCTION("""COMPUTED_VALUE"""),26.1)</f>
        <v>26.1</v>
      </c>
      <c r="AB1244" s="1">
        <f ca="1">IFERROR(__xludf.DUMMYFUNCTION("""COMPUTED_VALUE"""),98.16)</f>
        <v>98.16</v>
      </c>
      <c r="AC1244" s="1">
        <f ca="1">IFERROR(__xludf.DUMMYFUNCTION("""COMPUTED_VALUE"""),127.74)</f>
        <v>127.74</v>
      </c>
    </row>
    <row r="1245" spans="1:29" x14ac:dyDescent="0.25">
      <c r="A1245" s="2">
        <f ca="1">IFERROR(__xludf.DUMMYFUNCTION("""COMPUTED_VALUE"""),45636.6666666666)</f>
        <v>45636.666666666599</v>
      </c>
      <c r="B1245" s="1">
        <f ca="1">IFERROR(__xludf.DUMMYFUNCTION("""COMPUTED_VALUE"""),247.77)</f>
        <v>247.77</v>
      </c>
      <c r="C1245" s="1">
        <f ca="1">IFERROR(__xludf.DUMMYFUNCTION("""COMPUTED_VALUE"""),443.33)</f>
        <v>443.33</v>
      </c>
      <c r="D1245" s="1">
        <f ca="1">IFERROR(__xludf.DUMMYFUNCTION("""COMPUTED_VALUE"""),225.04)</f>
        <v>225.04</v>
      </c>
      <c r="E1245" s="1">
        <f ca="1">IFERROR(__xludf.DUMMYFUNCTION("""COMPUTED_VALUE"""),135.07)</f>
        <v>135.07</v>
      </c>
      <c r="F1245" s="1">
        <f ca="1">IFERROR(__xludf.DUMMYFUNCTION("""COMPUTED_VALUE"""),632.68)</f>
        <v>632.67999999999995</v>
      </c>
      <c r="G1245" s="1">
        <f ca="1">IFERROR(__xludf.DUMMYFUNCTION("""COMPUTED_VALUE"""),186.53)</f>
        <v>186.53</v>
      </c>
      <c r="H1245" s="1">
        <f ca="1">IFERROR(__xludf.DUMMYFUNCTION("""COMPUTED_VALUE"""),424.77)</f>
        <v>424.77</v>
      </c>
      <c r="I1245" s="1">
        <f ca="1">IFERROR(__xludf.DUMMYFUNCTION("""COMPUTED_VALUE"""),156.77)</f>
        <v>156.77000000000001</v>
      </c>
      <c r="J1245" s="1">
        <f ca="1">IFERROR(__xludf.DUMMYFUNCTION("""COMPUTED_VALUE"""),993.4)</f>
        <v>993.4</v>
      </c>
      <c r="K1245" s="1">
        <f ca="1">IFERROR(__xludf.DUMMYFUNCTION("""COMPUTED_VALUE"""),171.81)</f>
        <v>171.81</v>
      </c>
      <c r="L1245" s="1">
        <f ca="1">IFERROR(__xludf.DUMMYFUNCTION("""COMPUTED_VALUE"""),547.05)</f>
        <v>547.04999999999995</v>
      </c>
      <c r="M1245" s="1">
        <f ca="1">IFERROR(__xludf.DUMMYFUNCTION("""COMPUTED_VALUE"""),913.35)</f>
        <v>913.35</v>
      </c>
      <c r="N1245" s="1">
        <f ca="1">IFERROR(__xludf.DUMMYFUNCTION("""COMPUTED_VALUE"""),243.53)</f>
        <v>243.53</v>
      </c>
      <c r="O1245" s="1">
        <f ca="1">IFERROR(__xludf.DUMMYFUNCTION("""COMPUTED_VALUE"""),312.38)</f>
        <v>312.38</v>
      </c>
      <c r="P1245" s="1">
        <f ca="1">IFERROR(__xludf.DUMMYFUNCTION("""COMPUTED_VALUE"""),149.23)</f>
        <v>149.22999999999999</v>
      </c>
      <c r="Q1245" s="1">
        <f ca="1">IFERROR(__xludf.DUMMYFUNCTION("""COMPUTED_VALUE"""),565.19)</f>
        <v>565.19000000000005</v>
      </c>
      <c r="R1245" s="1">
        <f ca="1">IFERROR(__xludf.DUMMYFUNCTION("""COMPUTED_VALUE"""),112.67)</f>
        <v>112.67</v>
      </c>
      <c r="S1245" s="1">
        <f ca="1">IFERROR(__xludf.DUMMYFUNCTION("""COMPUTED_VALUE"""),74.14)</f>
        <v>74.14</v>
      </c>
      <c r="T1245" s="1">
        <f ca="1">IFERROR(__xludf.DUMMYFUNCTION("""COMPUTED_VALUE"""),94.96)</f>
        <v>94.96</v>
      </c>
      <c r="U1245" s="1">
        <f ca="1">IFERROR(__xludf.DUMMYFUNCTION("""COMPUTED_VALUE"""),78.85)</f>
        <v>78.849999999999994</v>
      </c>
      <c r="V1245" s="1">
        <f ca="1">IFERROR(__xludf.DUMMYFUNCTION("""COMPUTED_VALUE"""),388.39)</f>
        <v>388.39</v>
      </c>
      <c r="W1245" s="1">
        <f ca="1">IFERROR(__xludf.DUMMYFUNCTION("""COMPUTED_VALUE"""),512.94)</f>
        <v>512.94000000000005</v>
      </c>
      <c r="X1245" s="1">
        <f ca="1">IFERROR(__xludf.DUMMYFUNCTION("""COMPUTED_VALUE"""),705.27)</f>
        <v>705.27</v>
      </c>
      <c r="Y1245" s="1">
        <f ca="1">IFERROR(__xludf.DUMMYFUNCTION("""COMPUTED_VALUE"""),191.94)</f>
        <v>191.94</v>
      </c>
      <c r="Z1245" s="1">
        <f ca="1">IFERROR(__xludf.DUMMYFUNCTION("""COMPUTED_VALUE"""),592.56)</f>
        <v>592.55999999999995</v>
      </c>
      <c r="AA1245" s="1">
        <f ca="1">IFERROR(__xludf.DUMMYFUNCTION("""COMPUTED_VALUE"""),25.57)</f>
        <v>25.57</v>
      </c>
      <c r="AB1245" s="1">
        <f ca="1">IFERROR(__xludf.DUMMYFUNCTION("""COMPUTED_VALUE"""),98.42)</f>
        <v>98.42</v>
      </c>
      <c r="AC1245" s="1">
        <f ca="1">IFERROR(__xludf.DUMMYFUNCTION("""COMPUTED_VALUE"""),130.15)</f>
        <v>130.15</v>
      </c>
    </row>
    <row r="1246" spans="1:29" x14ac:dyDescent="0.25">
      <c r="A1246" s="2">
        <f ca="1">IFERROR(__xludf.DUMMYFUNCTION("""COMPUTED_VALUE"""),45637.6666666666)</f>
        <v>45637.666666666599</v>
      </c>
      <c r="B1246" s="1">
        <f ca="1">IFERROR(__xludf.DUMMYFUNCTION("""COMPUTED_VALUE"""),246.49)</f>
        <v>246.49</v>
      </c>
      <c r="C1246" s="1">
        <f ca="1">IFERROR(__xludf.DUMMYFUNCTION("""COMPUTED_VALUE"""),448.99)</f>
        <v>448.99</v>
      </c>
      <c r="D1246" s="1">
        <f ca="1">IFERROR(__xludf.DUMMYFUNCTION("""COMPUTED_VALUE"""),230.26)</f>
        <v>230.26</v>
      </c>
      <c r="E1246" s="1">
        <f ca="1">IFERROR(__xludf.DUMMYFUNCTION("""COMPUTED_VALUE"""),139.31)</f>
        <v>139.31</v>
      </c>
      <c r="F1246" s="1">
        <f ca="1">IFERROR(__xludf.DUMMYFUNCTION("""COMPUTED_VALUE"""),630.79)</f>
        <v>630.79</v>
      </c>
      <c r="G1246" s="1">
        <f ca="1">IFERROR(__xludf.DUMMYFUNCTION("""COMPUTED_VALUE"""),196.71)</f>
        <v>196.71</v>
      </c>
      <c r="H1246" s="1">
        <f ca="1">IFERROR(__xludf.DUMMYFUNCTION("""COMPUTED_VALUE"""),418.1)</f>
        <v>418.1</v>
      </c>
      <c r="I1246" s="1">
        <f ca="1">IFERROR(__xludf.DUMMYFUNCTION("""COMPUTED_VALUE"""),158.9)</f>
        <v>158.9</v>
      </c>
      <c r="J1246" s="1">
        <f ca="1">IFERROR(__xludf.DUMMYFUNCTION("""COMPUTED_VALUE"""),994.69)</f>
        <v>994.69</v>
      </c>
      <c r="K1246" s="1">
        <f ca="1">IFERROR(__xludf.DUMMYFUNCTION("""COMPUTED_VALUE"""),183.2)</f>
        <v>183.2</v>
      </c>
      <c r="L1246" s="1">
        <f ca="1">IFERROR(__xludf.DUMMYFUNCTION("""COMPUTED_VALUE"""),549.93)</f>
        <v>549.92999999999995</v>
      </c>
      <c r="M1246" s="1">
        <f ca="1">IFERROR(__xludf.DUMMYFUNCTION("""COMPUTED_VALUE"""),936.56)</f>
        <v>936.56</v>
      </c>
      <c r="N1246" s="1">
        <f ca="1">IFERROR(__xludf.DUMMYFUNCTION("""COMPUTED_VALUE"""),241.53)</f>
        <v>241.53</v>
      </c>
      <c r="O1246" s="1">
        <f ca="1">IFERROR(__xludf.DUMMYFUNCTION("""COMPUTED_VALUE"""),313.79)</f>
        <v>313.79000000000002</v>
      </c>
      <c r="P1246" s="1">
        <f ca="1">IFERROR(__xludf.DUMMYFUNCTION("""COMPUTED_VALUE"""),146.64)</f>
        <v>146.63999999999999</v>
      </c>
      <c r="Q1246" s="1">
        <f ca="1">IFERROR(__xludf.DUMMYFUNCTION("""COMPUTED_VALUE"""),533.53)</f>
        <v>533.53</v>
      </c>
      <c r="R1246" s="1">
        <f ca="1">IFERROR(__xludf.DUMMYFUNCTION("""COMPUTED_VALUE"""),111.92)</f>
        <v>111.92</v>
      </c>
      <c r="S1246" s="1">
        <f ca="1">IFERROR(__xludf.DUMMYFUNCTION("""COMPUTED_VALUE"""),73.98)</f>
        <v>73.98</v>
      </c>
      <c r="T1246" s="1">
        <f ca="1">IFERROR(__xludf.DUMMYFUNCTION("""COMPUTED_VALUE"""),94.09)</f>
        <v>94.09</v>
      </c>
      <c r="U1246" s="1">
        <f ca="1">IFERROR(__xludf.DUMMYFUNCTION("""COMPUTED_VALUE"""),77.96)</f>
        <v>77.959999999999994</v>
      </c>
      <c r="V1246" s="1">
        <f ca="1">IFERROR(__xludf.DUMMYFUNCTION("""COMPUTED_VALUE"""),388.87)</f>
        <v>388.87</v>
      </c>
      <c r="W1246" s="1">
        <f ca="1">IFERROR(__xludf.DUMMYFUNCTION("""COMPUTED_VALUE"""),504.24)</f>
        <v>504.24</v>
      </c>
      <c r="X1246" s="1">
        <f ca="1">IFERROR(__xludf.DUMMYFUNCTION("""COMPUTED_VALUE"""),714.43)</f>
        <v>714.43</v>
      </c>
      <c r="Y1246" s="1">
        <f ca="1">IFERROR(__xludf.DUMMYFUNCTION("""COMPUTED_VALUE"""),194.6)</f>
        <v>194.6</v>
      </c>
      <c r="Z1246" s="1">
        <f ca="1">IFERROR(__xludf.DUMMYFUNCTION("""COMPUTED_VALUE"""),591.61)</f>
        <v>591.61</v>
      </c>
      <c r="AA1246" s="1">
        <f ca="1">IFERROR(__xludf.DUMMYFUNCTION("""COMPUTED_VALUE"""),25.23)</f>
        <v>25.23</v>
      </c>
      <c r="AB1246" s="1">
        <f ca="1">IFERROR(__xludf.DUMMYFUNCTION("""COMPUTED_VALUE"""),97.82)</f>
        <v>97.82</v>
      </c>
      <c r="AC1246" s="1">
        <f ca="1">IFERROR(__xludf.DUMMYFUNCTION("""COMPUTED_VALUE"""),130.6)</f>
        <v>130.6</v>
      </c>
    </row>
    <row r="1247" spans="1:29" x14ac:dyDescent="0.25">
      <c r="A1247" s="2">
        <f ca="1">IFERROR(__xludf.DUMMYFUNCTION("""COMPUTED_VALUE"""),45638.6666666666)</f>
        <v>45638.666666666599</v>
      </c>
      <c r="B1247" s="1">
        <f ca="1">IFERROR(__xludf.DUMMYFUNCTION("""COMPUTED_VALUE"""),247.96)</f>
        <v>247.96</v>
      </c>
      <c r="C1247" s="1">
        <f ca="1">IFERROR(__xludf.DUMMYFUNCTION("""COMPUTED_VALUE"""),449.56)</f>
        <v>449.56</v>
      </c>
      <c r="D1247" s="1">
        <f ca="1">IFERROR(__xludf.DUMMYFUNCTION("""COMPUTED_VALUE"""),228.97)</f>
        <v>228.97</v>
      </c>
      <c r="E1247" s="1">
        <f ca="1">IFERROR(__xludf.DUMMYFUNCTION("""COMPUTED_VALUE"""),137.34)</f>
        <v>137.34</v>
      </c>
      <c r="F1247" s="1">
        <f ca="1">IFERROR(__xludf.DUMMYFUNCTION("""COMPUTED_VALUE"""),620.35)</f>
        <v>620.35</v>
      </c>
      <c r="G1247" s="1">
        <f ca="1">IFERROR(__xludf.DUMMYFUNCTION("""COMPUTED_VALUE"""),193.63)</f>
        <v>193.63</v>
      </c>
      <c r="H1247" s="1">
        <f ca="1">IFERROR(__xludf.DUMMYFUNCTION("""COMPUTED_VALUE"""),436.23)</f>
        <v>436.23</v>
      </c>
      <c r="I1247" s="1">
        <f ca="1">IFERROR(__xludf.DUMMYFUNCTION("""COMPUTED_VALUE"""),157.97)</f>
        <v>157.97</v>
      </c>
      <c r="J1247" s="1">
        <f ca="1">IFERROR(__xludf.DUMMYFUNCTION("""COMPUTED_VALUE"""),988.39)</f>
        <v>988.39</v>
      </c>
      <c r="K1247" s="1">
        <f ca="1">IFERROR(__xludf.DUMMYFUNCTION("""COMPUTED_VALUE"""),180.66)</f>
        <v>180.66</v>
      </c>
      <c r="L1247" s="1">
        <f ca="1">IFERROR(__xludf.DUMMYFUNCTION("""COMPUTED_VALUE"""),474.63)</f>
        <v>474.63</v>
      </c>
      <c r="M1247" s="1">
        <f ca="1">IFERROR(__xludf.DUMMYFUNCTION("""COMPUTED_VALUE"""),925.55)</f>
        <v>925.55</v>
      </c>
      <c r="N1247" s="1">
        <f ca="1">IFERROR(__xludf.DUMMYFUNCTION("""COMPUTED_VALUE"""),239.94)</f>
        <v>239.94</v>
      </c>
      <c r="O1247" s="1">
        <f ca="1">IFERROR(__xludf.DUMMYFUNCTION("""COMPUTED_VALUE"""),314.23)</f>
        <v>314.23</v>
      </c>
      <c r="P1247" s="1">
        <f ca="1">IFERROR(__xludf.DUMMYFUNCTION("""COMPUTED_VALUE"""),146.24)</f>
        <v>146.24</v>
      </c>
      <c r="Q1247" s="1">
        <f ca="1">IFERROR(__xludf.DUMMYFUNCTION("""COMPUTED_VALUE"""),515.76)</f>
        <v>515.76</v>
      </c>
      <c r="R1247" s="1">
        <f ca="1">IFERROR(__xludf.DUMMYFUNCTION("""COMPUTED_VALUE"""),111.82)</f>
        <v>111.82</v>
      </c>
      <c r="S1247" s="1">
        <f ca="1">IFERROR(__xludf.DUMMYFUNCTION("""COMPUTED_VALUE"""),73.22)</f>
        <v>73.22</v>
      </c>
      <c r="T1247" s="1">
        <f ca="1">IFERROR(__xludf.DUMMYFUNCTION("""COMPUTED_VALUE"""),94.25)</f>
        <v>94.25</v>
      </c>
      <c r="U1247" s="1">
        <f ca="1">IFERROR(__xludf.DUMMYFUNCTION("""COMPUTED_VALUE"""),77.25)</f>
        <v>77.25</v>
      </c>
      <c r="V1247" s="1">
        <f ca="1">IFERROR(__xludf.DUMMYFUNCTION("""COMPUTED_VALUE"""),380.78)</f>
        <v>380.78</v>
      </c>
      <c r="W1247" s="1">
        <f ca="1">IFERROR(__xludf.DUMMYFUNCTION("""COMPUTED_VALUE"""),496.58)</f>
        <v>496.58</v>
      </c>
      <c r="X1247" s="1">
        <f ca="1">IFERROR(__xludf.DUMMYFUNCTION("""COMPUTED_VALUE"""),713.1)</f>
        <v>713.1</v>
      </c>
      <c r="Y1247" s="1">
        <f ca="1">IFERROR(__xludf.DUMMYFUNCTION("""COMPUTED_VALUE"""),191.46)</f>
        <v>191.46</v>
      </c>
      <c r="Z1247" s="1">
        <f ca="1">IFERROR(__xludf.DUMMYFUNCTION("""COMPUTED_VALUE"""),585.48)</f>
        <v>585.48</v>
      </c>
      <c r="AA1247" s="1">
        <f ca="1">IFERROR(__xludf.DUMMYFUNCTION("""COMPUTED_VALUE"""),25.37)</f>
        <v>25.37</v>
      </c>
      <c r="AB1247" s="1">
        <f ca="1">IFERROR(__xludf.DUMMYFUNCTION("""COMPUTED_VALUE"""),97.42)</f>
        <v>97.42</v>
      </c>
      <c r="AC1247" s="1">
        <f ca="1">IFERROR(__xludf.DUMMYFUNCTION("""COMPUTED_VALUE"""),126.91)</f>
        <v>126.91</v>
      </c>
    </row>
    <row r="1248" spans="1:29" x14ac:dyDescent="0.25">
      <c r="A1248" s="2">
        <f ca="1">IFERROR(__xludf.DUMMYFUNCTION("""COMPUTED_VALUE"""),45639.6666666666)</f>
        <v>45639.666666666599</v>
      </c>
      <c r="B1248" s="1">
        <f ca="1">IFERROR(__xludf.DUMMYFUNCTION("""COMPUTED_VALUE"""),248.13)</f>
        <v>248.13</v>
      </c>
      <c r="C1248" s="1">
        <f ca="1">IFERROR(__xludf.DUMMYFUNCTION("""COMPUTED_VALUE"""),447.27)</f>
        <v>447.27</v>
      </c>
      <c r="D1248" s="1">
        <f ca="1">IFERROR(__xludf.DUMMYFUNCTION("""COMPUTED_VALUE"""),227.46)</f>
        <v>227.46</v>
      </c>
      <c r="E1248" s="1">
        <f ca="1">IFERROR(__xludf.DUMMYFUNCTION("""COMPUTED_VALUE"""),134.25)</f>
        <v>134.25</v>
      </c>
      <c r="F1248" s="1">
        <f ca="1">IFERROR(__xludf.DUMMYFUNCTION("""COMPUTED_VALUE"""),624.24)</f>
        <v>624.24</v>
      </c>
      <c r="G1248" s="1">
        <f ca="1">IFERROR(__xludf.DUMMYFUNCTION("""COMPUTED_VALUE"""),191.38)</f>
        <v>191.38</v>
      </c>
      <c r="H1248" s="1">
        <f ca="1">IFERROR(__xludf.DUMMYFUNCTION("""COMPUTED_VALUE"""),463.02)</f>
        <v>463.02</v>
      </c>
      <c r="I1248" s="1">
        <f ca="1">IFERROR(__xludf.DUMMYFUNCTION("""COMPUTED_VALUE"""),156.02)</f>
        <v>156.02000000000001</v>
      </c>
      <c r="J1248" s="1">
        <f ca="1">IFERROR(__xludf.DUMMYFUNCTION("""COMPUTED_VALUE"""),989.35)</f>
        <v>989.35</v>
      </c>
      <c r="K1248" s="1">
        <f ca="1">IFERROR(__xludf.DUMMYFUNCTION("""COMPUTED_VALUE"""),224.8)</f>
        <v>224.8</v>
      </c>
      <c r="L1248" s="1">
        <f ca="1">IFERROR(__xludf.DUMMYFUNCTION("""COMPUTED_VALUE"""),465.69)</f>
        <v>465.69</v>
      </c>
      <c r="M1248" s="1">
        <f ca="1">IFERROR(__xludf.DUMMYFUNCTION("""COMPUTED_VALUE"""),918.87)</f>
        <v>918.87</v>
      </c>
      <c r="N1248" s="1">
        <f ca="1">IFERROR(__xludf.DUMMYFUNCTION("""COMPUTED_VALUE"""),239.58)</f>
        <v>239.58</v>
      </c>
      <c r="O1248" s="1">
        <f ca="1">IFERROR(__xludf.DUMMYFUNCTION("""COMPUTED_VALUE"""),314.74)</f>
        <v>314.74</v>
      </c>
      <c r="P1248" s="1">
        <f ca="1">IFERROR(__xludf.DUMMYFUNCTION("""COMPUTED_VALUE"""),146.62)</f>
        <v>146.62</v>
      </c>
      <c r="Q1248" s="1">
        <f ca="1">IFERROR(__xludf.DUMMYFUNCTION("""COMPUTED_VALUE"""),520.48)</f>
        <v>520.48</v>
      </c>
      <c r="R1248" s="1">
        <f ca="1">IFERROR(__xludf.DUMMYFUNCTION("""COMPUTED_VALUE"""),110.84)</f>
        <v>110.84</v>
      </c>
      <c r="S1248" s="1">
        <f ca="1">IFERROR(__xludf.DUMMYFUNCTION("""COMPUTED_VALUE"""),73.62)</f>
        <v>73.62</v>
      </c>
      <c r="T1248" s="1">
        <f ca="1">IFERROR(__xludf.DUMMYFUNCTION("""COMPUTED_VALUE"""),94.87)</f>
        <v>94.87</v>
      </c>
      <c r="U1248" s="1">
        <f ca="1">IFERROR(__xludf.DUMMYFUNCTION("""COMPUTED_VALUE"""),77.2)</f>
        <v>77.2</v>
      </c>
      <c r="V1248" s="1">
        <f ca="1">IFERROR(__xludf.DUMMYFUNCTION("""COMPUTED_VALUE"""),380.51)</f>
        <v>380.51</v>
      </c>
      <c r="W1248" s="1">
        <f ca="1">IFERROR(__xludf.DUMMYFUNCTION("""COMPUTED_VALUE"""),494.65)</f>
        <v>494.65</v>
      </c>
      <c r="X1248" s="1">
        <f ca="1">IFERROR(__xludf.DUMMYFUNCTION("""COMPUTED_VALUE"""),718.58)</f>
        <v>718.58</v>
      </c>
      <c r="Y1248" s="1">
        <f ca="1">IFERROR(__xludf.DUMMYFUNCTION("""COMPUTED_VALUE"""),200.99)</f>
        <v>200.99</v>
      </c>
      <c r="Z1248" s="1">
        <f ca="1">IFERROR(__xludf.DUMMYFUNCTION("""COMPUTED_VALUE"""),586.33)</f>
        <v>586.33000000000004</v>
      </c>
      <c r="AA1248" s="1">
        <f ca="1">IFERROR(__xludf.DUMMYFUNCTION("""COMPUTED_VALUE"""),25.58)</f>
        <v>25.58</v>
      </c>
      <c r="AB1248" s="1">
        <f ca="1">IFERROR(__xludf.DUMMYFUNCTION("""COMPUTED_VALUE"""),93.12)</f>
        <v>93.12</v>
      </c>
      <c r="AC1248" s="1">
        <f ca="1">IFERROR(__xludf.DUMMYFUNCTION("""COMPUTED_VALUE"""),126.69)</f>
        <v>126.69</v>
      </c>
    </row>
    <row r="1249" spans="1:29" x14ac:dyDescent="0.25">
      <c r="A1249" s="2">
        <f ca="1">IFERROR(__xludf.DUMMYFUNCTION("""COMPUTED_VALUE"""),45642.6666666666)</f>
        <v>45642.666666666599</v>
      </c>
      <c r="B1249" s="1">
        <f ca="1">IFERROR(__xludf.DUMMYFUNCTION("""COMPUTED_VALUE"""),251.04)</f>
        <v>251.04</v>
      </c>
      <c r="C1249" s="1">
        <f ca="1">IFERROR(__xludf.DUMMYFUNCTION("""COMPUTED_VALUE"""),451.59)</f>
        <v>451.59</v>
      </c>
      <c r="D1249" s="1">
        <f ca="1">IFERROR(__xludf.DUMMYFUNCTION("""COMPUTED_VALUE"""),232.93)</f>
        <v>232.93</v>
      </c>
      <c r="E1249" s="1">
        <f ca="1">IFERROR(__xludf.DUMMYFUNCTION("""COMPUTED_VALUE"""),132)</f>
        <v>132</v>
      </c>
      <c r="F1249" s="1">
        <f ca="1">IFERROR(__xludf.DUMMYFUNCTION("""COMPUTED_VALUE"""),619.44)</f>
        <v>619.44000000000005</v>
      </c>
      <c r="G1249" s="1">
        <f ca="1">IFERROR(__xludf.DUMMYFUNCTION("""COMPUTED_VALUE"""),198.16)</f>
        <v>198.16</v>
      </c>
      <c r="H1249" s="1">
        <f ca="1">IFERROR(__xludf.DUMMYFUNCTION("""COMPUTED_VALUE"""),479.86)</f>
        <v>479.86</v>
      </c>
      <c r="I1249" s="1">
        <f ca="1">IFERROR(__xludf.DUMMYFUNCTION("""COMPUTED_VALUE"""),156.14)</f>
        <v>156.13999999999999</v>
      </c>
      <c r="J1249" s="1">
        <f ca="1">IFERROR(__xludf.DUMMYFUNCTION("""COMPUTED_VALUE"""),992.87)</f>
        <v>992.87</v>
      </c>
      <c r="K1249" s="1">
        <f ca="1">IFERROR(__xludf.DUMMYFUNCTION("""COMPUTED_VALUE"""),250)</f>
        <v>250</v>
      </c>
      <c r="L1249" s="1">
        <f ca="1">IFERROR(__xludf.DUMMYFUNCTION("""COMPUTED_VALUE"""),461.53)</f>
        <v>461.53</v>
      </c>
      <c r="M1249" s="1">
        <f ca="1">IFERROR(__xludf.DUMMYFUNCTION("""COMPUTED_VALUE"""),921.08)</f>
        <v>921.08</v>
      </c>
      <c r="N1249" s="1">
        <f ca="1">IFERROR(__xludf.DUMMYFUNCTION("""COMPUTED_VALUE"""),238.36)</f>
        <v>238.36</v>
      </c>
      <c r="O1249" s="1">
        <f ca="1">IFERROR(__xludf.DUMMYFUNCTION("""COMPUTED_VALUE"""),315.89)</f>
        <v>315.89</v>
      </c>
      <c r="P1249" s="1">
        <f ca="1">IFERROR(__xludf.DUMMYFUNCTION("""COMPUTED_VALUE"""),143.85)</f>
        <v>143.85</v>
      </c>
      <c r="Q1249" s="1">
        <f ca="1">IFERROR(__xludf.DUMMYFUNCTION("""COMPUTED_VALUE"""),498.5)</f>
        <v>498.5</v>
      </c>
      <c r="R1249" s="1">
        <f ca="1">IFERROR(__xludf.DUMMYFUNCTION("""COMPUTED_VALUE"""),108.47)</f>
        <v>108.47</v>
      </c>
      <c r="S1249" s="1">
        <f ca="1">IFERROR(__xludf.DUMMYFUNCTION("""COMPUTED_VALUE"""),72.79)</f>
        <v>72.790000000000006</v>
      </c>
      <c r="T1249" s="1">
        <f ca="1">IFERROR(__xludf.DUMMYFUNCTION("""COMPUTED_VALUE"""),95.42)</f>
        <v>95.42</v>
      </c>
      <c r="U1249" s="1">
        <f ca="1">IFERROR(__xludf.DUMMYFUNCTION("""COMPUTED_VALUE"""),78)</f>
        <v>78</v>
      </c>
      <c r="V1249" s="1">
        <f ca="1">IFERROR(__xludf.DUMMYFUNCTION("""COMPUTED_VALUE"""),378.92)</f>
        <v>378.92</v>
      </c>
      <c r="W1249" s="1">
        <f ca="1">IFERROR(__xludf.DUMMYFUNCTION("""COMPUTED_VALUE"""),491.65)</f>
        <v>491.65</v>
      </c>
      <c r="X1249" s="1">
        <f ca="1">IFERROR(__xludf.DUMMYFUNCTION("""COMPUTED_VALUE"""),722.38)</f>
        <v>722.38</v>
      </c>
      <c r="Y1249" s="1">
        <f ca="1">IFERROR(__xludf.DUMMYFUNCTION("""COMPUTED_VALUE"""),202.22)</f>
        <v>202.22</v>
      </c>
      <c r="Z1249" s="1">
        <f ca="1">IFERROR(__xludf.DUMMYFUNCTION("""COMPUTED_VALUE"""),574.68)</f>
        <v>574.67999999999995</v>
      </c>
      <c r="AA1249" s="1">
        <f ca="1">IFERROR(__xludf.DUMMYFUNCTION("""COMPUTED_VALUE"""),25.25)</f>
        <v>25.25</v>
      </c>
      <c r="AB1249" s="1">
        <f ca="1">IFERROR(__xludf.DUMMYFUNCTION("""COMPUTED_VALUE"""),92.09)</f>
        <v>92.09</v>
      </c>
      <c r="AC1249" s="1">
        <f ca="1">IFERROR(__xludf.DUMMYFUNCTION("""COMPUTED_VALUE"""),125.02)</f>
        <v>125.02</v>
      </c>
    </row>
    <row r="1250" spans="1:29" x14ac:dyDescent="0.25">
      <c r="A1250" s="2">
        <f ca="1">IFERROR(__xludf.DUMMYFUNCTION("""COMPUTED_VALUE"""),45643.6666666666)</f>
        <v>45643.666666666599</v>
      </c>
      <c r="B1250" s="1">
        <f ca="1">IFERROR(__xludf.DUMMYFUNCTION("""COMPUTED_VALUE"""),253.48)</f>
        <v>253.48</v>
      </c>
      <c r="C1250" s="1">
        <f ca="1">IFERROR(__xludf.DUMMYFUNCTION("""COMPUTED_VALUE"""),454.46)</f>
        <v>454.46</v>
      </c>
      <c r="D1250" s="1">
        <f ca="1">IFERROR(__xludf.DUMMYFUNCTION("""COMPUTED_VALUE"""),231.15)</f>
        <v>231.15</v>
      </c>
      <c r="E1250" s="1">
        <f ca="1">IFERROR(__xludf.DUMMYFUNCTION("""COMPUTED_VALUE"""),130.39)</f>
        <v>130.38999999999999</v>
      </c>
      <c r="F1250" s="1">
        <f ca="1">IFERROR(__xludf.DUMMYFUNCTION("""COMPUTED_VALUE"""),597.19)</f>
        <v>597.19000000000005</v>
      </c>
      <c r="G1250" s="1">
        <f ca="1">IFERROR(__xludf.DUMMYFUNCTION("""COMPUTED_VALUE"""),197.12)</f>
        <v>197.12</v>
      </c>
      <c r="H1250" s="1">
        <f ca="1">IFERROR(__xludf.DUMMYFUNCTION("""COMPUTED_VALUE"""),440.13)</f>
        <v>440.13</v>
      </c>
      <c r="I1250" s="1">
        <f ca="1">IFERROR(__xludf.DUMMYFUNCTION("""COMPUTED_VALUE"""),154.43)</f>
        <v>154.43</v>
      </c>
      <c r="J1250" s="1">
        <f ca="1">IFERROR(__xludf.DUMMYFUNCTION("""COMPUTED_VALUE"""),982.08)</f>
        <v>982.08</v>
      </c>
      <c r="K1250" s="1">
        <f ca="1">IFERROR(__xludf.DUMMYFUNCTION("""COMPUTED_VALUE"""),240.23)</f>
        <v>240.23</v>
      </c>
      <c r="L1250" s="1">
        <f ca="1">IFERROR(__xludf.DUMMYFUNCTION("""COMPUTED_VALUE"""),455.23)</f>
        <v>455.23</v>
      </c>
      <c r="M1250" s="1">
        <f ca="1">IFERROR(__xludf.DUMMYFUNCTION("""COMPUTED_VALUE"""),919.13)</f>
        <v>919.13</v>
      </c>
      <c r="N1250" s="1">
        <f ca="1">IFERROR(__xludf.DUMMYFUNCTION("""COMPUTED_VALUE"""),230.37)</f>
        <v>230.37</v>
      </c>
      <c r="O1250" s="1">
        <f ca="1">IFERROR(__xludf.DUMMYFUNCTION("""COMPUTED_VALUE"""),318.3)</f>
        <v>318.3</v>
      </c>
      <c r="P1250" s="1">
        <f ca="1">IFERROR(__xludf.DUMMYFUNCTION("""COMPUTED_VALUE"""),146.41)</f>
        <v>146.41</v>
      </c>
      <c r="Q1250" s="1">
        <f ca="1">IFERROR(__xludf.DUMMYFUNCTION("""COMPUTED_VALUE"""),485.52)</f>
        <v>485.52</v>
      </c>
      <c r="R1250" s="1">
        <f ca="1">IFERROR(__xludf.DUMMYFUNCTION("""COMPUTED_VALUE"""),108.01)</f>
        <v>108.01</v>
      </c>
      <c r="S1250" s="1">
        <f ca="1">IFERROR(__xludf.DUMMYFUNCTION("""COMPUTED_VALUE"""),72.27)</f>
        <v>72.27</v>
      </c>
      <c r="T1250" s="1">
        <f ca="1">IFERROR(__xludf.DUMMYFUNCTION("""COMPUTED_VALUE"""),93.55)</f>
        <v>93.55</v>
      </c>
      <c r="U1250" s="1">
        <f ca="1">IFERROR(__xludf.DUMMYFUNCTION("""COMPUTED_VALUE"""),76.9)</f>
        <v>76.900000000000006</v>
      </c>
      <c r="V1250" s="1">
        <f ca="1">IFERROR(__xludf.DUMMYFUNCTION("""COMPUTED_VALUE"""),375.8)</f>
        <v>375.8</v>
      </c>
      <c r="W1250" s="1">
        <f ca="1">IFERROR(__xludf.DUMMYFUNCTION("""COMPUTED_VALUE"""),490.61)</f>
        <v>490.61</v>
      </c>
      <c r="X1250" s="1">
        <f ca="1">IFERROR(__xludf.DUMMYFUNCTION("""COMPUTED_VALUE"""),735.19)</f>
        <v>735.19</v>
      </c>
      <c r="Y1250" s="1">
        <f ca="1">IFERROR(__xludf.DUMMYFUNCTION("""COMPUTED_VALUE"""),200.66)</f>
        <v>200.66</v>
      </c>
      <c r="Z1250" s="1">
        <f ca="1">IFERROR(__xludf.DUMMYFUNCTION("""COMPUTED_VALUE"""),550.25)</f>
        <v>550.25</v>
      </c>
      <c r="AA1250" s="1">
        <f ca="1">IFERROR(__xludf.DUMMYFUNCTION("""COMPUTED_VALUE"""),26.43)</f>
        <v>26.43</v>
      </c>
      <c r="AB1250" s="1">
        <f ca="1">IFERROR(__xludf.DUMMYFUNCTION("""COMPUTED_VALUE"""),89.9)</f>
        <v>89.9</v>
      </c>
      <c r="AC1250" s="1">
        <f ca="1">IFERROR(__xludf.DUMMYFUNCTION("""COMPUTED_VALUE"""),121.41)</f>
        <v>121.41</v>
      </c>
    </row>
    <row r="1251" spans="1:29" x14ac:dyDescent="0.25">
      <c r="A1251" s="2">
        <f ca="1">IFERROR(__xludf.DUMMYFUNCTION("""COMPUTED_VALUE"""),45644.6666666666)</f>
        <v>45644.666666666599</v>
      </c>
      <c r="B1251" s="1">
        <f ca="1">IFERROR(__xludf.DUMMYFUNCTION("""COMPUTED_VALUE"""),248.05)</f>
        <v>248.05</v>
      </c>
      <c r="C1251" s="1">
        <f ca="1">IFERROR(__xludf.DUMMYFUNCTION("""COMPUTED_VALUE"""),437.39)</f>
        <v>437.39</v>
      </c>
      <c r="D1251" s="1">
        <f ca="1">IFERROR(__xludf.DUMMYFUNCTION("""COMPUTED_VALUE"""),220.52)</f>
        <v>220.52</v>
      </c>
      <c r="E1251" s="1">
        <f ca="1">IFERROR(__xludf.DUMMYFUNCTION("""COMPUTED_VALUE"""),128.91)</f>
        <v>128.91</v>
      </c>
      <c r="F1251" s="1">
        <f ca="1">IFERROR(__xludf.DUMMYFUNCTION("""COMPUTED_VALUE"""),595.57)</f>
        <v>595.57000000000005</v>
      </c>
      <c r="G1251" s="1">
        <f ca="1">IFERROR(__xludf.DUMMYFUNCTION("""COMPUTED_VALUE"""),190.15)</f>
        <v>190.15</v>
      </c>
      <c r="H1251" s="1">
        <f ca="1">IFERROR(__xludf.DUMMYFUNCTION("""COMPUTED_VALUE"""),436.17)</f>
        <v>436.17</v>
      </c>
      <c r="I1251" s="1">
        <f ca="1">IFERROR(__xludf.DUMMYFUNCTION("""COMPUTED_VALUE"""),151.47)</f>
        <v>151.47</v>
      </c>
      <c r="J1251" s="1">
        <f ca="1">IFERROR(__xludf.DUMMYFUNCTION("""COMPUTED_VALUE"""),964.74)</f>
        <v>964.74</v>
      </c>
      <c r="K1251" s="1">
        <f ca="1">IFERROR(__xludf.DUMMYFUNCTION("""COMPUTED_VALUE"""),223.62)</f>
        <v>223.62</v>
      </c>
      <c r="L1251" s="1">
        <f ca="1">IFERROR(__xludf.DUMMYFUNCTION("""COMPUTED_VALUE"""),441.31)</f>
        <v>441.31</v>
      </c>
      <c r="M1251" s="1">
        <f ca="1">IFERROR(__xludf.DUMMYFUNCTION("""COMPUTED_VALUE"""),889.55)</f>
        <v>889.55</v>
      </c>
      <c r="N1251" s="1">
        <f ca="1">IFERROR(__xludf.DUMMYFUNCTION("""COMPUTED_VALUE"""),232.96)</f>
        <v>232.96</v>
      </c>
      <c r="O1251" s="1">
        <f ca="1">IFERROR(__xludf.DUMMYFUNCTION("""COMPUTED_VALUE"""),309.78)</f>
        <v>309.77999999999997</v>
      </c>
      <c r="P1251" s="1">
        <f ca="1">IFERROR(__xludf.DUMMYFUNCTION("""COMPUTED_VALUE"""),144.75)</f>
        <v>144.75</v>
      </c>
      <c r="Q1251" s="1">
        <f ca="1">IFERROR(__xludf.DUMMYFUNCTION("""COMPUTED_VALUE"""),499.72)</f>
        <v>499.72</v>
      </c>
      <c r="R1251" s="1">
        <f ca="1">IFERROR(__xludf.DUMMYFUNCTION("""COMPUTED_VALUE"""),106.42)</f>
        <v>106.42</v>
      </c>
      <c r="S1251" s="1">
        <f ca="1">IFERROR(__xludf.DUMMYFUNCTION("""COMPUTED_VALUE"""),70.52)</f>
        <v>70.52</v>
      </c>
      <c r="T1251" s="1">
        <f ca="1">IFERROR(__xludf.DUMMYFUNCTION("""COMPUTED_VALUE"""),93.4)</f>
        <v>93.4</v>
      </c>
      <c r="U1251" s="1">
        <f ca="1">IFERROR(__xludf.DUMMYFUNCTION("""COMPUTED_VALUE"""),77.1)</f>
        <v>77.099999999999994</v>
      </c>
      <c r="V1251" s="1">
        <f ca="1">IFERROR(__xludf.DUMMYFUNCTION("""COMPUTED_VALUE"""),363.89)</f>
        <v>363.89</v>
      </c>
      <c r="W1251" s="1">
        <f ca="1">IFERROR(__xludf.DUMMYFUNCTION("""COMPUTED_VALUE"""),482.94)</f>
        <v>482.94</v>
      </c>
      <c r="X1251" s="1">
        <f ca="1">IFERROR(__xludf.DUMMYFUNCTION("""COMPUTED_VALUE"""),719.49)</f>
        <v>719.49</v>
      </c>
      <c r="Y1251" s="1">
        <f ca="1">IFERROR(__xludf.DUMMYFUNCTION("""COMPUTED_VALUE"""),195.56)</f>
        <v>195.56</v>
      </c>
      <c r="Z1251" s="1">
        <f ca="1">IFERROR(__xludf.DUMMYFUNCTION("""COMPUTED_VALUE"""),553.99)</f>
        <v>553.99</v>
      </c>
      <c r="AA1251" s="1">
        <f ca="1">IFERROR(__xludf.DUMMYFUNCTION("""COMPUTED_VALUE"""),25.89)</f>
        <v>25.89</v>
      </c>
      <c r="AB1251" s="1">
        <f ca="1">IFERROR(__xludf.DUMMYFUNCTION("""COMPUTED_VALUE"""),88.76)</f>
        <v>88.76</v>
      </c>
      <c r="AC1251" s="1">
        <f ca="1">IFERROR(__xludf.DUMMYFUNCTION("""COMPUTED_VALUE"""),118.88)</f>
        <v>118.88</v>
      </c>
    </row>
    <row r="1252" spans="1:29" x14ac:dyDescent="0.25">
      <c r="A1252" s="2">
        <f ca="1">IFERROR(__xludf.DUMMYFUNCTION("""COMPUTED_VALUE"""),45645.6666666666)</f>
        <v>45645.666666666599</v>
      </c>
      <c r="B1252" s="1">
        <f ca="1">IFERROR(__xludf.DUMMYFUNCTION("""COMPUTED_VALUE"""),249.79)</f>
        <v>249.79</v>
      </c>
      <c r="C1252" s="1">
        <f ca="1">IFERROR(__xludf.DUMMYFUNCTION("""COMPUTED_VALUE"""),437.03)</f>
        <v>437.03</v>
      </c>
      <c r="D1252" s="1">
        <f ca="1">IFERROR(__xludf.DUMMYFUNCTION("""COMPUTED_VALUE"""),223.29)</f>
        <v>223.29</v>
      </c>
      <c r="E1252" s="1">
        <f ca="1">IFERROR(__xludf.DUMMYFUNCTION("""COMPUTED_VALUE"""),130.68)</f>
        <v>130.68</v>
      </c>
      <c r="F1252" s="1">
        <f ca="1">IFERROR(__xludf.DUMMYFUNCTION("""COMPUTED_VALUE"""),585.25)</f>
        <v>585.25</v>
      </c>
      <c r="G1252" s="1">
        <f ca="1">IFERROR(__xludf.DUMMYFUNCTION("""COMPUTED_VALUE"""),189.7)</f>
        <v>189.7</v>
      </c>
      <c r="H1252" s="1">
        <f ca="1">IFERROR(__xludf.DUMMYFUNCTION("""COMPUTED_VALUE"""),421.06)</f>
        <v>421.06</v>
      </c>
      <c r="I1252" s="1">
        <f ca="1">IFERROR(__xludf.DUMMYFUNCTION("""COMPUTED_VALUE"""),152.79)</f>
        <v>152.79</v>
      </c>
      <c r="J1252" s="1">
        <f ca="1">IFERROR(__xludf.DUMMYFUNCTION("""COMPUTED_VALUE"""),954.8)</f>
        <v>954.8</v>
      </c>
      <c r="K1252" s="1">
        <f ca="1">IFERROR(__xludf.DUMMYFUNCTION("""COMPUTED_VALUE"""),218.32)</f>
        <v>218.32</v>
      </c>
      <c r="L1252" s="1">
        <f ca="1">IFERROR(__xludf.DUMMYFUNCTION("""COMPUTED_VALUE"""),437.39)</f>
        <v>437.39</v>
      </c>
      <c r="M1252" s="1">
        <f ca="1">IFERROR(__xludf.DUMMYFUNCTION("""COMPUTED_VALUE"""),902.04)</f>
        <v>902.04</v>
      </c>
      <c r="N1252" s="1">
        <f ca="1">IFERROR(__xludf.DUMMYFUNCTION("""COMPUTED_VALUE"""),237.6)</f>
        <v>237.6</v>
      </c>
      <c r="O1252" s="1">
        <f ca="1">IFERROR(__xludf.DUMMYFUNCTION("""COMPUTED_VALUE"""),314.88)</f>
        <v>314.88</v>
      </c>
      <c r="P1252" s="1">
        <f ca="1">IFERROR(__xludf.DUMMYFUNCTION("""COMPUTED_VALUE"""),143.58)</f>
        <v>143.58000000000001</v>
      </c>
      <c r="Q1252" s="1">
        <f ca="1">IFERROR(__xludf.DUMMYFUNCTION("""COMPUTED_VALUE"""),489.25)</f>
        <v>489.25</v>
      </c>
      <c r="R1252" s="1">
        <f ca="1">IFERROR(__xludf.DUMMYFUNCTION("""COMPUTED_VALUE"""),105.51)</f>
        <v>105.51</v>
      </c>
      <c r="S1252" s="1">
        <f ca="1">IFERROR(__xludf.DUMMYFUNCTION("""COMPUTED_VALUE"""),69.77)</f>
        <v>69.77</v>
      </c>
      <c r="T1252" s="1">
        <f ca="1">IFERROR(__xludf.DUMMYFUNCTION("""COMPUTED_VALUE"""),92.24)</f>
        <v>92.24</v>
      </c>
      <c r="U1252" s="1">
        <f ca="1">IFERROR(__xludf.DUMMYFUNCTION("""COMPUTED_VALUE"""),76.94)</f>
        <v>76.94</v>
      </c>
      <c r="V1252" s="1">
        <f ca="1">IFERROR(__xludf.DUMMYFUNCTION("""COMPUTED_VALUE"""),360.37)</f>
        <v>360.37</v>
      </c>
      <c r="W1252" s="1">
        <f ca="1">IFERROR(__xludf.DUMMYFUNCTION("""COMPUTED_VALUE"""),479.66)</f>
        <v>479.66</v>
      </c>
      <c r="X1252" s="1">
        <f ca="1">IFERROR(__xludf.DUMMYFUNCTION("""COMPUTED_VALUE"""),710.26)</f>
        <v>710.26</v>
      </c>
      <c r="Y1252" s="1">
        <f ca="1">IFERROR(__xludf.DUMMYFUNCTION("""COMPUTED_VALUE"""),194.64)</f>
        <v>194.64</v>
      </c>
      <c r="Z1252" s="1">
        <f ca="1">IFERROR(__xludf.DUMMYFUNCTION("""COMPUTED_VALUE"""),566.1)</f>
        <v>566.1</v>
      </c>
      <c r="AA1252" s="1">
        <f ca="1">IFERROR(__xludf.DUMMYFUNCTION("""COMPUTED_VALUE"""),25.77)</f>
        <v>25.77</v>
      </c>
      <c r="AB1252" s="1">
        <f ca="1">IFERROR(__xludf.DUMMYFUNCTION("""COMPUTED_VALUE"""),87.97)</f>
        <v>87.97</v>
      </c>
      <c r="AC1252" s="1">
        <f ca="1">IFERROR(__xludf.DUMMYFUNCTION("""COMPUTED_VALUE"""),119.21)</f>
        <v>119.21</v>
      </c>
    </row>
    <row r="1253" spans="1:29" x14ac:dyDescent="0.25">
      <c r="A1253" s="2">
        <f ca="1">IFERROR(__xludf.DUMMYFUNCTION("""COMPUTED_VALUE"""),45646.6666666666)</f>
        <v>45646.666666666599</v>
      </c>
      <c r="B1253" s="1">
        <f ca="1">IFERROR(__xludf.DUMMYFUNCTION("""COMPUTED_VALUE"""),254.49)</f>
        <v>254.49</v>
      </c>
      <c r="C1253" s="1">
        <f ca="1">IFERROR(__xludf.DUMMYFUNCTION("""COMPUTED_VALUE"""),436.6)</f>
        <v>436.6</v>
      </c>
      <c r="D1253" s="1">
        <f ca="1">IFERROR(__xludf.DUMMYFUNCTION("""COMPUTED_VALUE"""),224.92)</f>
        <v>224.92</v>
      </c>
      <c r="E1253" s="1">
        <f ca="1">IFERROR(__xludf.DUMMYFUNCTION("""COMPUTED_VALUE"""),134.7)</f>
        <v>134.69999999999999</v>
      </c>
      <c r="F1253" s="1">
        <f ca="1">IFERROR(__xludf.DUMMYFUNCTION("""COMPUTED_VALUE"""),599.85)</f>
        <v>599.85</v>
      </c>
      <c r="G1253" s="1">
        <f ca="1">IFERROR(__xludf.DUMMYFUNCTION("""COMPUTED_VALUE"""),192.96)</f>
        <v>192.96</v>
      </c>
      <c r="H1253" s="1">
        <f ca="1">IFERROR(__xludf.DUMMYFUNCTION("""COMPUTED_VALUE"""),430.6)</f>
        <v>430.6</v>
      </c>
      <c r="I1253" s="1">
        <f ca="1">IFERROR(__xludf.DUMMYFUNCTION("""COMPUTED_VALUE"""),151.29)</f>
        <v>151.29</v>
      </c>
      <c r="J1253" s="1">
        <f ca="1">IFERROR(__xludf.DUMMYFUNCTION("""COMPUTED_VALUE"""),954.07)</f>
        <v>954.07</v>
      </c>
      <c r="K1253" s="1">
        <f ca="1">IFERROR(__xludf.DUMMYFUNCTION("""COMPUTED_VALUE"""),220.79)</f>
        <v>220.79</v>
      </c>
      <c r="L1253" s="1">
        <f ca="1">IFERROR(__xludf.DUMMYFUNCTION("""COMPUTED_VALUE"""),447.17)</f>
        <v>447.17</v>
      </c>
      <c r="M1253" s="1">
        <f ca="1">IFERROR(__xludf.DUMMYFUNCTION("""COMPUTED_VALUE"""),909.05)</f>
        <v>909.05</v>
      </c>
      <c r="N1253" s="1">
        <f ca="1">IFERROR(__xludf.DUMMYFUNCTION("""COMPUTED_VALUE"""),238.39)</f>
        <v>238.39</v>
      </c>
      <c r="O1253" s="1">
        <f ca="1">IFERROR(__xludf.DUMMYFUNCTION("""COMPUTED_VALUE"""),317.71)</f>
        <v>317.70999999999998</v>
      </c>
      <c r="P1253" s="1">
        <f ca="1">IFERROR(__xludf.DUMMYFUNCTION("""COMPUTED_VALUE"""),144.47)</f>
        <v>144.47</v>
      </c>
      <c r="Q1253" s="1">
        <f ca="1">IFERROR(__xludf.DUMMYFUNCTION("""COMPUTED_VALUE"""),500.13)</f>
        <v>500.13</v>
      </c>
      <c r="R1253" s="1">
        <f ca="1">IFERROR(__xludf.DUMMYFUNCTION("""COMPUTED_VALUE"""),105.87)</f>
        <v>105.87</v>
      </c>
      <c r="S1253" s="1">
        <f ca="1">IFERROR(__xludf.DUMMYFUNCTION("""COMPUTED_VALUE"""),71.67)</f>
        <v>71.67</v>
      </c>
      <c r="T1253" s="1">
        <f ca="1">IFERROR(__xludf.DUMMYFUNCTION("""COMPUTED_VALUE"""),90.35)</f>
        <v>90.35</v>
      </c>
      <c r="U1253" s="1">
        <f ca="1">IFERROR(__xludf.DUMMYFUNCTION("""COMPUTED_VALUE"""),76.76)</f>
        <v>76.760000000000005</v>
      </c>
      <c r="V1253" s="1">
        <f ca="1">IFERROR(__xludf.DUMMYFUNCTION("""COMPUTED_VALUE"""),366.04)</f>
        <v>366.04</v>
      </c>
      <c r="W1253" s="1">
        <f ca="1">IFERROR(__xludf.DUMMYFUNCTION("""COMPUTED_VALUE"""),489.02)</f>
        <v>489.02</v>
      </c>
      <c r="X1253" s="1">
        <f ca="1">IFERROR(__xludf.DUMMYFUNCTION("""COMPUTED_VALUE"""),705.68)</f>
        <v>705.68</v>
      </c>
      <c r="Y1253" s="1">
        <f ca="1">IFERROR(__xludf.DUMMYFUNCTION("""COMPUTED_VALUE"""),197.21)</f>
        <v>197.21</v>
      </c>
      <c r="Z1253" s="1">
        <f ca="1">IFERROR(__xludf.DUMMYFUNCTION("""COMPUTED_VALUE"""),570.78)</f>
        <v>570.78</v>
      </c>
      <c r="AA1253" s="1">
        <f ca="1">IFERROR(__xludf.DUMMYFUNCTION("""COMPUTED_VALUE"""),26.36)</f>
        <v>26.36</v>
      </c>
      <c r="AB1253" s="1">
        <f ca="1">IFERROR(__xludf.DUMMYFUNCTION("""COMPUTED_VALUE"""),87.44)</f>
        <v>87.44</v>
      </c>
      <c r="AC1253" s="1">
        <f ca="1">IFERROR(__xludf.DUMMYFUNCTION("""COMPUTED_VALUE"""),124.6)</f>
        <v>124.6</v>
      </c>
    </row>
    <row r="1254" spans="1:29" x14ac:dyDescent="0.25">
      <c r="A1254" s="2">
        <f ca="1">IFERROR(__xludf.DUMMYFUNCTION("""COMPUTED_VALUE"""),45649.6666666666)</f>
        <v>45649.666666666599</v>
      </c>
      <c r="B1254" s="1">
        <f ca="1">IFERROR(__xludf.DUMMYFUNCTION("""COMPUTED_VALUE"""),255.27)</f>
        <v>255.27</v>
      </c>
      <c r="C1254" s="1">
        <f ca="1">IFERROR(__xludf.DUMMYFUNCTION("""COMPUTED_VALUE"""),435.25)</f>
        <v>435.25</v>
      </c>
      <c r="D1254" s="1">
        <f ca="1">IFERROR(__xludf.DUMMYFUNCTION("""COMPUTED_VALUE"""),225.06)</f>
        <v>225.06</v>
      </c>
      <c r="E1254" s="1">
        <f ca="1">IFERROR(__xludf.DUMMYFUNCTION("""COMPUTED_VALUE"""),139.67)</f>
        <v>139.66999999999999</v>
      </c>
      <c r="F1254" s="1">
        <f ca="1">IFERROR(__xludf.DUMMYFUNCTION("""COMPUTED_VALUE"""),607.75)</f>
        <v>607.75</v>
      </c>
      <c r="G1254" s="1">
        <f ca="1">IFERROR(__xludf.DUMMYFUNCTION("""COMPUTED_VALUE"""),195.99)</f>
        <v>195.99</v>
      </c>
      <c r="H1254" s="1">
        <f ca="1">IFERROR(__xludf.DUMMYFUNCTION("""COMPUTED_VALUE"""),462.28)</f>
        <v>462.28</v>
      </c>
      <c r="I1254" s="1">
        <f ca="1">IFERROR(__xludf.DUMMYFUNCTION("""COMPUTED_VALUE"""),152.81)</f>
        <v>152.81</v>
      </c>
      <c r="J1254" s="1">
        <f ca="1">IFERROR(__xludf.DUMMYFUNCTION("""COMPUTED_VALUE"""),949.91)</f>
        <v>949.91</v>
      </c>
      <c r="K1254" s="1">
        <f ca="1">IFERROR(__xludf.DUMMYFUNCTION("""COMPUTED_VALUE"""),232.35)</f>
        <v>232.35</v>
      </c>
      <c r="L1254" s="1">
        <f ca="1">IFERROR(__xludf.DUMMYFUNCTION("""COMPUTED_VALUE"""),446.74)</f>
        <v>446.74</v>
      </c>
      <c r="M1254" s="1">
        <f ca="1">IFERROR(__xludf.DUMMYFUNCTION("""COMPUTED_VALUE"""),911.45)</f>
        <v>911.45</v>
      </c>
      <c r="N1254" s="1">
        <f ca="1">IFERROR(__xludf.DUMMYFUNCTION("""COMPUTED_VALUE"""),242.31)</f>
        <v>242.31</v>
      </c>
      <c r="O1254" s="1">
        <f ca="1">IFERROR(__xludf.DUMMYFUNCTION("""COMPUTED_VALUE"""),317.22)</f>
        <v>317.22000000000003</v>
      </c>
      <c r="P1254" s="1">
        <f ca="1">IFERROR(__xludf.DUMMYFUNCTION("""COMPUTED_VALUE"""),145.27)</f>
        <v>145.27000000000001</v>
      </c>
      <c r="Q1254" s="1">
        <f ca="1">IFERROR(__xludf.DUMMYFUNCTION("""COMPUTED_VALUE"""),506.34)</f>
        <v>506.34</v>
      </c>
      <c r="R1254" s="1">
        <f ca="1">IFERROR(__xludf.DUMMYFUNCTION("""COMPUTED_VALUE"""),106.3)</f>
        <v>106.3</v>
      </c>
      <c r="S1254" s="1">
        <f ca="1">IFERROR(__xludf.DUMMYFUNCTION("""COMPUTED_VALUE"""),72.49)</f>
        <v>72.489999999999995</v>
      </c>
      <c r="T1254" s="1">
        <f ca="1">IFERROR(__xludf.DUMMYFUNCTION("""COMPUTED_VALUE"""),92.68)</f>
        <v>92.68</v>
      </c>
      <c r="U1254" s="1">
        <f ca="1">IFERROR(__xludf.DUMMYFUNCTION("""COMPUTED_VALUE"""),76.79)</f>
        <v>76.790000000000006</v>
      </c>
      <c r="V1254" s="1">
        <f ca="1">IFERROR(__xludf.DUMMYFUNCTION("""COMPUTED_VALUE"""),365.39)</f>
        <v>365.39</v>
      </c>
      <c r="W1254" s="1">
        <f ca="1">IFERROR(__xludf.DUMMYFUNCTION("""COMPUTED_VALUE"""),486.49)</f>
        <v>486.49</v>
      </c>
      <c r="X1254" s="1">
        <f ca="1">IFERROR(__xludf.DUMMYFUNCTION("""COMPUTED_VALUE"""),721.04)</f>
        <v>721.04</v>
      </c>
      <c r="Y1254" s="1">
        <f ca="1">IFERROR(__xludf.DUMMYFUNCTION("""COMPUTED_VALUE"""),207.36)</f>
        <v>207.36</v>
      </c>
      <c r="Z1254" s="1">
        <f ca="1">IFERROR(__xludf.DUMMYFUNCTION("""COMPUTED_VALUE"""),582.79)</f>
        <v>582.79</v>
      </c>
      <c r="AA1254" s="1">
        <f ca="1">IFERROR(__xludf.DUMMYFUNCTION("""COMPUTED_VALUE"""),26.71)</f>
        <v>26.71</v>
      </c>
      <c r="AB1254" s="1">
        <f ca="1">IFERROR(__xludf.DUMMYFUNCTION("""COMPUTED_VALUE"""),89.91)</f>
        <v>89.91</v>
      </c>
      <c r="AC1254" s="1">
        <f ca="1">IFERROR(__xludf.DUMMYFUNCTION("""COMPUTED_VALUE"""),126.29)</f>
        <v>126.29</v>
      </c>
    </row>
    <row r="1255" spans="1:29" x14ac:dyDescent="0.25">
      <c r="A1255" s="2">
        <f ca="1">IFERROR(__xludf.DUMMYFUNCTION("""COMPUTED_VALUE"""),45650.5451388888)</f>
        <v>45650.545138888803</v>
      </c>
      <c r="B1255" s="1">
        <f ca="1">IFERROR(__xludf.DUMMYFUNCTION("""COMPUTED_VALUE"""),258.2)</f>
        <v>258.2</v>
      </c>
      <c r="C1255" s="1">
        <f ca="1">IFERROR(__xludf.DUMMYFUNCTION("""COMPUTED_VALUE"""),439.33)</f>
        <v>439.33</v>
      </c>
      <c r="D1255" s="1">
        <f ca="1">IFERROR(__xludf.DUMMYFUNCTION("""COMPUTED_VALUE"""),229.05)</f>
        <v>229.05</v>
      </c>
      <c r="E1255" s="1">
        <f ca="1">IFERROR(__xludf.DUMMYFUNCTION("""COMPUTED_VALUE"""),140.22)</f>
        <v>140.22</v>
      </c>
      <c r="F1255" s="1">
        <f ca="1">IFERROR(__xludf.DUMMYFUNCTION("""COMPUTED_VALUE"""),603.35)</f>
        <v>603.35</v>
      </c>
      <c r="G1255" s="1">
        <f ca="1">IFERROR(__xludf.DUMMYFUNCTION("""COMPUTED_VALUE"""),197.57)</f>
        <v>197.57</v>
      </c>
      <c r="H1255" s="1">
        <f ca="1">IFERROR(__xludf.DUMMYFUNCTION("""COMPUTED_VALUE"""),454.13)</f>
        <v>454.13</v>
      </c>
      <c r="I1255" s="1">
        <f ca="1">IFERROR(__xludf.DUMMYFUNCTION("""COMPUTED_VALUE"""),152.44)</f>
        <v>152.44</v>
      </c>
      <c r="J1255" s="1">
        <f ca="1">IFERROR(__xludf.DUMMYFUNCTION("""COMPUTED_VALUE"""),958.82)</f>
        <v>958.82</v>
      </c>
      <c r="K1255" s="1">
        <f ca="1">IFERROR(__xludf.DUMMYFUNCTION("""COMPUTED_VALUE"""),239.68)</f>
        <v>239.68</v>
      </c>
      <c r="L1255" s="1">
        <f ca="1">IFERROR(__xludf.DUMMYFUNCTION("""COMPUTED_VALUE"""),447.94)</f>
        <v>447.94</v>
      </c>
      <c r="M1255" s="1">
        <f ca="1">IFERROR(__xludf.DUMMYFUNCTION("""COMPUTED_VALUE"""),932.12)</f>
        <v>932.12</v>
      </c>
      <c r="N1255" s="1">
        <f ca="1">IFERROR(__xludf.DUMMYFUNCTION("""COMPUTED_VALUE"""),243.14)</f>
        <v>243.14</v>
      </c>
      <c r="O1255" s="1">
        <f ca="1">IFERROR(__xludf.DUMMYFUNCTION("""COMPUTED_VALUE"""),320.65)</f>
        <v>320.64999999999998</v>
      </c>
      <c r="P1255" s="1">
        <f ca="1">IFERROR(__xludf.DUMMYFUNCTION("""COMPUTED_VALUE"""),145.85)</f>
        <v>145.85</v>
      </c>
      <c r="Q1255" s="1">
        <f ca="1">IFERROR(__xludf.DUMMYFUNCTION("""COMPUTED_VALUE"""),506.1)</f>
        <v>506.1</v>
      </c>
      <c r="R1255" s="1">
        <f ca="1">IFERROR(__xludf.DUMMYFUNCTION("""COMPUTED_VALUE"""),106.4)</f>
        <v>106.4</v>
      </c>
      <c r="S1255" s="1">
        <f ca="1">IFERROR(__xludf.DUMMYFUNCTION("""COMPUTED_VALUE"""),72.91)</f>
        <v>72.91</v>
      </c>
      <c r="T1255" s="1">
        <f ca="1">IFERROR(__xludf.DUMMYFUNCTION("""COMPUTED_VALUE"""),92.79)</f>
        <v>92.79</v>
      </c>
      <c r="U1255" s="1">
        <f ca="1">IFERROR(__xludf.DUMMYFUNCTION("""COMPUTED_VALUE"""),76.94)</f>
        <v>76.94</v>
      </c>
      <c r="V1255" s="1">
        <f ca="1">IFERROR(__xludf.DUMMYFUNCTION("""COMPUTED_VALUE"""),367.57)</f>
        <v>367.57</v>
      </c>
      <c r="W1255" s="1">
        <f ca="1">IFERROR(__xludf.DUMMYFUNCTION("""COMPUTED_VALUE"""),488.13)</f>
        <v>488.13</v>
      </c>
      <c r="X1255" s="1">
        <f ca="1">IFERROR(__xludf.DUMMYFUNCTION("""COMPUTED_VALUE"""),719.71)</f>
        <v>719.71</v>
      </c>
      <c r="Y1255" s="1">
        <f ca="1">IFERROR(__xludf.DUMMYFUNCTION("""COMPUTED_VALUE"""),206.33)</f>
        <v>206.33</v>
      </c>
      <c r="Z1255" s="1">
        <f ca="1">IFERROR(__xludf.DUMMYFUNCTION("""COMPUTED_VALUE"""),581.23)</f>
        <v>581.23</v>
      </c>
      <c r="AA1255" s="1">
        <f ca="1">IFERROR(__xludf.DUMMYFUNCTION("""COMPUTED_VALUE"""),26.74)</f>
        <v>26.74</v>
      </c>
      <c r="AB1255" s="1">
        <f ca="1">IFERROR(__xludf.DUMMYFUNCTION("""COMPUTED_VALUE"""),91.86)</f>
        <v>91.86</v>
      </c>
      <c r="AC1255" s="1">
        <f ca="1">IFERROR(__xludf.DUMMYFUNCTION("""COMPUTED_VALUE"""),125.06)</f>
        <v>125.06</v>
      </c>
    </row>
    <row r="1256" spans="1:29" x14ac:dyDescent="0.25">
      <c r="A1256" s="2">
        <f ca="1">IFERROR(__xludf.DUMMYFUNCTION("""COMPUTED_VALUE"""),45652.6666666666)</f>
        <v>45652.666666666599</v>
      </c>
      <c r="B1256" s="1">
        <f ca="1">IFERROR(__xludf.DUMMYFUNCTION("""COMPUTED_VALUE"""),259.02)</f>
        <v>259.02</v>
      </c>
      <c r="C1256" s="1">
        <f ca="1">IFERROR(__xludf.DUMMYFUNCTION("""COMPUTED_VALUE"""),438.11)</f>
        <v>438.11</v>
      </c>
      <c r="D1256" s="1">
        <f ca="1">IFERROR(__xludf.DUMMYFUNCTION("""COMPUTED_VALUE"""),227.05)</f>
        <v>227.05</v>
      </c>
      <c r="E1256" s="1">
        <f ca="1">IFERROR(__xludf.DUMMYFUNCTION("""COMPUTED_VALUE"""),139.93)</f>
        <v>139.93</v>
      </c>
      <c r="F1256" s="1">
        <f ca="1">IFERROR(__xludf.DUMMYFUNCTION("""COMPUTED_VALUE"""),599.81)</f>
        <v>599.80999999999995</v>
      </c>
      <c r="G1256" s="1">
        <f ca="1">IFERROR(__xludf.DUMMYFUNCTION("""COMPUTED_VALUE"""),197.1)</f>
        <v>197.1</v>
      </c>
      <c r="H1256" s="1">
        <f ca="1">IFERROR(__xludf.DUMMYFUNCTION("""COMPUTED_VALUE"""),431.66)</f>
        <v>431.66</v>
      </c>
      <c r="I1256" s="1">
        <f ca="1">IFERROR(__xludf.DUMMYFUNCTION("""COMPUTED_VALUE"""),152.89)</f>
        <v>152.88999999999999</v>
      </c>
      <c r="J1256" s="1">
        <f ca="1">IFERROR(__xludf.DUMMYFUNCTION("""COMPUTED_VALUE"""),956.14)</f>
        <v>956.14</v>
      </c>
      <c r="K1256" s="1">
        <f ca="1">IFERROR(__xludf.DUMMYFUNCTION("""COMPUTED_VALUE"""),245.36)</f>
        <v>245.36</v>
      </c>
      <c r="L1256" s="1">
        <f ca="1">IFERROR(__xludf.DUMMYFUNCTION("""COMPUTED_VALUE"""),450.16)</f>
        <v>450.16</v>
      </c>
      <c r="M1256" s="1">
        <f ca="1">IFERROR(__xludf.DUMMYFUNCTION("""COMPUTED_VALUE"""),924.14)</f>
        <v>924.14</v>
      </c>
      <c r="N1256" s="1">
        <f ca="1">IFERROR(__xludf.DUMMYFUNCTION("""COMPUTED_VALUE"""),241.17)</f>
        <v>241.17</v>
      </c>
      <c r="O1256" s="1">
        <f ca="1">IFERROR(__xludf.DUMMYFUNCTION("""COMPUTED_VALUE"""),320.91)</f>
        <v>320.91000000000003</v>
      </c>
      <c r="P1256" s="1">
        <f ca="1">IFERROR(__xludf.DUMMYFUNCTION("""COMPUTED_VALUE"""),145.58)</f>
        <v>145.58000000000001</v>
      </c>
      <c r="Q1256" s="1">
        <f ca="1">IFERROR(__xludf.DUMMYFUNCTION("""COMPUTED_VALUE"""),511.15)</f>
        <v>511.15</v>
      </c>
      <c r="R1256" s="1">
        <f ca="1">IFERROR(__xludf.DUMMYFUNCTION("""COMPUTED_VALUE"""),106.49)</f>
        <v>106.49</v>
      </c>
      <c r="S1256" s="1">
        <f ca="1">IFERROR(__xludf.DUMMYFUNCTION("""COMPUTED_VALUE"""),72.37)</f>
        <v>72.37</v>
      </c>
      <c r="T1256" s="1">
        <f ca="1">IFERROR(__xludf.DUMMYFUNCTION("""COMPUTED_VALUE"""),91.66)</f>
        <v>91.66</v>
      </c>
      <c r="U1256" s="1">
        <f ca="1">IFERROR(__xludf.DUMMYFUNCTION("""COMPUTED_VALUE"""),76.42)</f>
        <v>76.42</v>
      </c>
      <c r="V1256" s="1">
        <f ca="1">IFERROR(__xludf.DUMMYFUNCTION("""COMPUTED_VALUE"""),367.12)</f>
        <v>367.12</v>
      </c>
      <c r="W1256" s="1">
        <f ca="1">IFERROR(__xludf.DUMMYFUNCTION("""COMPUTED_VALUE"""),489.98)</f>
        <v>489.98</v>
      </c>
      <c r="X1256" s="1">
        <f ca="1">IFERROR(__xludf.DUMMYFUNCTION("""COMPUTED_VALUE"""),715.86)</f>
        <v>715.86</v>
      </c>
      <c r="Y1256" s="1">
        <f ca="1">IFERROR(__xludf.DUMMYFUNCTION("""COMPUTED_VALUE"""),203.06)</f>
        <v>203.06</v>
      </c>
      <c r="Z1256" s="1">
        <f ca="1">IFERROR(__xludf.DUMMYFUNCTION("""COMPUTED_VALUE"""),576.18)</f>
        <v>576.17999999999995</v>
      </c>
      <c r="AA1256" s="1">
        <f ca="1">IFERROR(__xludf.DUMMYFUNCTION("""COMPUTED_VALUE"""),26.56)</f>
        <v>26.56</v>
      </c>
      <c r="AB1256" s="1">
        <f ca="1">IFERROR(__xludf.DUMMYFUNCTION("""COMPUTED_VALUE"""),92.25)</f>
        <v>92.25</v>
      </c>
      <c r="AC1256" s="1">
        <f ca="1">IFERROR(__xludf.DUMMYFUNCTION("""COMPUTED_VALUE"""),125.19)</f>
        <v>125.19</v>
      </c>
    </row>
    <row r="1257" spans="1:29" x14ac:dyDescent="0.25">
      <c r="A1257" s="2">
        <f ca="1">IFERROR(__xludf.DUMMYFUNCTION("""COMPUTED_VALUE"""),45653.6666666666)</f>
        <v>45653.666666666599</v>
      </c>
      <c r="B1257" s="1">
        <f ca="1">IFERROR(__xludf.DUMMYFUNCTION("""COMPUTED_VALUE"""),255.59)</f>
        <v>255.59</v>
      </c>
      <c r="C1257" s="1">
        <f ca="1">IFERROR(__xludf.DUMMYFUNCTION("""COMPUTED_VALUE"""),430.53)</f>
        <v>430.53</v>
      </c>
      <c r="D1257" s="1">
        <f ca="1">IFERROR(__xludf.DUMMYFUNCTION("""COMPUTED_VALUE"""),223.75)</f>
        <v>223.75</v>
      </c>
      <c r="E1257" s="1">
        <f ca="1">IFERROR(__xludf.DUMMYFUNCTION("""COMPUTED_VALUE"""),137.01)</f>
        <v>137.01</v>
      </c>
      <c r="F1257" s="1">
        <f ca="1">IFERROR(__xludf.DUMMYFUNCTION("""COMPUTED_VALUE"""),591.24)</f>
        <v>591.24</v>
      </c>
      <c r="G1257" s="1">
        <f ca="1">IFERROR(__xludf.DUMMYFUNCTION("""COMPUTED_VALUE"""),194.04)</f>
        <v>194.04</v>
      </c>
      <c r="H1257" s="1">
        <f ca="1">IFERROR(__xludf.DUMMYFUNCTION("""COMPUTED_VALUE"""),417.41)</f>
        <v>417.41</v>
      </c>
      <c r="I1257" s="1">
        <f ca="1">IFERROR(__xludf.DUMMYFUNCTION("""COMPUTED_VALUE"""),151.72)</f>
        <v>151.72</v>
      </c>
      <c r="J1257" s="1">
        <f ca="1">IFERROR(__xludf.DUMMYFUNCTION("""COMPUTED_VALUE"""),939.7)</f>
        <v>939.7</v>
      </c>
      <c r="K1257" s="1">
        <f ca="1">IFERROR(__xludf.DUMMYFUNCTION("""COMPUTED_VALUE"""),241.75)</f>
        <v>241.75</v>
      </c>
      <c r="L1257" s="1">
        <f ca="1">IFERROR(__xludf.DUMMYFUNCTION("""COMPUTED_VALUE"""),446.48)</f>
        <v>446.48</v>
      </c>
      <c r="M1257" s="1">
        <f ca="1">IFERROR(__xludf.DUMMYFUNCTION("""COMPUTED_VALUE"""),907.55)</f>
        <v>907.55</v>
      </c>
      <c r="N1257" s="1">
        <f ca="1">IFERROR(__xludf.DUMMYFUNCTION("""COMPUTED_VALUE"""),239.32)</f>
        <v>239.32</v>
      </c>
      <c r="O1257" s="1">
        <f ca="1">IFERROR(__xludf.DUMMYFUNCTION("""COMPUTED_VALUE"""),318.66)</f>
        <v>318.66000000000003</v>
      </c>
      <c r="P1257" s="1">
        <f ca="1">IFERROR(__xludf.DUMMYFUNCTION("""COMPUTED_VALUE"""),145.05)</f>
        <v>145.05000000000001</v>
      </c>
      <c r="Q1257" s="1">
        <f ca="1">IFERROR(__xludf.DUMMYFUNCTION("""COMPUTED_VALUE"""),509.99)</f>
        <v>509.99</v>
      </c>
      <c r="R1257" s="1">
        <f ca="1">IFERROR(__xludf.DUMMYFUNCTION("""COMPUTED_VALUE"""),106.48)</f>
        <v>106.48</v>
      </c>
      <c r="S1257" s="1">
        <f ca="1">IFERROR(__xludf.DUMMYFUNCTION("""COMPUTED_VALUE"""),72.11)</f>
        <v>72.11</v>
      </c>
      <c r="T1257" s="1">
        <f ca="1">IFERROR(__xludf.DUMMYFUNCTION("""COMPUTED_VALUE"""),90.57)</f>
        <v>90.57</v>
      </c>
      <c r="U1257" s="1">
        <f ca="1">IFERROR(__xludf.DUMMYFUNCTION("""COMPUTED_VALUE"""),74.65)</f>
        <v>74.650000000000006</v>
      </c>
      <c r="V1257" s="1">
        <f ca="1">IFERROR(__xludf.DUMMYFUNCTION("""COMPUTED_VALUE"""),364.86)</f>
        <v>364.86</v>
      </c>
      <c r="W1257" s="1">
        <f ca="1">IFERROR(__xludf.DUMMYFUNCTION("""COMPUTED_VALUE"""),488.97)</f>
        <v>488.97</v>
      </c>
      <c r="X1257" s="1">
        <f ca="1">IFERROR(__xludf.DUMMYFUNCTION("""COMPUTED_VALUE"""),713.59)</f>
        <v>713.59</v>
      </c>
      <c r="Y1257" s="1">
        <f ca="1">IFERROR(__xludf.DUMMYFUNCTION("""COMPUTED_VALUE"""),201.63)</f>
        <v>201.63</v>
      </c>
      <c r="Z1257" s="1">
        <f ca="1">IFERROR(__xludf.DUMMYFUNCTION("""COMPUTED_VALUE"""),573.55)</f>
        <v>573.54999999999995</v>
      </c>
      <c r="AA1257" s="1">
        <f ca="1">IFERROR(__xludf.DUMMYFUNCTION("""COMPUTED_VALUE"""),26.62)</f>
        <v>26.62</v>
      </c>
      <c r="AB1257" s="1">
        <f ca="1">IFERROR(__xludf.DUMMYFUNCTION("""COMPUTED_VALUE"""),90.58)</f>
        <v>90.58</v>
      </c>
      <c r="AC1257" s="1">
        <f ca="1">IFERROR(__xludf.DUMMYFUNCTION("""COMPUTED_VALUE"""),122.44)</f>
        <v>122.44</v>
      </c>
    </row>
    <row r="1258" spans="1:29" x14ac:dyDescent="0.25">
      <c r="A1258" s="2">
        <f ca="1">IFERROR(__xludf.DUMMYFUNCTION("""COMPUTED_VALUE"""),45656.6666666666)</f>
        <v>45656.666666666599</v>
      </c>
      <c r="B1258" s="1">
        <f ca="1">IFERROR(__xludf.DUMMYFUNCTION("""COMPUTED_VALUE"""),252.2)</f>
        <v>252.2</v>
      </c>
      <c r="C1258" s="1">
        <f ca="1">IFERROR(__xludf.DUMMYFUNCTION("""COMPUTED_VALUE"""),424.83)</f>
        <v>424.83</v>
      </c>
      <c r="D1258" s="1">
        <f ca="1">IFERROR(__xludf.DUMMYFUNCTION("""COMPUTED_VALUE"""),221.3)</f>
        <v>221.3</v>
      </c>
      <c r="E1258" s="1">
        <f ca="1">IFERROR(__xludf.DUMMYFUNCTION("""COMPUTED_VALUE"""),137.49)</f>
        <v>137.49</v>
      </c>
      <c r="F1258" s="1">
        <f ca="1">IFERROR(__xludf.DUMMYFUNCTION("""COMPUTED_VALUE"""),585.51)</f>
        <v>585.51</v>
      </c>
      <c r="G1258" s="1">
        <f ca="1">IFERROR(__xludf.DUMMYFUNCTION("""COMPUTED_VALUE"""),192.69)</f>
        <v>192.69</v>
      </c>
      <c r="H1258" s="1">
        <f ca="1">IFERROR(__xludf.DUMMYFUNCTION("""COMPUTED_VALUE"""),403.84)</f>
        <v>403.84</v>
      </c>
      <c r="I1258" s="1">
        <f ca="1">IFERROR(__xludf.DUMMYFUNCTION("""COMPUTED_VALUE"""),152.06)</f>
        <v>152.06</v>
      </c>
      <c r="J1258" s="1">
        <f ca="1">IFERROR(__xludf.DUMMYFUNCTION("""COMPUTED_VALUE"""),922.21)</f>
        <v>922.21</v>
      </c>
      <c r="K1258" s="1">
        <f ca="1">IFERROR(__xludf.DUMMYFUNCTION("""COMPUTED_VALUE"""),235.58)</f>
        <v>235.58</v>
      </c>
      <c r="L1258" s="1">
        <f ca="1">IFERROR(__xludf.DUMMYFUNCTION("""COMPUTED_VALUE"""),445.8)</f>
        <v>445.8</v>
      </c>
      <c r="M1258" s="1">
        <f ca="1">IFERROR(__xludf.DUMMYFUNCTION("""COMPUTED_VALUE"""),900.43)</f>
        <v>900.43</v>
      </c>
      <c r="N1258" s="1">
        <f ca="1">IFERROR(__xludf.DUMMYFUNCTION("""COMPUTED_VALUE"""),239.71)</f>
        <v>239.71</v>
      </c>
      <c r="O1258" s="1">
        <f ca="1">IFERROR(__xludf.DUMMYFUNCTION("""COMPUTED_VALUE"""),315.31)</f>
        <v>315.31</v>
      </c>
      <c r="P1258" s="1">
        <f ca="1">IFERROR(__xludf.DUMMYFUNCTION("""COMPUTED_VALUE"""),143.34)</f>
        <v>143.34</v>
      </c>
      <c r="Q1258" s="1">
        <f ca="1">IFERROR(__xludf.DUMMYFUNCTION("""COMPUTED_VALUE"""),507.8)</f>
        <v>507.8</v>
      </c>
      <c r="R1258" s="1">
        <f ca="1">IFERROR(__xludf.DUMMYFUNCTION("""COMPUTED_VALUE"""),105.76)</f>
        <v>105.76</v>
      </c>
      <c r="S1258" s="1">
        <f ca="1">IFERROR(__xludf.DUMMYFUNCTION("""COMPUTED_VALUE"""),71.76)</f>
        <v>71.760000000000005</v>
      </c>
      <c r="T1258" s="1">
        <f ca="1">IFERROR(__xludf.DUMMYFUNCTION("""COMPUTED_VALUE"""),90.35)</f>
        <v>90.35</v>
      </c>
      <c r="U1258" s="1">
        <f ca="1">IFERROR(__xludf.DUMMYFUNCTION("""COMPUTED_VALUE"""),75.67)</f>
        <v>75.67</v>
      </c>
      <c r="V1258" s="1">
        <f ca="1">IFERROR(__xludf.DUMMYFUNCTION("""COMPUTED_VALUE"""),363.01)</f>
        <v>363.01</v>
      </c>
      <c r="W1258" s="1">
        <f ca="1">IFERROR(__xludf.DUMMYFUNCTION("""COMPUTED_VALUE"""),483.37)</f>
        <v>483.37</v>
      </c>
      <c r="X1258" s="1">
        <f ca="1">IFERROR(__xludf.DUMMYFUNCTION("""COMPUTED_VALUE"""),696.15)</f>
        <v>696.15</v>
      </c>
      <c r="Y1258" s="1">
        <f ca="1">IFERROR(__xludf.DUMMYFUNCTION("""COMPUTED_VALUE"""),200.39)</f>
        <v>200.39</v>
      </c>
      <c r="Z1258" s="1">
        <f ca="1">IFERROR(__xludf.DUMMYFUNCTION("""COMPUTED_VALUE"""),572.62)</f>
        <v>572.62</v>
      </c>
      <c r="AA1258" s="1">
        <f ca="1">IFERROR(__xludf.DUMMYFUNCTION("""COMPUTED_VALUE"""),26.42)</f>
        <v>26.42</v>
      </c>
      <c r="AB1258" s="1">
        <f ca="1">IFERROR(__xludf.DUMMYFUNCTION("""COMPUTED_VALUE"""),91.25)</f>
        <v>91.25</v>
      </c>
      <c r="AC1258" s="1">
        <f ca="1">IFERROR(__xludf.DUMMYFUNCTION("""COMPUTED_VALUE"""),120.79)</f>
        <v>120.79</v>
      </c>
    </row>
    <row r="1259" spans="1:29" x14ac:dyDescent="0.25">
      <c r="A1259" s="2">
        <f ca="1">IFERROR(__xludf.DUMMYFUNCTION("""COMPUTED_VALUE"""),45657.6666666666)</f>
        <v>45657.666666666599</v>
      </c>
      <c r="B1259" s="1">
        <f ca="1">IFERROR(__xludf.DUMMYFUNCTION("""COMPUTED_VALUE"""),250.42)</f>
        <v>250.42</v>
      </c>
      <c r="C1259" s="1">
        <f ca="1">IFERROR(__xludf.DUMMYFUNCTION("""COMPUTED_VALUE"""),421.5)</f>
        <v>421.5</v>
      </c>
      <c r="D1259" s="1">
        <f ca="1">IFERROR(__xludf.DUMMYFUNCTION("""COMPUTED_VALUE"""),219.39)</f>
        <v>219.39</v>
      </c>
      <c r="E1259" s="1">
        <f ca="1">IFERROR(__xludf.DUMMYFUNCTION("""COMPUTED_VALUE"""),134.29)</f>
        <v>134.29</v>
      </c>
      <c r="F1259" s="1">
        <f ca="1">IFERROR(__xludf.DUMMYFUNCTION("""COMPUTED_VALUE"""),599.24)</f>
        <v>599.24</v>
      </c>
      <c r="G1259" s="1">
        <f ca="1">IFERROR(__xludf.DUMMYFUNCTION("""COMPUTED_VALUE"""),190.44)</f>
        <v>190.44</v>
      </c>
      <c r="H1259" s="1">
        <f ca="1">IFERROR(__xludf.DUMMYFUNCTION("""COMPUTED_VALUE"""),379.28)</f>
        <v>379.28</v>
      </c>
      <c r="I1259" s="1">
        <f ca="1">IFERROR(__xludf.DUMMYFUNCTION("""COMPUTED_VALUE"""),150.21)</f>
        <v>150.21</v>
      </c>
      <c r="J1259" s="1">
        <f ca="1">IFERROR(__xludf.DUMMYFUNCTION("""COMPUTED_VALUE"""),916.27)</f>
        <v>916.27</v>
      </c>
      <c r="K1259" s="1">
        <f ca="1">IFERROR(__xludf.DUMMYFUNCTION("""COMPUTED_VALUE"""),231.84)</f>
        <v>231.84</v>
      </c>
      <c r="L1259" s="1">
        <f ca="1">IFERROR(__xludf.DUMMYFUNCTION("""COMPUTED_VALUE"""),444.68)</f>
        <v>444.68</v>
      </c>
      <c r="M1259" s="1">
        <f ca="1">IFERROR(__xludf.DUMMYFUNCTION("""COMPUTED_VALUE"""),891.32)</f>
        <v>891.32</v>
      </c>
      <c r="N1259" s="1">
        <f ca="1">IFERROR(__xludf.DUMMYFUNCTION("""COMPUTED_VALUE"""),240)</f>
        <v>240</v>
      </c>
      <c r="O1259" s="1">
        <f ca="1">IFERROR(__xludf.DUMMYFUNCTION("""COMPUTED_VALUE"""),316.04)</f>
        <v>316.04000000000002</v>
      </c>
      <c r="P1259" s="1">
        <f ca="1">IFERROR(__xludf.DUMMYFUNCTION("""COMPUTED_VALUE"""),144.62)</f>
        <v>144.62</v>
      </c>
      <c r="Q1259" s="1">
        <f ca="1">IFERROR(__xludf.DUMMYFUNCTION("""COMPUTED_VALUE"""),505.86)</f>
        <v>505.86</v>
      </c>
      <c r="R1259" s="1">
        <f ca="1">IFERROR(__xludf.DUMMYFUNCTION("""COMPUTED_VALUE"""),107.57)</f>
        <v>107.57</v>
      </c>
      <c r="S1259" s="1">
        <f ca="1">IFERROR(__xludf.DUMMYFUNCTION("""COMPUTED_VALUE"""),71.69)</f>
        <v>71.69</v>
      </c>
      <c r="T1259" s="1">
        <f ca="1">IFERROR(__xludf.DUMMYFUNCTION("""COMPUTED_VALUE"""),90)</f>
        <v>90</v>
      </c>
      <c r="U1259" s="1">
        <f ca="1">IFERROR(__xludf.DUMMYFUNCTION("""COMPUTED_VALUE"""),73.67)</f>
        <v>73.67</v>
      </c>
      <c r="V1259" s="1">
        <f ca="1">IFERROR(__xludf.DUMMYFUNCTION("""COMPUTED_VALUE"""),362.76)</f>
        <v>362.76</v>
      </c>
      <c r="W1259" s="1">
        <f ca="1">IFERROR(__xludf.DUMMYFUNCTION("""COMPUTED_VALUE"""),485.94)</f>
        <v>485.94</v>
      </c>
      <c r="X1259" s="1">
        <f ca="1">IFERROR(__xludf.DUMMYFUNCTION("""COMPUTED_VALUE"""),693.08)</f>
        <v>693.08</v>
      </c>
      <c r="Y1259" s="1">
        <f ca="1">IFERROR(__xludf.DUMMYFUNCTION("""COMPUTED_VALUE"""),197.49)</f>
        <v>197.49</v>
      </c>
      <c r="Z1259" s="1">
        <f ca="1">IFERROR(__xludf.DUMMYFUNCTION("""COMPUTED_VALUE"""),574.97)</f>
        <v>574.97</v>
      </c>
      <c r="AA1259" s="1">
        <f ca="1">IFERROR(__xludf.DUMMYFUNCTION("""COMPUTED_VALUE"""),26.53)</f>
        <v>26.53</v>
      </c>
      <c r="AB1259" s="1">
        <f ca="1">IFERROR(__xludf.DUMMYFUNCTION("""COMPUTED_VALUE"""),92.17)</f>
        <v>92.17</v>
      </c>
      <c r="AC1259" s="1">
        <f ca="1">IFERROR(__xludf.DUMMYFUNCTION("""COMPUTED_VALUE"""),120.63)</f>
        <v>120.63</v>
      </c>
    </row>
    <row r="1260" spans="1:29" x14ac:dyDescent="0.25">
      <c r="A1260" s="2">
        <f ca="1">IFERROR(__xludf.DUMMYFUNCTION("""COMPUTED_VALUE"""),45659.6666666666)</f>
        <v>45659.666666666599</v>
      </c>
      <c r="B1260" s="1">
        <f ca="1">IFERROR(__xludf.DUMMYFUNCTION("""COMPUTED_VALUE"""),243.85)</f>
        <v>243.85</v>
      </c>
      <c r="C1260" s="1">
        <f ca="1">IFERROR(__xludf.DUMMYFUNCTION("""COMPUTED_VALUE"""),418.58)</f>
        <v>418.58</v>
      </c>
      <c r="D1260" s="1">
        <f ca="1">IFERROR(__xludf.DUMMYFUNCTION("""COMPUTED_VALUE"""),220.22)</f>
        <v>220.22</v>
      </c>
      <c r="E1260" s="1">
        <f ca="1">IFERROR(__xludf.DUMMYFUNCTION("""COMPUTED_VALUE"""),138.31)</f>
        <v>138.31</v>
      </c>
      <c r="F1260" s="1">
        <f ca="1">IFERROR(__xludf.DUMMYFUNCTION("""COMPUTED_VALUE"""),604.63)</f>
        <v>604.63</v>
      </c>
      <c r="G1260" s="1">
        <f ca="1">IFERROR(__xludf.DUMMYFUNCTION("""COMPUTED_VALUE"""),190.63)</f>
        <v>190.63</v>
      </c>
      <c r="H1260" s="1">
        <f ca="1">IFERROR(__xludf.DUMMYFUNCTION("""COMPUTED_VALUE"""),410.44)</f>
        <v>410.44</v>
      </c>
      <c r="I1260" s="1">
        <f ca="1">IFERROR(__xludf.DUMMYFUNCTION("""COMPUTED_VALUE"""),149.65)</f>
        <v>149.65</v>
      </c>
      <c r="J1260" s="1">
        <f ca="1">IFERROR(__xludf.DUMMYFUNCTION("""COMPUTED_VALUE"""),909.81)</f>
        <v>909.81</v>
      </c>
      <c r="K1260" s="1">
        <f ca="1">IFERROR(__xludf.DUMMYFUNCTION("""COMPUTED_VALUE"""),231.98)</f>
        <v>231.98</v>
      </c>
      <c r="L1260" s="1">
        <f ca="1">IFERROR(__xludf.DUMMYFUNCTION("""COMPUTED_VALUE"""),441)</f>
        <v>441</v>
      </c>
      <c r="M1260" s="1">
        <f ca="1">IFERROR(__xludf.DUMMYFUNCTION("""COMPUTED_VALUE"""),886.73)</f>
        <v>886.73</v>
      </c>
      <c r="N1260" s="1">
        <f ca="1">IFERROR(__xludf.DUMMYFUNCTION("""COMPUTED_VALUE"""),243.28)</f>
        <v>243.28</v>
      </c>
      <c r="O1260" s="1">
        <f ca="1">IFERROR(__xludf.DUMMYFUNCTION("""COMPUTED_VALUE"""),314.4)</f>
        <v>314.39999999999998</v>
      </c>
      <c r="P1260" s="1">
        <f ca="1">IFERROR(__xludf.DUMMYFUNCTION("""COMPUTED_VALUE"""),144.02)</f>
        <v>144.02000000000001</v>
      </c>
      <c r="Q1260" s="1">
        <f ca="1">IFERROR(__xludf.DUMMYFUNCTION("""COMPUTED_VALUE"""),504.51)</f>
        <v>504.51</v>
      </c>
      <c r="R1260" s="1">
        <f ca="1">IFERROR(__xludf.DUMMYFUNCTION("""COMPUTED_VALUE"""),107.31)</f>
        <v>107.31</v>
      </c>
      <c r="S1260" s="1">
        <f ca="1">IFERROR(__xludf.DUMMYFUNCTION("""COMPUTED_VALUE"""),71.61)</f>
        <v>71.61</v>
      </c>
      <c r="T1260" s="1">
        <f ca="1">IFERROR(__xludf.DUMMYFUNCTION("""COMPUTED_VALUE"""),90.78)</f>
        <v>90.78</v>
      </c>
      <c r="U1260" s="1">
        <f ca="1">IFERROR(__xludf.DUMMYFUNCTION("""COMPUTED_VALUE"""),73.31)</f>
        <v>73.31</v>
      </c>
      <c r="V1260" s="1">
        <f ca="1">IFERROR(__xludf.DUMMYFUNCTION("""COMPUTED_VALUE"""),359.77)</f>
        <v>359.77</v>
      </c>
      <c r="W1260" s="1">
        <f ca="1">IFERROR(__xludf.DUMMYFUNCTION("""COMPUTED_VALUE"""),482.25)</f>
        <v>482.25</v>
      </c>
      <c r="X1260" s="1">
        <f ca="1">IFERROR(__xludf.DUMMYFUNCTION("""COMPUTED_VALUE"""),700.42)</f>
        <v>700.42</v>
      </c>
      <c r="Y1260" s="1">
        <f ca="1">IFERROR(__xludf.DUMMYFUNCTION("""COMPUTED_VALUE"""),201.58)</f>
        <v>201.58</v>
      </c>
      <c r="Z1260" s="1">
        <f ca="1">IFERROR(__xludf.DUMMYFUNCTION("""COMPUTED_VALUE"""),580.13)</f>
        <v>580.13</v>
      </c>
      <c r="AA1260" s="1">
        <f ca="1">IFERROR(__xludf.DUMMYFUNCTION("""COMPUTED_VALUE"""),26.61)</f>
        <v>26.61</v>
      </c>
      <c r="AB1260" s="1">
        <f ca="1">IFERROR(__xludf.DUMMYFUNCTION("""COMPUTED_VALUE"""),92.58)</f>
        <v>92.58</v>
      </c>
      <c r="AC1260" s="1">
        <f ca="1">IFERROR(__xludf.DUMMYFUNCTION("""COMPUTED_VALUE"""),125.37)</f>
        <v>125.37</v>
      </c>
    </row>
    <row r="1261" spans="1:29" x14ac:dyDescent="0.25">
      <c r="A1261" s="2">
        <f ca="1">IFERROR(__xludf.DUMMYFUNCTION("""COMPUTED_VALUE"""),45660.6666666666)</f>
        <v>45660.666666666599</v>
      </c>
      <c r="B1261" s="1">
        <f ca="1">IFERROR(__xludf.DUMMYFUNCTION("""COMPUTED_VALUE"""),243.36)</f>
        <v>243.36</v>
      </c>
      <c r="C1261" s="1">
        <f ca="1">IFERROR(__xludf.DUMMYFUNCTION("""COMPUTED_VALUE"""),423.35)</f>
        <v>423.35</v>
      </c>
      <c r="D1261" s="1">
        <f ca="1">IFERROR(__xludf.DUMMYFUNCTION("""COMPUTED_VALUE"""),224.19)</f>
        <v>224.19</v>
      </c>
      <c r="E1261" s="1">
        <f ca="1">IFERROR(__xludf.DUMMYFUNCTION("""COMPUTED_VALUE"""),144.47)</f>
        <v>144.47</v>
      </c>
      <c r="F1261" s="1">
        <f ca="1">IFERROR(__xludf.DUMMYFUNCTION("""COMPUTED_VALUE"""),630.2)</f>
        <v>630.20000000000005</v>
      </c>
      <c r="G1261" s="1">
        <f ca="1">IFERROR(__xludf.DUMMYFUNCTION("""COMPUTED_VALUE"""),193.13)</f>
        <v>193.13</v>
      </c>
      <c r="H1261" s="1">
        <f ca="1">IFERROR(__xludf.DUMMYFUNCTION("""COMPUTED_VALUE"""),411.05)</f>
        <v>411.05</v>
      </c>
      <c r="I1261" s="1">
        <f ca="1">IFERROR(__xludf.DUMMYFUNCTION("""COMPUTED_VALUE"""),146.27)</f>
        <v>146.27000000000001</v>
      </c>
      <c r="J1261" s="1">
        <f ca="1">IFERROR(__xludf.DUMMYFUNCTION("""COMPUTED_VALUE"""),916.58)</f>
        <v>916.58</v>
      </c>
      <c r="K1261" s="1">
        <f ca="1">IFERROR(__xludf.DUMMYFUNCTION("""COMPUTED_VALUE"""),232.55)</f>
        <v>232.55</v>
      </c>
      <c r="L1261" s="1">
        <f ca="1">IFERROR(__xludf.DUMMYFUNCTION("""COMPUTED_VALUE"""),430.57)</f>
        <v>430.57</v>
      </c>
      <c r="M1261" s="1">
        <f ca="1">IFERROR(__xludf.DUMMYFUNCTION("""COMPUTED_VALUE"""),881.05)</f>
        <v>881.05</v>
      </c>
      <c r="N1261" s="1">
        <f ca="1">IFERROR(__xludf.DUMMYFUNCTION("""COMPUTED_VALUE"""),240.85)</f>
        <v>240.85</v>
      </c>
      <c r="O1261" s="1">
        <f ca="1">IFERROR(__xludf.DUMMYFUNCTION("""COMPUTED_VALUE"""),314.91)</f>
        <v>314.91000000000003</v>
      </c>
      <c r="P1261" s="1">
        <f ca="1">IFERROR(__xludf.DUMMYFUNCTION("""COMPUTED_VALUE"""),144.19)</f>
        <v>144.19</v>
      </c>
      <c r="Q1261" s="1">
        <f ca="1">IFERROR(__xludf.DUMMYFUNCTION("""COMPUTED_VALUE"""),513)</f>
        <v>513</v>
      </c>
      <c r="R1261" s="1">
        <f ca="1">IFERROR(__xludf.DUMMYFUNCTION("""COMPUTED_VALUE"""),107.86)</f>
        <v>107.86</v>
      </c>
      <c r="S1261" s="1">
        <f ca="1">IFERROR(__xludf.DUMMYFUNCTION("""COMPUTED_VALUE"""),71.99)</f>
        <v>71.989999999999995</v>
      </c>
      <c r="T1261" s="1">
        <f ca="1">IFERROR(__xludf.DUMMYFUNCTION("""COMPUTED_VALUE"""),91.43)</f>
        <v>91.43</v>
      </c>
      <c r="U1261" s="1">
        <f ca="1">IFERROR(__xludf.DUMMYFUNCTION("""COMPUTED_VALUE"""),72)</f>
        <v>72</v>
      </c>
      <c r="V1261" s="1">
        <f ca="1">IFERROR(__xludf.DUMMYFUNCTION("""COMPUTED_VALUE"""),363.79)</f>
        <v>363.79</v>
      </c>
      <c r="W1261" s="1">
        <f ca="1">IFERROR(__xludf.DUMMYFUNCTION("""COMPUTED_VALUE"""),481.82)</f>
        <v>481.82</v>
      </c>
      <c r="X1261" s="1">
        <f ca="1">IFERROR(__xludf.DUMMYFUNCTION("""COMPUTED_VALUE"""),714.36)</f>
        <v>714.36</v>
      </c>
      <c r="Y1261" s="1">
        <f ca="1">IFERROR(__xludf.DUMMYFUNCTION("""COMPUTED_VALUE"""),208.61)</f>
        <v>208.61</v>
      </c>
      <c r="Z1261" s="1">
        <f ca="1">IFERROR(__xludf.DUMMYFUNCTION("""COMPUTED_VALUE"""),583.39)</f>
        <v>583.39</v>
      </c>
      <c r="AA1261" s="1">
        <f ca="1">IFERROR(__xludf.DUMMYFUNCTION("""COMPUTED_VALUE"""),26.59)</f>
        <v>26.59</v>
      </c>
      <c r="AB1261" s="1">
        <f ca="1">IFERROR(__xludf.DUMMYFUNCTION("""COMPUTED_VALUE"""),93.13)</f>
        <v>93.13</v>
      </c>
      <c r="AC1261" s="1">
        <f ca="1">IFERROR(__xludf.DUMMYFUNCTION("""COMPUTED_VALUE"""),129.55)</f>
        <v>129.55000000000001</v>
      </c>
    </row>
    <row r="1262" spans="1:29" x14ac:dyDescent="0.25">
      <c r="A1262" s="2">
        <f ca="1">IFERROR(__xludf.DUMMYFUNCTION("""COMPUTED_VALUE"""),45663.6666666666)</f>
        <v>45663.666666666599</v>
      </c>
      <c r="B1262" s="1">
        <f ca="1">IFERROR(__xludf.DUMMYFUNCTION("""COMPUTED_VALUE"""),245)</f>
        <v>245</v>
      </c>
      <c r="C1262" s="1">
        <f ca="1">IFERROR(__xludf.DUMMYFUNCTION("""COMPUTED_VALUE"""),427.85)</f>
        <v>427.85</v>
      </c>
      <c r="D1262" s="1">
        <f ca="1">IFERROR(__xludf.DUMMYFUNCTION("""COMPUTED_VALUE"""),227.61)</f>
        <v>227.61</v>
      </c>
      <c r="E1262" s="1">
        <f ca="1">IFERROR(__xludf.DUMMYFUNCTION("""COMPUTED_VALUE"""),149.43)</f>
        <v>149.43</v>
      </c>
      <c r="F1262" s="1">
        <f ca="1">IFERROR(__xludf.DUMMYFUNCTION("""COMPUTED_VALUE"""),617.89)</f>
        <v>617.89</v>
      </c>
      <c r="G1262" s="1">
        <f ca="1">IFERROR(__xludf.DUMMYFUNCTION("""COMPUTED_VALUE"""),197.96)</f>
        <v>197.96</v>
      </c>
      <c r="H1262" s="1">
        <f ca="1">IFERROR(__xludf.DUMMYFUNCTION("""COMPUTED_VALUE"""),394.36)</f>
        <v>394.36</v>
      </c>
      <c r="I1262" s="1">
        <f ca="1">IFERROR(__xludf.DUMMYFUNCTION("""COMPUTED_VALUE"""),145.4)</f>
        <v>145.4</v>
      </c>
      <c r="J1262" s="1">
        <f ca="1">IFERROR(__xludf.DUMMYFUNCTION("""COMPUTED_VALUE"""),922.71)</f>
        <v>922.71</v>
      </c>
      <c r="K1262" s="1">
        <f ca="1">IFERROR(__xludf.DUMMYFUNCTION("""COMPUTED_VALUE"""),236.41)</f>
        <v>236.41</v>
      </c>
      <c r="L1262" s="1">
        <f ca="1">IFERROR(__xludf.DUMMYFUNCTION("""COMPUTED_VALUE"""),431.18)</f>
        <v>431.18</v>
      </c>
      <c r="M1262" s="1">
        <f ca="1">IFERROR(__xludf.DUMMYFUNCTION("""COMPUTED_VALUE"""),881.79)</f>
        <v>881.79</v>
      </c>
      <c r="N1262" s="1">
        <f ca="1">IFERROR(__xludf.DUMMYFUNCTION("""COMPUTED_VALUE"""),243.17)</f>
        <v>243.17</v>
      </c>
      <c r="O1262" s="1">
        <f ca="1">IFERROR(__xludf.DUMMYFUNCTION("""COMPUTED_VALUE"""),313.04)</f>
        <v>313.04000000000002</v>
      </c>
      <c r="P1262" s="1">
        <f ca="1">IFERROR(__xludf.DUMMYFUNCTION("""COMPUTED_VALUE"""),143.66)</f>
        <v>143.66</v>
      </c>
      <c r="Q1262" s="1">
        <f ca="1">IFERROR(__xludf.DUMMYFUNCTION("""COMPUTED_VALUE"""),513.67)</f>
        <v>513.66999999999996</v>
      </c>
      <c r="R1262" s="1">
        <f ca="1">IFERROR(__xludf.DUMMYFUNCTION("""COMPUTED_VALUE"""),107.74)</f>
        <v>107.74</v>
      </c>
      <c r="S1262" s="1">
        <f ca="1">IFERROR(__xludf.DUMMYFUNCTION("""COMPUTED_VALUE"""),71.24)</f>
        <v>71.239999999999995</v>
      </c>
      <c r="T1262" s="1">
        <f ca="1">IFERROR(__xludf.DUMMYFUNCTION("""COMPUTED_VALUE"""),90.81)</f>
        <v>90.81</v>
      </c>
      <c r="U1262" s="1">
        <f ca="1">IFERROR(__xludf.DUMMYFUNCTION("""COMPUTED_VALUE"""),72.09)</f>
        <v>72.09</v>
      </c>
      <c r="V1262" s="1">
        <f ca="1">IFERROR(__xludf.DUMMYFUNCTION("""COMPUTED_VALUE"""),364.2)</f>
        <v>364.2</v>
      </c>
      <c r="W1262" s="1">
        <f ca="1">IFERROR(__xludf.DUMMYFUNCTION("""COMPUTED_VALUE"""),466)</f>
        <v>466</v>
      </c>
      <c r="X1262" s="1">
        <f ca="1">IFERROR(__xludf.DUMMYFUNCTION("""COMPUTED_VALUE"""),768.51)</f>
        <v>768.51</v>
      </c>
      <c r="Y1262" s="1">
        <f ca="1">IFERROR(__xludf.DUMMYFUNCTION("""COMPUTED_VALUE"""),220.01)</f>
        <v>220.01</v>
      </c>
      <c r="Z1262" s="1">
        <f ca="1">IFERROR(__xludf.DUMMYFUNCTION("""COMPUTED_VALUE"""),580.12)</f>
        <v>580.12</v>
      </c>
      <c r="AA1262" s="1">
        <f ca="1">IFERROR(__xludf.DUMMYFUNCTION("""COMPUTED_VALUE"""),26.89)</f>
        <v>26.89</v>
      </c>
      <c r="AB1262" s="1">
        <f ca="1">IFERROR(__xludf.DUMMYFUNCTION("""COMPUTED_VALUE"""),92.84)</f>
        <v>92.84</v>
      </c>
      <c r="AC1262" s="1">
        <f ca="1">IFERROR(__xludf.DUMMYFUNCTION("""COMPUTED_VALUE"""),127.33)</f>
        <v>127.33</v>
      </c>
    </row>
    <row r="1263" spans="1:29" x14ac:dyDescent="0.25">
      <c r="A1263" s="2">
        <f ca="1">IFERROR(__xludf.DUMMYFUNCTION("""COMPUTED_VALUE"""),45664.6666666666)</f>
        <v>45664.666666666599</v>
      </c>
      <c r="B1263" s="1">
        <f ca="1">IFERROR(__xludf.DUMMYFUNCTION("""COMPUTED_VALUE"""),242.21)</f>
        <v>242.21</v>
      </c>
      <c r="C1263" s="1">
        <f ca="1">IFERROR(__xludf.DUMMYFUNCTION("""COMPUTED_VALUE"""),422.37)</f>
        <v>422.37</v>
      </c>
      <c r="D1263" s="1">
        <f ca="1">IFERROR(__xludf.DUMMYFUNCTION("""COMPUTED_VALUE"""),222.11)</f>
        <v>222.11</v>
      </c>
      <c r="E1263" s="1">
        <f ca="1">IFERROR(__xludf.DUMMYFUNCTION("""COMPUTED_VALUE"""),140.14)</f>
        <v>140.13999999999999</v>
      </c>
      <c r="F1263" s="1">
        <f ca="1">IFERROR(__xludf.DUMMYFUNCTION("""COMPUTED_VALUE"""),610.72)</f>
        <v>610.72</v>
      </c>
      <c r="G1263" s="1">
        <f ca="1">IFERROR(__xludf.DUMMYFUNCTION("""COMPUTED_VALUE"""),196.71)</f>
        <v>196.71</v>
      </c>
      <c r="H1263" s="1">
        <f ca="1">IFERROR(__xludf.DUMMYFUNCTION("""COMPUTED_VALUE"""),394.94)</f>
        <v>394.94</v>
      </c>
      <c r="I1263" s="1">
        <f ca="1">IFERROR(__xludf.DUMMYFUNCTION("""COMPUTED_VALUE"""),146.54)</f>
        <v>146.54</v>
      </c>
      <c r="J1263" s="1">
        <f ca="1">IFERROR(__xludf.DUMMYFUNCTION("""COMPUTED_VALUE"""),921.37)</f>
        <v>921.37</v>
      </c>
      <c r="K1263" s="1">
        <f ca="1">IFERROR(__xludf.DUMMYFUNCTION("""COMPUTED_VALUE"""),228.64)</f>
        <v>228.64</v>
      </c>
      <c r="L1263" s="1">
        <f ca="1">IFERROR(__xludf.DUMMYFUNCTION("""COMPUTED_VALUE"""),422.63)</f>
        <v>422.63</v>
      </c>
      <c r="M1263" s="1">
        <f ca="1">IFERROR(__xludf.DUMMYFUNCTION("""COMPUTED_VALUE"""),879.19)</f>
        <v>879.19</v>
      </c>
      <c r="N1263" s="1">
        <f ca="1">IFERROR(__xludf.DUMMYFUNCTION("""COMPUTED_VALUE"""),243.13)</f>
        <v>243.13</v>
      </c>
      <c r="O1263" s="1">
        <f ca="1">IFERROR(__xludf.DUMMYFUNCTION("""COMPUTED_VALUE"""),311.67)</f>
        <v>311.67</v>
      </c>
      <c r="P1263" s="1">
        <f ca="1">IFERROR(__xludf.DUMMYFUNCTION("""COMPUTED_VALUE"""),146.23)</f>
        <v>146.22999999999999</v>
      </c>
      <c r="Q1263" s="1">
        <f ca="1">IFERROR(__xludf.DUMMYFUNCTION("""COMPUTED_VALUE"""),514.25)</f>
        <v>514.25</v>
      </c>
      <c r="R1263" s="1">
        <f ca="1">IFERROR(__xludf.DUMMYFUNCTION("""COMPUTED_VALUE"""),108.75)</f>
        <v>108.75</v>
      </c>
      <c r="S1263" s="1">
        <f ca="1">IFERROR(__xludf.DUMMYFUNCTION("""COMPUTED_VALUE"""),70.43)</f>
        <v>70.430000000000007</v>
      </c>
      <c r="T1263" s="1">
        <f ca="1">IFERROR(__xludf.DUMMYFUNCTION("""COMPUTED_VALUE"""),91.8)</f>
        <v>91.8</v>
      </c>
      <c r="U1263" s="1">
        <f ca="1">IFERROR(__xludf.DUMMYFUNCTION("""COMPUTED_VALUE"""),71.29)</f>
        <v>71.290000000000006</v>
      </c>
      <c r="V1263" s="1">
        <f ca="1">IFERROR(__xludf.DUMMYFUNCTION("""COMPUTED_VALUE"""),363)</f>
        <v>363</v>
      </c>
      <c r="W1263" s="1">
        <f ca="1">IFERROR(__xludf.DUMMYFUNCTION("""COMPUTED_VALUE"""),463.96)</f>
        <v>463.96</v>
      </c>
      <c r="X1263" s="1">
        <f ca="1">IFERROR(__xludf.DUMMYFUNCTION("""COMPUTED_VALUE"""),757.58)</f>
        <v>757.58</v>
      </c>
      <c r="Y1263" s="1">
        <f ca="1">IFERROR(__xludf.DUMMYFUNCTION("""COMPUTED_VALUE"""),211.42)</f>
        <v>211.42</v>
      </c>
      <c r="Z1263" s="1">
        <f ca="1">IFERROR(__xludf.DUMMYFUNCTION("""COMPUTED_VALUE"""),580.02)</f>
        <v>580.02</v>
      </c>
      <c r="AA1263" s="1">
        <f ca="1">IFERROR(__xludf.DUMMYFUNCTION("""COMPUTED_VALUE"""),27.13)</f>
        <v>27.13</v>
      </c>
      <c r="AB1263" s="1">
        <f ca="1">IFERROR(__xludf.DUMMYFUNCTION("""COMPUTED_VALUE"""),92.6)</f>
        <v>92.6</v>
      </c>
      <c r="AC1263" s="1">
        <f ca="1">IFERROR(__xludf.DUMMYFUNCTION("""COMPUTED_VALUE"""),121.84)</f>
        <v>121.84</v>
      </c>
    </row>
    <row r="1264" spans="1:29" x14ac:dyDescent="0.25">
      <c r="A1264" s="2">
        <f ca="1">IFERROR(__xludf.DUMMYFUNCTION("""COMPUTED_VALUE"""),45665.6666666666)</f>
        <v>45665.666666666599</v>
      </c>
      <c r="B1264" s="1">
        <f ca="1">IFERROR(__xludf.DUMMYFUNCTION("""COMPUTED_VALUE"""),242.7)</f>
        <v>242.7</v>
      </c>
      <c r="C1264" s="1">
        <f ca="1">IFERROR(__xludf.DUMMYFUNCTION("""COMPUTED_VALUE"""),424.56)</f>
        <v>424.56</v>
      </c>
      <c r="D1264" s="1">
        <f ca="1">IFERROR(__xludf.DUMMYFUNCTION("""COMPUTED_VALUE"""),222.13)</f>
        <v>222.13</v>
      </c>
      <c r="E1264" s="1">
        <f ca="1">IFERROR(__xludf.DUMMYFUNCTION("""COMPUTED_VALUE"""),140.11)</f>
        <v>140.11000000000001</v>
      </c>
      <c r="F1264" s="1">
        <f ca="1">IFERROR(__xludf.DUMMYFUNCTION("""COMPUTED_VALUE"""),615.86)</f>
        <v>615.86</v>
      </c>
      <c r="G1264" s="1">
        <f ca="1">IFERROR(__xludf.DUMMYFUNCTION("""COMPUTED_VALUE"""),195.39)</f>
        <v>195.39</v>
      </c>
      <c r="H1264" s="1">
        <f ca="1">IFERROR(__xludf.DUMMYFUNCTION("""COMPUTED_VALUE"""),394.74)</f>
        <v>394.74</v>
      </c>
      <c r="I1264" s="1">
        <f ca="1">IFERROR(__xludf.DUMMYFUNCTION("""COMPUTED_VALUE"""),142.64)</f>
        <v>142.63999999999999</v>
      </c>
      <c r="J1264" s="1">
        <f ca="1">IFERROR(__xludf.DUMMYFUNCTION("""COMPUTED_VALUE"""),927.37)</f>
        <v>927.37</v>
      </c>
      <c r="K1264" s="1">
        <f ca="1">IFERROR(__xludf.DUMMYFUNCTION("""COMPUTED_VALUE"""),229.31)</f>
        <v>229.31</v>
      </c>
      <c r="L1264" s="1">
        <f ca="1">IFERROR(__xludf.DUMMYFUNCTION("""COMPUTED_VALUE"""),419.58)</f>
        <v>419.58</v>
      </c>
      <c r="M1264" s="1">
        <f ca="1">IFERROR(__xludf.DUMMYFUNCTION("""COMPUTED_VALUE"""),875)</f>
        <v>875</v>
      </c>
      <c r="N1264" s="1">
        <f ca="1">IFERROR(__xludf.DUMMYFUNCTION("""COMPUTED_VALUE"""),239.87)</f>
        <v>239.87</v>
      </c>
      <c r="O1264" s="1">
        <f ca="1">IFERROR(__xludf.DUMMYFUNCTION("""COMPUTED_VALUE"""),312.6)</f>
        <v>312.60000000000002</v>
      </c>
      <c r="P1264" s="1">
        <f ca="1">IFERROR(__xludf.DUMMYFUNCTION("""COMPUTED_VALUE"""),142.27)</f>
        <v>142.27000000000001</v>
      </c>
      <c r="Q1264" s="1">
        <f ca="1">IFERROR(__xludf.DUMMYFUNCTION("""COMPUTED_VALUE"""),524.52)</f>
        <v>524.52</v>
      </c>
      <c r="R1264" s="1">
        <f ca="1">IFERROR(__xludf.DUMMYFUNCTION("""COMPUTED_VALUE"""),106.93)</f>
        <v>106.93</v>
      </c>
      <c r="S1264" s="1">
        <f ca="1">IFERROR(__xludf.DUMMYFUNCTION("""COMPUTED_VALUE"""),70.66)</f>
        <v>70.66</v>
      </c>
      <c r="T1264" s="1">
        <f ca="1">IFERROR(__xludf.DUMMYFUNCTION("""COMPUTED_VALUE"""),93)</f>
        <v>93</v>
      </c>
      <c r="U1264" s="1">
        <f ca="1">IFERROR(__xludf.DUMMYFUNCTION("""COMPUTED_VALUE"""),71.2)</f>
        <v>71.2</v>
      </c>
      <c r="V1264" s="1">
        <f ca="1">IFERROR(__xludf.DUMMYFUNCTION("""COMPUTED_VALUE"""),361.07)</f>
        <v>361.07</v>
      </c>
      <c r="W1264" s="1">
        <f ca="1">IFERROR(__xludf.DUMMYFUNCTION("""COMPUTED_VALUE"""),468.85)</f>
        <v>468.85</v>
      </c>
      <c r="X1264" s="1">
        <f ca="1">IFERROR(__xludf.DUMMYFUNCTION("""COMPUTED_VALUE"""),743.98)</f>
        <v>743.98</v>
      </c>
      <c r="Y1264" s="1">
        <f ca="1">IFERROR(__xludf.DUMMYFUNCTION("""COMPUTED_VALUE"""),207.12)</f>
        <v>207.12</v>
      </c>
      <c r="Z1264" s="1">
        <f ca="1">IFERROR(__xludf.DUMMYFUNCTION("""COMPUTED_VALUE"""),560)</f>
        <v>560</v>
      </c>
      <c r="AA1264" s="1">
        <f ca="1">IFERROR(__xludf.DUMMYFUNCTION("""COMPUTED_VALUE"""),26.86)</f>
        <v>26.86</v>
      </c>
      <c r="AB1264" s="1">
        <f ca="1">IFERROR(__xludf.DUMMYFUNCTION("""COMPUTED_VALUE"""),92.25)</f>
        <v>92.25</v>
      </c>
      <c r="AC1264" s="1">
        <f ca="1">IFERROR(__xludf.DUMMYFUNCTION("""COMPUTED_VALUE"""),116.04)</f>
        <v>116.04</v>
      </c>
    </row>
    <row r="1265" spans="1:29" x14ac:dyDescent="0.25">
      <c r="A1265" s="2">
        <f ca="1">IFERROR(__xludf.DUMMYFUNCTION("""COMPUTED_VALUE"""),45667.6666666666)</f>
        <v>45667.666666666599</v>
      </c>
      <c r="B1265" s="1">
        <f ca="1">IFERROR(__xludf.DUMMYFUNCTION("""COMPUTED_VALUE"""),236.85)</f>
        <v>236.85</v>
      </c>
      <c r="C1265" s="1">
        <f ca="1">IFERROR(__xludf.DUMMYFUNCTION("""COMPUTED_VALUE"""),418.95)</f>
        <v>418.95</v>
      </c>
      <c r="D1265" s="1">
        <f ca="1">IFERROR(__xludf.DUMMYFUNCTION("""COMPUTED_VALUE"""),218.94)</f>
        <v>218.94</v>
      </c>
      <c r="E1265" s="1">
        <f ca="1">IFERROR(__xludf.DUMMYFUNCTION("""COMPUTED_VALUE"""),135.91)</f>
        <v>135.91</v>
      </c>
      <c r="F1265" s="1">
        <f ca="1">IFERROR(__xludf.DUMMYFUNCTION("""COMPUTED_VALUE"""),608.33)</f>
        <v>608.33000000000004</v>
      </c>
      <c r="G1265" s="1">
        <f ca="1">IFERROR(__xludf.DUMMYFUNCTION("""COMPUTED_VALUE"""),193.17)</f>
        <v>193.17</v>
      </c>
      <c r="H1265" s="1">
        <f ca="1">IFERROR(__xludf.DUMMYFUNCTION("""COMPUTED_VALUE"""),403.31)</f>
        <v>403.31</v>
      </c>
      <c r="I1265" s="1">
        <f ca="1">IFERROR(__xludf.DUMMYFUNCTION("""COMPUTED_VALUE"""),144.5)</f>
        <v>144.5</v>
      </c>
      <c r="J1265" s="1">
        <f ca="1">IFERROR(__xludf.DUMMYFUNCTION("""COMPUTED_VALUE"""),936.94)</f>
        <v>936.94</v>
      </c>
      <c r="K1265" s="1">
        <f ca="1">IFERROR(__xludf.DUMMYFUNCTION("""COMPUTED_VALUE"""),224.31)</f>
        <v>224.31</v>
      </c>
      <c r="L1265" s="1">
        <f ca="1">IFERROR(__xludf.DUMMYFUNCTION("""COMPUTED_VALUE"""),405.92)</f>
        <v>405.92</v>
      </c>
      <c r="M1265" s="1">
        <f ca="1">IFERROR(__xludf.DUMMYFUNCTION("""COMPUTED_VALUE"""),837.69)</f>
        <v>837.69</v>
      </c>
      <c r="N1265" s="1">
        <f ca="1">IFERROR(__xludf.DUMMYFUNCTION("""COMPUTED_VALUE"""),244.21)</f>
        <v>244.21</v>
      </c>
      <c r="O1265" s="1">
        <f ca="1">IFERROR(__xludf.DUMMYFUNCTION("""COMPUTED_VALUE"""),307.71)</f>
        <v>307.70999999999998</v>
      </c>
      <c r="P1265" s="1">
        <f ca="1">IFERROR(__xludf.DUMMYFUNCTION("""COMPUTED_VALUE"""),142.06)</f>
        <v>142.06</v>
      </c>
      <c r="Q1265" s="1">
        <f ca="1">IFERROR(__xludf.DUMMYFUNCTION("""COMPUTED_VALUE"""),520.69)</f>
        <v>520.69000000000005</v>
      </c>
      <c r="R1265" s="1">
        <f ca="1">IFERROR(__xludf.DUMMYFUNCTION("""COMPUTED_VALUE"""),106.54)</f>
        <v>106.54</v>
      </c>
      <c r="S1265" s="1">
        <f ca="1">IFERROR(__xludf.DUMMYFUNCTION("""COMPUTED_VALUE"""),67.38)</f>
        <v>67.38</v>
      </c>
      <c r="T1265" s="1">
        <f ca="1">IFERROR(__xludf.DUMMYFUNCTION("""COMPUTED_VALUE"""),91.53)</f>
        <v>91.53</v>
      </c>
      <c r="U1265" s="1">
        <f ca="1">IFERROR(__xludf.DUMMYFUNCTION("""COMPUTED_VALUE"""),72.08)</f>
        <v>72.08</v>
      </c>
      <c r="V1265" s="1">
        <f ca="1">IFERROR(__xludf.DUMMYFUNCTION("""COMPUTED_VALUE"""),351)</f>
        <v>351</v>
      </c>
      <c r="W1265" s="1">
        <f ca="1">IFERROR(__xludf.DUMMYFUNCTION("""COMPUTED_VALUE"""),468.05)</f>
        <v>468.05</v>
      </c>
      <c r="X1265" s="1">
        <f ca="1">IFERROR(__xludf.DUMMYFUNCTION("""COMPUTED_VALUE"""),739.01)</f>
        <v>739.01</v>
      </c>
      <c r="Y1265" s="1">
        <f ca="1">IFERROR(__xludf.DUMMYFUNCTION("""COMPUTED_VALUE"""),208.37)</f>
        <v>208.37</v>
      </c>
      <c r="Z1265" s="1">
        <f ca="1">IFERROR(__xludf.DUMMYFUNCTION("""COMPUTED_VALUE"""),562.95)</f>
        <v>562.95000000000005</v>
      </c>
      <c r="AA1265" s="1">
        <f ca="1">IFERROR(__xludf.DUMMYFUNCTION("""COMPUTED_VALUE"""),26.72)</f>
        <v>26.72</v>
      </c>
      <c r="AB1265" s="1">
        <f ca="1">IFERROR(__xludf.DUMMYFUNCTION("""COMPUTED_VALUE"""),93.51)</f>
        <v>93.51</v>
      </c>
      <c r="AC1265" s="1">
        <f ca="1">IFERROR(__xludf.DUMMYFUNCTION("""COMPUTED_VALUE"""),117.32)</f>
        <v>117.32</v>
      </c>
    </row>
    <row r="1266" spans="1:29" x14ac:dyDescent="0.25">
      <c r="A1266" s="2">
        <f ca="1">IFERROR(__xludf.DUMMYFUNCTION("""COMPUTED_VALUE"""),45670.6666666666)</f>
        <v>45670.666666666599</v>
      </c>
      <c r="B1266" s="1">
        <f ca="1">IFERROR(__xludf.DUMMYFUNCTION("""COMPUTED_VALUE"""),234.4)</f>
        <v>234.4</v>
      </c>
      <c r="C1266" s="1">
        <f ca="1">IFERROR(__xludf.DUMMYFUNCTION("""COMPUTED_VALUE"""),417.19)</f>
        <v>417.19</v>
      </c>
      <c r="D1266" s="1">
        <f ca="1">IFERROR(__xludf.DUMMYFUNCTION("""COMPUTED_VALUE"""),218.46)</f>
        <v>218.46</v>
      </c>
      <c r="E1266" s="1">
        <f ca="1">IFERROR(__xludf.DUMMYFUNCTION("""COMPUTED_VALUE"""),133.23)</f>
        <v>133.22999999999999</v>
      </c>
      <c r="F1266" s="1">
        <f ca="1">IFERROR(__xludf.DUMMYFUNCTION("""COMPUTED_VALUE"""),594.25)</f>
        <v>594.25</v>
      </c>
      <c r="G1266" s="1">
        <f ca="1">IFERROR(__xludf.DUMMYFUNCTION("""COMPUTED_VALUE"""),192.29)</f>
        <v>192.29</v>
      </c>
      <c r="H1266" s="1">
        <f ca="1">IFERROR(__xludf.DUMMYFUNCTION("""COMPUTED_VALUE"""),396.36)</f>
        <v>396.36</v>
      </c>
      <c r="I1266" s="1">
        <f ca="1">IFERROR(__xludf.DUMMYFUNCTION("""COMPUTED_VALUE"""),144.95)</f>
        <v>144.94999999999999</v>
      </c>
      <c r="J1266" s="1">
        <f ca="1">IFERROR(__xludf.DUMMYFUNCTION("""COMPUTED_VALUE"""),924.7)</f>
        <v>924.7</v>
      </c>
      <c r="K1266" s="1">
        <f ca="1">IFERROR(__xludf.DUMMYFUNCTION("""COMPUTED_VALUE"""),225.29)</f>
        <v>225.29</v>
      </c>
      <c r="L1266" s="1">
        <f ca="1">IFERROR(__xludf.DUMMYFUNCTION("""COMPUTED_VALUE"""),408.5)</f>
        <v>408.5</v>
      </c>
      <c r="M1266" s="1">
        <f ca="1">IFERROR(__xludf.DUMMYFUNCTION("""COMPUTED_VALUE"""),840.29)</f>
        <v>840.29</v>
      </c>
      <c r="N1266" s="1">
        <f ca="1">IFERROR(__xludf.DUMMYFUNCTION("""COMPUTED_VALUE"""),247.47)</f>
        <v>247.47</v>
      </c>
      <c r="O1266" s="1">
        <f ca="1">IFERROR(__xludf.DUMMYFUNCTION("""COMPUTED_VALUE"""),306.92)</f>
        <v>306.92</v>
      </c>
      <c r="P1266" s="1">
        <f ca="1">IFERROR(__xludf.DUMMYFUNCTION("""COMPUTED_VALUE"""),144.47)</f>
        <v>144.47</v>
      </c>
      <c r="Q1266" s="1">
        <f ca="1">IFERROR(__xludf.DUMMYFUNCTION("""COMPUTED_VALUE"""),541.14)</f>
        <v>541.14</v>
      </c>
      <c r="R1266" s="1">
        <f ca="1">IFERROR(__xludf.DUMMYFUNCTION("""COMPUTED_VALUE"""),109.29)</f>
        <v>109.29</v>
      </c>
      <c r="S1266" s="1">
        <f ca="1">IFERROR(__xludf.DUMMYFUNCTION("""COMPUTED_VALUE"""),66.96)</f>
        <v>66.959999999999994</v>
      </c>
      <c r="T1266" s="1">
        <f ca="1">IFERROR(__xludf.DUMMYFUNCTION("""COMPUTED_VALUE"""),90.79)</f>
        <v>90.79</v>
      </c>
      <c r="U1266" s="1">
        <f ca="1">IFERROR(__xludf.DUMMYFUNCTION("""COMPUTED_VALUE"""),71.17)</f>
        <v>71.17</v>
      </c>
      <c r="V1266" s="1">
        <f ca="1">IFERROR(__xludf.DUMMYFUNCTION("""COMPUTED_VALUE"""),362.5)</f>
        <v>362.5</v>
      </c>
      <c r="W1266" s="1">
        <f ca="1">IFERROR(__xludf.DUMMYFUNCTION("""COMPUTED_VALUE"""),483.16)</f>
        <v>483.16</v>
      </c>
      <c r="X1266" s="1">
        <f ca="1">IFERROR(__xludf.DUMMYFUNCTION("""COMPUTED_VALUE"""),727.41)</f>
        <v>727.41</v>
      </c>
      <c r="Y1266" s="1">
        <f ca="1">IFERROR(__xludf.DUMMYFUNCTION("""COMPUTED_VALUE"""),201.36)</f>
        <v>201.36</v>
      </c>
      <c r="Z1266" s="1">
        <f ca="1">IFERROR(__xludf.DUMMYFUNCTION("""COMPUTED_VALUE"""),571.53)</f>
        <v>571.53</v>
      </c>
      <c r="AA1266" s="1">
        <f ca="1">IFERROR(__xludf.DUMMYFUNCTION("""COMPUTED_VALUE"""),26.8)</f>
        <v>26.8</v>
      </c>
      <c r="AB1266" s="1">
        <f ca="1">IFERROR(__xludf.DUMMYFUNCTION("""COMPUTED_VALUE"""),93.07)</f>
        <v>93.07</v>
      </c>
      <c r="AC1266" s="1">
        <f ca="1">IFERROR(__xludf.DUMMYFUNCTION("""COMPUTED_VALUE"""),116.09)</f>
        <v>116.09</v>
      </c>
    </row>
    <row r="1267" spans="1:29" x14ac:dyDescent="0.25">
      <c r="A1267" s="2">
        <f ca="1">IFERROR(__xludf.DUMMYFUNCTION("""COMPUTED_VALUE"""),45671.6666666666)</f>
        <v>45671.666666666599</v>
      </c>
      <c r="B1267" s="1">
        <f ca="1">IFERROR(__xludf.DUMMYFUNCTION("""COMPUTED_VALUE"""),233.28)</f>
        <v>233.28</v>
      </c>
      <c r="C1267" s="1">
        <f ca="1">IFERROR(__xludf.DUMMYFUNCTION("""COMPUTED_VALUE"""),415.67)</f>
        <v>415.67</v>
      </c>
      <c r="D1267" s="1">
        <f ca="1">IFERROR(__xludf.DUMMYFUNCTION("""COMPUTED_VALUE"""),217.76)</f>
        <v>217.76</v>
      </c>
      <c r="E1267" s="1">
        <f ca="1">IFERROR(__xludf.DUMMYFUNCTION("""COMPUTED_VALUE"""),131.76)</f>
        <v>131.76</v>
      </c>
      <c r="F1267" s="1">
        <f ca="1">IFERROR(__xludf.DUMMYFUNCTION("""COMPUTED_VALUE"""),617.12)</f>
        <v>617.12</v>
      </c>
      <c r="G1267" s="1">
        <f ca="1">IFERROR(__xludf.DUMMYFUNCTION("""COMPUTED_VALUE"""),191.05)</f>
        <v>191.05</v>
      </c>
      <c r="H1267" s="1">
        <f ca="1">IFERROR(__xludf.DUMMYFUNCTION("""COMPUTED_VALUE"""),428.22)</f>
        <v>428.22</v>
      </c>
      <c r="I1267" s="1">
        <f ca="1">IFERROR(__xludf.DUMMYFUNCTION("""COMPUTED_VALUE"""),144.78)</f>
        <v>144.78</v>
      </c>
      <c r="J1267" s="1">
        <f ca="1">IFERROR(__xludf.DUMMYFUNCTION("""COMPUTED_VALUE"""),917.23)</f>
        <v>917.23</v>
      </c>
      <c r="K1267" s="1">
        <f ca="1">IFERROR(__xludf.DUMMYFUNCTION("""COMPUTED_VALUE"""),224.7)</f>
        <v>224.7</v>
      </c>
      <c r="L1267" s="1">
        <f ca="1">IFERROR(__xludf.DUMMYFUNCTION("""COMPUTED_VALUE"""),412.71)</f>
        <v>412.71</v>
      </c>
      <c r="M1267" s="1">
        <f ca="1">IFERROR(__xludf.DUMMYFUNCTION("""COMPUTED_VALUE"""),828.4)</f>
        <v>828.4</v>
      </c>
      <c r="N1267" s="1">
        <f ca="1">IFERROR(__xludf.DUMMYFUNCTION("""COMPUTED_VALUE"""),252.35)</f>
        <v>252.35</v>
      </c>
      <c r="O1267" s="1">
        <f ca="1">IFERROR(__xludf.DUMMYFUNCTION("""COMPUTED_VALUE"""),309.09)</f>
        <v>309.08999999999997</v>
      </c>
      <c r="P1267" s="1">
        <f ca="1">IFERROR(__xludf.DUMMYFUNCTION("""COMPUTED_VALUE"""),144.75)</f>
        <v>144.75</v>
      </c>
      <c r="Q1267" s="1">
        <f ca="1">IFERROR(__xludf.DUMMYFUNCTION("""COMPUTED_VALUE"""),543.74)</f>
        <v>543.74</v>
      </c>
      <c r="R1267" s="1">
        <f ca="1">IFERROR(__xludf.DUMMYFUNCTION("""COMPUTED_VALUE"""),109.72)</f>
        <v>109.72</v>
      </c>
      <c r="S1267" s="1">
        <f ca="1">IFERROR(__xludf.DUMMYFUNCTION("""COMPUTED_VALUE"""),67.98)</f>
        <v>67.98</v>
      </c>
      <c r="T1267" s="1">
        <f ca="1">IFERROR(__xludf.DUMMYFUNCTION("""COMPUTED_VALUE"""),91.34)</f>
        <v>91.34</v>
      </c>
      <c r="U1267" s="1">
        <f ca="1">IFERROR(__xludf.DUMMYFUNCTION("""COMPUTED_VALUE"""),71.07)</f>
        <v>71.069999999999993</v>
      </c>
      <c r="V1267" s="1">
        <f ca="1">IFERROR(__xludf.DUMMYFUNCTION("""COMPUTED_VALUE"""),371.57)</f>
        <v>371.57</v>
      </c>
      <c r="W1267" s="1">
        <f ca="1">IFERROR(__xludf.DUMMYFUNCTION("""COMPUTED_VALUE"""),484.46)</f>
        <v>484.46</v>
      </c>
      <c r="X1267" s="1">
        <f ca="1">IFERROR(__xludf.DUMMYFUNCTION("""COMPUTED_VALUE"""),736.29)</f>
        <v>736.29</v>
      </c>
      <c r="Y1267" s="1">
        <f ca="1">IFERROR(__xludf.DUMMYFUNCTION("""COMPUTED_VALUE"""),201.45)</f>
        <v>201.45</v>
      </c>
      <c r="Z1267" s="1">
        <f ca="1">IFERROR(__xludf.DUMMYFUNCTION("""COMPUTED_VALUE"""),605.92)</f>
        <v>605.91999999999996</v>
      </c>
      <c r="AA1267" s="1">
        <f ca="1">IFERROR(__xludf.DUMMYFUNCTION("""COMPUTED_VALUE"""),26.41)</f>
        <v>26.41</v>
      </c>
      <c r="AB1267" s="1">
        <f ca="1">IFERROR(__xludf.DUMMYFUNCTION("""COMPUTED_VALUE"""),93.08)</f>
        <v>93.08</v>
      </c>
      <c r="AC1267" s="1">
        <f ca="1">IFERROR(__xludf.DUMMYFUNCTION("""COMPUTED_VALUE"""),119.96)</f>
        <v>119.96</v>
      </c>
    </row>
    <row r="1268" spans="1:29" x14ac:dyDescent="0.25">
      <c r="A1268" s="2">
        <f ca="1">IFERROR(__xludf.DUMMYFUNCTION("""COMPUTED_VALUE"""),45672.6666666666)</f>
        <v>45672.666666666599</v>
      </c>
      <c r="B1268" s="1">
        <f ca="1">IFERROR(__xludf.DUMMYFUNCTION("""COMPUTED_VALUE"""),237.87)</f>
        <v>237.87</v>
      </c>
      <c r="C1268" s="1">
        <f ca="1">IFERROR(__xludf.DUMMYFUNCTION("""COMPUTED_VALUE"""),426.31)</f>
        <v>426.31</v>
      </c>
      <c r="D1268" s="1">
        <f ca="1">IFERROR(__xludf.DUMMYFUNCTION("""COMPUTED_VALUE"""),223.35)</f>
        <v>223.35</v>
      </c>
      <c r="E1268" s="1">
        <f ca="1">IFERROR(__xludf.DUMMYFUNCTION("""COMPUTED_VALUE"""),136.24)</f>
        <v>136.24</v>
      </c>
      <c r="F1268" s="1">
        <f ca="1">IFERROR(__xludf.DUMMYFUNCTION("""COMPUTED_VALUE"""),611.3)</f>
        <v>611.29999999999995</v>
      </c>
      <c r="G1268" s="1">
        <f ca="1">IFERROR(__xludf.DUMMYFUNCTION("""COMPUTED_VALUE"""),196.98)</f>
        <v>196.98</v>
      </c>
      <c r="H1268" s="1">
        <f ca="1">IFERROR(__xludf.DUMMYFUNCTION("""COMPUTED_VALUE"""),413.82)</f>
        <v>413.82</v>
      </c>
      <c r="I1268" s="1">
        <f ca="1">IFERROR(__xludf.DUMMYFUNCTION("""COMPUTED_VALUE"""),146.54)</f>
        <v>146.54</v>
      </c>
      <c r="J1268" s="1">
        <f ca="1">IFERROR(__xludf.DUMMYFUNCTION("""COMPUTED_VALUE"""),923.5)</f>
        <v>923.5</v>
      </c>
      <c r="K1268" s="1">
        <f ca="1">IFERROR(__xludf.DUMMYFUNCTION("""COMPUTED_VALUE"""),228)</f>
        <v>228</v>
      </c>
      <c r="L1268" s="1">
        <f ca="1">IFERROR(__xludf.DUMMYFUNCTION("""COMPUTED_VALUE"""),417.28)</f>
        <v>417.28</v>
      </c>
      <c r="M1268" s="1">
        <f ca="1">IFERROR(__xludf.DUMMYFUNCTION("""COMPUTED_VALUE"""),848.26)</f>
        <v>848.26</v>
      </c>
      <c r="N1268" s="1">
        <f ca="1">IFERROR(__xludf.DUMMYFUNCTION("""COMPUTED_VALUE"""),254.27)</f>
        <v>254.27</v>
      </c>
      <c r="O1268" s="1">
        <f ca="1">IFERROR(__xludf.DUMMYFUNCTION("""COMPUTED_VALUE"""),316.28)</f>
        <v>316.27999999999997</v>
      </c>
      <c r="P1268" s="1">
        <f ca="1">IFERROR(__xludf.DUMMYFUNCTION("""COMPUTED_VALUE"""),144.97)</f>
        <v>144.97</v>
      </c>
      <c r="Q1268" s="1">
        <f ca="1">IFERROR(__xludf.DUMMYFUNCTION("""COMPUTED_VALUE"""),543.42)</f>
        <v>543.41999999999996</v>
      </c>
      <c r="R1268" s="1">
        <f ca="1">IFERROR(__xludf.DUMMYFUNCTION("""COMPUTED_VALUE"""),111.51)</f>
        <v>111.51</v>
      </c>
      <c r="S1268" s="1">
        <f ca="1">IFERROR(__xludf.DUMMYFUNCTION("""COMPUTED_VALUE"""),69.29)</f>
        <v>69.290000000000006</v>
      </c>
      <c r="T1268" s="1">
        <f ca="1">IFERROR(__xludf.DUMMYFUNCTION("""COMPUTED_VALUE"""),91.3)</f>
        <v>91.3</v>
      </c>
      <c r="U1268" s="1">
        <f ca="1">IFERROR(__xludf.DUMMYFUNCTION("""COMPUTED_VALUE"""),71.11)</f>
        <v>71.11</v>
      </c>
      <c r="V1268" s="1">
        <f ca="1">IFERROR(__xludf.DUMMYFUNCTION("""COMPUTED_VALUE"""),374.89)</f>
        <v>374.89</v>
      </c>
      <c r="W1268" s="1">
        <f ca="1">IFERROR(__xludf.DUMMYFUNCTION("""COMPUTED_VALUE"""),483.97)</f>
        <v>483.97</v>
      </c>
      <c r="X1268" s="1">
        <f ca="1">IFERROR(__xludf.DUMMYFUNCTION("""COMPUTED_VALUE"""),726.3)</f>
        <v>726.3</v>
      </c>
      <c r="Y1268" s="1">
        <f ca="1">IFERROR(__xludf.DUMMYFUNCTION("""COMPUTED_VALUE"""),206.8)</f>
        <v>206.8</v>
      </c>
      <c r="Z1268" s="1">
        <f ca="1">IFERROR(__xludf.DUMMYFUNCTION("""COMPUTED_VALUE"""),612.99)</f>
        <v>612.99</v>
      </c>
      <c r="AA1268" s="1">
        <f ca="1">IFERROR(__xludf.DUMMYFUNCTION("""COMPUTED_VALUE"""),26.22)</f>
        <v>26.22</v>
      </c>
      <c r="AB1268" s="1">
        <f ca="1">IFERROR(__xludf.DUMMYFUNCTION("""COMPUTED_VALUE"""),94.43)</f>
        <v>94.43</v>
      </c>
      <c r="AC1268" s="1">
        <f ca="1">IFERROR(__xludf.DUMMYFUNCTION("""COMPUTED_VALUE"""),118.44)</f>
        <v>118.44</v>
      </c>
    </row>
    <row r="1269" spans="1:29" x14ac:dyDescent="0.25">
      <c r="A1269" s="2">
        <f ca="1">IFERROR(__xludf.DUMMYFUNCTION("""COMPUTED_VALUE"""),45673.6666666666)</f>
        <v>45673.666666666599</v>
      </c>
      <c r="B1269" s="1">
        <f ca="1">IFERROR(__xludf.DUMMYFUNCTION("""COMPUTED_VALUE"""),228.26)</f>
        <v>228.26</v>
      </c>
      <c r="C1269" s="1">
        <f ca="1">IFERROR(__xludf.DUMMYFUNCTION("""COMPUTED_VALUE"""),424.58)</f>
        <v>424.58</v>
      </c>
      <c r="D1269" s="1">
        <f ca="1">IFERROR(__xludf.DUMMYFUNCTION("""COMPUTED_VALUE"""),220.66)</f>
        <v>220.66</v>
      </c>
      <c r="E1269" s="1">
        <f ca="1">IFERROR(__xludf.DUMMYFUNCTION("""COMPUTED_VALUE"""),133.57)</f>
        <v>133.57</v>
      </c>
      <c r="F1269" s="1">
        <f ca="1">IFERROR(__xludf.DUMMYFUNCTION("""COMPUTED_VALUE"""),612.77)</f>
        <v>612.77</v>
      </c>
      <c r="G1269" s="1">
        <f ca="1">IFERROR(__xludf.DUMMYFUNCTION("""COMPUTED_VALUE"""),194.41)</f>
        <v>194.41</v>
      </c>
      <c r="H1269" s="1">
        <f ca="1">IFERROR(__xludf.DUMMYFUNCTION("""COMPUTED_VALUE"""),426.5)</f>
        <v>426.5</v>
      </c>
      <c r="I1269" s="1">
        <f ca="1">IFERROR(__xludf.DUMMYFUNCTION("""COMPUTED_VALUE"""),148.25)</f>
        <v>148.25</v>
      </c>
      <c r="J1269" s="1">
        <f ca="1">IFERROR(__xludf.DUMMYFUNCTION("""COMPUTED_VALUE"""),919.75)</f>
        <v>919.75</v>
      </c>
      <c r="K1269" s="1">
        <f ca="1">IFERROR(__xludf.DUMMYFUNCTION("""COMPUTED_VALUE"""),229.41)</f>
        <v>229.41</v>
      </c>
      <c r="L1269" s="1">
        <f ca="1">IFERROR(__xludf.DUMMYFUNCTION("""COMPUTED_VALUE"""),426.93)</f>
        <v>426.93</v>
      </c>
      <c r="M1269" s="1">
        <f ca="1">IFERROR(__xludf.DUMMYFUNCTION("""COMPUTED_VALUE"""),842.37)</f>
        <v>842.37</v>
      </c>
      <c r="N1269" s="1">
        <f ca="1">IFERROR(__xludf.DUMMYFUNCTION("""COMPUTED_VALUE"""),259.16)</f>
        <v>259.16000000000003</v>
      </c>
      <c r="O1269" s="1">
        <f ca="1">IFERROR(__xludf.DUMMYFUNCTION("""COMPUTED_VALUE"""),317.25)</f>
        <v>317.25</v>
      </c>
      <c r="P1269" s="1">
        <f ca="1">IFERROR(__xludf.DUMMYFUNCTION("""COMPUTED_VALUE"""),147.77)</f>
        <v>147.77000000000001</v>
      </c>
      <c r="Q1269" s="1">
        <f ca="1">IFERROR(__xludf.DUMMYFUNCTION("""COMPUTED_VALUE"""),510.59)</f>
        <v>510.59</v>
      </c>
      <c r="R1269" s="1">
        <f ca="1">IFERROR(__xludf.DUMMYFUNCTION("""COMPUTED_VALUE"""),111.32)</f>
        <v>111.32</v>
      </c>
      <c r="S1269" s="1">
        <f ca="1">IFERROR(__xludf.DUMMYFUNCTION("""COMPUTED_VALUE"""),71.37)</f>
        <v>71.37</v>
      </c>
      <c r="T1269" s="1">
        <f ca="1">IFERROR(__xludf.DUMMYFUNCTION("""COMPUTED_VALUE"""),91.94)</f>
        <v>91.94</v>
      </c>
      <c r="U1269" s="1">
        <f ca="1">IFERROR(__xludf.DUMMYFUNCTION("""COMPUTED_VALUE"""),70.84)</f>
        <v>70.84</v>
      </c>
      <c r="V1269" s="1">
        <f ca="1">IFERROR(__xludf.DUMMYFUNCTION("""COMPUTED_VALUE"""),380.55)</f>
        <v>380.55</v>
      </c>
      <c r="W1269" s="1">
        <f ca="1">IFERROR(__xludf.DUMMYFUNCTION("""COMPUTED_VALUE"""),486.86)</f>
        <v>486.86</v>
      </c>
      <c r="X1269" s="1">
        <f ca="1">IFERROR(__xludf.DUMMYFUNCTION("""COMPUTED_VALUE"""),750.28)</f>
        <v>750.28</v>
      </c>
      <c r="Y1269" s="1">
        <f ca="1">IFERROR(__xludf.DUMMYFUNCTION("""COMPUTED_VALUE"""),214.79)</f>
        <v>214.79</v>
      </c>
      <c r="Z1269" s="1">
        <f ca="1">IFERROR(__xludf.DUMMYFUNCTION("""COMPUTED_VALUE"""),625.94)</f>
        <v>625.94000000000005</v>
      </c>
      <c r="AA1269" s="1">
        <f ca="1">IFERROR(__xludf.DUMMYFUNCTION("""COMPUTED_VALUE"""),26.49)</f>
        <v>26.49</v>
      </c>
      <c r="AB1269" s="1">
        <f ca="1">IFERROR(__xludf.DUMMYFUNCTION("""COMPUTED_VALUE"""),95.13)</f>
        <v>95.13</v>
      </c>
      <c r="AC1269" s="1">
        <f ca="1">IFERROR(__xludf.DUMMYFUNCTION("""COMPUTED_VALUE"""),121.46)</f>
        <v>121.46</v>
      </c>
    </row>
    <row r="1270" spans="1:29" x14ac:dyDescent="0.25">
      <c r="A1270" s="2">
        <f ca="1">IFERROR(__xludf.DUMMYFUNCTION("""COMPUTED_VALUE"""),45674.6666666666)</f>
        <v>45674.666666666599</v>
      </c>
      <c r="B1270" s="1">
        <f ca="1">IFERROR(__xludf.DUMMYFUNCTION("""COMPUTED_VALUE"""),229.98)</f>
        <v>229.98</v>
      </c>
      <c r="C1270" s="1">
        <f ca="1">IFERROR(__xludf.DUMMYFUNCTION("""COMPUTED_VALUE"""),429.03)</f>
        <v>429.03</v>
      </c>
      <c r="D1270" s="1">
        <f ca="1">IFERROR(__xludf.DUMMYFUNCTION("""COMPUTED_VALUE"""),225.94)</f>
        <v>225.94</v>
      </c>
      <c r="E1270" s="1">
        <f ca="1">IFERROR(__xludf.DUMMYFUNCTION("""COMPUTED_VALUE"""),137.71)</f>
        <v>137.71</v>
      </c>
      <c r="F1270" s="1">
        <f ca="1">IFERROR(__xludf.DUMMYFUNCTION("""COMPUTED_VALUE"""),616.46)</f>
        <v>616.46</v>
      </c>
      <c r="G1270" s="1">
        <f ca="1">IFERROR(__xludf.DUMMYFUNCTION("""COMPUTED_VALUE"""),197.55)</f>
        <v>197.55</v>
      </c>
      <c r="H1270" s="1">
        <f ca="1">IFERROR(__xludf.DUMMYFUNCTION("""COMPUTED_VALUE"""),424.07)</f>
        <v>424.07</v>
      </c>
      <c r="I1270" s="1">
        <f ca="1">IFERROR(__xludf.DUMMYFUNCTION("""COMPUTED_VALUE"""),148.55)</f>
        <v>148.55000000000001</v>
      </c>
      <c r="J1270" s="1">
        <f ca="1">IFERROR(__xludf.DUMMYFUNCTION("""COMPUTED_VALUE"""),943.19)</f>
        <v>943.19</v>
      </c>
      <c r="K1270" s="1">
        <f ca="1">IFERROR(__xludf.DUMMYFUNCTION("""COMPUTED_VALUE"""),237.44)</f>
        <v>237.44</v>
      </c>
      <c r="L1270" s="1">
        <f ca="1">IFERROR(__xludf.DUMMYFUNCTION("""COMPUTED_VALUE"""),429.99)</f>
        <v>429.99</v>
      </c>
      <c r="M1270" s="1">
        <f ca="1">IFERROR(__xludf.DUMMYFUNCTION("""COMPUTED_VALUE"""),858.1)</f>
        <v>858.1</v>
      </c>
      <c r="N1270" s="1">
        <f ca="1">IFERROR(__xludf.DUMMYFUNCTION("""COMPUTED_VALUE"""),263.03)</f>
        <v>263.02999999999997</v>
      </c>
      <c r="O1270" s="1">
        <f ca="1">IFERROR(__xludf.DUMMYFUNCTION("""COMPUTED_VALUE"""),319.62)</f>
        <v>319.62</v>
      </c>
      <c r="P1270" s="1">
        <f ca="1">IFERROR(__xludf.DUMMYFUNCTION("""COMPUTED_VALUE"""),147.03)</f>
        <v>147.03</v>
      </c>
      <c r="Q1270" s="1">
        <f ca="1">IFERROR(__xludf.DUMMYFUNCTION("""COMPUTED_VALUE"""),509.76)</f>
        <v>509.76</v>
      </c>
      <c r="R1270" s="1">
        <f ca="1">IFERROR(__xludf.DUMMYFUNCTION("""COMPUTED_VALUE"""),112.32)</f>
        <v>112.32</v>
      </c>
      <c r="S1270" s="1">
        <f ca="1">IFERROR(__xludf.DUMMYFUNCTION("""COMPUTED_VALUE"""),70.76)</f>
        <v>70.760000000000005</v>
      </c>
      <c r="T1270" s="1">
        <f ca="1">IFERROR(__xludf.DUMMYFUNCTION("""COMPUTED_VALUE"""),93.08)</f>
        <v>93.08</v>
      </c>
      <c r="U1270" s="1">
        <f ca="1">IFERROR(__xludf.DUMMYFUNCTION("""COMPUTED_VALUE"""),73.17)</f>
        <v>73.17</v>
      </c>
      <c r="V1270" s="1">
        <f ca="1">IFERROR(__xludf.DUMMYFUNCTION("""COMPUTED_VALUE"""),386.02)</f>
        <v>386.02</v>
      </c>
      <c r="W1270" s="1">
        <f ca="1">IFERROR(__xludf.DUMMYFUNCTION("""COMPUTED_VALUE"""),490.32)</f>
        <v>490.32</v>
      </c>
      <c r="X1270" s="1">
        <f ca="1">IFERROR(__xludf.DUMMYFUNCTION("""COMPUTED_VALUE"""),756.33)</f>
        <v>756.33</v>
      </c>
      <c r="Y1270" s="1">
        <f ca="1">IFERROR(__xludf.DUMMYFUNCTION("""COMPUTED_VALUE"""),211.5)</f>
        <v>211.5</v>
      </c>
      <c r="Z1270" s="1">
        <f ca="1">IFERROR(__xludf.DUMMYFUNCTION("""COMPUTED_VALUE"""),634.74)</f>
        <v>634.74</v>
      </c>
      <c r="AA1270" s="1">
        <f ca="1">IFERROR(__xludf.DUMMYFUNCTION("""COMPUTED_VALUE"""),26.3)</f>
        <v>26.3</v>
      </c>
      <c r="AB1270" s="1">
        <f ca="1">IFERROR(__xludf.DUMMYFUNCTION("""COMPUTED_VALUE"""),97.98)</f>
        <v>97.98</v>
      </c>
      <c r="AC1270" s="1">
        <f ca="1">IFERROR(__xludf.DUMMYFUNCTION("""COMPUTED_VALUE"""),122.28)</f>
        <v>122.28</v>
      </c>
    </row>
    <row r="1271" spans="1:29" x14ac:dyDescent="0.25">
      <c r="A1271" s="2">
        <f ca="1">IFERROR(__xludf.DUMMYFUNCTION("""COMPUTED_VALUE"""),45678.6666666666)</f>
        <v>45678.666666666599</v>
      </c>
      <c r="B1271" s="1">
        <f ca="1">IFERROR(__xludf.DUMMYFUNCTION("""COMPUTED_VALUE"""),222.64)</f>
        <v>222.64</v>
      </c>
      <c r="C1271" s="1">
        <f ca="1">IFERROR(__xludf.DUMMYFUNCTION("""COMPUTED_VALUE"""),428.5)</f>
        <v>428.5</v>
      </c>
      <c r="D1271" s="1">
        <f ca="1">IFERROR(__xludf.DUMMYFUNCTION("""COMPUTED_VALUE"""),230.71)</f>
        <v>230.71</v>
      </c>
      <c r="E1271" s="1">
        <f ca="1">IFERROR(__xludf.DUMMYFUNCTION("""COMPUTED_VALUE"""),140.83)</f>
        <v>140.83000000000001</v>
      </c>
      <c r="F1271" s="1">
        <f ca="1">IFERROR(__xludf.DUMMYFUNCTION("""COMPUTED_VALUE"""),623.5)</f>
        <v>623.5</v>
      </c>
      <c r="G1271" s="1">
        <f ca="1">IFERROR(__xludf.DUMMYFUNCTION("""COMPUTED_VALUE"""),199.63)</f>
        <v>199.63</v>
      </c>
      <c r="H1271" s="1">
        <f ca="1">IFERROR(__xludf.DUMMYFUNCTION("""COMPUTED_VALUE"""),415.11)</f>
        <v>415.11</v>
      </c>
      <c r="I1271" s="1">
        <f ca="1">IFERROR(__xludf.DUMMYFUNCTION("""COMPUTED_VALUE"""),148.09)</f>
        <v>148.09</v>
      </c>
      <c r="J1271" s="1">
        <f ca="1">IFERROR(__xludf.DUMMYFUNCTION("""COMPUTED_VALUE"""),947.73)</f>
        <v>947.73</v>
      </c>
      <c r="K1271" s="1">
        <f ca="1">IFERROR(__xludf.DUMMYFUNCTION("""COMPUTED_VALUE"""),240.31)</f>
        <v>240.31</v>
      </c>
      <c r="L1271" s="1">
        <f ca="1">IFERROR(__xludf.DUMMYFUNCTION("""COMPUTED_VALUE"""),436.36)</f>
        <v>436.36</v>
      </c>
      <c r="M1271" s="1">
        <f ca="1">IFERROR(__xludf.DUMMYFUNCTION("""COMPUTED_VALUE"""),869.68)</f>
        <v>869.68</v>
      </c>
      <c r="N1271" s="1">
        <f ca="1">IFERROR(__xludf.DUMMYFUNCTION("""COMPUTED_VALUE"""),262.84)</f>
        <v>262.83999999999997</v>
      </c>
      <c r="O1271" s="1">
        <f ca="1">IFERROR(__xludf.DUMMYFUNCTION("""COMPUTED_VALUE"""),323.63)</f>
        <v>323.63</v>
      </c>
      <c r="P1271" s="1">
        <f ca="1">IFERROR(__xludf.DUMMYFUNCTION("""COMPUTED_VALUE"""),148.15)</f>
        <v>148.15</v>
      </c>
      <c r="Q1271" s="1">
        <f ca="1">IFERROR(__xludf.DUMMYFUNCTION("""COMPUTED_VALUE"""),524.99)</f>
        <v>524.99</v>
      </c>
      <c r="R1271" s="1">
        <f ca="1">IFERROR(__xludf.DUMMYFUNCTION("""COMPUTED_VALUE"""),111.47)</f>
        <v>111.47</v>
      </c>
      <c r="S1271" s="1">
        <f ca="1">IFERROR(__xludf.DUMMYFUNCTION("""COMPUTED_VALUE"""),70.85)</f>
        <v>70.849999999999994</v>
      </c>
      <c r="T1271" s="1">
        <f ca="1">IFERROR(__xludf.DUMMYFUNCTION("""COMPUTED_VALUE"""),93.23)</f>
        <v>93.23</v>
      </c>
      <c r="U1271" s="1">
        <f ca="1">IFERROR(__xludf.DUMMYFUNCTION("""COMPUTED_VALUE"""),74.04)</f>
        <v>74.040000000000006</v>
      </c>
      <c r="V1271" s="1">
        <f ca="1">IFERROR(__xludf.DUMMYFUNCTION("""COMPUTED_VALUE"""),398.36)</f>
        <v>398.36</v>
      </c>
      <c r="W1271" s="1">
        <f ca="1">IFERROR(__xludf.DUMMYFUNCTION("""COMPUTED_VALUE"""),506.29)</f>
        <v>506.29</v>
      </c>
      <c r="X1271" s="1">
        <f ca="1">IFERROR(__xludf.DUMMYFUNCTION("""COMPUTED_VALUE"""),763)</f>
        <v>763</v>
      </c>
      <c r="Y1271" s="1">
        <f ca="1">IFERROR(__xludf.DUMMYFUNCTION("""COMPUTED_VALUE"""),218.7)</f>
        <v>218.7</v>
      </c>
      <c r="Z1271" s="1">
        <f ca="1">IFERROR(__xludf.DUMMYFUNCTION("""COMPUTED_VALUE"""),632.73)</f>
        <v>632.73</v>
      </c>
      <c r="AA1271" s="1">
        <f ca="1">IFERROR(__xludf.DUMMYFUNCTION("""COMPUTED_VALUE"""),26.64)</f>
        <v>26.64</v>
      </c>
      <c r="AB1271" s="1">
        <f ca="1">IFERROR(__xludf.DUMMYFUNCTION("""COMPUTED_VALUE"""),97.73)</f>
        <v>97.73</v>
      </c>
      <c r="AC1271" s="1">
        <f ca="1">IFERROR(__xludf.DUMMYFUNCTION("""COMPUTED_VALUE"""),123.75)</f>
        <v>123.75</v>
      </c>
    </row>
    <row r="1272" spans="1:29" x14ac:dyDescent="0.25">
      <c r="A1272" s="2">
        <f ca="1">IFERROR(__xludf.DUMMYFUNCTION("""COMPUTED_VALUE"""),45679.6666666666)</f>
        <v>45679.666666666599</v>
      </c>
      <c r="B1272" s="1">
        <f ca="1">IFERROR(__xludf.DUMMYFUNCTION("""COMPUTED_VALUE"""),223.83)</f>
        <v>223.83</v>
      </c>
      <c r="C1272" s="1">
        <f ca="1">IFERROR(__xludf.DUMMYFUNCTION("""COMPUTED_VALUE"""),446.2)</f>
        <v>446.2</v>
      </c>
      <c r="D1272" s="1">
        <f ca="1">IFERROR(__xludf.DUMMYFUNCTION("""COMPUTED_VALUE"""),235.01)</f>
        <v>235.01</v>
      </c>
      <c r="E1272" s="1">
        <f ca="1">IFERROR(__xludf.DUMMYFUNCTION("""COMPUTED_VALUE"""),147.07)</f>
        <v>147.07</v>
      </c>
      <c r="F1272" s="1">
        <f ca="1">IFERROR(__xludf.DUMMYFUNCTION("""COMPUTED_VALUE"""),636.45)</f>
        <v>636.45000000000005</v>
      </c>
      <c r="G1272" s="1">
        <f ca="1">IFERROR(__xludf.DUMMYFUNCTION("""COMPUTED_VALUE"""),200.03)</f>
        <v>200.03</v>
      </c>
      <c r="H1272" s="1">
        <f ca="1">IFERROR(__xludf.DUMMYFUNCTION("""COMPUTED_VALUE"""),412.38)</f>
        <v>412.38</v>
      </c>
      <c r="I1272" s="1">
        <f ca="1">IFERROR(__xludf.DUMMYFUNCTION("""COMPUTED_VALUE"""),148.62)</f>
        <v>148.62</v>
      </c>
      <c r="J1272" s="1">
        <f ca="1">IFERROR(__xludf.DUMMYFUNCTION("""COMPUTED_VALUE"""),944.7)</f>
        <v>944.7</v>
      </c>
      <c r="K1272" s="1">
        <f ca="1">IFERROR(__xludf.DUMMYFUNCTION("""COMPUTED_VALUE"""),240.91)</f>
        <v>240.91</v>
      </c>
      <c r="L1272" s="1">
        <f ca="1">IFERROR(__xludf.DUMMYFUNCTION("""COMPUTED_VALUE"""),437.32)</f>
        <v>437.32</v>
      </c>
      <c r="M1272" s="1">
        <f ca="1">IFERROR(__xludf.DUMMYFUNCTION("""COMPUTED_VALUE"""),953.99)</f>
        <v>953.99</v>
      </c>
      <c r="N1272" s="1">
        <f ca="1">IFERROR(__xludf.DUMMYFUNCTION("""COMPUTED_VALUE"""),265.95)</f>
        <v>265.95</v>
      </c>
      <c r="O1272" s="1">
        <f ca="1">IFERROR(__xludf.DUMMYFUNCTION("""COMPUTED_VALUE"""),323.56)</f>
        <v>323.56</v>
      </c>
      <c r="P1272" s="1">
        <f ca="1">IFERROR(__xludf.DUMMYFUNCTION("""COMPUTED_VALUE"""),145.27)</f>
        <v>145.27000000000001</v>
      </c>
      <c r="Q1272" s="1">
        <f ca="1">IFERROR(__xludf.DUMMYFUNCTION("""COMPUTED_VALUE"""),519.72)</f>
        <v>519.72</v>
      </c>
      <c r="R1272" s="1">
        <f ca="1">IFERROR(__xludf.DUMMYFUNCTION("""COMPUTED_VALUE"""),109.53)</f>
        <v>109.53</v>
      </c>
      <c r="S1272" s="1">
        <f ca="1">IFERROR(__xludf.DUMMYFUNCTION("""COMPUTED_VALUE"""),68.49)</f>
        <v>68.489999999999995</v>
      </c>
      <c r="T1272" s="1">
        <f ca="1">IFERROR(__xludf.DUMMYFUNCTION("""COMPUTED_VALUE"""),93.81)</f>
        <v>93.81</v>
      </c>
      <c r="U1272" s="1">
        <f ca="1">IFERROR(__xludf.DUMMYFUNCTION("""COMPUTED_VALUE"""),74.29)</f>
        <v>74.290000000000006</v>
      </c>
      <c r="V1272" s="1">
        <f ca="1">IFERROR(__xludf.DUMMYFUNCTION("""COMPUTED_VALUE"""),397.61)</f>
        <v>397.61</v>
      </c>
      <c r="W1272" s="1">
        <f ca="1">IFERROR(__xludf.DUMMYFUNCTION("""COMPUTED_VALUE"""),499.34)</f>
        <v>499.34</v>
      </c>
      <c r="X1272" s="1">
        <f ca="1">IFERROR(__xludf.DUMMYFUNCTION("""COMPUTED_VALUE"""),766.71)</f>
        <v>766.71</v>
      </c>
      <c r="Y1272" s="1">
        <f ca="1">IFERROR(__xludf.DUMMYFUNCTION("""COMPUTED_VALUE"""),223.2)</f>
        <v>223.2</v>
      </c>
      <c r="Z1272" s="1">
        <f ca="1">IFERROR(__xludf.DUMMYFUNCTION("""COMPUTED_VALUE"""),639.5)</f>
        <v>639.5</v>
      </c>
      <c r="AA1272" s="1">
        <f ca="1">IFERROR(__xludf.DUMMYFUNCTION("""COMPUTED_VALUE"""),26.01)</f>
        <v>26.01</v>
      </c>
      <c r="AB1272" s="1">
        <f ca="1">IFERROR(__xludf.DUMMYFUNCTION("""COMPUTED_VALUE"""),97.99)</f>
        <v>97.99</v>
      </c>
      <c r="AC1272" s="1">
        <f ca="1">IFERROR(__xludf.DUMMYFUNCTION("""COMPUTED_VALUE"""),123.04)</f>
        <v>123.04</v>
      </c>
    </row>
    <row r="1273" spans="1:29" x14ac:dyDescent="0.25">
      <c r="A1273" s="2">
        <f ca="1">IFERROR(__xludf.DUMMYFUNCTION("""COMPUTED_VALUE"""),45680.6666666666)</f>
        <v>45680.666666666599</v>
      </c>
      <c r="B1273" s="1">
        <f ca="1">IFERROR(__xludf.DUMMYFUNCTION("""COMPUTED_VALUE"""),223.66)</f>
        <v>223.66</v>
      </c>
      <c r="C1273" s="1">
        <f ca="1">IFERROR(__xludf.DUMMYFUNCTION("""COMPUTED_VALUE"""),446.71)</f>
        <v>446.71</v>
      </c>
      <c r="D1273" s="1">
        <f ca="1">IFERROR(__xludf.DUMMYFUNCTION("""COMPUTED_VALUE"""),235.42)</f>
        <v>235.42</v>
      </c>
      <c r="E1273" s="1">
        <f ca="1">IFERROR(__xludf.DUMMYFUNCTION("""COMPUTED_VALUE"""),147.22)</f>
        <v>147.22</v>
      </c>
      <c r="F1273" s="1">
        <f ca="1">IFERROR(__xludf.DUMMYFUNCTION("""COMPUTED_VALUE"""),647.49)</f>
        <v>647.49</v>
      </c>
      <c r="G1273" s="1">
        <f ca="1">IFERROR(__xludf.DUMMYFUNCTION("""COMPUTED_VALUE"""),199.58)</f>
        <v>199.58</v>
      </c>
      <c r="H1273" s="1">
        <f ca="1">IFERROR(__xludf.DUMMYFUNCTION("""COMPUTED_VALUE"""),406.58)</f>
        <v>406.58</v>
      </c>
      <c r="I1273" s="1">
        <f ca="1">IFERROR(__xludf.DUMMYFUNCTION("""COMPUTED_VALUE"""),149.12)</f>
        <v>149.12</v>
      </c>
      <c r="J1273" s="1">
        <f ca="1">IFERROR(__xludf.DUMMYFUNCTION("""COMPUTED_VALUE"""),942.16)</f>
        <v>942.16</v>
      </c>
      <c r="K1273" s="1">
        <f ca="1">IFERROR(__xludf.DUMMYFUNCTION("""COMPUTED_VALUE"""),240.28)</f>
        <v>240.28</v>
      </c>
      <c r="L1273" s="1">
        <f ca="1">IFERROR(__xludf.DUMMYFUNCTION("""COMPUTED_VALUE"""),437.28)</f>
        <v>437.28</v>
      </c>
      <c r="M1273" s="1">
        <f ca="1">IFERROR(__xludf.DUMMYFUNCTION("""COMPUTED_VALUE"""),984.86)</f>
        <v>984.86</v>
      </c>
      <c r="N1273" s="1">
        <f ca="1">IFERROR(__xludf.DUMMYFUNCTION("""COMPUTED_VALUE"""),264.84)</f>
        <v>264.83999999999997</v>
      </c>
      <c r="O1273" s="1">
        <f ca="1">IFERROR(__xludf.DUMMYFUNCTION("""COMPUTED_VALUE"""),328.21)</f>
        <v>328.21</v>
      </c>
      <c r="P1273" s="1">
        <f ca="1">IFERROR(__xludf.DUMMYFUNCTION("""COMPUTED_VALUE"""),146.64)</f>
        <v>146.63999999999999</v>
      </c>
      <c r="Q1273" s="1">
        <f ca="1">IFERROR(__xludf.DUMMYFUNCTION("""COMPUTED_VALUE"""),529.77)</f>
        <v>529.77</v>
      </c>
      <c r="R1273" s="1">
        <f ca="1">IFERROR(__xludf.DUMMYFUNCTION("""COMPUTED_VALUE"""),110.15)</f>
        <v>110.15</v>
      </c>
      <c r="S1273" s="1">
        <f ca="1">IFERROR(__xludf.DUMMYFUNCTION("""COMPUTED_VALUE"""),69.23)</f>
        <v>69.23</v>
      </c>
      <c r="T1273" s="1">
        <f ca="1">IFERROR(__xludf.DUMMYFUNCTION("""COMPUTED_VALUE"""),94.76)</f>
        <v>94.76</v>
      </c>
      <c r="U1273" s="1">
        <f ca="1">IFERROR(__xludf.DUMMYFUNCTION("""COMPUTED_VALUE"""),73.57)</f>
        <v>73.569999999999993</v>
      </c>
      <c r="V1273" s="1">
        <f ca="1">IFERROR(__xludf.DUMMYFUNCTION("""COMPUTED_VALUE"""),406.4)</f>
        <v>406.4</v>
      </c>
      <c r="W1273" s="1">
        <f ca="1">IFERROR(__xludf.DUMMYFUNCTION("""COMPUTED_VALUE"""),497.28)</f>
        <v>497.28</v>
      </c>
      <c r="X1273" s="1">
        <f ca="1">IFERROR(__xludf.DUMMYFUNCTION("""COMPUTED_VALUE"""),746.24)</f>
        <v>746.24</v>
      </c>
      <c r="Y1273" s="1">
        <f ca="1">IFERROR(__xludf.DUMMYFUNCTION("""COMPUTED_VALUE"""),224.62)</f>
        <v>224.62</v>
      </c>
      <c r="Z1273" s="1">
        <f ca="1">IFERROR(__xludf.DUMMYFUNCTION("""COMPUTED_VALUE"""),636.9)</f>
        <v>636.9</v>
      </c>
      <c r="AA1273" s="1">
        <f ca="1">IFERROR(__xludf.DUMMYFUNCTION("""COMPUTED_VALUE"""),26.44)</f>
        <v>26.44</v>
      </c>
      <c r="AB1273" s="1">
        <f ca="1">IFERROR(__xludf.DUMMYFUNCTION("""COMPUTED_VALUE"""),98.81)</f>
        <v>98.81</v>
      </c>
      <c r="AC1273" s="1">
        <f ca="1">IFERROR(__xludf.DUMMYFUNCTION("""COMPUTED_VALUE"""),122.84)</f>
        <v>122.84</v>
      </c>
    </row>
    <row r="1274" spans="1:29" x14ac:dyDescent="0.25">
      <c r="A1274" s="2">
        <f ca="1">IFERROR(__xludf.DUMMYFUNCTION("""COMPUTED_VALUE"""),45681.6666666666)</f>
        <v>45681.666666666599</v>
      </c>
      <c r="B1274" s="1">
        <f ca="1">IFERROR(__xludf.DUMMYFUNCTION("""COMPUTED_VALUE"""),222.78)</f>
        <v>222.78</v>
      </c>
      <c r="C1274" s="1">
        <f ca="1">IFERROR(__xludf.DUMMYFUNCTION("""COMPUTED_VALUE"""),444.06)</f>
        <v>444.06</v>
      </c>
      <c r="D1274" s="1">
        <f ca="1">IFERROR(__xludf.DUMMYFUNCTION("""COMPUTED_VALUE"""),234.85)</f>
        <v>234.85</v>
      </c>
      <c r="E1274" s="1">
        <f ca="1">IFERROR(__xludf.DUMMYFUNCTION("""COMPUTED_VALUE"""),142.62)</f>
        <v>142.62</v>
      </c>
      <c r="F1274" s="1">
        <f ca="1">IFERROR(__xludf.DUMMYFUNCTION("""COMPUTED_VALUE"""),659.88)</f>
        <v>659.88</v>
      </c>
      <c r="G1274" s="1">
        <f ca="1">IFERROR(__xludf.DUMMYFUNCTION("""COMPUTED_VALUE"""),201.9)</f>
        <v>201.9</v>
      </c>
      <c r="H1274" s="1">
        <f ca="1">IFERROR(__xludf.DUMMYFUNCTION("""COMPUTED_VALUE"""),397.15)</f>
        <v>397.15</v>
      </c>
      <c r="I1274" s="1">
        <f ca="1">IFERROR(__xludf.DUMMYFUNCTION("""COMPUTED_VALUE"""),154.61)</f>
        <v>154.61000000000001</v>
      </c>
      <c r="J1274" s="1">
        <f ca="1">IFERROR(__xludf.DUMMYFUNCTION("""COMPUTED_VALUE"""),939.68)</f>
        <v>939.68</v>
      </c>
      <c r="K1274" s="1">
        <f ca="1">IFERROR(__xludf.DUMMYFUNCTION("""COMPUTED_VALUE"""),244.7)</f>
        <v>244.7</v>
      </c>
      <c r="L1274" s="1">
        <f ca="1">IFERROR(__xludf.DUMMYFUNCTION("""COMPUTED_VALUE"""),435.38)</f>
        <v>435.38</v>
      </c>
      <c r="M1274" s="1">
        <f ca="1">IFERROR(__xludf.DUMMYFUNCTION("""COMPUTED_VALUE"""),977.59)</f>
        <v>977.59</v>
      </c>
      <c r="N1274" s="1">
        <f ca="1">IFERROR(__xludf.DUMMYFUNCTION("""COMPUTED_VALUE"""),265.85)</f>
        <v>265.85000000000002</v>
      </c>
      <c r="O1274" s="1">
        <f ca="1">IFERROR(__xludf.DUMMYFUNCTION("""COMPUTED_VALUE"""),330.2)</f>
        <v>330.2</v>
      </c>
      <c r="P1274" s="1">
        <f ca="1">IFERROR(__xludf.DUMMYFUNCTION("""COMPUTED_VALUE"""),146.82)</f>
        <v>146.82</v>
      </c>
      <c r="Q1274" s="1">
        <f ca="1">IFERROR(__xludf.DUMMYFUNCTION("""COMPUTED_VALUE"""),532.51)</f>
        <v>532.51</v>
      </c>
      <c r="R1274" s="1">
        <f ca="1">IFERROR(__xludf.DUMMYFUNCTION("""COMPUTED_VALUE"""),108.66)</f>
        <v>108.66</v>
      </c>
      <c r="S1274" s="1">
        <f ca="1">IFERROR(__xludf.DUMMYFUNCTION("""COMPUTED_VALUE"""),72.83)</f>
        <v>72.83</v>
      </c>
      <c r="T1274" s="1">
        <f ca="1">IFERROR(__xludf.DUMMYFUNCTION("""COMPUTED_VALUE"""),97.4)</f>
        <v>97.4</v>
      </c>
      <c r="U1274" s="1">
        <f ca="1">IFERROR(__xludf.DUMMYFUNCTION("""COMPUTED_VALUE"""),75.58)</f>
        <v>75.58</v>
      </c>
      <c r="V1274" s="1">
        <f ca="1">IFERROR(__xludf.DUMMYFUNCTION("""COMPUTED_VALUE"""),407.63)</f>
        <v>407.63</v>
      </c>
      <c r="W1274" s="1">
        <f ca="1">IFERROR(__xludf.DUMMYFUNCTION("""COMPUTED_VALUE"""),496.96)</f>
        <v>496.96</v>
      </c>
      <c r="X1274" s="1">
        <f ca="1">IFERROR(__xludf.DUMMYFUNCTION("""COMPUTED_VALUE"""),732.25)</f>
        <v>732.25</v>
      </c>
      <c r="Y1274" s="1">
        <f ca="1">IFERROR(__xludf.DUMMYFUNCTION("""COMPUTED_VALUE"""),221.88)</f>
        <v>221.88</v>
      </c>
      <c r="Z1274" s="1">
        <f ca="1">IFERROR(__xludf.DUMMYFUNCTION("""COMPUTED_VALUE"""),633.28)</f>
        <v>633.28</v>
      </c>
      <c r="AA1274" s="1">
        <f ca="1">IFERROR(__xludf.DUMMYFUNCTION("""COMPUTED_VALUE"""),26.09)</f>
        <v>26.09</v>
      </c>
      <c r="AB1274" s="1">
        <f ca="1">IFERROR(__xludf.DUMMYFUNCTION("""COMPUTED_VALUE"""),100.02)</f>
        <v>100.02</v>
      </c>
      <c r="AC1274" s="1">
        <f ca="1">IFERROR(__xludf.DUMMYFUNCTION("""COMPUTED_VALUE"""),115.01)</f>
        <v>115.01</v>
      </c>
    </row>
    <row r="1275" spans="1:29" x14ac:dyDescent="0.25">
      <c r="A1275" s="2">
        <f ca="1">IFERROR(__xludf.DUMMYFUNCTION("""COMPUTED_VALUE"""),45684.6666666666)</f>
        <v>45684.666666666599</v>
      </c>
      <c r="B1275" s="1">
        <f ca="1">IFERROR(__xludf.DUMMYFUNCTION("""COMPUTED_VALUE"""),229.86)</f>
        <v>229.86</v>
      </c>
      <c r="C1275" s="1">
        <f ca="1">IFERROR(__xludf.DUMMYFUNCTION("""COMPUTED_VALUE"""),434.56)</f>
        <v>434.56</v>
      </c>
      <c r="D1275" s="1">
        <f ca="1">IFERROR(__xludf.DUMMYFUNCTION("""COMPUTED_VALUE"""),235.42)</f>
        <v>235.42</v>
      </c>
      <c r="E1275" s="1">
        <f ca="1">IFERROR(__xludf.DUMMYFUNCTION("""COMPUTED_VALUE"""),118.42)</f>
        <v>118.42</v>
      </c>
      <c r="F1275" s="1">
        <f ca="1">IFERROR(__xludf.DUMMYFUNCTION("""COMPUTED_VALUE"""),674.33)</f>
        <v>674.33</v>
      </c>
      <c r="G1275" s="1">
        <f ca="1">IFERROR(__xludf.DUMMYFUNCTION("""COMPUTED_VALUE"""),193.77)</f>
        <v>193.77</v>
      </c>
      <c r="H1275" s="1">
        <f ca="1">IFERROR(__xludf.DUMMYFUNCTION("""COMPUTED_VALUE"""),398.09)</f>
        <v>398.09</v>
      </c>
      <c r="I1275" s="1">
        <f ca="1">IFERROR(__xludf.DUMMYFUNCTION("""COMPUTED_VALUE"""),150.25)</f>
        <v>150.25</v>
      </c>
      <c r="J1275" s="1">
        <f ca="1">IFERROR(__xludf.DUMMYFUNCTION("""COMPUTED_VALUE"""),965.25)</f>
        <v>965.25</v>
      </c>
      <c r="K1275" s="1">
        <f ca="1">IFERROR(__xludf.DUMMYFUNCTION("""COMPUTED_VALUE"""),202.13)</f>
        <v>202.13</v>
      </c>
      <c r="L1275" s="1">
        <f ca="1">IFERROR(__xludf.DUMMYFUNCTION("""COMPUTED_VALUE"""),438.6)</f>
        <v>438.6</v>
      </c>
      <c r="M1275" s="1">
        <f ca="1">IFERROR(__xludf.DUMMYFUNCTION("""COMPUTED_VALUE"""),971.89)</f>
        <v>971.89</v>
      </c>
      <c r="N1275" s="1">
        <f ca="1">IFERROR(__xludf.DUMMYFUNCTION("""COMPUTED_VALUE"""),267.14)</f>
        <v>267.14</v>
      </c>
      <c r="O1275" s="1">
        <f ca="1">IFERROR(__xludf.DUMMYFUNCTION("""COMPUTED_VALUE"""),334.54)</f>
        <v>334.54</v>
      </c>
      <c r="P1275" s="1">
        <f ca="1">IFERROR(__xludf.DUMMYFUNCTION("""COMPUTED_VALUE"""),152.89)</f>
        <v>152.88999999999999</v>
      </c>
      <c r="Q1275" s="1">
        <f ca="1">IFERROR(__xludf.DUMMYFUNCTION("""COMPUTED_VALUE"""),543.52)</f>
        <v>543.52</v>
      </c>
      <c r="R1275" s="1">
        <f ca="1">IFERROR(__xludf.DUMMYFUNCTION("""COMPUTED_VALUE"""),110.17)</f>
        <v>110.17</v>
      </c>
      <c r="S1275" s="1">
        <f ca="1">IFERROR(__xludf.DUMMYFUNCTION("""COMPUTED_VALUE"""),73.83)</f>
        <v>73.83</v>
      </c>
      <c r="T1275" s="1">
        <f ca="1">IFERROR(__xludf.DUMMYFUNCTION("""COMPUTED_VALUE"""),97.29)</f>
        <v>97.29</v>
      </c>
      <c r="U1275" s="1">
        <f ca="1">IFERROR(__xludf.DUMMYFUNCTION("""COMPUTED_VALUE"""),74.39)</f>
        <v>74.39</v>
      </c>
      <c r="V1275" s="1">
        <f ca="1">IFERROR(__xludf.DUMMYFUNCTION("""COMPUTED_VALUE"""),394.98)</f>
        <v>394.98</v>
      </c>
      <c r="W1275" s="1">
        <f ca="1">IFERROR(__xludf.DUMMYFUNCTION("""COMPUTED_VALUE"""),503.69)</f>
        <v>503.69</v>
      </c>
      <c r="X1275" s="1">
        <f ca="1">IFERROR(__xludf.DUMMYFUNCTION("""COMPUTED_VALUE"""),690.15)</f>
        <v>690.15</v>
      </c>
      <c r="Y1275" s="1">
        <f ca="1">IFERROR(__xludf.DUMMYFUNCTION("""COMPUTED_VALUE"""),192.31)</f>
        <v>192.31</v>
      </c>
      <c r="Z1275" s="1">
        <f ca="1">IFERROR(__xludf.DUMMYFUNCTION("""COMPUTED_VALUE"""),637.8)</f>
        <v>637.79999999999995</v>
      </c>
      <c r="AA1275" s="1">
        <f ca="1">IFERROR(__xludf.DUMMYFUNCTION("""COMPUTED_VALUE"""),26.86)</f>
        <v>26.86</v>
      </c>
      <c r="AB1275" s="1">
        <f ca="1">IFERROR(__xludf.DUMMYFUNCTION("""COMPUTED_VALUE"""),100.41)</f>
        <v>100.41</v>
      </c>
      <c r="AC1275" s="1">
        <f ca="1">IFERROR(__xludf.DUMMYFUNCTION("""COMPUTED_VALUE"""),114.17)</f>
        <v>114.17</v>
      </c>
    </row>
    <row r="1276" spans="1:29" x14ac:dyDescent="0.25">
      <c r="A1276" s="2">
        <f ca="1">IFERROR(__xludf.DUMMYFUNCTION("""COMPUTED_VALUE"""),45685.6666666666)</f>
        <v>45685.666666666599</v>
      </c>
      <c r="B1276" s="1">
        <f ca="1">IFERROR(__xludf.DUMMYFUNCTION("""COMPUTED_VALUE"""),238.26)</f>
        <v>238.26</v>
      </c>
      <c r="C1276" s="1">
        <f ca="1">IFERROR(__xludf.DUMMYFUNCTION("""COMPUTED_VALUE"""),447.2)</f>
        <v>447.2</v>
      </c>
      <c r="D1276" s="1">
        <f ca="1">IFERROR(__xludf.DUMMYFUNCTION("""COMPUTED_VALUE"""),238.15)</f>
        <v>238.15</v>
      </c>
      <c r="E1276" s="1">
        <f ca="1">IFERROR(__xludf.DUMMYFUNCTION("""COMPUTED_VALUE"""),128.99)</f>
        <v>128.99</v>
      </c>
      <c r="F1276" s="1">
        <f ca="1">IFERROR(__xludf.DUMMYFUNCTION("""COMPUTED_VALUE"""),676.49)</f>
        <v>676.49</v>
      </c>
      <c r="G1276" s="1">
        <f ca="1">IFERROR(__xludf.DUMMYFUNCTION("""COMPUTED_VALUE"""),197.07)</f>
        <v>197.07</v>
      </c>
      <c r="H1276" s="1">
        <f ca="1">IFERROR(__xludf.DUMMYFUNCTION("""COMPUTED_VALUE"""),389.1)</f>
        <v>389.1</v>
      </c>
      <c r="I1276" s="1">
        <f ca="1">IFERROR(__xludf.DUMMYFUNCTION("""COMPUTED_VALUE"""),150.37)</f>
        <v>150.37</v>
      </c>
      <c r="J1276" s="1">
        <f ca="1">IFERROR(__xludf.DUMMYFUNCTION("""COMPUTED_VALUE"""),958.67)</f>
        <v>958.67</v>
      </c>
      <c r="K1276" s="1">
        <f ca="1">IFERROR(__xludf.DUMMYFUNCTION("""COMPUTED_VALUE"""),207.36)</f>
        <v>207.36</v>
      </c>
      <c r="L1276" s="1">
        <f ca="1">IFERROR(__xludf.DUMMYFUNCTION("""COMPUTED_VALUE"""),442.84)</f>
        <v>442.84</v>
      </c>
      <c r="M1276" s="1">
        <f ca="1">IFERROR(__xludf.DUMMYFUNCTION("""COMPUTED_VALUE"""),971.83)</f>
        <v>971.83</v>
      </c>
      <c r="N1276" s="1">
        <f ca="1">IFERROR(__xludf.DUMMYFUNCTION("""COMPUTED_VALUE"""),266.58)</f>
        <v>266.58</v>
      </c>
      <c r="O1276" s="1">
        <f ca="1">IFERROR(__xludf.DUMMYFUNCTION("""COMPUTED_VALUE"""),334.48)</f>
        <v>334.48</v>
      </c>
      <c r="P1276" s="1">
        <f ca="1">IFERROR(__xludf.DUMMYFUNCTION("""COMPUTED_VALUE"""),150.38)</f>
        <v>150.38</v>
      </c>
      <c r="Q1276" s="1">
        <f ca="1">IFERROR(__xludf.DUMMYFUNCTION("""COMPUTED_VALUE"""),542.48)</f>
        <v>542.48</v>
      </c>
      <c r="R1276" s="1">
        <f ca="1">IFERROR(__xludf.DUMMYFUNCTION("""COMPUTED_VALUE"""),108.04)</f>
        <v>108.04</v>
      </c>
      <c r="S1276" s="1">
        <f ca="1">IFERROR(__xludf.DUMMYFUNCTION("""COMPUTED_VALUE"""),70.54)</f>
        <v>70.540000000000006</v>
      </c>
      <c r="T1276" s="1">
        <f ca="1">IFERROR(__xludf.DUMMYFUNCTION("""COMPUTED_VALUE"""),97.5)</f>
        <v>97.5</v>
      </c>
      <c r="U1276" s="1">
        <f ca="1">IFERROR(__xludf.DUMMYFUNCTION("""COMPUTED_VALUE"""),76.58)</f>
        <v>76.58</v>
      </c>
      <c r="V1276" s="1">
        <f ca="1">IFERROR(__xludf.DUMMYFUNCTION("""COMPUTED_VALUE"""),390.29)</f>
        <v>390.29</v>
      </c>
      <c r="W1276" s="1">
        <f ca="1">IFERROR(__xludf.DUMMYFUNCTION("""COMPUTED_VALUE"""),457.45)</f>
        <v>457.45</v>
      </c>
      <c r="X1276" s="1">
        <f ca="1">IFERROR(__xludf.DUMMYFUNCTION("""COMPUTED_VALUE"""),683.35)</f>
        <v>683.35</v>
      </c>
      <c r="Y1276" s="1">
        <f ca="1">IFERROR(__xludf.DUMMYFUNCTION("""COMPUTED_VALUE"""),202.4)</f>
        <v>202.4</v>
      </c>
      <c r="Z1276" s="1">
        <f ca="1">IFERROR(__xludf.DUMMYFUNCTION("""COMPUTED_VALUE"""),637.38)</f>
        <v>637.38</v>
      </c>
      <c r="AA1276" s="1">
        <f ca="1">IFERROR(__xludf.DUMMYFUNCTION("""COMPUTED_VALUE"""),26.75)</f>
        <v>26.75</v>
      </c>
      <c r="AB1276" s="1">
        <f ca="1">IFERROR(__xludf.DUMMYFUNCTION("""COMPUTED_VALUE"""),108.58)</f>
        <v>108.58</v>
      </c>
      <c r="AC1276" s="1">
        <f ca="1">IFERROR(__xludf.DUMMYFUNCTION("""COMPUTED_VALUE"""),117.35)</f>
        <v>117.35</v>
      </c>
    </row>
    <row r="1277" spans="1:29" x14ac:dyDescent="0.25">
      <c r="A1277" s="2">
        <f ca="1">IFERROR(__xludf.DUMMYFUNCTION("""COMPUTED_VALUE"""),45686.6666666666)</f>
        <v>45686.666666666599</v>
      </c>
      <c r="B1277" s="1">
        <f ca="1">IFERROR(__xludf.DUMMYFUNCTION("""COMPUTED_VALUE"""),239.36)</f>
        <v>239.36</v>
      </c>
      <c r="C1277" s="1">
        <f ca="1">IFERROR(__xludf.DUMMYFUNCTION("""COMPUTED_VALUE"""),442.33)</f>
        <v>442.33</v>
      </c>
      <c r="D1277" s="1">
        <f ca="1">IFERROR(__xludf.DUMMYFUNCTION("""COMPUTED_VALUE"""),237.07)</f>
        <v>237.07</v>
      </c>
      <c r="E1277" s="1">
        <f ca="1">IFERROR(__xludf.DUMMYFUNCTION("""COMPUTED_VALUE"""),123.7)</f>
        <v>123.7</v>
      </c>
      <c r="F1277" s="1">
        <f ca="1">IFERROR(__xludf.DUMMYFUNCTION("""COMPUTED_VALUE"""),687)</f>
        <v>687</v>
      </c>
      <c r="G1277" s="1">
        <f ca="1">IFERROR(__xludf.DUMMYFUNCTION("""COMPUTED_VALUE"""),197.18)</f>
        <v>197.18</v>
      </c>
      <c r="H1277" s="1">
        <f ca="1">IFERROR(__xludf.DUMMYFUNCTION("""COMPUTED_VALUE"""),400.28)</f>
        <v>400.28</v>
      </c>
      <c r="I1277" s="1">
        <f ca="1">IFERROR(__xludf.DUMMYFUNCTION("""COMPUTED_VALUE"""),151.9)</f>
        <v>151.9</v>
      </c>
      <c r="J1277" s="1">
        <f ca="1">IFERROR(__xludf.DUMMYFUNCTION("""COMPUTED_VALUE"""),964.02)</f>
        <v>964.02</v>
      </c>
      <c r="K1277" s="1">
        <f ca="1">IFERROR(__xludf.DUMMYFUNCTION("""COMPUTED_VALUE"""),206.35)</f>
        <v>206.35</v>
      </c>
      <c r="L1277" s="1">
        <f ca="1">IFERROR(__xludf.DUMMYFUNCTION("""COMPUTED_VALUE"""),441.68)</f>
        <v>441.68</v>
      </c>
      <c r="M1277" s="1">
        <f ca="1">IFERROR(__xludf.DUMMYFUNCTION("""COMPUTED_VALUE"""),978.15)</f>
        <v>978.15</v>
      </c>
      <c r="N1277" s="1">
        <f ca="1">IFERROR(__xludf.DUMMYFUNCTION("""COMPUTED_VALUE"""),268.23)</f>
        <v>268.23</v>
      </c>
      <c r="O1277" s="1">
        <f ca="1">IFERROR(__xludf.DUMMYFUNCTION("""COMPUTED_VALUE"""),335.88)</f>
        <v>335.88</v>
      </c>
      <c r="P1277" s="1">
        <f ca="1">IFERROR(__xludf.DUMMYFUNCTION("""COMPUTED_VALUE"""),151.15)</f>
        <v>151.15</v>
      </c>
      <c r="Q1277" s="1">
        <f ca="1">IFERROR(__xludf.DUMMYFUNCTION("""COMPUTED_VALUE"""),538.1)</f>
        <v>538.1</v>
      </c>
      <c r="R1277" s="1">
        <f ca="1">IFERROR(__xludf.DUMMYFUNCTION("""COMPUTED_VALUE"""),108.67)</f>
        <v>108.67</v>
      </c>
      <c r="S1277" s="1">
        <f ca="1">IFERROR(__xludf.DUMMYFUNCTION("""COMPUTED_VALUE"""),70.89)</f>
        <v>70.89</v>
      </c>
      <c r="T1277" s="1">
        <f ca="1">IFERROR(__xludf.DUMMYFUNCTION("""COMPUTED_VALUE"""),98.65)</f>
        <v>98.65</v>
      </c>
      <c r="U1277" s="1">
        <f ca="1">IFERROR(__xludf.DUMMYFUNCTION("""COMPUTED_VALUE"""),78.33)</f>
        <v>78.33</v>
      </c>
      <c r="V1277" s="1">
        <f ca="1">IFERROR(__xludf.DUMMYFUNCTION("""COMPUTED_VALUE"""),393.23)</f>
        <v>393.23</v>
      </c>
      <c r="W1277" s="1">
        <f ca="1">IFERROR(__xludf.DUMMYFUNCTION("""COMPUTED_VALUE"""),454.36)</f>
        <v>454.36</v>
      </c>
      <c r="X1277" s="1">
        <f ca="1">IFERROR(__xludf.DUMMYFUNCTION("""COMPUTED_VALUE"""),712.65)</f>
        <v>712.65</v>
      </c>
      <c r="Y1277" s="1">
        <f ca="1">IFERROR(__xludf.DUMMYFUNCTION("""COMPUTED_VALUE"""),202.33)</f>
        <v>202.33</v>
      </c>
      <c r="Z1277" s="1">
        <f ca="1">IFERROR(__xludf.DUMMYFUNCTION("""COMPUTED_VALUE"""),645.7)</f>
        <v>645.70000000000005</v>
      </c>
      <c r="AA1277" s="1">
        <f ca="1">IFERROR(__xludf.DUMMYFUNCTION("""COMPUTED_VALUE"""),26.62)</f>
        <v>26.62</v>
      </c>
      <c r="AB1277" s="1">
        <f ca="1">IFERROR(__xludf.DUMMYFUNCTION("""COMPUTED_VALUE"""),109)</f>
        <v>109</v>
      </c>
      <c r="AC1277" s="1">
        <f ca="1">IFERROR(__xludf.DUMMYFUNCTION("""COMPUTED_VALUE"""),118.86)</f>
        <v>118.86</v>
      </c>
    </row>
    <row r="1278" spans="1:29" x14ac:dyDescent="0.25">
      <c r="A1278" s="2">
        <f ca="1">IFERROR(__xludf.DUMMYFUNCTION("""COMPUTED_VALUE"""),45687.6666666666)</f>
        <v>45687.666666666599</v>
      </c>
      <c r="B1278" s="1">
        <f ca="1">IFERROR(__xludf.DUMMYFUNCTION("""COMPUTED_VALUE"""),237.59)</f>
        <v>237.59</v>
      </c>
      <c r="C1278" s="1">
        <f ca="1">IFERROR(__xludf.DUMMYFUNCTION("""COMPUTED_VALUE"""),414.99)</f>
        <v>414.99</v>
      </c>
      <c r="D1278" s="1">
        <f ca="1">IFERROR(__xludf.DUMMYFUNCTION("""COMPUTED_VALUE"""),234.64)</f>
        <v>234.64</v>
      </c>
      <c r="E1278" s="1">
        <f ca="1">IFERROR(__xludf.DUMMYFUNCTION("""COMPUTED_VALUE"""),124.65)</f>
        <v>124.65</v>
      </c>
      <c r="F1278" s="1">
        <f ca="1">IFERROR(__xludf.DUMMYFUNCTION("""COMPUTED_VALUE"""),689.18)</f>
        <v>689.18</v>
      </c>
      <c r="G1278" s="1">
        <f ca="1">IFERROR(__xludf.DUMMYFUNCTION("""COMPUTED_VALUE"""),202.63)</f>
        <v>202.63</v>
      </c>
      <c r="H1278" s="1">
        <f ca="1">IFERROR(__xludf.DUMMYFUNCTION("""COMPUTED_VALUE"""),404.6)</f>
        <v>404.6</v>
      </c>
      <c r="I1278" s="1">
        <f ca="1">IFERROR(__xludf.DUMMYFUNCTION("""COMPUTED_VALUE"""),150.69)</f>
        <v>150.69</v>
      </c>
      <c r="J1278" s="1">
        <f ca="1">IFERROR(__xludf.DUMMYFUNCTION("""COMPUTED_VALUE"""),979.01)</f>
        <v>979.01</v>
      </c>
      <c r="K1278" s="1">
        <f ca="1">IFERROR(__xludf.DUMMYFUNCTION("""COMPUTED_VALUE"""),215.66)</f>
        <v>215.66</v>
      </c>
      <c r="L1278" s="1">
        <f ca="1">IFERROR(__xludf.DUMMYFUNCTION("""COMPUTED_VALUE"""),446)</f>
        <v>446</v>
      </c>
      <c r="M1278" s="1">
        <f ca="1">IFERROR(__xludf.DUMMYFUNCTION("""COMPUTED_VALUE"""),973.24)</f>
        <v>973.24</v>
      </c>
      <c r="N1278" s="1">
        <f ca="1">IFERROR(__xludf.DUMMYFUNCTION("""COMPUTED_VALUE"""),267.3)</f>
        <v>267.3</v>
      </c>
      <c r="O1278" s="1">
        <f ca="1">IFERROR(__xludf.DUMMYFUNCTION("""COMPUTED_VALUE"""),343.05)</f>
        <v>343.05</v>
      </c>
      <c r="P1278" s="1">
        <f ca="1">IFERROR(__xludf.DUMMYFUNCTION("""COMPUTED_VALUE"""),152.87)</f>
        <v>152.87</v>
      </c>
      <c r="Q1278" s="1">
        <f ca="1">IFERROR(__xludf.DUMMYFUNCTION("""COMPUTED_VALUE"""),545.57)</f>
        <v>545.57000000000005</v>
      </c>
      <c r="R1278" s="1">
        <f ca="1">IFERROR(__xludf.DUMMYFUNCTION("""COMPUTED_VALUE"""),109.57)</f>
        <v>109.57</v>
      </c>
      <c r="S1278" s="1">
        <f ca="1">IFERROR(__xludf.DUMMYFUNCTION("""COMPUTED_VALUE"""),71.3)</f>
        <v>71.3</v>
      </c>
      <c r="T1278" s="1">
        <f ca="1">IFERROR(__xludf.DUMMYFUNCTION("""COMPUTED_VALUE"""),98.16)</f>
        <v>98.16</v>
      </c>
      <c r="U1278" s="1">
        <f ca="1">IFERROR(__xludf.DUMMYFUNCTION("""COMPUTED_VALUE"""),76.9)</f>
        <v>76.900000000000006</v>
      </c>
      <c r="V1278" s="1">
        <f ca="1">IFERROR(__xludf.DUMMYFUNCTION("""COMPUTED_VALUE"""),374.98)</f>
        <v>374.98</v>
      </c>
      <c r="W1278" s="1">
        <f ca="1">IFERROR(__xludf.DUMMYFUNCTION("""COMPUTED_VALUE"""),459.65)</f>
        <v>459.65</v>
      </c>
      <c r="X1278" s="1">
        <f ca="1">IFERROR(__xludf.DUMMYFUNCTION("""COMPUTED_VALUE"""),736.99)</f>
        <v>736.99</v>
      </c>
      <c r="Y1278" s="1">
        <f ca="1">IFERROR(__xludf.DUMMYFUNCTION("""COMPUTED_VALUE"""),208.15)</f>
        <v>208.15</v>
      </c>
      <c r="Z1278" s="1">
        <f ca="1">IFERROR(__xludf.DUMMYFUNCTION("""COMPUTED_VALUE"""),640.4)</f>
        <v>640.4</v>
      </c>
      <c r="AA1278" s="1">
        <f ca="1">IFERROR(__xludf.DUMMYFUNCTION("""COMPUTED_VALUE"""),26.91)</f>
        <v>26.91</v>
      </c>
      <c r="AB1278" s="1">
        <f ca="1">IFERROR(__xludf.DUMMYFUNCTION("""COMPUTED_VALUE"""),107.68)</f>
        <v>107.68</v>
      </c>
      <c r="AC1278" s="1">
        <f ca="1">IFERROR(__xludf.DUMMYFUNCTION("""COMPUTED_VALUE"""),115.95)</f>
        <v>115.95</v>
      </c>
    </row>
    <row r="1279" spans="1:29" x14ac:dyDescent="0.25">
      <c r="A1279" s="2">
        <f ca="1">IFERROR(__xludf.DUMMYFUNCTION("""COMPUTED_VALUE"""),45688.6666666666)</f>
        <v>45688.666666666599</v>
      </c>
      <c r="B1279" s="1">
        <f ca="1">IFERROR(__xludf.DUMMYFUNCTION("""COMPUTED_VALUE"""),236)</f>
        <v>236</v>
      </c>
      <c r="C1279" s="1">
        <f ca="1">IFERROR(__xludf.DUMMYFUNCTION("""COMPUTED_VALUE"""),415.06)</f>
        <v>415.06</v>
      </c>
      <c r="D1279" s="1">
        <f ca="1">IFERROR(__xludf.DUMMYFUNCTION("""COMPUTED_VALUE"""),237.68)</f>
        <v>237.68</v>
      </c>
      <c r="E1279" s="1">
        <f ca="1">IFERROR(__xludf.DUMMYFUNCTION("""COMPUTED_VALUE"""),120.07)</f>
        <v>120.07</v>
      </c>
      <c r="F1279" s="1">
        <f ca="1">IFERROR(__xludf.DUMMYFUNCTION("""COMPUTED_VALUE"""),697.46)</f>
        <v>697.46</v>
      </c>
      <c r="G1279" s="1">
        <f ca="1">IFERROR(__xludf.DUMMYFUNCTION("""COMPUTED_VALUE"""),205.6)</f>
        <v>205.6</v>
      </c>
      <c r="H1279" s="1">
        <f ca="1">IFERROR(__xludf.DUMMYFUNCTION("""COMPUTED_VALUE"""),383.68)</f>
        <v>383.68</v>
      </c>
      <c r="I1279" s="1">
        <f ca="1">IFERROR(__xludf.DUMMYFUNCTION("""COMPUTED_VALUE"""),150.27)</f>
        <v>150.27000000000001</v>
      </c>
      <c r="J1279" s="1">
        <f ca="1">IFERROR(__xludf.DUMMYFUNCTION("""COMPUTED_VALUE"""),979.88)</f>
        <v>979.88</v>
      </c>
      <c r="K1279" s="1">
        <f ca="1">IFERROR(__xludf.DUMMYFUNCTION("""COMPUTED_VALUE"""),221.27)</f>
        <v>221.27</v>
      </c>
      <c r="L1279" s="1">
        <f ca="1">IFERROR(__xludf.DUMMYFUNCTION("""COMPUTED_VALUE"""),437.45)</f>
        <v>437.45</v>
      </c>
      <c r="M1279" s="1">
        <f ca="1">IFERROR(__xludf.DUMMYFUNCTION("""COMPUTED_VALUE"""),976.76)</f>
        <v>976.76</v>
      </c>
      <c r="N1279" s="1">
        <f ca="1">IFERROR(__xludf.DUMMYFUNCTION("""COMPUTED_VALUE"""),266.81)</f>
        <v>266.81</v>
      </c>
      <c r="O1279" s="1">
        <f ca="1">IFERROR(__xludf.DUMMYFUNCTION("""COMPUTED_VALUE"""),341.8)</f>
        <v>341.8</v>
      </c>
      <c r="P1279" s="1">
        <f ca="1">IFERROR(__xludf.DUMMYFUNCTION("""COMPUTED_VALUE"""),152.15)</f>
        <v>152.15</v>
      </c>
      <c r="Q1279" s="1">
        <f ca="1">IFERROR(__xludf.DUMMYFUNCTION("""COMPUTED_VALUE"""),542.49)</f>
        <v>542.49</v>
      </c>
      <c r="R1279" s="1">
        <f ca="1">IFERROR(__xludf.DUMMYFUNCTION("""COMPUTED_VALUE"""),106.83)</f>
        <v>106.83</v>
      </c>
      <c r="S1279" s="1">
        <f ca="1">IFERROR(__xludf.DUMMYFUNCTION("""COMPUTED_VALUE"""),71.56)</f>
        <v>71.56</v>
      </c>
      <c r="T1279" s="1">
        <f ca="1">IFERROR(__xludf.DUMMYFUNCTION("""COMPUTED_VALUE"""),99.54)</f>
        <v>99.54</v>
      </c>
      <c r="U1279" s="1">
        <f ca="1">IFERROR(__xludf.DUMMYFUNCTION("""COMPUTED_VALUE"""),76.59)</f>
        <v>76.59</v>
      </c>
      <c r="V1279" s="1">
        <f ca="1">IFERROR(__xludf.DUMMYFUNCTION("""COMPUTED_VALUE"""),371.44)</f>
        <v>371.44</v>
      </c>
      <c r="W1279" s="1">
        <f ca="1">IFERROR(__xludf.DUMMYFUNCTION("""COMPUTED_VALUE"""),462.95)</f>
        <v>462.95</v>
      </c>
      <c r="X1279" s="1">
        <f ca="1">IFERROR(__xludf.DUMMYFUNCTION("""COMPUTED_VALUE"""),739.31)</f>
        <v>739.31</v>
      </c>
      <c r="Y1279" s="1">
        <f ca="1">IFERROR(__xludf.DUMMYFUNCTION("""COMPUTED_VALUE"""),209.32)</f>
        <v>209.32</v>
      </c>
      <c r="Z1279" s="1">
        <f ca="1">IFERROR(__xludf.DUMMYFUNCTION("""COMPUTED_VALUE"""),632.37)</f>
        <v>632.37</v>
      </c>
      <c r="AA1279" s="1">
        <f ca="1">IFERROR(__xludf.DUMMYFUNCTION("""COMPUTED_VALUE"""),26.52)</f>
        <v>26.52</v>
      </c>
      <c r="AB1279" s="1">
        <f ca="1">IFERROR(__xludf.DUMMYFUNCTION("""COMPUTED_VALUE"""),108.16)</f>
        <v>108.16</v>
      </c>
      <c r="AC1279" s="1">
        <f ca="1">IFERROR(__xludf.DUMMYFUNCTION("""COMPUTED_VALUE"""),114.27)</f>
        <v>114.27</v>
      </c>
    </row>
    <row r="1280" spans="1:29" x14ac:dyDescent="0.25">
      <c r="A1280" s="2">
        <f ca="1">IFERROR(__xludf.DUMMYFUNCTION("""COMPUTED_VALUE"""),45691.6666666666)</f>
        <v>45691.666666666599</v>
      </c>
      <c r="B1280" s="1">
        <f ca="1">IFERROR(__xludf.DUMMYFUNCTION("""COMPUTED_VALUE"""),228.01)</f>
        <v>228.01</v>
      </c>
      <c r="C1280" s="1">
        <f ca="1">IFERROR(__xludf.DUMMYFUNCTION("""COMPUTED_VALUE"""),410.92)</f>
        <v>410.92</v>
      </c>
      <c r="D1280" s="1">
        <f ca="1">IFERROR(__xludf.DUMMYFUNCTION("""COMPUTED_VALUE"""),237.42)</f>
        <v>237.42</v>
      </c>
      <c r="E1280" s="1">
        <f ca="1">IFERROR(__xludf.DUMMYFUNCTION("""COMPUTED_VALUE"""),116.66)</f>
        <v>116.66</v>
      </c>
      <c r="F1280" s="1">
        <f ca="1">IFERROR(__xludf.DUMMYFUNCTION("""COMPUTED_VALUE"""),704.19)</f>
        <v>704.19</v>
      </c>
      <c r="G1280" s="1">
        <f ca="1">IFERROR(__xludf.DUMMYFUNCTION("""COMPUTED_VALUE"""),202.64)</f>
        <v>202.64</v>
      </c>
      <c r="H1280" s="1">
        <f ca="1">IFERROR(__xludf.DUMMYFUNCTION("""COMPUTED_VALUE"""),392.21)</f>
        <v>392.21</v>
      </c>
      <c r="I1280" s="1">
        <f ca="1">IFERROR(__xludf.DUMMYFUNCTION("""COMPUTED_VALUE"""),143.49)</f>
        <v>143.49</v>
      </c>
      <c r="J1280" s="1">
        <f ca="1">IFERROR(__xludf.DUMMYFUNCTION("""COMPUTED_VALUE"""),1005.83)</f>
        <v>1005.83</v>
      </c>
      <c r="K1280" s="1">
        <f ca="1">IFERROR(__xludf.DUMMYFUNCTION("""COMPUTED_VALUE"""),217.73)</f>
        <v>217.73</v>
      </c>
      <c r="L1280" s="1">
        <f ca="1">IFERROR(__xludf.DUMMYFUNCTION("""COMPUTED_VALUE"""),438.6)</f>
        <v>438.6</v>
      </c>
      <c r="M1280" s="1">
        <f ca="1">IFERROR(__xludf.DUMMYFUNCTION("""COMPUTED_VALUE"""),978.94)</f>
        <v>978.94</v>
      </c>
      <c r="N1280" s="1">
        <f ca="1">IFERROR(__xludf.DUMMYFUNCTION("""COMPUTED_VALUE"""),267.94)</f>
        <v>267.94</v>
      </c>
      <c r="O1280" s="1">
        <f ca="1">IFERROR(__xludf.DUMMYFUNCTION("""COMPUTED_VALUE"""),345.82)</f>
        <v>345.82</v>
      </c>
      <c r="P1280" s="1">
        <f ca="1">IFERROR(__xludf.DUMMYFUNCTION("""COMPUTED_VALUE"""),151.87)</f>
        <v>151.87</v>
      </c>
      <c r="Q1280" s="1">
        <f ca="1">IFERROR(__xludf.DUMMYFUNCTION("""COMPUTED_VALUE"""),548.18)</f>
        <v>548.17999999999995</v>
      </c>
      <c r="R1280" s="1">
        <f ca="1">IFERROR(__xludf.DUMMYFUNCTION("""COMPUTED_VALUE"""),107.09)</f>
        <v>107.09</v>
      </c>
      <c r="S1280" s="1">
        <f ca="1">IFERROR(__xludf.DUMMYFUNCTION("""COMPUTED_VALUE"""),71.05)</f>
        <v>71.05</v>
      </c>
      <c r="T1280" s="1">
        <f ca="1">IFERROR(__xludf.DUMMYFUNCTION("""COMPUTED_VALUE"""),100.77)</f>
        <v>100.77</v>
      </c>
      <c r="U1280" s="1">
        <f ca="1">IFERROR(__xludf.DUMMYFUNCTION("""COMPUTED_VALUE"""),76.72)</f>
        <v>76.72</v>
      </c>
      <c r="V1280" s="1">
        <f ca="1">IFERROR(__xludf.DUMMYFUNCTION("""COMPUTED_VALUE"""),361.55)</f>
        <v>361.55</v>
      </c>
      <c r="W1280" s="1">
        <f ca="1">IFERROR(__xludf.DUMMYFUNCTION("""COMPUTED_VALUE"""),455.42)</f>
        <v>455.42</v>
      </c>
      <c r="X1280" s="1">
        <f ca="1">IFERROR(__xludf.DUMMYFUNCTION("""COMPUTED_VALUE"""),731.06)</f>
        <v>731.06</v>
      </c>
      <c r="Y1280" s="1">
        <f ca="1">IFERROR(__xludf.DUMMYFUNCTION("""COMPUTED_VALUE"""),199.8)</f>
        <v>199.8</v>
      </c>
      <c r="Z1280" s="1">
        <f ca="1">IFERROR(__xludf.DUMMYFUNCTION("""COMPUTED_VALUE"""),634.18)</f>
        <v>634.17999999999995</v>
      </c>
      <c r="AA1280" s="1">
        <f ca="1">IFERROR(__xludf.DUMMYFUNCTION("""COMPUTED_VALUE"""),26.2)</f>
        <v>26.2</v>
      </c>
      <c r="AB1280" s="1">
        <f ca="1">IFERROR(__xludf.DUMMYFUNCTION("""COMPUTED_VALUE"""),110.6)</f>
        <v>110.6</v>
      </c>
      <c r="AC1280" s="1">
        <f ca="1">IFERROR(__xludf.DUMMYFUNCTION("""COMPUTED_VALUE"""),119.5)</f>
        <v>119.5</v>
      </c>
    </row>
    <row r="1281" spans="1:29" x14ac:dyDescent="0.25">
      <c r="A1281" s="2">
        <f ca="1">IFERROR(__xludf.DUMMYFUNCTION("""COMPUTED_VALUE"""),45692.6666666666)</f>
        <v>45692.666666666599</v>
      </c>
      <c r="B1281" s="1">
        <f ca="1">IFERROR(__xludf.DUMMYFUNCTION("""COMPUTED_VALUE"""),232.8)</f>
        <v>232.8</v>
      </c>
      <c r="C1281" s="1">
        <f ca="1">IFERROR(__xludf.DUMMYFUNCTION("""COMPUTED_VALUE"""),412.37)</f>
        <v>412.37</v>
      </c>
      <c r="D1281" s="1">
        <f ca="1">IFERROR(__xludf.DUMMYFUNCTION("""COMPUTED_VALUE"""),242.06)</f>
        <v>242.06</v>
      </c>
      <c r="E1281" s="1">
        <f ca="1">IFERROR(__xludf.DUMMYFUNCTION("""COMPUTED_VALUE"""),118.65)</f>
        <v>118.65</v>
      </c>
      <c r="F1281" s="1">
        <f ca="1">IFERROR(__xludf.DUMMYFUNCTION("""COMPUTED_VALUE"""),704.87)</f>
        <v>704.87</v>
      </c>
      <c r="G1281" s="1">
        <f ca="1">IFERROR(__xludf.DUMMYFUNCTION("""COMPUTED_VALUE"""),207.71)</f>
        <v>207.71</v>
      </c>
      <c r="H1281" s="1">
        <f ca="1">IFERROR(__xludf.DUMMYFUNCTION("""COMPUTED_VALUE"""),378.17)</f>
        <v>378.17</v>
      </c>
      <c r="I1281" s="1">
        <f ca="1">IFERROR(__xludf.DUMMYFUNCTION("""COMPUTED_VALUE"""),145.66)</f>
        <v>145.66</v>
      </c>
      <c r="J1281" s="1">
        <f ca="1">IFERROR(__xludf.DUMMYFUNCTION("""COMPUTED_VALUE"""),1021.86)</f>
        <v>1021.86</v>
      </c>
      <c r="K1281" s="1">
        <f ca="1">IFERROR(__xludf.DUMMYFUNCTION("""COMPUTED_VALUE"""),222.43)</f>
        <v>222.43</v>
      </c>
      <c r="L1281" s="1">
        <f ca="1">IFERROR(__xludf.DUMMYFUNCTION("""COMPUTED_VALUE"""),440.23)</f>
        <v>440.23</v>
      </c>
      <c r="M1281" s="1">
        <f ca="1">IFERROR(__xludf.DUMMYFUNCTION("""COMPUTED_VALUE"""),994.87)</f>
        <v>994.87</v>
      </c>
      <c r="N1281" s="1">
        <f ca="1">IFERROR(__xludf.DUMMYFUNCTION("""COMPUTED_VALUE"""),270.43)</f>
        <v>270.43</v>
      </c>
      <c r="O1281" s="1">
        <f ca="1">IFERROR(__xludf.DUMMYFUNCTION("""COMPUTED_VALUE"""),345.15)</f>
        <v>345.15</v>
      </c>
      <c r="P1281" s="1">
        <f ca="1">IFERROR(__xludf.DUMMYFUNCTION("""COMPUTED_VALUE"""),153.49)</f>
        <v>153.49</v>
      </c>
      <c r="Q1281" s="1">
        <f ca="1">IFERROR(__xludf.DUMMYFUNCTION("""COMPUTED_VALUE"""),545.45)</f>
        <v>545.45000000000005</v>
      </c>
      <c r="R1281" s="1">
        <f ca="1">IFERROR(__xludf.DUMMYFUNCTION("""COMPUTED_VALUE"""),109.96)</f>
        <v>109.96</v>
      </c>
      <c r="S1281" s="1">
        <f ca="1">IFERROR(__xludf.DUMMYFUNCTION("""COMPUTED_VALUE"""),69.9)</f>
        <v>69.900000000000006</v>
      </c>
      <c r="T1281" s="1">
        <f ca="1">IFERROR(__xludf.DUMMYFUNCTION("""COMPUTED_VALUE"""),102.46)</f>
        <v>102.46</v>
      </c>
      <c r="U1281" s="1">
        <f ca="1">IFERROR(__xludf.DUMMYFUNCTION("""COMPUTED_VALUE"""),74.57)</f>
        <v>74.569999999999993</v>
      </c>
      <c r="V1281" s="1">
        <f ca="1">IFERROR(__xludf.DUMMYFUNCTION("""COMPUTED_VALUE"""),361.95)</f>
        <v>361.95</v>
      </c>
      <c r="W1281" s="1">
        <f ca="1">IFERROR(__xludf.DUMMYFUNCTION("""COMPUTED_VALUE"""),453.68)</f>
        <v>453.68</v>
      </c>
      <c r="X1281" s="1">
        <f ca="1">IFERROR(__xludf.DUMMYFUNCTION("""COMPUTED_VALUE"""),731.41)</f>
        <v>731.41</v>
      </c>
      <c r="Y1281" s="1">
        <f ca="1">IFERROR(__xludf.DUMMYFUNCTION("""COMPUTED_VALUE"""),204.05)</f>
        <v>204.05</v>
      </c>
      <c r="Z1281" s="1">
        <f ca="1">IFERROR(__xludf.DUMMYFUNCTION("""COMPUTED_VALUE"""),645.45)</f>
        <v>645.45000000000005</v>
      </c>
      <c r="AA1281" s="1">
        <f ca="1">IFERROR(__xludf.DUMMYFUNCTION("""COMPUTED_VALUE"""),25.87)</f>
        <v>25.87</v>
      </c>
      <c r="AB1281" s="1">
        <f ca="1">IFERROR(__xludf.DUMMYFUNCTION("""COMPUTED_VALUE"""),112.25)</f>
        <v>112.25</v>
      </c>
      <c r="AC1281" s="1">
        <f ca="1">IFERROR(__xludf.DUMMYFUNCTION("""COMPUTED_VALUE"""),112.01)</f>
        <v>112.01</v>
      </c>
    </row>
    <row r="1282" spans="1:29" x14ac:dyDescent="0.25">
      <c r="A1282" s="2">
        <f ca="1">IFERROR(__xludf.DUMMYFUNCTION("""COMPUTED_VALUE"""),45693.6666666666)</f>
        <v>45693.666666666599</v>
      </c>
      <c r="B1282" s="1">
        <f ca="1">IFERROR(__xludf.DUMMYFUNCTION("""COMPUTED_VALUE"""),232.47)</f>
        <v>232.47</v>
      </c>
      <c r="C1282" s="1">
        <f ca="1">IFERROR(__xludf.DUMMYFUNCTION("""COMPUTED_VALUE"""),413.29)</f>
        <v>413.29</v>
      </c>
      <c r="D1282" s="1">
        <f ca="1">IFERROR(__xludf.DUMMYFUNCTION("""COMPUTED_VALUE"""),236.17)</f>
        <v>236.17</v>
      </c>
      <c r="E1282" s="1">
        <f ca="1">IFERROR(__xludf.DUMMYFUNCTION("""COMPUTED_VALUE"""),124.83)</f>
        <v>124.83</v>
      </c>
      <c r="F1282" s="1">
        <f ca="1">IFERROR(__xludf.DUMMYFUNCTION("""COMPUTED_VALUE"""),711.99)</f>
        <v>711.99</v>
      </c>
      <c r="G1282" s="1">
        <f ca="1">IFERROR(__xludf.DUMMYFUNCTION("""COMPUTED_VALUE"""),193.3)</f>
        <v>193.3</v>
      </c>
      <c r="H1282" s="1">
        <f ca="1">IFERROR(__xludf.DUMMYFUNCTION("""COMPUTED_VALUE"""),374.32)</f>
        <v>374.32</v>
      </c>
      <c r="I1282" s="1">
        <f ca="1">IFERROR(__xludf.DUMMYFUNCTION("""COMPUTED_VALUE"""),145.35)</f>
        <v>145.35</v>
      </c>
      <c r="J1282" s="1">
        <f ca="1">IFERROR(__xludf.DUMMYFUNCTION("""COMPUTED_VALUE"""),1042.88)</f>
        <v>1042.8800000000001</v>
      </c>
      <c r="K1282" s="1">
        <f ca="1">IFERROR(__xludf.DUMMYFUNCTION("""COMPUTED_VALUE"""),232)</f>
        <v>232</v>
      </c>
      <c r="L1282" s="1">
        <f ca="1">IFERROR(__xludf.DUMMYFUNCTION("""COMPUTED_VALUE"""),437.63)</f>
        <v>437.63</v>
      </c>
      <c r="M1282" s="1">
        <f ca="1">IFERROR(__xludf.DUMMYFUNCTION("""COMPUTED_VALUE"""),1011.11)</f>
        <v>1011.11</v>
      </c>
      <c r="N1282" s="1">
        <f ca="1">IFERROR(__xludf.DUMMYFUNCTION("""COMPUTED_VALUE"""),276.9)</f>
        <v>276.89999999999998</v>
      </c>
      <c r="O1282" s="1">
        <f ca="1">IFERROR(__xludf.DUMMYFUNCTION("""COMPUTED_VALUE"""),349.44)</f>
        <v>349.44</v>
      </c>
      <c r="P1282" s="1">
        <f ca="1">IFERROR(__xludf.DUMMYFUNCTION("""COMPUTED_VALUE"""),154.69)</f>
        <v>154.69</v>
      </c>
      <c r="Q1282" s="1">
        <f ca="1">IFERROR(__xludf.DUMMYFUNCTION("""COMPUTED_VALUE"""),539.81)</f>
        <v>539.80999999999995</v>
      </c>
      <c r="R1282" s="1">
        <f ca="1">IFERROR(__xludf.DUMMYFUNCTION("""COMPUTED_VALUE"""),109.88)</f>
        <v>109.88</v>
      </c>
      <c r="S1282" s="1">
        <f ca="1">IFERROR(__xludf.DUMMYFUNCTION("""COMPUTED_VALUE"""),69.2)</f>
        <v>69.2</v>
      </c>
      <c r="T1282" s="1">
        <f ca="1">IFERROR(__xludf.DUMMYFUNCTION("""COMPUTED_VALUE"""),102.85)</f>
        <v>102.85</v>
      </c>
      <c r="U1282" s="1">
        <f ca="1">IFERROR(__xludf.DUMMYFUNCTION("""COMPUTED_VALUE"""),71.74)</f>
        <v>71.739999999999995</v>
      </c>
      <c r="V1282" s="1">
        <f ca="1">IFERROR(__xludf.DUMMYFUNCTION("""COMPUTED_VALUE"""),358.85)</f>
        <v>358.85</v>
      </c>
      <c r="W1282" s="1">
        <f ca="1">IFERROR(__xludf.DUMMYFUNCTION("""COMPUTED_VALUE"""),449.87)</f>
        <v>449.87</v>
      </c>
      <c r="X1282" s="1">
        <f ca="1">IFERROR(__xludf.DUMMYFUNCTION("""COMPUTED_VALUE"""),742.59)</f>
        <v>742.59</v>
      </c>
      <c r="Y1282" s="1">
        <f ca="1">IFERROR(__xludf.DUMMYFUNCTION("""COMPUTED_VALUE"""),208.57)</f>
        <v>208.57</v>
      </c>
      <c r="Z1282" s="1">
        <f ca="1">IFERROR(__xludf.DUMMYFUNCTION("""COMPUTED_VALUE"""),658.22)</f>
        <v>658.22</v>
      </c>
      <c r="AA1282" s="1">
        <f ca="1">IFERROR(__xludf.DUMMYFUNCTION("""COMPUTED_VALUE"""),26.44)</f>
        <v>26.44</v>
      </c>
      <c r="AB1282" s="1">
        <f ca="1">IFERROR(__xludf.DUMMYFUNCTION("""COMPUTED_VALUE"""),111.7)</f>
        <v>111.7</v>
      </c>
      <c r="AC1282" s="1">
        <f ca="1">IFERROR(__xludf.DUMMYFUNCTION("""COMPUTED_VALUE"""),110.16)</f>
        <v>110.16</v>
      </c>
    </row>
    <row r="1283" spans="1:29" x14ac:dyDescent="0.25">
      <c r="A1283" s="2">
        <f ca="1">IFERROR(__xludf.DUMMYFUNCTION("""COMPUTED_VALUE"""),45694.6666666666)</f>
        <v>45694.666666666599</v>
      </c>
      <c r="B1283" s="1">
        <f ca="1">IFERROR(__xludf.DUMMYFUNCTION("""COMPUTED_VALUE"""),233.22)</f>
        <v>233.22</v>
      </c>
      <c r="C1283" s="1">
        <f ca="1">IFERROR(__xludf.DUMMYFUNCTION("""COMPUTED_VALUE"""),415.82)</f>
        <v>415.82</v>
      </c>
      <c r="D1283" s="1">
        <f ca="1">IFERROR(__xludf.DUMMYFUNCTION("""COMPUTED_VALUE"""),238.83)</f>
        <v>238.83</v>
      </c>
      <c r="E1283" s="1">
        <f ca="1">IFERROR(__xludf.DUMMYFUNCTION("""COMPUTED_VALUE"""),128.68)</f>
        <v>128.68</v>
      </c>
      <c r="F1283" s="1">
        <f ca="1">IFERROR(__xludf.DUMMYFUNCTION("""COMPUTED_VALUE"""),714.52)</f>
        <v>714.52</v>
      </c>
      <c r="G1283" s="1">
        <f ca="1">IFERROR(__xludf.DUMMYFUNCTION("""COMPUTED_VALUE"""),193.31)</f>
        <v>193.31</v>
      </c>
      <c r="H1283" s="1">
        <f ca="1">IFERROR(__xludf.DUMMYFUNCTION("""COMPUTED_VALUE"""),361.62)</f>
        <v>361.62</v>
      </c>
      <c r="I1283" s="1">
        <f ca="1">IFERROR(__xludf.DUMMYFUNCTION("""COMPUTED_VALUE"""),144.58)</f>
        <v>144.58000000000001</v>
      </c>
      <c r="J1283" s="1">
        <f ca="1">IFERROR(__xludf.DUMMYFUNCTION("""COMPUTED_VALUE"""),1050.99)</f>
        <v>1050.99</v>
      </c>
      <c r="K1283" s="1">
        <f ca="1">IFERROR(__xludf.DUMMYFUNCTION("""COMPUTED_VALUE"""),231.36)</f>
        <v>231.36</v>
      </c>
      <c r="L1283" s="1">
        <f ca="1">IFERROR(__xludf.DUMMYFUNCTION("""COMPUTED_VALUE"""),435.4)</f>
        <v>435.4</v>
      </c>
      <c r="M1283" s="1">
        <f ca="1">IFERROR(__xludf.DUMMYFUNCTION("""COMPUTED_VALUE"""),1015.68)</f>
        <v>1015.68</v>
      </c>
      <c r="N1283" s="1">
        <f ca="1">IFERROR(__xludf.DUMMYFUNCTION("""COMPUTED_VALUE"""),275.8)</f>
        <v>275.8</v>
      </c>
      <c r="O1283" s="1">
        <f ca="1">IFERROR(__xludf.DUMMYFUNCTION("""COMPUTED_VALUE"""),347.48)</f>
        <v>347.48</v>
      </c>
      <c r="P1283" s="1">
        <f ca="1">IFERROR(__xludf.DUMMYFUNCTION("""COMPUTED_VALUE"""),153.51)</f>
        <v>153.51</v>
      </c>
      <c r="Q1283" s="1">
        <f ca="1">IFERROR(__xludf.DUMMYFUNCTION("""COMPUTED_VALUE"""),530.04)</f>
        <v>530.04</v>
      </c>
      <c r="R1283" s="1">
        <f ca="1">IFERROR(__xludf.DUMMYFUNCTION("""COMPUTED_VALUE"""),108.43)</f>
        <v>108.43</v>
      </c>
      <c r="S1283" s="1">
        <f ca="1">IFERROR(__xludf.DUMMYFUNCTION("""COMPUTED_VALUE"""),69.27)</f>
        <v>69.27</v>
      </c>
      <c r="T1283" s="1">
        <f ca="1">IFERROR(__xludf.DUMMYFUNCTION("""COMPUTED_VALUE"""),101.15)</f>
        <v>101.15</v>
      </c>
      <c r="U1283" s="1">
        <f ca="1">IFERROR(__xludf.DUMMYFUNCTION("""COMPUTED_VALUE"""),68.68)</f>
        <v>68.680000000000007</v>
      </c>
      <c r="V1283" s="1">
        <f ca="1">IFERROR(__xludf.DUMMYFUNCTION("""COMPUTED_VALUE"""),365.45)</f>
        <v>365.45</v>
      </c>
      <c r="W1283" s="1">
        <f ca="1">IFERROR(__xludf.DUMMYFUNCTION("""COMPUTED_VALUE"""),448.52)</f>
        <v>448.52</v>
      </c>
      <c r="X1283" s="1">
        <f ca="1">IFERROR(__xludf.DUMMYFUNCTION("""COMPUTED_VALUE"""),739.13)</f>
        <v>739.13</v>
      </c>
      <c r="Y1283" s="1">
        <f ca="1">IFERROR(__xludf.DUMMYFUNCTION("""COMPUTED_VALUE"""),210.5)</f>
        <v>210.5</v>
      </c>
      <c r="Z1283" s="1">
        <f ca="1">IFERROR(__xludf.DUMMYFUNCTION("""COMPUTED_VALUE"""),655.9)</f>
        <v>655.9</v>
      </c>
      <c r="AA1283" s="1">
        <f ca="1">IFERROR(__xludf.DUMMYFUNCTION("""COMPUTED_VALUE"""),25.83)</f>
        <v>25.83</v>
      </c>
      <c r="AB1283" s="1">
        <f ca="1">IFERROR(__xludf.DUMMYFUNCTION("""COMPUTED_VALUE"""),112.2)</f>
        <v>112.2</v>
      </c>
      <c r="AC1283" s="1">
        <f ca="1">IFERROR(__xludf.DUMMYFUNCTION("""COMPUTED_VALUE"""),107.56)</f>
        <v>107.56</v>
      </c>
    </row>
    <row r="1284" spans="1:29" x14ac:dyDescent="0.25">
      <c r="A1284" s="2">
        <f ca="1">IFERROR(__xludf.DUMMYFUNCTION("""COMPUTED_VALUE"""),45695.6666666666)</f>
        <v>45695.666666666599</v>
      </c>
      <c r="B1284" s="1">
        <f ca="1">IFERROR(__xludf.DUMMYFUNCTION("""COMPUTED_VALUE"""),227.63)</f>
        <v>227.63</v>
      </c>
      <c r="C1284" s="1">
        <f ca="1">IFERROR(__xludf.DUMMYFUNCTION("""COMPUTED_VALUE"""),409.75)</f>
        <v>409.75</v>
      </c>
      <c r="D1284" s="1">
        <f ca="1">IFERROR(__xludf.DUMMYFUNCTION("""COMPUTED_VALUE"""),229.15)</f>
        <v>229.15</v>
      </c>
      <c r="E1284" s="1">
        <f ca="1">IFERROR(__xludf.DUMMYFUNCTION("""COMPUTED_VALUE"""),129.84)</f>
        <v>129.84</v>
      </c>
      <c r="F1284" s="1">
        <f ca="1">IFERROR(__xludf.DUMMYFUNCTION("""COMPUTED_VALUE"""),717.4)</f>
        <v>717.4</v>
      </c>
      <c r="G1284" s="1">
        <f ca="1">IFERROR(__xludf.DUMMYFUNCTION("""COMPUTED_VALUE"""),187.14)</f>
        <v>187.14</v>
      </c>
      <c r="H1284" s="1">
        <f ca="1">IFERROR(__xludf.DUMMYFUNCTION("""COMPUTED_VALUE"""),350.73)</f>
        <v>350.73</v>
      </c>
      <c r="I1284" s="1">
        <f ca="1">IFERROR(__xludf.DUMMYFUNCTION("""COMPUTED_VALUE"""),144.35)</f>
        <v>144.35</v>
      </c>
      <c r="J1284" s="1">
        <f ca="1">IFERROR(__xludf.DUMMYFUNCTION("""COMPUTED_VALUE"""),1043.81)</f>
        <v>1043.81</v>
      </c>
      <c r="K1284" s="1">
        <f ca="1">IFERROR(__xludf.DUMMYFUNCTION("""COMPUTED_VALUE"""),224.87)</f>
        <v>224.87</v>
      </c>
      <c r="L1284" s="1">
        <f ca="1">IFERROR(__xludf.DUMMYFUNCTION("""COMPUTED_VALUE"""),433.07)</f>
        <v>433.07</v>
      </c>
      <c r="M1284" s="1">
        <f ca="1">IFERROR(__xludf.DUMMYFUNCTION("""COMPUTED_VALUE"""),1013.93)</f>
        <v>1013.93</v>
      </c>
      <c r="N1284" s="1">
        <f ca="1">IFERROR(__xludf.DUMMYFUNCTION("""COMPUTED_VALUE"""),271.04)</f>
        <v>271.04000000000002</v>
      </c>
      <c r="O1284" s="1">
        <f ca="1">IFERROR(__xludf.DUMMYFUNCTION("""COMPUTED_VALUE"""),348.02)</f>
        <v>348.02</v>
      </c>
      <c r="P1284" s="1">
        <f ca="1">IFERROR(__xludf.DUMMYFUNCTION("""COMPUTED_VALUE"""),153.12)</f>
        <v>153.12</v>
      </c>
      <c r="Q1284" s="1">
        <f ca="1">IFERROR(__xludf.DUMMYFUNCTION("""COMPUTED_VALUE"""),527.03)</f>
        <v>527.03</v>
      </c>
      <c r="R1284" s="1">
        <f ca="1">IFERROR(__xludf.DUMMYFUNCTION("""COMPUTED_VALUE"""),108.89)</f>
        <v>108.89</v>
      </c>
      <c r="S1284" s="1">
        <f ca="1">IFERROR(__xludf.DUMMYFUNCTION("""COMPUTED_VALUE"""),68.27)</f>
        <v>68.27</v>
      </c>
      <c r="T1284" s="1">
        <f ca="1">IFERROR(__xludf.DUMMYFUNCTION("""COMPUTED_VALUE"""),102.92)</f>
        <v>102.92</v>
      </c>
      <c r="U1284" s="1">
        <f ca="1">IFERROR(__xludf.DUMMYFUNCTION("""COMPUTED_VALUE"""),70.94)</f>
        <v>70.94</v>
      </c>
      <c r="V1284" s="1">
        <f ca="1">IFERROR(__xludf.DUMMYFUNCTION("""COMPUTED_VALUE"""),363.88)</f>
        <v>363.88</v>
      </c>
      <c r="W1284" s="1">
        <f ca="1">IFERROR(__xludf.DUMMYFUNCTION("""COMPUTED_VALUE"""),444.39)</f>
        <v>444.39</v>
      </c>
      <c r="X1284" s="1">
        <f ca="1">IFERROR(__xludf.DUMMYFUNCTION("""COMPUTED_VALUE"""),727.7)</f>
        <v>727.7</v>
      </c>
      <c r="Y1284" s="1">
        <f ca="1">IFERROR(__xludf.DUMMYFUNCTION("""COMPUTED_VALUE"""),206.12)</f>
        <v>206.12</v>
      </c>
      <c r="Z1284" s="1">
        <f ca="1">IFERROR(__xludf.DUMMYFUNCTION("""COMPUTED_VALUE"""),650.53)</f>
        <v>650.53</v>
      </c>
      <c r="AA1284" s="1">
        <f ca="1">IFERROR(__xludf.DUMMYFUNCTION("""COMPUTED_VALUE"""),25.74)</f>
        <v>25.74</v>
      </c>
      <c r="AB1284" s="1">
        <f ca="1">IFERROR(__xludf.DUMMYFUNCTION("""COMPUTED_VALUE"""),111.45)</f>
        <v>111.45</v>
      </c>
      <c r="AC1284" s="1">
        <f ca="1">IFERROR(__xludf.DUMMYFUNCTION("""COMPUTED_VALUE"""),110.48)</f>
        <v>110.48</v>
      </c>
    </row>
    <row r="1285" spans="1:29" x14ac:dyDescent="0.25">
      <c r="A1285" s="2">
        <f ca="1">IFERROR(__xludf.DUMMYFUNCTION("""COMPUTED_VALUE"""),45698.6666666666)</f>
        <v>45698.666666666599</v>
      </c>
      <c r="B1285" s="1">
        <f ca="1">IFERROR(__xludf.DUMMYFUNCTION("""COMPUTED_VALUE"""),227.65)</f>
        <v>227.65</v>
      </c>
      <c r="C1285" s="1">
        <f ca="1">IFERROR(__xludf.DUMMYFUNCTION("""COMPUTED_VALUE"""),412.22)</f>
        <v>412.22</v>
      </c>
      <c r="D1285" s="1">
        <f ca="1">IFERROR(__xludf.DUMMYFUNCTION("""COMPUTED_VALUE"""),233.14)</f>
        <v>233.14</v>
      </c>
      <c r="E1285" s="1">
        <f ca="1">IFERROR(__xludf.DUMMYFUNCTION("""COMPUTED_VALUE"""),133.57)</f>
        <v>133.57</v>
      </c>
      <c r="F1285" s="1">
        <f ca="1">IFERROR(__xludf.DUMMYFUNCTION("""COMPUTED_VALUE"""),719.8)</f>
        <v>719.8</v>
      </c>
      <c r="G1285" s="1">
        <f ca="1">IFERROR(__xludf.DUMMYFUNCTION("""COMPUTED_VALUE"""),188.2)</f>
        <v>188.2</v>
      </c>
      <c r="H1285" s="1">
        <f ca="1">IFERROR(__xludf.DUMMYFUNCTION("""COMPUTED_VALUE"""),328.5)</f>
        <v>328.5</v>
      </c>
      <c r="I1285" s="1">
        <f ca="1">IFERROR(__xludf.DUMMYFUNCTION("""COMPUTED_VALUE"""),145.64)</f>
        <v>145.63999999999999</v>
      </c>
      <c r="J1285" s="1">
        <f ca="1">IFERROR(__xludf.DUMMYFUNCTION("""COMPUTED_VALUE"""),1061.92)</f>
        <v>1061.92</v>
      </c>
      <c r="K1285" s="1">
        <f ca="1">IFERROR(__xludf.DUMMYFUNCTION("""COMPUTED_VALUE"""),235.04)</f>
        <v>235.04</v>
      </c>
      <c r="L1285" s="1">
        <f ca="1">IFERROR(__xludf.DUMMYFUNCTION("""COMPUTED_VALUE"""),451.1)</f>
        <v>451.1</v>
      </c>
      <c r="M1285" s="1">
        <f ca="1">IFERROR(__xludf.DUMMYFUNCTION("""COMPUTED_VALUE"""),1027.6)</f>
        <v>1027.5999999999999</v>
      </c>
      <c r="N1285" s="1">
        <f ca="1">IFERROR(__xludf.DUMMYFUNCTION("""COMPUTED_VALUE"""),274.99)</f>
        <v>274.99</v>
      </c>
      <c r="O1285" s="1">
        <f ca="1">IFERROR(__xludf.DUMMYFUNCTION("""COMPUTED_VALUE"""),351.23)</f>
        <v>351.23</v>
      </c>
      <c r="P1285" s="1">
        <f ca="1">IFERROR(__xludf.DUMMYFUNCTION("""COMPUTED_VALUE"""),154.24)</f>
        <v>154.24</v>
      </c>
      <c r="Q1285" s="1">
        <f ca="1">IFERROR(__xludf.DUMMYFUNCTION("""COMPUTED_VALUE"""),533.37)</f>
        <v>533.37</v>
      </c>
      <c r="R1285" s="1">
        <f ca="1">IFERROR(__xludf.DUMMYFUNCTION("""COMPUTED_VALUE"""),110.97)</f>
        <v>110.97</v>
      </c>
      <c r="S1285" s="1">
        <f ca="1">IFERROR(__xludf.DUMMYFUNCTION("""COMPUTED_VALUE"""),69.7)</f>
        <v>69.7</v>
      </c>
      <c r="T1285" s="1">
        <f ca="1">IFERROR(__xludf.DUMMYFUNCTION("""COMPUTED_VALUE"""),102.47)</f>
        <v>102.47</v>
      </c>
      <c r="U1285" s="1">
        <f ca="1">IFERROR(__xludf.DUMMYFUNCTION("""COMPUTED_VALUE"""),71.34)</f>
        <v>71.34</v>
      </c>
      <c r="V1285" s="1">
        <f ca="1">IFERROR(__xludf.DUMMYFUNCTION("""COMPUTED_VALUE"""),363.22)</f>
        <v>363.22</v>
      </c>
      <c r="W1285" s="1">
        <f ca="1">IFERROR(__xludf.DUMMYFUNCTION("""COMPUTED_VALUE"""),448.22)</f>
        <v>448.22</v>
      </c>
      <c r="X1285" s="1">
        <f ca="1">IFERROR(__xludf.DUMMYFUNCTION("""COMPUTED_VALUE"""),744.08)</f>
        <v>744.08</v>
      </c>
      <c r="Y1285" s="1">
        <f ca="1">IFERROR(__xludf.DUMMYFUNCTION("""COMPUTED_VALUE"""),207.95)</f>
        <v>207.95</v>
      </c>
      <c r="Z1285" s="1">
        <f ca="1">IFERROR(__xludf.DUMMYFUNCTION("""COMPUTED_VALUE"""),647.24)</f>
        <v>647.24</v>
      </c>
      <c r="AA1285" s="1">
        <f ca="1">IFERROR(__xludf.DUMMYFUNCTION("""COMPUTED_VALUE"""),25.87)</f>
        <v>25.87</v>
      </c>
      <c r="AB1285" s="1">
        <f ca="1">IFERROR(__xludf.DUMMYFUNCTION("""COMPUTED_VALUE"""),111.03)</f>
        <v>111.03</v>
      </c>
      <c r="AC1285" s="1">
        <f ca="1">IFERROR(__xludf.DUMMYFUNCTION("""COMPUTED_VALUE"""),111.1)</f>
        <v>111.1</v>
      </c>
    </row>
    <row r="1286" spans="1:29" x14ac:dyDescent="0.25">
      <c r="A1286" s="2">
        <f ca="1">IFERROR(__xludf.DUMMYFUNCTION("""COMPUTED_VALUE"""),45699.6666666666)</f>
        <v>45699.666666666599</v>
      </c>
      <c r="B1286" s="1">
        <f ca="1">IFERROR(__xludf.DUMMYFUNCTION("""COMPUTED_VALUE"""),232.62)</f>
        <v>232.62</v>
      </c>
      <c r="C1286" s="1">
        <f ca="1">IFERROR(__xludf.DUMMYFUNCTION("""COMPUTED_VALUE"""),411.44)</f>
        <v>411.44</v>
      </c>
      <c r="D1286" s="1">
        <f ca="1">IFERROR(__xludf.DUMMYFUNCTION("""COMPUTED_VALUE"""),232.76)</f>
        <v>232.76</v>
      </c>
      <c r="E1286" s="1">
        <f ca="1">IFERROR(__xludf.DUMMYFUNCTION("""COMPUTED_VALUE"""),132.8)</f>
        <v>132.80000000000001</v>
      </c>
      <c r="F1286" s="1">
        <f ca="1">IFERROR(__xludf.DUMMYFUNCTION("""COMPUTED_VALUE"""),725.38)</f>
        <v>725.38</v>
      </c>
      <c r="G1286" s="1">
        <f ca="1">IFERROR(__xludf.DUMMYFUNCTION("""COMPUTED_VALUE"""),187.07)</f>
        <v>187.07</v>
      </c>
      <c r="H1286" s="1">
        <f ca="1">IFERROR(__xludf.DUMMYFUNCTION("""COMPUTED_VALUE"""),336.51)</f>
        <v>336.51</v>
      </c>
      <c r="I1286" s="1">
        <f ca="1">IFERROR(__xludf.DUMMYFUNCTION("""COMPUTED_VALUE"""),143.99)</f>
        <v>143.99</v>
      </c>
      <c r="J1286" s="1">
        <f ca="1">IFERROR(__xludf.DUMMYFUNCTION("""COMPUTED_VALUE"""),1058.34)</f>
        <v>1058.3399999999999</v>
      </c>
      <c r="K1286" s="1">
        <f ca="1">IFERROR(__xludf.DUMMYFUNCTION("""COMPUTED_VALUE"""),235.04)</f>
        <v>235.04</v>
      </c>
      <c r="L1286" s="1">
        <f ca="1">IFERROR(__xludf.DUMMYFUNCTION("""COMPUTED_VALUE"""),458.82)</f>
        <v>458.82</v>
      </c>
      <c r="M1286" s="1">
        <f ca="1">IFERROR(__xludf.DUMMYFUNCTION("""COMPUTED_VALUE"""),1008.08)</f>
        <v>1008.08</v>
      </c>
      <c r="N1286" s="1">
        <f ca="1">IFERROR(__xludf.DUMMYFUNCTION("""COMPUTED_VALUE"""),275.45)</f>
        <v>275.45</v>
      </c>
      <c r="O1286" s="1">
        <f ca="1">IFERROR(__xludf.DUMMYFUNCTION("""COMPUTED_VALUE"""),350.72)</f>
        <v>350.72</v>
      </c>
      <c r="P1286" s="1">
        <f ca="1">IFERROR(__xludf.DUMMYFUNCTION("""COMPUTED_VALUE"""),156.13)</f>
        <v>156.13</v>
      </c>
      <c r="Q1286" s="1">
        <f ca="1">IFERROR(__xludf.DUMMYFUNCTION("""COMPUTED_VALUE"""),533.92)</f>
        <v>533.91999999999996</v>
      </c>
      <c r="R1286" s="1">
        <f ca="1">IFERROR(__xludf.DUMMYFUNCTION("""COMPUTED_VALUE"""),111.67)</f>
        <v>111.67</v>
      </c>
      <c r="S1286" s="1">
        <f ca="1">IFERROR(__xludf.DUMMYFUNCTION("""COMPUTED_VALUE"""),70.33)</f>
        <v>70.33</v>
      </c>
      <c r="T1286" s="1">
        <f ca="1">IFERROR(__xludf.DUMMYFUNCTION("""COMPUTED_VALUE"""),103.61)</f>
        <v>103.61</v>
      </c>
      <c r="U1286" s="1">
        <f ca="1">IFERROR(__xludf.DUMMYFUNCTION("""COMPUTED_VALUE"""),72.26)</f>
        <v>72.260000000000005</v>
      </c>
      <c r="V1286" s="1">
        <f ca="1">IFERROR(__xludf.DUMMYFUNCTION("""COMPUTED_VALUE"""),362.23)</f>
        <v>362.23</v>
      </c>
      <c r="W1286" s="1">
        <f ca="1">IFERROR(__xludf.DUMMYFUNCTION("""COMPUTED_VALUE"""),449.36)</f>
        <v>449.36</v>
      </c>
      <c r="X1286" s="1">
        <f ca="1">IFERROR(__xludf.DUMMYFUNCTION("""COMPUTED_VALUE"""),752.98)</f>
        <v>752.98</v>
      </c>
      <c r="Y1286" s="1">
        <f ca="1">IFERROR(__xludf.DUMMYFUNCTION("""COMPUTED_VALUE"""),208.74)</f>
        <v>208.74</v>
      </c>
      <c r="Z1286" s="1">
        <f ca="1">IFERROR(__xludf.DUMMYFUNCTION("""COMPUTED_VALUE"""),649)</f>
        <v>649</v>
      </c>
      <c r="AA1286" s="1">
        <f ca="1">IFERROR(__xludf.DUMMYFUNCTION("""COMPUTED_VALUE"""),25.53)</f>
        <v>25.53</v>
      </c>
      <c r="AB1286" s="1">
        <f ca="1">IFERROR(__xludf.DUMMYFUNCTION("""COMPUTED_VALUE"""),113.04)</f>
        <v>113.04</v>
      </c>
      <c r="AC1286" s="1">
        <f ca="1">IFERROR(__xludf.DUMMYFUNCTION("""COMPUTED_VALUE"""),111.72)</f>
        <v>111.72</v>
      </c>
    </row>
    <row r="1287" spans="1:29" x14ac:dyDescent="0.25">
      <c r="A1287" s="2">
        <f ca="1">IFERROR(__xludf.DUMMYFUNCTION("""COMPUTED_VALUE"""),45700.6666666666)</f>
        <v>45700.666666666599</v>
      </c>
      <c r="B1287" s="1">
        <f ca="1">IFERROR(__xludf.DUMMYFUNCTION("""COMPUTED_VALUE"""),236.87)</f>
        <v>236.87</v>
      </c>
      <c r="C1287" s="1">
        <f ca="1">IFERROR(__xludf.DUMMYFUNCTION("""COMPUTED_VALUE"""),409.04)</f>
        <v>409.04</v>
      </c>
      <c r="D1287" s="1">
        <f ca="1">IFERROR(__xludf.DUMMYFUNCTION("""COMPUTED_VALUE"""),228.93)</f>
        <v>228.93</v>
      </c>
      <c r="E1287" s="1">
        <f ca="1">IFERROR(__xludf.DUMMYFUNCTION("""COMPUTED_VALUE"""),131.14)</f>
        <v>131.13999999999999</v>
      </c>
      <c r="F1287" s="1">
        <f ca="1">IFERROR(__xludf.DUMMYFUNCTION("""COMPUTED_VALUE"""),728.56)</f>
        <v>728.56</v>
      </c>
      <c r="G1287" s="1">
        <f ca="1">IFERROR(__xludf.DUMMYFUNCTION("""COMPUTED_VALUE"""),185.43)</f>
        <v>185.43</v>
      </c>
      <c r="H1287" s="1">
        <f ca="1">IFERROR(__xludf.DUMMYFUNCTION("""COMPUTED_VALUE"""),355.94)</f>
        <v>355.94</v>
      </c>
      <c r="I1287" s="1">
        <f ca="1">IFERROR(__xludf.DUMMYFUNCTION("""COMPUTED_VALUE"""),144.58)</f>
        <v>144.58000000000001</v>
      </c>
      <c r="J1287" s="1">
        <f ca="1">IFERROR(__xludf.DUMMYFUNCTION("""COMPUTED_VALUE"""),1065.12)</f>
        <v>1065.1199999999999</v>
      </c>
      <c r="K1287" s="1">
        <f ca="1">IFERROR(__xludf.DUMMYFUNCTION("""COMPUTED_VALUE"""),236.35)</f>
        <v>236.35</v>
      </c>
      <c r="L1287" s="1">
        <f ca="1">IFERROR(__xludf.DUMMYFUNCTION("""COMPUTED_VALUE"""),462.76)</f>
        <v>462.76</v>
      </c>
      <c r="M1287" s="1">
        <f ca="1">IFERROR(__xludf.DUMMYFUNCTION("""COMPUTED_VALUE"""),1027.31)</f>
        <v>1027.31</v>
      </c>
      <c r="N1287" s="1">
        <f ca="1">IFERROR(__xludf.DUMMYFUNCTION("""COMPUTED_VALUE"""),276.32)</f>
        <v>276.32</v>
      </c>
      <c r="O1287" s="1">
        <f ca="1">IFERROR(__xludf.DUMMYFUNCTION("""COMPUTED_VALUE"""),351.49)</f>
        <v>351.49</v>
      </c>
      <c r="P1287" s="1">
        <f ca="1">IFERROR(__xludf.DUMMYFUNCTION("""COMPUTED_VALUE"""),155.26)</f>
        <v>155.26</v>
      </c>
      <c r="Q1287" s="1">
        <f ca="1">IFERROR(__xludf.DUMMYFUNCTION("""COMPUTED_VALUE"""),527.4)</f>
        <v>527.4</v>
      </c>
      <c r="R1287" s="1">
        <f ca="1">IFERROR(__xludf.DUMMYFUNCTION("""COMPUTED_VALUE"""),107.35)</f>
        <v>107.35</v>
      </c>
      <c r="S1287" s="1">
        <f ca="1">IFERROR(__xludf.DUMMYFUNCTION("""COMPUTED_VALUE"""),69.28)</f>
        <v>69.28</v>
      </c>
      <c r="T1287" s="1">
        <f ca="1">IFERROR(__xludf.DUMMYFUNCTION("""COMPUTED_VALUE"""),105.05)</f>
        <v>105.05</v>
      </c>
      <c r="U1287" s="1">
        <f ca="1">IFERROR(__xludf.DUMMYFUNCTION("""COMPUTED_VALUE"""),73.21)</f>
        <v>73.209999999999994</v>
      </c>
      <c r="V1287" s="1">
        <f ca="1">IFERROR(__xludf.DUMMYFUNCTION("""COMPUTED_VALUE"""),352.04)</f>
        <v>352.04</v>
      </c>
      <c r="W1287" s="1">
        <f ca="1">IFERROR(__xludf.DUMMYFUNCTION("""COMPUTED_VALUE"""),441.97)</f>
        <v>441.97</v>
      </c>
      <c r="X1287" s="1">
        <f ca="1">IFERROR(__xludf.DUMMYFUNCTION("""COMPUTED_VALUE"""),756.17)</f>
        <v>756.17</v>
      </c>
      <c r="Y1287" s="1">
        <f ca="1">IFERROR(__xludf.DUMMYFUNCTION("""COMPUTED_VALUE"""),206.38)</f>
        <v>206.38</v>
      </c>
      <c r="Z1287" s="1">
        <f ca="1">IFERROR(__xludf.DUMMYFUNCTION("""COMPUTED_VALUE"""),648.95)</f>
        <v>648.95000000000005</v>
      </c>
      <c r="AA1287" s="1">
        <f ca="1">IFERROR(__xludf.DUMMYFUNCTION("""COMPUTED_VALUE"""),25.47)</f>
        <v>25.47</v>
      </c>
      <c r="AB1287" s="1">
        <f ca="1">IFERROR(__xludf.DUMMYFUNCTION("""COMPUTED_VALUE"""),113)</f>
        <v>113</v>
      </c>
      <c r="AC1287" s="1">
        <f ca="1">IFERROR(__xludf.DUMMYFUNCTION("""COMPUTED_VALUE"""),111.81)</f>
        <v>111.81</v>
      </c>
    </row>
    <row r="1288" spans="1:29" x14ac:dyDescent="0.25">
      <c r="A1288" s="2">
        <f ca="1">IFERROR(__xludf.DUMMYFUNCTION("""COMPUTED_VALUE"""),45701.6666666666)</f>
        <v>45701.666666666599</v>
      </c>
      <c r="B1288" s="1">
        <f ca="1">IFERROR(__xludf.DUMMYFUNCTION("""COMPUTED_VALUE"""),241.53)</f>
        <v>241.53</v>
      </c>
      <c r="C1288" s="1">
        <f ca="1">IFERROR(__xludf.DUMMYFUNCTION("""COMPUTED_VALUE"""),410.54)</f>
        <v>410.54</v>
      </c>
      <c r="D1288" s="1">
        <f ca="1">IFERROR(__xludf.DUMMYFUNCTION("""COMPUTED_VALUE"""),230.37)</f>
        <v>230.37</v>
      </c>
      <c r="E1288" s="1">
        <f ca="1">IFERROR(__xludf.DUMMYFUNCTION("""COMPUTED_VALUE"""),135.29)</f>
        <v>135.29</v>
      </c>
      <c r="F1288" s="1">
        <f ca="1">IFERROR(__xludf.DUMMYFUNCTION("""COMPUTED_VALUE"""),736.67)</f>
        <v>736.67</v>
      </c>
      <c r="G1288" s="1">
        <f ca="1">IFERROR(__xludf.DUMMYFUNCTION("""COMPUTED_VALUE"""),187.88)</f>
        <v>187.88</v>
      </c>
      <c r="H1288" s="1">
        <f ca="1">IFERROR(__xludf.DUMMYFUNCTION("""COMPUTED_VALUE"""),355.84)</f>
        <v>355.84</v>
      </c>
      <c r="I1288" s="1">
        <f ca="1">IFERROR(__xludf.DUMMYFUNCTION("""COMPUTED_VALUE"""),143.39)</f>
        <v>143.38999999999999</v>
      </c>
      <c r="J1288" s="1">
        <f ca="1">IFERROR(__xludf.DUMMYFUNCTION("""COMPUTED_VALUE"""),1076.86)</f>
        <v>1076.8599999999999</v>
      </c>
      <c r="K1288" s="1">
        <f ca="1">IFERROR(__xludf.DUMMYFUNCTION("""COMPUTED_VALUE"""),235.8)</f>
        <v>235.8</v>
      </c>
      <c r="L1288" s="1">
        <f ca="1">IFERROR(__xludf.DUMMYFUNCTION("""COMPUTED_VALUE"""),459.22)</f>
        <v>459.22</v>
      </c>
      <c r="M1288" s="1">
        <f ca="1">IFERROR(__xludf.DUMMYFUNCTION("""COMPUTED_VALUE"""),1043.69)</f>
        <v>1043.69</v>
      </c>
      <c r="N1288" s="1">
        <f ca="1">IFERROR(__xludf.DUMMYFUNCTION("""COMPUTED_VALUE"""),276.59)</f>
        <v>276.58999999999997</v>
      </c>
      <c r="O1288" s="1">
        <f ca="1">IFERROR(__xludf.DUMMYFUNCTION("""COMPUTED_VALUE"""),355.63)</f>
        <v>355.63</v>
      </c>
      <c r="P1288" s="1">
        <f ca="1">IFERROR(__xludf.DUMMYFUNCTION("""COMPUTED_VALUE"""),157.25)</f>
        <v>157.25</v>
      </c>
      <c r="Q1288" s="1">
        <f ca="1">IFERROR(__xludf.DUMMYFUNCTION("""COMPUTED_VALUE"""),531.18)</f>
        <v>531.17999999999995</v>
      </c>
      <c r="R1288" s="1">
        <f ca="1">IFERROR(__xludf.DUMMYFUNCTION("""COMPUTED_VALUE"""),108.13)</f>
        <v>108.13</v>
      </c>
      <c r="S1288" s="1">
        <f ca="1">IFERROR(__xludf.DUMMYFUNCTION("""COMPUTED_VALUE"""),68.6)</f>
        <v>68.599999999999994</v>
      </c>
      <c r="T1288" s="1">
        <f ca="1">IFERROR(__xludf.DUMMYFUNCTION("""COMPUTED_VALUE"""),104.04)</f>
        <v>104.04</v>
      </c>
      <c r="U1288" s="1">
        <f ca="1">IFERROR(__xludf.DUMMYFUNCTION("""COMPUTED_VALUE"""),73.04)</f>
        <v>73.040000000000006</v>
      </c>
      <c r="V1288" s="1">
        <f ca="1">IFERROR(__xludf.DUMMYFUNCTION("""COMPUTED_VALUE"""),353.7)</f>
        <v>353.7</v>
      </c>
      <c r="W1288" s="1">
        <f ca="1">IFERROR(__xludf.DUMMYFUNCTION("""COMPUTED_VALUE"""),434.72)</f>
        <v>434.72</v>
      </c>
      <c r="X1288" s="1">
        <f ca="1">IFERROR(__xludf.DUMMYFUNCTION("""COMPUTED_VALUE"""),776.99)</f>
        <v>776.99</v>
      </c>
      <c r="Y1288" s="1">
        <f ca="1">IFERROR(__xludf.DUMMYFUNCTION("""COMPUTED_VALUE"""),201.83)</f>
        <v>201.83</v>
      </c>
      <c r="Z1288" s="1">
        <f ca="1">IFERROR(__xludf.DUMMYFUNCTION("""COMPUTED_VALUE"""),660.55)</f>
        <v>660.55</v>
      </c>
      <c r="AA1288" s="1">
        <f ca="1">IFERROR(__xludf.DUMMYFUNCTION("""COMPUTED_VALUE"""),25.64)</f>
        <v>25.64</v>
      </c>
      <c r="AB1288" s="1">
        <f ca="1">IFERROR(__xludf.DUMMYFUNCTION("""COMPUTED_VALUE"""),112.55)</f>
        <v>112.55</v>
      </c>
      <c r="AC1288" s="1">
        <f ca="1">IFERROR(__xludf.DUMMYFUNCTION("""COMPUTED_VALUE"""),113.1)</f>
        <v>113.1</v>
      </c>
    </row>
    <row r="1289" spans="1:29" x14ac:dyDescent="0.25">
      <c r="A1289" s="2">
        <f ca="1">IFERROR(__xludf.DUMMYFUNCTION("""COMPUTED_VALUE"""),45702.6666666666)</f>
        <v>45702.666666666599</v>
      </c>
      <c r="B1289" s="1">
        <f ca="1">IFERROR(__xludf.DUMMYFUNCTION("""COMPUTED_VALUE"""),244.6)</f>
        <v>244.6</v>
      </c>
      <c r="C1289" s="1">
        <f ca="1">IFERROR(__xludf.DUMMYFUNCTION("""COMPUTED_VALUE"""),408.43)</f>
        <v>408.43</v>
      </c>
      <c r="D1289" s="1">
        <f ca="1">IFERROR(__xludf.DUMMYFUNCTION("""COMPUTED_VALUE"""),228.68)</f>
        <v>228.68</v>
      </c>
      <c r="E1289" s="1">
        <f ca="1">IFERROR(__xludf.DUMMYFUNCTION("""COMPUTED_VALUE"""),138.85)</f>
        <v>138.85</v>
      </c>
      <c r="F1289" s="1">
        <f ca="1">IFERROR(__xludf.DUMMYFUNCTION("""COMPUTED_VALUE"""),716.37)</f>
        <v>716.37</v>
      </c>
      <c r="G1289" s="1">
        <f ca="1">IFERROR(__xludf.DUMMYFUNCTION("""COMPUTED_VALUE"""),186.87)</f>
        <v>186.87</v>
      </c>
      <c r="H1289" s="1">
        <f ca="1">IFERROR(__xludf.DUMMYFUNCTION("""COMPUTED_VALUE"""),354.11)</f>
        <v>354.11</v>
      </c>
      <c r="I1289" s="1">
        <f ca="1">IFERROR(__xludf.DUMMYFUNCTION("""COMPUTED_VALUE"""),144.1)</f>
        <v>144.1</v>
      </c>
      <c r="J1289" s="1">
        <f ca="1">IFERROR(__xludf.DUMMYFUNCTION("""COMPUTED_VALUE"""),1071.85)</f>
        <v>1071.8499999999999</v>
      </c>
      <c r="K1289" s="1">
        <f ca="1">IFERROR(__xludf.DUMMYFUNCTION("""COMPUTED_VALUE"""),233.04)</f>
        <v>233.04</v>
      </c>
      <c r="L1289" s="1">
        <f ca="1">IFERROR(__xludf.DUMMYFUNCTION("""COMPUTED_VALUE"""),460.16)</f>
        <v>460.16</v>
      </c>
      <c r="M1289" s="1">
        <f ca="1">IFERROR(__xludf.DUMMYFUNCTION("""COMPUTED_VALUE"""),1058.6)</f>
        <v>1058.5999999999999</v>
      </c>
      <c r="N1289" s="1">
        <f ca="1">IFERROR(__xludf.DUMMYFUNCTION("""COMPUTED_VALUE"""),279.95)</f>
        <v>279.95</v>
      </c>
      <c r="O1289" s="1">
        <f ca="1">IFERROR(__xludf.DUMMYFUNCTION("""COMPUTED_VALUE"""),353.81)</f>
        <v>353.81</v>
      </c>
      <c r="P1289" s="1">
        <f ca="1">IFERROR(__xludf.DUMMYFUNCTION("""COMPUTED_VALUE"""),156.15)</f>
        <v>156.15</v>
      </c>
      <c r="Q1289" s="1">
        <f ca="1">IFERROR(__xludf.DUMMYFUNCTION("""COMPUTED_VALUE"""),523.51)</f>
        <v>523.51</v>
      </c>
      <c r="R1289" s="1">
        <f ca="1">IFERROR(__xludf.DUMMYFUNCTION("""COMPUTED_VALUE"""),108.24)</f>
        <v>108.24</v>
      </c>
      <c r="S1289" s="1">
        <f ca="1">IFERROR(__xludf.DUMMYFUNCTION("""COMPUTED_VALUE"""),68.06)</f>
        <v>68.06</v>
      </c>
      <c r="T1289" s="1">
        <f ca="1">IFERROR(__xludf.DUMMYFUNCTION("""COMPUTED_VALUE"""),103.78)</f>
        <v>103.78</v>
      </c>
      <c r="U1289" s="1">
        <f ca="1">IFERROR(__xludf.DUMMYFUNCTION("""COMPUTED_VALUE"""),77.59)</f>
        <v>77.59</v>
      </c>
      <c r="V1289" s="1">
        <f ca="1">IFERROR(__xludf.DUMMYFUNCTION("""COMPUTED_VALUE"""),353.32)</f>
        <v>353.32</v>
      </c>
      <c r="W1289" s="1">
        <f ca="1">IFERROR(__xludf.DUMMYFUNCTION("""COMPUTED_VALUE"""),423.19)</f>
        <v>423.19</v>
      </c>
      <c r="X1289" s="1">
        <f ca="1">IFERROR(__xludf.DUMMYFUNCTION("""COMPUTED_VALUE"""),751.55)</f>
        <v>751.55</v>
      </c>
      <c r="Y1289" s="1">
        <f ca="1">IFERROR(__xludf.DUMMYFUNCTION("""COMPUTED_VALUE"""),203.9)</f>
        <v>203.9</v>
      </c>
      <c r="Z1289" s="1">
        <f ca="1">IFERROR(__xludf.DUMMYFUNCTION("""COMPUTED_VALUE"""),672.19)</f>
        <v>672.19</v>
      </c>
      <c r="AA1289" s="1">
        <f ca="1">IFERROR(__xludf.DUMMYFUNCTION("""COMPUTED_VALUE"""),25.53)</f>
        <v>25.53</v>
      </c>
      <c r="AB1289" s="1">
        <f ca="1">IFERROR(__xludf.DUMMYFUNCTION("""COMPUTED_VALUE"""),113.03)</f>
        <v>113.03</v>
      </c>
      <c r="AC1289" s="1">
        <f ca="1">IFERROR(__xludf.DUMMYFUNCTION("""COMPUTED_VALUE"""),114.28)</f>
        <v>114.28</v>
      </c>
    </row>
    <row r="1290" spans="1:29" x14ac:dyDescent="0.25">
      <c r="A1290" s="2">
        <f ca="1">IFERROR(__xludf.DUMMYFUNCTION("""COMPUTED_VALUE"""),45706.6666666666)</f>
        <v>45706.666666666599</v>
      </c>
      <c r="B1290" s="1">
        <f ca="1">IFERROR(__xludf.DUMMYFUNCTION("""COMPUTED_VALUE"""),244.47)</f>
        <v>244.47</v>
      </c>
      <c r="C1290" s="1">
        <f ca="1">IFERROR(__xludf.DUMMYFUNCTION("""COMPUTED_VALUE"""),409.64)</f>
        <v>409.64</v>
      </c>
      <c r="D1290" s="1">
        <f ca="1">IFERROR(__xludf.DUMMYFUNCTION("""COMPUTED_VALUE"""),226.65)</f>
        <v>226.65</v>
      </c>
      <c r="E1290" s="1">
        <f ca="1">IFERROR(__xludf.DUMMYFUNCTION("""COMPUTED_VALUE"""),139.4)</f>
        <v>139.4</v>
      </c>
      <c r="F1290" s="1">
        <f ca="1">IFERROR(__xludf.DUMMYFUNCTION("""COMPUTED_VALUE"""),703.77)</f>
        <v>703.77</v>
      </c>
      <c r="G1290" s="1">
        <f ca="1">IFERROR(__xludf.DUMMYFUNCTION("""COMPUTED_VALUE"""),185.8)</f>
        <v>185.8</v>
      </c>
      <c r="H1290" s="1">
        <f ca="1">IFERROR(__xludf.DUMMYFUNCTION("""COMPUTED_VALUE"""),360.56)</f>
        <v>360.56</v>
      </c>
      <c r="I1290" s="1">
        <f ca="1">IFERROR(__xludf.DUMMYFUNCTION("""COMPUTED_VALUE"""),145.81)</f>
        <v>145.81</v>
      </c>
      <c r="J1290" s="1">
        <f ca="1">IFERROR(__xludf.DUMMYFUNCTION("""COMPUTED_VALUE"""),1056.03)</f>
        <v>1056.03</v>
      </c>
      <c r="K1290" s="1">
        <f ca="1">IFERROR(__xludf.DUMMYFUNCTION("""COMPUTED_VALUE"""),228.53)</f>
        <v>228.53</v>
      </c>
      <c r="L1290" s="1">
        <f ca="1">IFERROR(__xludf.DUMMYFUNCTION("""COMPUTED_VALUE"""),464.11)</f>
        <v>464.11</v>
      </c>
      <c r="M1290" s="1">
        <f ca="1">IFERROR(__xludf.DUMMYFUNCTION("""COMPUTED_VALUE"""),1035.85)</f>
        <v>1035.8499999999999</v>
      </c>
      <c r="N1290" s="1">
        <f ca="1">IFERROR(__xludf.DUMMYFUNCTION("""COMPUTED_VALUE"""),279.25)</f>
        <v>279.25</v>
      </c>
      <c r="O1290" s="1">
        <f ca="1">IFERROR(__xludf.DUMMYFUNCTION("""COMPUTED_VALUE"""),356.73)</f>
        <v>356.73</v>
      </c>
      <c r="P1290" s="1">
        <f ca="1">IFERROR(__xludf.DUMMYFUNCTION("""COMPUTED_VALUE"""),154.99)</f>
        <v>154.99</v>
      </c>
      <c r="Q1290" s="1">
        <f ca="1">IFERROR(__xludf.DUMMYFUNCTION("""COMPUTED_VALUE"""),500.73)</f>
        <v>500.73</v>
      </c>
      <c r="R1290" s="1">
        <f ca="1">IFERROR(__xludf.DUMMYFUNCTION("""COMPUTED_VALUE"""),110.14)</f>
        <v>110.14</v>
      </c>
      <c r="S1290" s="1">
        <f ca="1">IFERROR(__xludf.DUMMYFUNCTION("""COMPUTED_VALUE"""),68.5)</f>
        <v>68.5</v>
      </c>
      <c r="T1290" s="1">
        <f ca="1">IFERROR(__xludf.DUMMYFUNCTION("""COMPUTED_VALUE"""),104)</f>
        <v>104</v>
      </c>
      <c r="U1290" s="1">
        <f ca="1">IFERROR(__xludf.DUMMYFUNCTION("""COMPUTED_VALUE"""),76.78)</f>
        <v>76.78</v>
      </c>
      <c r="V1290" s="1">
        <f ca="1">IFERROR(__xludf.DUMMYFUNCTION("""COMPUTED_VALUE"""),354)</f>
        <v>354</v>
      </c>
      <c r="W1290" s="1">
        <f ca="1">IFERROR(__xludf.DUMMYFUNCTION("""COMPUTED_VALUE"""),428.54)</f>
        <v>428.54</v>
      </c>
      <c r="X1290" s="1">
        <f ca="1">IFERROR(__xludf.DUMMYFUNCTION("""COMPUTED_VALUE"""),744.22)</f>
        <v>744.22</v>
      </c>
      <c r="Y1290" s="1">
        <f ca="1">IFERROR(__xludf.DUMMYFUNCTION("""COMPUTED_VALUE"""),202.74)</f>
        <v>202.74</v>
      </c>
      <c r="Z1290" s="1">
        <f ca="1">IFERROR(__xludf.DUMMYFUNCTION("""COMPUTED_VALUE"""),668.15)</f>
        <v>668.15</v>
      </c>
      <c r="AA1290" s="1">
        <f ca="1">IFERROR(__xludf.DUMMYFUNCTION("""COMPUTED_VALUE"""),25.56)</f>
        <v>25.56</v>
      </c>
      <c r="AB1290" s="1">
        <f ca="1">IFERROR(__xludf.DUMMYFUNCTION("""COMPUTED_VALUE"""),112.49)</f>
        <v>112.49</v>
      </c>
      <c r="AC1290" s="1">
        <f ca="1">IFERROR(__xludf.DUMMYFUNCTION("""COMPUTED_VALUE"""),114.69)</f>
        <v>114.69</v>
      </c>
    </row>
    <row r="1291" spans="1:29" x14ac:dyDescent="0.25">
      <c r="A1291" s="2">
        <f ca="1">IFERROR(__xludf.DUMMYFUNCTION("""COMPUTED_VALUE"""),45707.6666666666)</f>
        <v>45707.666666666599</v>
      </c>
      <c r="B1291" s="1">
        <f ca="1">IFERROR(__xludf.DUMMYFUNCTION("""COMPUTED_VALUE"""),244.87)</f>
        <v>244.87</v>
      </c>
      <c r="C1291" s="1">
        <f ca="1">IFERROR(__xludf.DUMMYFUNCTION("""COMPUTED_VALUE"""),414.77)</f>
        <v>414.77</v>
      </c>
      <c r="D1291" s="1">
        <f ca="1">IFERROR(__xludf.DUMMYFUNCTION("""COMPUTED_VALUE"""),226.63)</f>
        <v>226.63</v>
      </c>
      <c r="E1291" s="1">
        <f ca="1">IFERROR(__xludf.DUMMYFUNCTION("""COMPUTED_VALUE"""),139.23)</f>
        <v>139.22999999999999</v>
      </c>
      <c r="F1291" s="1">
        <f ca="1">IFERROR(__xludf.DUMMYFUNCTION("""COMPUTED_VALUE"""),694.84)</f>
        <v>694.84</v>
      </c>
      <c r="G1291" s="1">
        <f ca="1">IFERROR(__xludf.DUMMYFUNCTION("""COMPUTED_VALUE"""),187.13)</f>
        <v>187.13</v>
      </c>
      <c r="H1291" s="1">
        <f ca="1">IFERROR(__xludf.DUMMYFUNCTION("""COMPUTED_VALUE"""),354.4)</f>
        <v>354.4</v>
      </c>
      <c r="I1291" s="1">
        <f ca="1">IFERROR(__xludf.DUMMYFUNCTION("""COMPUTED_VALUE"""),149.1)</f>
        <v>149.1</v>
      </c>
      <c r="J1291" s="1">
        <f ca="1">IFERROR(__xludf.DUMMYFUNCTION("""COMPUTED_VALUE"""),1062.54)</f>
        <v>1062.54</v>
      </c>
      <c r="K1291" s="1">
        <f ca="1">IFERROR(__xludf.DUMMYFUNCTION("""COMPUTED_VALUE"""),228.73)</f>
        <v>228.73</v>
      </c>
      <c r="L1291" s="1">
        <f ca="1">IFERROR(__xludf.DUMMYFUNCTION("""COMPUTED_VALUE"""),456.99)</f>
        <v>456.99</v>
      </c>
      <c r="M1291" s="1">
        <f ca="1">IFERROR(__xludf.DUMMYFUNCTION("""COMPUTED_VALUE"""),1043.33)</f>
        <v>1043.33</v>
      </c>
      <c r="N1291" s="1">
        <f ca="1">IFERROR(__xludf.DUMMYFUNCTION("""COMPUTED_VALUE"""),266.8)</f>
        <v>266.8</v>
      </c>
      <c r="O1291" s="1">
        <f ca="1">IFERROR(__xludf.DUMMYFUNCTION("""COMPUTED_VALUE"""),355.23)</f>
        <v>355.23</v>
      </c>
      <c r="P1291" s="1">
        <f ca="1">IFERROR(__xludf.DUMMYFUNCTION("""COMPUTED_VALUE"""),157.89)</f>
        <v>157.88999999999999</v>
      </c>
      <c r="Q1291" s="1">
        <f ca="1">IFERROR(__xludf.DUMMYFUNCTION("""COMPUTED_VALUE"""),511.04)</f>
        <v>511.04</v>
      </c>
      <c r="R1291" s="1">
        <f ca="1">IFERROR(__xludf.DUMMYFUNCTION("""COMPUTED_VALUE"""),110.3)</f>
        <v>110.3</v>
      </c>
      <c r="S1291" s="1">
        <f ca="1">IFERROR(__xludf.DUMMYFUNCTION("""COMPUTED_VALUE"""),69.06)</f>
        <v>69.06</v>
      </c>
      <c r="T1291" s="1">
        <f ca="1">IFERROR(__xludf.DUMMYFUNCTION("""COMPUTED_VALUE"""),97.21)</f>
        <v>97.21</v>
      </c>
      <c r="U1291" s="1">
        <f ca="1">IFERROR(__xludf.DUMMYFUNCTION("""COMPUTED_VALUE"""),77.23)</f>
        <v>77.23</v>
      </c>
      <c r="V1291" s="1">
        <f ca="1">IFERROR(__xludf.DUMMYFUNCTION("""COMPUTED_VALUE"""),353)</f>
        <v>353</v>
      </c>
      <c r="W1291" s="1">
        <f ca="1">IFERROR(__xludf.DUMMYFUNCTION("""COMPUTED_VALUE"""),432.95)</f>
        <v>432.95</v>
      </c>
      <c r="X1291" s="1">
        <f ca="1">IFERROR(__xludf.DUMMYFUNCTION("""COMPUTED_VALUE"""),744.8)</f>
        <v>744.8</v>
      </c>
      <c r="Y1291" s="1">
        <f ca="1">IFERROR(__xludf.DUMMYFUNCTION("""COMPUTED_VALUE"""),200.95)</f>
        <v>200.95</v>
      </c>
      <c r="Z1291" s="1">
        <f ca="1">IFERROR(__xludf.DUMMYFUNCTION("""COMPUTED_VALUE"""),642.26)</f>
        <v>642.26</v>
      </c>
      <c r="AA1291" s="1">
        <f ca="1">IFERROR(__xludf.DUMMYFUNCTION("""COMPUTED_VALUE"""),25.89)</f>
        <v>25.89</v>
      </c>
      <c r="AB1291" s="1">
        <f ca="1">IFERROR(__xludf.DUMMYFUNCTION("""COMPUTED_VALUE"""),113.34)</f>
        <v>113.34</v>
      </c>
      <c r="AC1291" s="1">
        <f ca="1">IFERROR(__xludf.DUMMYFUNCTION("""COMPUTED_VALUE"""),114.17)</f>
        <v>114.17</v>
      </c>
    </row>
    <row r="1292" spans="1:29" x14ac:dyDescent="0.25">
      <c r="A1292" s="2">
        <f ca="1">IFERROR(__xludf.DUMMYFUNCTION("""COMPUTED_VALUE"""),45708.6666666666)</f>
        <v>45708.666666666599</v>
      </c>
      <c r="B1292" s="1">
        <f ca="1">IFERROR(__xludf.DUMMYFUNCTION("""COMPUTED_VALUE"""),245.83)</f>
        <v>245.83</v>
      </c>
      <c r="C1292" s="1">
        <f ca="1">IFERROR(__xludf.DUMMYFUNCTION("""COMPUTED_VALUE"""),416.13)</f>
        <v>416.13</v>
      </c>
      <c r="D1292" s="1">
        <f ca="1">IFERROR(__xludf.DUMMYFUNCTION("""COMPUTED_VALUE"""),222.88)</f>
        <v>222.88</v>
      </c>
      <c r="E1292" s="1">
        <f ca="1">IFERROR(__xludf.DUMMYFUNCTION("""COMPUTED_VALUE"""),140.11)</f>
        <v>140.11000000000001</v>
      </c>
      <c r="F1292" s="1">
        <f ca="1">IFERROR(__xludf.DUMMYFUNCTION("""COMPUTED_VALUE"""),683.55)</f>
        <v>683.55</v>
      </c>
      <c r="G1292" s="1">
        <f ca="1">IFERROR(__xludf.DUMMYFUNCTION("""COMPUTED_VALUE"""),186.64)</f>
        <v>186.64</v>
      </c>
      <c r="H1292" s="1">
        <f ca="1">IFERROR(__xludf.DUMMYFUNCTION("""COMPUTED_VALUE"""),337.8)</f>
        <v>337.8</v>
      </c>
      <c r="I1292" s="1">
        <f ca="1">IFERROR(__xludf.DUMMYFUNCTION("""COMPUTED_VALUE"""),153.5)</f>
        <v>153.5</v>
      </c>
      <c r="J1292" s="1">
        <f ca="1">IFERROR(__xludf.DUMMYFUNCTION("""COMPUTED_VALUE"""),1034.83)</f>
        <v>1034.83</v>
      </c>
      <c r="K1292" s="1">
        <f ca="1">IFERROR(__xludf.DUMMYFUNCTION("""COMPUTED_VALUE"""),226.74)</f>
        <v>226.74</v>
      </c>
      <c r="L1292" s="1">
        <f ca="1">IFERROR(__xludf.DUMMYFUNCTION("""COMPUTED_VALUE"""),454.69)</f>
        <v>454.69</v>
      </c>
      <c r="M1292" s="1">
        <f ca="1">IFERROR(__xludf.DUMMYFUNCTION("""COMPUTED_VALUE"""),1024.54)</f>
        <v>1024.54</v>
      </c>
      <c r="N1292" s="1">
        <f ca="1">IFERROR(__xludf.DUMMYFUNCTION("""COMPUTED_VALUE"""),264.24)</f>
        <v>264.24</v>
      </c>
      <c r="O1292" s="1">
        <f ca="1">IFERROR(__xludf.DUMMYFUNCTION("""COMPUTED_VALUE"""),350.49)</f>
        <v>350.49</v>
      </c>
      <c r="P1292" s="1">
        <f ca="1">IFERROR(__xludf.DUMMYFUNCTION("""COMPUTED_VALUE"""),159.68)</f>
        <v>159.68</v>
      </c>
      <c r="Q1292" s="1">
        <f ca="1">IFERROR(__xludf.DUMMYFUNCTION("""COMPUTED_VALUE"""),502.42)</f>
        <v>502.42</v>
      </c>
      <c r="R1292" s="1">
        <f ca="1">IFERROR(__xludf.DUMMYFUNCTION("""COMPUTED_VALUE"""),112)</f>
        <v>112</v>
      </c>
      <c r="S1292" s="1">
        <f ca="1">IFERROR(__xludf.DUMMYFUNCTION("""COMPUTED_VALUE"""),70.14)</f>
        <v>70.14</v>
      </c>
      <c r="T1292" s="1">
        <f ca="1">IFERROR(__xludf.DUMMYFUNCTION("""COMPUTED_VALUE"""),94.78)</f>
        <v>94.78</v>
      </c>
      <c r="U1292" s="1">
        <f ca="1">IFERROR(__xludf.DUMMYFUNCTION("""COMPUTED_VALUE"""),76.5)</f>
        <v>76.5</v>
      </c>
      <c r="V1292" s="1">
        <f ca="1">IFERROR(__xludf.DUMMYFUNCTION("""COMPUTED_VALUE"""),349.15)</f>
        <v>349.15</v>
      </c>
      <c r="W1292" s="1">
        <f ca="1">IFERROR(__xludf.DUMMYFUNCTION("""COMPUTED_VALUE"""),436.29)</f>
        <v>436.29</v>
      </c>
      <c r="X1292" s="1">
        <f ca="1">IFERROR(__xludf.DUMMYFUNCTION("""COMPUTED_VALUE"""),743.09)</f>
        <v>743.09</v>
      </c>
      <c r="Y1292" s="1">
        <f ca="1">IFERROR(__xludf.DUMMYFUNCTION("""COMPUTED_VALUE"""),200.1)</f>
        <v>200.1</v>
      </c>
      <c r="Z1292" s="1">
        <f ca="1">IFERROR(__xludf.DUMMYFUNCTION("""COMPUTED_VALUE"""),625.6)</f>
        <v>625.6</v>
      </c>
      <c r="AA1292" s="1">
        <f ca="1">IFERROR(__xludf.DUMMYFUNCTION("""COMPUTED_VALUE"""),25.9)</f>
        <v>25.9</v>
      </c>
      <c r="AB1292" s="1">
        <f ca="1">IFERROR(__xludf.DUMMYFUNCTION("""COMPUTED_VALUE"""),111.75)</f>
        <v>111.75</v>
      </c>
      <c r="AC1292" s="1">
        <f ca="1">IFERROR(__xludf.DUMMYFUNCTION("""COMPUTED_VALUE"""),110.84)</f>
        <v>110.84</v>
      </c>
    </row>
    <row r="1293" spans="1:29" x14ac:dyDescent="0.25">
      <c r="A1293" s="2">
        <f ca="1">IFERROR(__xludf.DUMMYFUNCTION("""COMPUTED_VALUE"""),45709.6666666666)</f>
        <v>45709.666666666599</v>
      </c>
      <c r="B1293" s="1">
        <f ca="1">IFERROR(__xludf.DUMMYFUNCTION("""COMPUTED_VALUE"""),245.55)</f>
        <v>245.55</v>
      </c>
      <c r="C1293" s="1">
        <f ca="1">IFERROR(__xludf.DUMMYFUNCTION("""COMPUTED_VALUE"""),408.21)</f>
        <v>408.21</v>
      </c>
      <c r="D1293" s="1">
        <f ca="1">IFERROR(__xludf.DUMMYFUNCTION("""COMPUTED_VALUE"""),216.58)</f>
        <v>216.58</v>
      </c>
      <c r="E1293" s="1">
        <f ca="1">IFERROR(__xludf.DUMMYFUNCTION("""COMPUTED_VALUE"""),134.43)</f>
        <v>134.43</v>
      </c>
      <c r="F1293" s="1">
        <f ca="1">IFERROR(__xludf.DUMMYFUNCTION("""COMPUTED_VALUE"""),668.13)</f>
        <v>668.13</v>
      </c>
      <c r="G1293" s="1">
        <f ca="1">IFERROR(__xludf.DUMMYFUNCTION("""COMPUTED_VALUE"""),181.58)</f>
        <v>181.58</v>
      </c>
      <c r="H1293" s="1">
        <f ca="1">IFERROR(__xludf.DUMMYFUNCTION("""COMPUTED_VALUE"""),330.53)</f>
        <v>330.53</v>
      </c>
      <c r="I1293" s="1">
        <f ca="1">IFERROR(__xludf.DUMMYFUNCTION("""COMPUTED_VALUE"""),153.85)</f>
        <v>153.85</v>
      </c>
      <c r="J1293" s="1">
        <f ca="1">IFERROR(__xludf.DUMMYFUNCTION("""COMPUTED_VALUE"""),1035.03)</f>
        <v>1035.03</v>
      </c>
      <c r="K1293" s="1">
        <f ca="1">IFERROR(__xludf.DUMMYFUNCTION("""COMPUTED_VALUE"""),218.66)</f>
        <v>218.66</v>
      </c>
      <c r="L1293" s="1">
        <f ca="1">IFERROR(__xludf.DUMMYFUNCTION("""COMPUTED_VALUE"""),444.32)</f>
        <v>444.32</v>
      </c>
      <c r="M1293" s="1">
        <f ca="1">IFERROR(__xludf.DUMMYFUNCTION("""COMPUTED_VALUE"""),1003.15)</f>
        <v>1003.15</v>
      </c>
      <c r="N1293" s="1">
        <f ca="1">IFERROR(__xludf.DUMMYFUNCTION("""COMPUTED_VALUE"""),261.34)</f>
        <v>261.33999999999997</v>
      </c>
      <c r="O1293" s="1">
        <f ca="1">IFERROR(__xludf.DUMMYFUNCTION("""COMPUTED_VALUE"""),348.53)</f>
        <v>348.53</v>
      </c>
      <c r="P1293" s="1">
        <f ca="1">IFERROR(__xludf.DUMMYFUNCTION("""COMPUTED_VALUE"""),162.3)</f>
        <v>162.30000000000001</v>
      </c>
      <c r="Q1293" s="1">
        <f ca="1">IFERROR(__xludf.DUMMYFUNCTION("""COMPUTED_VALUE"""),466.42)</f>
        <v>466.42</v>
      </c>
      <c r="R1293" s="1">
        <f ca="1">IFERROR(__xludf.DUMMYFUNCTION("""COMPUTED_VALUE"""),110.69)</f>
        <v>110.69</v>
      </c>
      <c r="S1293" s="1">
        <f ca="1">IFERROR(__xludf.DUMMYFUNCTION("""COMPUTED_VALUE"""),71.58)</f>
        <v>71.58</v>
      </c>
      <c r="T1293" s="1">
        <f ca="1">IFERROR(__xludf.DUMMYFUNCTION("""COMPUTED_VALUE"""),93.67)</f>
        <v>93.67</v>
      </c>
      <c r="U1293" s="1">
        <f ca="1">IFERROR(__xludf.DUMMYFUNCTION("""COMPUTED_VALUE"""),80.28)</f>
        <v>80.28</v>
      </c>
      <c r="V1293" s="1">
        <f ca="1">IFERROR(__xludf.DUMMYFUNCTION("""COMPUTED_VALUE"""),340.04)</f>
        <v>340.04</v>
      </c>
      <c r="W1293" s="1">
        <f ca="1">IFERROR(__xludf.DUMMYFUNCTION("""COMPUTED_VALUE"""),440.72)</f>
        <v>440.72</v>
      </c>
      <c r="X1293" s="1">
        <f ca="1">IFERROR(__xludf.DUMMYFUNCTION("""COMPUTED_VALUE"""),737.21)</f>
        <v>737.21</v>
      </c>
      <c r="Y1293" s="1">
        <f ca="1">IFERROR(__xludf.DUMMYFUNCTION("""COMPUTED_VALUE"""),198.24)</f>
        <v>198.24</v>
      </c>
      <c r="Z1293" s="1">
        <f ca="1">IFERROR(__xludf.DUMMYFUNCTION("""COMPUTED_VALUE"""),626.14)</f>
        <v>626.14</v>
      </c>
      <c r="AA1293" s="1">
        <f ca="1">IFERROR(__xludf.DUMMYFUNCTION("""COMPUTED_VALUE"""),26.3)</f>
        <v>26.3</v>
      </c>
      <c r="AB1293" s="1">
        <f ca="1">IFERROR(__xludf.DUMMYFUNCTION("""COMPUTED_VALUE"""),113.19)</f>
        <v>113.19</v>
      </c>
      <c r="AC1293" s="1">
        <f ca="1">IFERROR(__xludf.DUMMYFUNCTION("""COMPUTED_VALUE"""),108.11)</f>
        <v>108.11</v>
      </c>
    </row>
    <row r="1294" spans="1:29" x14ac:dyDescent="0.25">
      <c r="A1294" s="2">
        <f ca="1">IFERROR(__xludf.DUMMYFUNCTION("""COMPUTED_VALUE"""),45712.6666666666)</f>
        <v>45712.666666666599</v>
      </c>
      <c r="B1294" s="1">
        <f ca="1">IFERROR(__xludf.DUMMYFUNCTION("""COMPUTED_VALUE"""),247.1)</f>
        <v>247.1</v>
      </c>
      <c r="C1294" s="1">
        <f ca="1">IFERROR(__xludf.DUMMYFUNCTION("""COMPUTED_VALUE"""),404)</f>
        <v>404</v>
      </c>
      <c r="D1294" s="1">
        <f ca="1">IFERROR(__xludf.DUMMYFUNCTION("""COMPUTED_VALUE"""),212.71)</f>
        <v>212.71</v>
      </c>
      <c r="E1294" s="1">
        <f ca="1">IFERROR(__xludf.DUMMYFUNCTION("""COMPUTED_VALUE"""),130.28)</f>
        <v>130.28</v>
      </c>
      <c r="F1294" s="1">
        <f ca="1">IFERROR(__xludf.DUMMYFUNCTION("""COMPUTED_VALUE"""),657.5)</f>
        <v>657.5</v>
      </c>
      <c r="G1294" s="1">
        <f ca="1">IFERROR(__xludf.DUMMYFUNCTION("""COMPUTED_VALUE"""),181.19)</f>
        <v>181.19</v>
      </c>
      <c r="H1294" s="1">
        <f ca="1">IFERROR(__xludf.DUMMYFUNCTION("""COMPUTED_VALUE"""),302.8)</f>
        <v>302.8</v>
      </c>
      <c r="I1294" s="1">
        <f ca="1">IFERROR(__xludf.DUMMYFUNCTION("""COMPUTED_VALUE"""),156.42)</f>
        <v>156.41999999999999</v>
      </c>
      <c r="J1294" s="1">
        <f ca="1">IFERROR(__xludf.DUMMYFUNCTION("""COMPUTED_VALUE"""),1035.6)</f>
        <v>1035.5999999999999</v>
      </c>
      <c r="K1294" s="1">
        <f ca="1">IFERROR(__xludf.DUMMYFUNCTION("""COMPUTED_VALUE"""),207.93)</f>
        <v>207.93</v>
      </c>
      <c r="L1294" s="1">
        <f ca="1">IFERROR(__xludf.DUMMYFUNCTION("""COMPUTED_VALUE"""),444.42)</f>
        <v>444.42</v>
      </c>
      <c r="M1294" s="1">
        <f ca="1">IFERROR(__xludf.DUMMYFUNCTION("""COMPUTED_VALUE"""),988.47)</f>
        <v>988.47</v>
      </c>
      <c r="N1294" s="1">
        <f ca="1">IFERROR(__xludf.DUMMYFUNCTION("""COMPUTED_VALUE"""),257.4)</f>
        <v>257.39999999999998</v>
      </c>
      <c r="O1294" s="1">
        <f ca="1">IFERROR(__xludf.DUMMYFUNCTION("""COMPUTED_VALUE"""),349.86)</f>
        <v>349.86</v>
      </c>
      <c r="P1294" s="1">
        <f ca="1">IFERROR(__xludf.DUMMYFUNCTION("""COMPUTED_VALUE"""),163.74)</f>
        <v>163.74</v>
      </c>
      <c r="Q1294" s="1">
        <f ca="1">IFERROR(__xludf.DUMMYFUNCTION("""COMPUTED_VALUE"""),461.52)</f>
        <v>461.52</v>
      </c>
      <c r="R1294" s="1">
        <f ca="1">IFERROR(__xludf.DUMMYFUNCTION("""COMPUTED_VALUE"""),111.27)</f>
        <v>111.27</v>
      </c>
      <c r="S1294" s="1">
        <f ca="1">IFERROR(__xludf.DUMMYFUNCTION("""COMPUTED_VALUE"""),70.8)</f>
        <v>70.8</v>
      </c>
      <c r="T1294" s="1">
        <f ca="1">IFERROR(__xludf.DUMMYFUNCTION("""COMPUTED_VALUE"""),97.69)</f>
        <v>97.69</v>
      </c>
      <c r="U1294" s="1">
        <f ca="1">IFERROR(__xludf.DUMMYFUNCTION("""COMPUTED_VALUE"""),81.72)</f>
        <v>81.72</v>
      </c>
      <c r="V1294" s="1">
        <f ca="1">IFERROR(__xludf.DUMMYFUNCTION("""COMPUTED_VALUE"""),338.92)</f>
        <v>338.92</v>
      </c>
      <c r="W1294" s="1">
        <f ca="1">IFERROR(__xludf.DUMMYFUNCTION("""COMPUTED_VALUE"""),440.27)</f>
        <v>440.27</v>
      </c>
      <c r="X1294" s="1">
        <f ca="1">IFERROR(__xludf.DUMMYFUNCTION("""COMPUTED_VALUE"""),735.96)</f>
        <v>735.96</v>
      </c>
      <c r="Y1294" s="1">
        <f ca="1">IFERROR(__xludf.DUMMYFUNCTION("""COMPUTED_VALUE"""),191.65)</f>
        <v>191.65</v>
      </c>
      <c r="Z1294" s="1">
        <f ca="1">IFERROR(__xludf.DUMMYFUNCTION("""COMPUTED_VALUE"""),614.91)</f>
        <v>614.91</v>
      </c>
      <c r="AA1294" s="1">
        <f ca="1">IFERROR(__xludf.DUMMYFUNCTION("""COMPUTED_VALUE"""),26.65)</f>
        <v>26.65</v>
      </c>
      <c r="AB1294" s="1">
        <f ca="1">IFERROR(__xludf.DUMMYFUNCTION("""COMPUTED_VALUE"""),114.59)</f>
        <v>114.59</v>
      </c>
      <c r="AC1294" s="1">
        <f ca="1">IFERROR(__xludf.DUMMYFUNCTION("""COMPUTED_VALUE"""),103.96)</f>
        <v>103.96</v>
      </c>
    </row>
    <row r="1295" spans="1:29" x14ac:dyDescent="0.25">
      <c r="A1295" s="2">
        <f ca="1">IFERROR(__xludf.DUMMYFUNCTION("""COMPUTED_VALUE"""),45713.6666666666)</f>
        <v>45713.666666666599</v>
      </c>
      <c r="B1295" s="1">
        <f ca="1">IFERROR(__xludf.DUMMYFUNCTION("""COMPUTED_VALUE"""),247.04)</f>
        <v>247.04</v>
      </c>
      <c r="C1295" s="1">
        <f ca="1">IFERROR(__xludf.DUMMYFUNCTION("""COMPUTED_VALUE"""),397.9)</f>
        <v>397.9</v>
      </c>
      <c r="D1295" s="1">
        <f ca="1">IFERROR(__xludf.DUMMYFUNCTION("""COMPUTED_VALUE"""),212.8)</f>
        <v>212.8</v>
      </c>
      <c r="E1295" s="1">
        <f ca="1">IFERROR(__xludf.DUMMYFUNCTION("""COMPUTED_VALUE"""),126.63)</f>
        <v>126.63</v>
      </c>
      <c r="F1295" s="1">
        <f ca="1">IFERROR(__xludf.DUMMYFUNCTION("""COMPUTED_VALUE"""),673.7)</f>
        <v>673.7</v>
      </c>
      <c r="G1295" s="1">
        <f ca="1">IFERROR(__xludf.DUMMYFUNCTION("""COMPUTED_VALUE"""),177.37)</f>
        <v>177.37</v>
      </c>
      <c r="H1295" s="1">
        <f ca="1">IFERROR(__xludf.DUMMYFUNCTION("""COMPUTED_VALUE"""),290.8)</f>
        <v>290.8</v>
      </c>
      <c r="I1295" s="1">
        <f ca="1">IFERROR(__xludf.DUMMYFUNCTION("""COMPUTED_VALUE"""),151.51)</f>
        <v>151.51</v>
      </c>
      <c r="J1295" s="1">
        <f ca="1">IFERROR(__xludf.DUMMYFUNCTION("""COMPUTED_VALUE"""),1055.66)</f>
        <v>1055.6600000000001</v>
      </c>
      <c r="K1295" s="1">
        <f ca="1">IFERROR(__xludf.DUMMYFUNCTION("""COMPUTED_VALUE"""),202.54)</f>
        <v>202.54</v>
      </c>
      <c r="L1295" s="1">
        <f ca="1">IFERROR(__xludf.DUMMYFUNCTION("""COMPUTED_VALUE"""),443.41)</f>
        <v>443.41</v>
      </c>
      <c r="M1295" s="1">
        <f ca="1">IFERROR(__xludf.DUMMYFUNCTION("""COMPUTED_VALUE"""),977.24)</f>
        <v>977.24</v>
      </c>
      <c r="N1295" s="1">
        <f ca="1">IFERROR(__xludf.DUMMYFUNCTION("""COMPUTED_VALUE"""),258.79)</f>
        <v>258.79000000000002</v>
      </c>
      <c r="O1295" s="1">
        <f ca="1">IFERROR(__xludf.DUMMYFUNCTION("""COMPUTED_VALUE"""),352.09)</f>
        <v>352.09</v>
      </c>
      <c r="P1295" s="1">
        <f ca="1">IFERROR(__xludf.DUMMYFUNCTION("""COMPUTED_VALUE"""),166.09)</f>
        <v>166.09</v>
      </c>
      <c r="Q1295" s="1">
        <f ca="1">IFERROR(__xludf.DUMMYFUNCTION("""COMPUTED_VALUE"""),470.38)</f>
        <v>470.38</v>
      </c>
      <c r="R1295" s="1">
        <f ca="1">IFERROR(__xludf.DUMMYFUNCTION("""COMPUTED_VALUE"""),109.73)</f>
        <v>109.73</v>
      </c>
      <c r="S1295" s="1">
        <f ca="1">IFERROR(__xludf.DUMMYFUNCTION("""COMPUTED_VALUE"""),71.28)</f>
        <v>71.28</v>
      </c>
      <c r="T1295" s="1">
        <f ca="1">IFERROR(__xludf.DUMMYFUNCTION("""COMPUTED_VALUE"""),96.2)</f>
        <v>96.2</v>
      </c>
      <c r="U1295" s="1">
        <f ca="1">IFERROR(__xludf.DUMMYFUNCTION("""COMPUTED_VALUE"""),81.17)</f>
        <v>81.17</v>
      </c>
      <c r="V1295" s="1">
        <f ca="1">IFERROR(__xludf.DUMMYFUNCTION("""COMPUTED_VALUE"""),342.36)</f>
        <v>342.36</v>
      </c>
      <c r="W1295" s="1">
        <f ca="1">IFERROR(__xludf.DUMMYFUNCTION("""COMPUTED_VALUE"""),448.46)</f>
        <v>448.46</v>
      </c>
      <c r="X1295" s="1">
        <f ca="1">IFERROR(__xludf.DUMMYFUNCTION("""COMPUTED_VALUE"""),730.19)</f>
        <v>730.19</v>
      </c>
      <c r="Y1295" s="1">
        <f ca="1">IFERROR(__xludf.DUMMYFUNCTION("""COMPUTED_VALUE"""),189.37)</f>
        <v>189.37</v>
      </c>
      <c r="Z1295" s="1">
        <f ca="1">IFERROR(__xludf.DUMMYFUNCTION("""COMPUTED_VALUE"""),617.77)</f>
        <v>617.77</v>
      </c>
      <c r="AA1295" s="1">
        <f ca="1">IFERROR(__xludf.DUMMYFUNCTION("""COMPUTED_VALUE"""),26.74)</f>
        <v>26.74</v>
      </c>
      <c r="AB1295" s="1">
        <f ca="1">IFERROR(__xludf.DUMMYFUNCTION("""COMPUTED_VALUE"""),113)</f>
        <v>113</v>
      </c>
      <c r="AC1295" s="1">
        <f ca="1">IFERROR(__xludf.DUMMYFUNCTION("""COMPUTED_VALUE"""),104.74)</f>
        <v>104.74</v>
      </c>
    </row>
    <row r="1296" spans="1:29" x14ac:dyDescent="0.25">
      <c r="A1296" s="2">
        <f ca="1">IFERROR(__xludf.DUMMYFUNCTION("""COMPUTED_VALUE"""),45714.6666666666)</f>
        <v>45714.666666666599</v>
      </c>
      <c r="B1296" s="1">
        <f ca="1">IFERROR(__xludf.DUMMYFUNCTION("""COMPUTED_VALUE"""),240.36)</f>
        <v>240.36</v>
      </c>
      <c r="C1296" s="1">
        <f ca="1">IFERROR(__xludf.DUMMYFUNCTION("""COMPUTED_VALUE"""),399.73)</f>
        <v>399.73</v>
      </c>
      <c r="D1296" s="1">
        <f ca="1">IFERROR(__xludf.DUMMYFUNCTION("""COMPUTED_VALUE"""),214.35)</f>
        <v>214.35</v>
      </c>
      <c r="E1296" s="1">
        <f ca="1">IFERROR(__xludf.DUMMYFUNCTION("""COMPUTED_VALUE"""),131.28)</f>
        <v>131.28</v>
      </c>
      <c r="F1296" s="1">
        <f ca="1">IFERROR(__xludf.DUMMYFUNCTION("""COMPUTED_VALUE"""),658.24)</f>
        <v>658.24</v>
      </c>
      <c r="G1296" s="1">
        <f ca="1">IFERROR(__xludf.DUMMYFUNCTION("""COMPUTED_VALUE"""),174.7)</f>
        <v>174.7</v>
      </c>
      <c r="H1296" s="1">
        <f ca="1">IFERROR(__xludf.DUMMYFUNCTION("""COMPUTED_VALUE"""),281.95)</f>
        <v>281.95</v>
      </c>
      <c r="I1296" s="1">
        <f ca="1">IFERROR(__xludf.DUMMYFUNCTION("""COMPUTED_VALUE"""),152.02)</f>
        <v>152.02000000000001</v>
      </c>
      <c r="J1296" s="1">
        <f ca="1">IFERROR(__xludf.DUMMYFUNCTION("""COMPUTED_VALUE"""),1031.97)</f>
        <v>1031.97</v>
      </c>
      <c r="K1296" s="1">
        <f ca="1">IFERROR(__xludf.DUMMYFUNCTION("""COMPUTED_VALUE"""),212.94)</f>
        <v>212.94</v>
      </c>
      <c r="L1296" s="1">
        <f ca="1">IFERROR(__xludf.DUMMYFUNCTION("""COMPUTED_VALUE"""),441.5)</f>
        <v>441.5</v>
      </c>
      <c r="M1296" s="1">
        <f ca="1">IFERROR(__xludf.DUMMYFUNCTION("""COMPUTED_VALUE"""),990.06)</f>
        <v>990.06</v>
      </c>
      <c r="N1296" s="1">
        <f ca="1">IFERROR(__xludf.DUMMYFUNCTION("""COMPUTED_VALUE"""),259.05)</f>
        <v>259.05</v>
      </c>
      <c r="O1296" s="1">
        <f ca="1">IFERROR(__xludf.DUMMYFUNCTION("""COMPUTED_VALUE"""),350.63)</f>
        <v>350.63</v>
      </c>
      <c r="P1296" s="1">
        <f ca="1">IFERROR(__xludf.DUMMYFUNCTION("""COMPUTED_VALUE"""),163.08)</f>
        <v>163.08000000000001</v>
      </c>
      <c r="Q1296" s="1">
        <f ca="1">IFERROR(__xludf.DUMMYFUNCTION("""COMPUTED_VALUE"""),463.59)</f>
        <v>463.59</v>
      </c>
      <c r="R1296" s="1">
        <f ca="1">IFERROR(__xludf.DUMMYFUNCTION("""COMPUTED_VALUE"""),109.46)</f>
        <v>109.46</v>
      </c>
      <c r="S1296" s="1">
        <f ca="1">IFERROR(__xludf.DUMMYFUNCTION("""COMPUTED_VALUE"""),71.01)</f>
        <v>71.010000000000005</v>
      </c>
      <c r="T1296" s="1">
        <f ca="1">IFERROR(__xludf.DUMMYFUNCTION("""COMPUTED_VALUE"""),96.79)</f>
        <v>96.79</v>
      </c>
      <c r="U1296" s="1">
        <f ca="1">IFERROR(__xludf.DUMMYFUNCTION("""COMPUTED_VALUE"""),80.02)</f>
        <v>80.02</v>
      </c>
      <c r="V1296" s="1">
        <f ca="1">IFERROR(__xludf.DUMMYFUNCTION("""COMPUTED_VALUE"""),342.58)</f>
        <v>342.58</v>
      </c>
      <c r="W1296" s="1">
        <f ca="1">IFERROR(__xludf.DUMMYFUNCTION("""COMPUTED_VALUE"""),441.5)</f>
        <v>441.5</v>
      </c>
      <c r="X1296" s="1">
        <f ca="1">IFERROR(__xludf.DUMMYFUNCTION("""COMPUTED_VALUE"""),746.93)</f>
        <v>746.93</v>
      </c>
      <c r="Y1296" s="1">
        <f ca="1">IFERROR(__xludf.DUMMYFUNCTION("""COMPUTED_VALUE"""),194.62)</f>
        <v>194.62</v>
      </c>
      <c r="Z1296" s="1">
        <f ca="1">IFERROR(__xludf.DUMMYFUNCTION("""COMPUTED_VALUE"""),608)</f>
        <v>608</v>
      </c>
      <c r="AA1296" s="1">
        <f ca="1">IFERROR(__xludf.DUMMYFUNCTION("""COMPUTED_VALUE"""),26.42)</f>
        <v>26.42</v>
      </c>
      <c r="AB1296" s="1">
        <f ca="1">IFERROR(__xludf.DUMMYFUNCTION("""COMPUTED_VALUE"""),114.49)</f>
        <v>114.49</v>
      </c>
      <c r="AC1296" s="1">
        <f ca="1">IFERROR(__xludf.DUMMYFUNCTION("""COMPUTED_VALUE"""),99.51)</f>
        <v>99.51</v>
      </c>
    </row>
    <row r="1297" spans="1:29" x14ac:dyDescent="0.25">
      <c r="A1297" s="2">
        <f ca="1">IFERROR(__xludf.DUMMYFUNCTION("""COMPUTED_VALUE"""),45715.6666666666)</f>
        <v>45715.666666666599</v>
      </c>
      <c r="B1297" s="1">
        <f ca="1">IFERROR(__xludf.DUMMYFUNCTION("""COMPUTED_VALUE"""),237.3)</f>
        <v>237.3</v>
      </c>
      <c r="C1297" s="1">
        <f ca="1">IFERROR(__xludf.DUMMYFUNCTION("""COMPUTED_VALUE"""),392.53)</f>
        <v>392.53</v>
      </c>
      <c r="D1297" s="1">
        <f ca="1">IFERROR(__xludf.DUMMYFUNCTION("""COMPUTED_VALUE"""),208.74)</f>
        <v>208.74</v>
      </c>
      <c r="E1297" s="1">
        <f ca="1">IFERROR(__xludf.DUMMYFUNCTION("""COMPUTED_VALUE"""),120.15)</f>
        <v>120.15</v>
      </c>
      <c r="F1297" s="1">
        <f ca="1">IFERROR(__xludf.DUMMYFUNCTION("""COMPUTED_VALUE"""),668.2)</f>
        <v>668.2</v>
      </c>
      <c r="G1297" s="1">
        <f ca="1">IFERROR(__xludf.DUMMYFUNCTION("""COMPUTED_VALUE"""),170.21)</f>
        <v>170.21</v>
      </c>
      <c r="H1297" s="1">
        <f ca="1">IFERROR(__xludf.DUMMYFUNCTION("""COMPUTED_VALUE"""),292.98)</f>
        <v>292.98</v>
      </c>
      <c r="I1297" s="1">
        <f ca="1">IFERROR(__xludf.DUMMYFUNCTION("""COMPUTED_VALUE"""),153.47)</f>
        <v>153.47</v>
      </c>
      <c r="J1297" s="1">
        <f ca="1">IFERROR(__xludf.DUMMYFUNCTION("""COMPUTED_VALUE"""),1021.71)</f>
        <v>1021.71</v>
      </c>
      <c r="K1297" s="1">
        <f ca="1">IFERROR(__xludf.DUMMYFUNCTION("""COMPUTED_VALUE"""),197.8)</f>
        <v>197.8</v>
      </c>
      <c r="L1297" s="1">
        <f ca="1">IFERROR(__xludf.DUMMYFUNCTION("""COMPUTED_VALUE"""),437.19)</f>
        <v>437.19</v>
      </c>
      <c r="M1297" s="1">
        <f ca="1">IFERROR(__xludf.DUMMYFUNCTION("""COMPUTED_VALUE"""),963.07)</f>
        <v>963.07</v>
      </c>
      <c r="N1297" s="1">
        <f ca="1">IFERROR(__xludf.DUMMYFUNCTION("""COMPUTED_VALUE"""),264.65)</f>
        <v>264.64999999999998</v>
      </c>
      <c r="O1297" s="1">
        <f ca="1">IFERROR(__xludf.DUMMYFUNCTION("""COMPUTED_VALUE"""),355.74)</f>
        <v>355.74</v>
      </c>
      <c r="P1297" s="1">
        <f ca="1">IFERROR(__xludf.DUMMYFUNCTION("""COMPUTED_VALUE"""),163.73)</f>
        <v>163.72999999999999</v>
      </c>
      <c r="Q1297" s="1">
        <f ca="1">IFERROR(__xludf.DUMMYFUNCTION("""COMPUTED_VALUE"""),468.56)</f>
        <v>468.56</v>
      </c>
      <c r="R1297" s="1">
        <f ca="1">IFERROR(__xludf.DUMMYFUNCTION("""COMPUTED_VALUE"""),110.15)</f>
        <v>110.15</v>
      </c>
      <c r="S1297" s="1">
        <f ca="1">IFERROR(__xludf.DUMMYFUNCTION("""COMPUTED_VALUE"""),69.38)</f>
        <v>69.38</v>
      </c>
      <c r="T1297" s="1">
        <f ca="1">IFERROR(__xludf.DUMMYFUNCTION("""COMPUTED_VALUE"""),98.61)</f>
        <v>98.61</v>
      </c>
      <c r="U1297" s="1">
        <f ca="1">IFERROR(__xludf.DUMMYFUNCTION("""COMPUTED_VALUE"""),79.43)</f>
        <v>79.430000000000007</v>
      </c>
      <c r="V1297" s="1">
        <f ca="1">IFERROR(__xludf.DUMMYFUNCTION("""COMPUTED_VALUE"""),340)</f>
        <v>340</v>
      </c>
      <c r="W1297" s="1">
        <f ca="1">IFERROR(__xludf.DUMMYFUNCTION("""COMPUTED_VALUE"""),446.46)</f>
        <v>446.46</v>
      </c>
      <c r="X1297" s="1">
        <f ca="1">IFERROR(__xludf.DUMMYFUNCTION("""COMPUTED_VALUE"""),697.7)</f>
        <v>697.7</v>
      </c>
      <c r="Y1297" s="1">
        <f ca="1">IFERROR(__xludf.DUMMYFUNCTION("""COMPUTED_VALUE"""),181.09)</f>
        <v>181.09</v>
      </c>
      <c r="Z1297" s="1">
        <f ca="1">IFERROR(__xludf.DUMMYFUNCTION("""COMPUTED_VALUE"""),622.29)</f>
        <v>622.29</v>
      </c>
      <c r="AA1297" s="1">
        <f ca="1">IFERROR(__xludf.DUMMYFUNCTION("""COMPUTED_VALUE"""),26.1)</f>
        <v>26.1</v>
      </c>
      <c r="AB1297" s="1">
        <f ca="1">IFERROR(__xludf.DUMMYFUNCTION("""COMPUTED_VALUE"""),115.81)</f>
        <v>115.81</v>
      </c>
      <c r="AC1297" s="1">
        <f ca="1">IFERROR(__xludf.DUMMYFUNCTION("""COMPUTED_VALUE"""),99.86)</f>
        <v>99.86</v>
      </c>
    </row>
    <row r="1298" spans="1:29" x14ac:dyDescent="0.25">
      <c r="A1298" s="2">
        <f ca="1">IFERROR(__xludf.DUMMYFUNCTION("""COMPUTED_VALUE"""),45716.6666666666)</f>
        <v>45716.666666666599</v>
      </c>
      <c r="B1298" s="1">
        <f ca="1">IFERROR(__xludf.DUMMYFUNCTION("""COMPUTED_VALUE"""),241.84)</f>
        <v>241.84</v>
      </c>
      <c r="C1298" s="1">
        <f ca="1">IFERROR(__xludf.DUMMYFUNCTION("""COMPUTED_VALUE"""),396.99)</f>
        <v>396.99</v>
      </c>
      <c r="D1298" s="1">
        <f ca="1">IFERROR(__xludf.DUMMYFUNCTION("""COMPUTED_VALUE"""),212.28)</f>
        <v>212.28</v>
      </c>
      <c r="E1298" s="1">
        <f ca="1">IFERROR(__xludf.DUMMYFUNCTION("""COMPUTED_VALUE"""),124.92)</f>
        <v>124.92</v>
      </c>
      <c r="F1298" s="1">
        <f ca="1">IFERROR(__xludf.DUMMYFUNCTION("""COMPUTED_VALUE"""),655.05)</f>
        <v>655.04999999999995</v>
      </c>
      <c r="G1298" s="1">
        <f ca="1">IFERROR(__xludf.DUMMYFUNCTION("""COMPUTED_VALUE"""),172.22)</f>
        <v>172.22</v>
      </c>
      <c r="H1298" s="1">
        <f ca="1">IFERROR(__xludf.DUMMYFUNCTION("""COMPUTED_VALUE"""),284.65)</f>
        <v>284.64999999999998</v>
      </c>
      <c r="I1298" s="1">
        <f ca="1">IFERROR(__xludf.DUMMYFUNCTION("""COMPUTED_VALUE"""),155.99)</f>
        <v>155.99</v>
      </c>
      <c r="J1298" s="1">
        <f ca="1">IFERROR(__xludf.DUMMYFUNCTION("""COMPUTED_VALUE"""),1048.61)</f>
        <v>1048.6099999999999</v>
      </c>
      <c r="K1298" s="1">
        <f ca="1">IFERROR(__xludf.DUMMYFUNCTION("""COMPUTED_VALUE"""),199.43)</f>
        <v>199.43</v>
      </c>
      <c r="L1298" s="1">
        <f ca="1">IFERROR(__xludf.DUMMYFUNCTION("""COMPUTED_VALUE"""),438.56)</f>
        <v>438.56</v>
      </c>
      <c r="M1298" s="1">
        <f ca="1">IFERROR(__xludf.DUMMYFUNCTION("""COMPUTED_VALUE"""),980.56)</f>
        <v>980.56</v>
      </c>
      <c r="N1298" s="1">
        <f ca="1">IFERROR(__xludf.DUMMYFUNCTION("""COMPUTED_VALUE"""),260.62)</f>
        <v>260.62</v>
      </c>
      <c r="O1298" s="1">
        <f ca="1">IFERROR(__xludf.DUMMYFUNCTION("""COMPUTED_VALUE"""),362.71)</f>
        <v>362.71</v>
      </c>
      <c r="P1298" s="1">
        <f ca="1">IFERROR(__xludf.DUMMYFUNCTION("""COMPUTED_VALUE"""),165.02)</f>
        <v>165.02</v>
      </c>
      <c r="Q1298" s="1">
        <f ca="1">IFERROR(__xludf.DUMMYFUNCTION("""COMPUTED_VALUE"""),474.96)</f>
        <v>474.96</v>
      </c>
      <c r="R1298" s="1">
        <f ca="1">IFERROR(__xludf.DUMMYFUNCTION("""COMPUTED_VALUE"""),111.33)</f>
        <v>111.33</v>
      </c>
      <c r="S1298" s="1">
        <f ca="1">IFERROR(__xludf.DUMMYFUNCTION("""COMPUTED_VALUE"""),70.17)</f>
        <v>70.17</v>
      </c>
      <c r="T1298" s="1">
        <f ca="1">IFERROR(__xludf.DUMMYFUNCTION("""COMPUTED_VALUE"""),97.59)</f>
        <v>97.59</v>
      </c>
      <c r="U1298" s="1">
        <f ca="1">IFERROR(__xludf.DUMMYFUNCTION("""COMPUTED_VALUE"""),78.41)</f>
        <v>78.41</v>
      </c>
      <c r="V1298" s="1">
        <f ca="1">IFERROR(__xludf.DUMMYFUNCTION("""COMPUTED_VALUE"""),343.95)</f>
        <v>343.95</v>
      </c>
      <c r="W1298" s="1">
        <f ca="1">IFERROR(__xludf.DUMMYFUNCTION("""COMPUTED_VALUE"""),450.37)</f>
        <v>450.37</v>
      </c>
      <c r="X1298" s="1">
        <f ca="1">IFERROR(__xludf.DUMMYFUNCTION("""COMPUTED_VALUE"""),709.08)</f>
        <v>709.08</v>
      </c>
      <c r="Y1298" s="1">
        <f ca="1">IFERROR(__xludf.DUMMYFUNCTION("""COMPUTED_VALUE"""),180.53)</f>
        <v>180.53</v>
      </c>
      <c r="Z1298" s="1">
        <f ca="1">IFERROR(__xludf.DUMMYFUNCTION("""COMPUTED_VALUE"""),605.26)</f>
        <v>605.26</v>
      </c>
      <c r="AA1298" s="1">
        <f ca="1">IFERROR(__xludf.DUMMYFUNCTION("""COMPUTED_VALUE"""),26.43)</f>
        <v>26.43</v>
      </c>
      <c r="AB1298" s="1">
        <f ca="1">IFERROR(__xludf.DUMMYFUNCTION("""COMPUTED_VALUE"""),115.41)</f>
        <v>115.41</v>
      </c>
      <c r="AC1298" s="1">
        <f ca="1">IFERROR(__xludf.DUMMYFUNCTION("""COMPUTED_VALUE"""),98.23)</f>
        <v>98.23</v>
      </c>
    </row>
    <row r="1299" spans="1:29" x14ac:dyDescent="0.25">
      <c r="A1299" s="2">
        <f ca="1">IFERROR(__xludf.DUMMYFUNCTION("""COMPUTED_VALUE"""),45719.6666666666)</f>
        <v>45719.666666666599</v>
      </c>
      <c r="B1299" s="1">
        <f ca="1">IFERROR(__xludf.DUMMYFUNCTION("""COMPUTED_VALUE"""),238.03)</f>
        <v>238.03</v>
      </c>
      <c r="C1299" s="1">
        <f ca="1">IFERROR(__xludf.DUMMYFUNCTION("""COMPUTED_VALUE"""),388.49)</f>
        <v>388.49</v>
      </c>
      <c r="D1299" s="1">
        <f ca="1">IFERROR(__xludf.DUMMYFUNCTION("""COMPUTED_VALUE"""),205.02)</f>
        <v>205.02</v>
      </c>
      <c r="E1299" s="1">
        <f ca="1">IFERROR(__xludf.DUMMYFUNCTION("""COMPUTED_VALUE"""),114.06)</f>
        <v>114.06</v>
      </c>
      <c r="F1299" s="1">
        <f ca="1">IFERROR(__xludf.DUMMYFUNCTION("""COMPUTED_VALUE"""),640)</f>
        <v>640</v>
      </c>
      <c r="G1299" s="1">
        <f ca="1">IFERROR(__xludf.DUMMYFUNCTION("""COMPUTED_VALUE"""),168.66)</f>
        <v>168.66</v>
      </c>
      <c r="H1299" s="1">
        <f ca="1">IFERROR(__xludf.DUMMYFUNCTION("""COMPUTED_VALUE"""),272.04)</f>
        <v>272.04000000000002</v>
      </c>
      <c r="I1299" s="1">
        <f ca="1">IFERROR(__xludf.DUMMYFUNCTION("""COMPUTED_VALUE"""),154.19)</f>
        <v>154.19</v>
      </c>
      <c r="J1299" s="1">
        <f ca="1">IFERROR(__xludf.DUMMYFUNCTION("""COMPUTED_VALUE"""),1046.85)</f>
        <v>1046.8499999999999</v>
      </c>
      <c r="K1299" s="1">
        <f ca="1">IFERROR(__xludf.DUMMYFUNCTION("""COMPUTED_VALUE"""),187.37)</f>
        <v>187.37</v>
      </c>
      <c r="L1299" s="1">
        <f ca="1">IFERROR(__xludf.DUMMYFUNCTION("""COMPUTED_VALUE"""),440.72)</f>
        <v>440.72</v>
      </c>
      <c r="M1299" s="1">
        <f ca="1">IFERROR(__xludf.DUMMYFUNCTION("""COMPUTED_VALUE"""),973.7)</f>
        <v>973.7</v>
      </c>
      <c r="N1299" s="1">
        <f ca="1">IFERROR(__xludf.DUMMYFUNCTION("""COMPUTED_VALUE"""),250.25)</f>
        <v>250.25</v>
      </c>
      <c r="O1299" s="1">
        <f ca="1">IFERROR(__xludf.DUMMYFUNCTION("""COMPUTED_VALUE"""),361.82)</f>
        <v>361.82</v>
      </c>
      <c r="P1299" s="1">
        <f ca="1">IFERROR(__xludf.DUMMYFUNCTION("""COMPUTED_VALUE"""),167.28)</f>
        <v>167.28</v>
      </c>
      <c r="Q1299" s="1">
        <f ca="1">IFERROR(__xludf.DUMMYFUNCTION("""COMPUTED_VALUE"""),467.05)</f>
        <v>467.05</v>
      </c>
      <c r="R1299" s="1">
        <f ca="1">IFERROR(__xludf.DUMMYFUNCTION("""COMPUTED_VALUE"""),107.76)</f>
        <v>107.76</v>
      </c>
      <c r="S1299" s="1">
        <f ca="1">IFERROR(__xludf.DUMMYFUNCTION("""COMPUTED_VALUE"""),71.62)</f>
        <v>71.62</v>
      </c>
      <c r="T1299" s="1">
        <f ca="1">IFERROR(__xludf.DUMMYFUNCTION("""COMPUTED_VALUE"""),94.97)</f>
        <v>94.97</v>
      </c>
      <c r="U1299" s="1">
        <f ca="1">IFERROR(__xludf.DUMMYFUNCTION("""COMPUTED_VALUE"""),77.32)</f>
        <v>77.319999999999993</v>
      </c>
      <c r="V1299" s="1">
        <f ca="1">IFERROR(__xludf.DUMMYFUNCTION("""COMPUTED_VALUE"""),332.04)</f>
        <v>332.04</v>
      </c>
      <c r="W1299" s="1">
        <f ca="1">IFERROR(__xludf.DUMMYFUNCTION("""COMPUTED_VALUE"""),451.94)</f>
        <v>451.94</v>
      </c>
      <c r="X1299" s="1">
        <f ca="1">IFERROR(__xludf.DUMMYFUNCTION("""COMPUTED_VALUE"""),699.86)</f>
        <v>699.86</v>
      </c>
      <c r="Y1299" s="1">
        <f ca="1">IFERROR(__xludf.DUMMYFUNCTION("""COMPUTED_VALUE"""),172.97)</f>
        <v>172.97</v>
      </c>
      <c r="Z1299" s="1">
        <f ca="1">IFERROR(__xludf.DUMMYFUNCTION("""COMPUTED_VALUE"""),581.14)</f>
        <v>581.14</v>
      </c>
      <c r="AA1299" s="1">
        <f ca="1">IFERROR(__xludf.DUMMYFUNCTION("""COMPUTED_VALUE"""),26.25)</f>
        <v>26.25</v>
      </c>
      <c r="AB1299" s="1">
        <f ca="1">IFERROR(__xludf.DUMMYFUNCTION("""COMPUTED_VALUE"""),112.06)</f>
        <v>112.06</v>
      </c>
      <c r="AC1299" s="1">
        <f ca="1">IFERROR(__xludf.DUMMYFUNCTION("""COMPUTED_VALUE"""),100.75)</f>
        <v>100.75</v>
      </c>
    </row>
    <row r="1300" spans="1:29" x14ac:dyDescent="0.25">
      <c r="A1300" s="2">
        <f ca="1">IFERROR(__xludf.DUMMYFUNCTION("""COMPUTED_VALUE"""),45720.6666666666)</f>
        <v>45720.666666666599</v>
      </c>
      <c r="B1300" s="1">
        <f ca="1">IFERROR(__xludf.DUMMYFUNCTION("""COMPUTED_VALUE"""),235.93)</f>
        <v>235.93</v>
      </c>
      <c r="C1300" s="1">
        <f ca="1">IFERROR(__xludf.DUMMYFUNCTION("""COMPUTED_VALUE"""),388.61)</f>
        <v>388.61</v>
      </c>
      <c r="D1300" s="1">
        <f ca="1">IFERROR(__xludf.DUMMYFUNCTION("""COMPUTED_VALUE"""),203.8)</f>
        <v>203.8</v>
      </c>
      <c r="E1300" s="1">
        <f ca="1">IFERROR(__xludf.DUMMYFUNCTION("""COMPUTED_VALUE"""),115.99)</f>
        <v>115.99</v>
      </c>
      <c r="F1300" s="1">
        <f ca="1">IFERROR(__xludf.DUMMYFUNCTION("""COMPUTED_VALUE"""),656.47)</f>
        <v>656.47</v>
      </c>
      <c r="G1300" s="1">
        <f ca="1">IFERROR(__xludf.DUMMYFUNCTION("""COMPUTED_VALUE"""),172.61)</f>
        <v>172.61</v>
      </c>
      <c r="H1300" s="1">
        <f ca="1">IFERROR(__xludf.DUMMYFUNCTION("""COMPUTED_VALUE"""),279.1)</f>
        <v>279.10000000000002</v>
      </c>
      <c r="I1300" s="1">
        <f ca="1">IFERROR(__xludf.DUMMYFUNCTION("""COMPUTED_VALUE"""),153.88)</f>
        <v>153.88</v>
      </c>
      <c r="J1300" s="1">
        <f ca="1">IFERROR(__xludf.DUMMYFUNCTION("""COMPUTED_VALUE"""),1036.87)</f>
        <v>1036.8699999999999</v>
      </c>
      <c r="K1300" s="1">
        <f ca="1">IFERROR(__xludf.DUMMYFUNCTION("""COMPUTED_VALUE"""),187.48)</f>
        <v>187.48</v>
      </c>
      <c r="L1300" s="1">
        <f ca="1">IFERROR(__xludf.DUMMYFUNCTION("""COMPUTED_VALUE"""),446.03)</f>
        <v>446.03</v>
      </c>
      <c r="M1300" s="1">
        <f ca="1">IFERROR(__xludf.DUMMYFUNCTION("""COMPUTED_VALUE"""),972.58)</f>
        <v>972.58</v>
      </c>
      <c r="N1300" s="1">
        <f ca="1">IFERROR(__xludf.DUMMYFUNCTION("""COMPUTED_VALUE"""),251.53)</f>
        <v>251.53</v>
      </c>
      <c r="O1300" s="1">
        <f ca="1">IFERROR(__xludf.DUMMYFUNCTION("""COMPUTED_VALUE"""),352.23)</f>
        <v>352.23</v>
      </c>
      <c r="P1300" s="1">
        <f ca="1">IFERROR(__xludf.DUMMYFUNCTION("""COMPUTED_VALUE"""),165.42)</f>
        <v>165.42</v>
      </c>
      <c r="Q1300" s="1">
        <f ca="1">IFERROR(__xludf.DUMMYFUNCTION("""COMPUTED_VALUE"""),474.61)</f>
        <v>474.61</v>
      </c>
      <c r="R1300" s="1">
        <f ca="1">IFERROR(__xludf.DUMMYFUNCTION("""COMPUTED_VALUE"""),107.54)</f>
        <v>107.54</v>
      </c>
      <c r="S1300" s="1">
        <f ca="1">IFERROR(__xludf.DUMMYFUNCTION("""COMPUTED_VALUE"""),70.85)</f>
        <v>70.849999999999994</v>
      </c>
      <c r="T1300" s="1">
        <f ca="1">IFERROR(__xludf.DUMMYFUNCTION("""COMPUTED_VALUE"""),95.98)</f>
        <v>95.98</v>
      </c>
      <c r="U1300" s="1">
        <f ca="1">IFERROR(__xludf.DUMMYFUNCTION("""COMPUTED_VALUE"""),77.81)</f>
        <v>77.81</v>
      </c>
      <c r="V1300" s="1">
        <f ca="1">IFERROR(__xludf.DUMMYFUNCTION("""COMPUTED_VALUE"""),326.75)</f>
        <v>326.75</v>
      </c>
      <c r="W1300" s="1">
        <f ca="1">IFERROR(__xludf.DUMMYFUNCTION("""COMPUTED_VALUE"""),448.82)</f>
        <v>448.82</v>
      </c>
      <c r="X1300" s="1">
        <f ca="1">IFERROR(__xludf.DUMMYFUNCTION("""COMPUTED_VALUE"""),708.22)</f>
        <v>708.22</v>
      </c>
      <c r="Y1300" s="1">
        <f ca="1">IFERROR(__xludf.DUMMYFUNCTION("""COMPUTED_VALUE"""),180)</f>
        <v>180</v>
      </c>
      <c r="Z1300" s="1">
        <f ca="1">IFERROR(__xludf.DUMMYFUNCTION("""COMPUTED_VALUE"""),593.07)</f>
        <v>593.07000000000005</v>
      </c>
      <c r="AA1300" s="1">
        <f ca="1">IFERROR(__xludf.DUMMYFUNCTION("""COMPUTED_VALUE"""),25.75)</f>
        <v>25.75</v>
      </c>
      <c r="AB1300" s="1">
        <f ca="1">IFERROR(__xludf.DUMMYFUNCTION("""COMPUTED_VALUE"""),111.69)</f>
        <v>111.69</v>
      </c>
      <c r="AC1300" s="1">
        <f ca="1">IFERROR(__xludf.DUMMYFUNCTION("""COMPUTED_VALUE"""),101.67)</f>
        <v>101.67</v>
      </c>
    </row>
    <row r="1301" spans="1:29" x14ac:dyDescent="0.25">
      <c r="A1301" s="2">
        <f ca="1">IFERROR(__xludf.DUMMYFUNCTION("""COMPUTED_VALUE"""),45721.6666666666)</f>
        <v>45721.666666666599</v>
      </c>
      <c r="B1301" s="1">
        <f ca="1">IFERROR(__xludf.DUMMYFUNCTION("""COMPUTED_VALUE"""),235.74)</f>
        <v>235.74</v>
      </c>
      <c r="C1301" s="1">
        <f ca="1">IFERROR(__xludf.DUMMYFUNCTION("""COMPUTED_VALUE"""),401.02)</f>
        <v>401.02</v>
      </c>
      <c r="D1301" s="1">
        <f ca="1">IFERROR(__xludf.DUMMYFUNCTION("""COMPUTED_VALUE"""),208.36)</f>
        <v>208.36</v>
      </c>
      <c r="E1301" s="1">
        <f ca="1">IFERROR(__xludf.DUMMYFUNCTION("""COMPUTED_VALUE"""),117.3)</f>
        <v>117.3</v>
      </c>
      <c r="F1301" s="1">
        <f ca="1">IFERROR(__xludf.DUMMYFUNCTION("""COMPUTED_VALUE"""),627.93)</f>
        <v>627.92999999999995</v>
      </c>
      <c r="G1301" s="1">
        <f ca="1">IFERROR(__xludf.DUMMYFUNCTION("""COMPUTED_VALUE"""),174.99)</f>
        <v>174.99</v>
      </c>
      <c r="H1301" s="1">
        <f ca="1">IFERROR(__xludf.DUMMYFUNCTION("""COMPUTED_VALUE"""),263.45)</f>
        <v>263.45</v>
      </c>
      <c r="I1301" s="1">
        <f ca="1">IFERROR(__xludf.DUMMYFUNCTION("""COMPUTED_VALUE"""),154.61)</f>
        <v>154.61000000000001</v>
      </c>
      <c r="J1301" s="1">
        <f ca="1">IFERROR(__xludf.DUMMYFUNCTION("""COMPUTED_VALUE"""),1047.75)</f>
        <v>1047.75</v>
      </c>
      <c r="K1301" s="1">
        <f ca="1">IFERROR(__xludf.DUMMYFUNCTION("""COMPUTED_VALUE"""),191.58)</f>
        <v>191.58</v>
      </c>
      <c r="L1301" s="1">
        <f ca="1">IFERROR(__xludf.DUMMYFUNCTION("""COMPUTED_VALUE"""),451.24)</f>
        <v>451.24</v>
      </c>
      <c r="M1301" s="1">
        <f ca="1">IFERROR(__xludf.DUMMYFUNCTION("""COMPUTED_VALUE"""),990.92)</f>
        <v>990.92</v>
      </c>
      <c r="N1301" s="1">
        <f ca="1">IFERROR(__xludf.DUMMYFUNCTION("""COMPUTED_VALUE"""),246.54)</f>
        <v>246.54</v>
      </c>
      <c r="O1301" s="1">
        <f ca="1">IFERROR(__xludf.DUMMYFUNCTION("""COMPUTED_VALUE"""),352.68)</f>
        <v>352.68</v>
      </c>
      <c r="P1301" s="1">
        <f ca="1">IFERROR(__xludf.DUMMYFUNCTION("""COMPUTED_VALUE"""),165.12)</f>
        <v>165.12</v>
      </c>
      <c r="Q1301" s="1">
        <f ca="1">IFERROR(__xludf.DUMMYFUNCTION("""COMPUTED_VALUE"""),475.98)</f>
        <v>475.98</v>
      </c>
      <c r="R1301" s="1">
        <f ca="1">IFERROR(__xludf.DUMMYFUNCTION("""COMPUTED_VALUE"""),105.44)</f>
        <v>105.44</v>
      </c>
      <c r="S1301" s="1">
        <f ca="1">IFERROR(__xludf.DUMMYFUNCTION("""COMPUTED_VALUE"""),70.48)</f>
        <v>70.48</v>
      </c>
      <c r="T1301" s="1">
        <f ca="1">IFERROR(__xludf.DUMMYFUNCTION("""COMPUTED_VALUE"""),94.64)</f>
        <v>94.64</v>
      </c>
      <c r="U1301" s="1">
        <f ca="1">IFERROR(__xludf.DUMMYFUNCTION("""COMPUTED_VALUE"""),77.71)</f>
        <v>77.709999999999994</v>
      </c>
      <c r="V1301" s="1">
        <f ca="1">IFERROR(__xludf.DUMMYFUNCTION("""COMPUTED_VALUE"""),338.49)</f>
        <v>338.49</v>
      </c>
      <c r="W1301" s="1">
        <f ca="1">IFERROR(__xludf.DUMMYFUNCTION("""COMPUTED_VALUE"""),460.42)</f>
        <v>460.42</v>
      </c>
      <c r="X1301" s="1">
        <f ca="1">IFERROR(__xludf.DUMMYFUNCTION("""COMPUTED_VALUE"""),739.75)</f>
        <v>739.75</v>
      </c>
      <c r="Y1301" s="1">
        <f ca="1">IFERROR(__xludf.DUMMYFUNCTION("""COMPUTED_VALUE"""),184.28)</f>
        <v>184.28</v>
      </c>
      <c r="Z1301" s="1">
        <f ca="1">IFERROR(__xludf.DUMMYFUNCTION("""COMPUTED_VALUE"""),567.67)</f>
        <v>567.66999999999996</v>
      </c>
      <c r="AA1301" s="1">
        <f ca="1">IFERROR(__xludf.DUMMYFUNCTION("""COMPUTED_VALUE"""),25.94)</f>
        <v>25.94</v>
      </c>
      <c r="AB1301" s="1">
        <f ca="1">IFERROR(__xludf.DUMMYFUNCTION("""COMPUTED_VALUE"""),105.47)</f>
        <v>105.47</v>
      </c>
      <c r="AC1301" s="1">
        <f ca="1">IFERROR(__xludf.DUMMYFUNCTION("""COMPUTED_VALUE"""),98.85)</f>
        <v>98.85</v>
      </c>
    </row>
    <row r="1302" spans="1:29" x14ac:dyDescent="0.25">
      <c r="A1302" s="2">
        <f ca="1">IFERROR(__xludf.DUMMYFUNCTION("""COMPUTED_VALUE"""),45722.6666666666)</f>
        <v>45722.666666666599</v>
      </c>
      <c r="B1302" s="1">
        <f ca="1">IFERROR(__xludf.DUMMYFUNCTION("""COMPUTED_VALUE"""),235.33)</f>
        <v>235.33</v>
      </c>
      <c r="C1302" s="1">
        <f ca="1">IFERROR(__xludf.DUMMYFUNCTION("""COMPUTED_VALUE"""),396.89)</f>
        <v>396.89</v>
      </c>
      <c r="D1302" s="1">
        <f ca="1">IFERROR(__xludf.DUMMYFUNCTION("""COMPUTED_VALUE"""),200.7)</f>
        <v>200.7</v>
      </c>
      <c r="E1302" s="1">
        <f ca="1">IFERROR(__xludf.DUMMYFUNCTION("""COMPUTED_VALUE"""),110.57)</f>
        <v>110.57</v>
      </c>
      <c r="F1302" s="1">
        <f ca="1">IFERROR(__xludf.DUMMYFUNCTION("""COMPUTED_VALUE"""),625.66)</f>
        <v>625.66</v>
      </c>
      <c r="G1302" s="1">
        <f ca="1">IFERROR(__xludf.DUMMYFUNCTION("""COMPUTED_VALUE"""),174.21)</f>
        <v>174.21</v>
      </c>
      <c r="H1302" s="1">
        <f ca="1">IFERROR(__xludf.DUMMYFUNCTION("""COMPUTED_VALUE"""),262.67)</f>
        <v>262.67</v>
      </c>
      <c r="I1302" s="1">
        <f ca="1">IFERROR(__xludf.DUMMYFUNCTION("""COMPUTED_VALUE"""),154.44)</f>
        <v>154.44</v>
      </c>
      <c r="J1302" s="1">
        <f ca="1">IFERROR(__xludf.DUMMYFUNCTION("""COMPUTED_VALUE"""),1026.62)</f>
        <v>1026.6199999999999</v>
      </c>
      <c r="K1302" s="1">
        <f ca="1">IFERROR(__xludf.DUMMYFUNCTION("""COMPUTED_VALUE"""),179.45)</f>
        <v>179.45</v>
      </c>
      <c r="L1302" s="1">
        <f ca="1">IFERROR(__xludf.DUMMYFUNCTION("""COMPUTED_VALUE"""),444.78)</f>
        <v>444.78</v>
      </c>
      <c r="M1302" s="1">
        <f ca="1">IFERROR(__xludf.DUMMYFUNCTION("""COMPUTED_VALUE"""),906.36)</f>
        <v>906.36</v>
      </c>
      <c r="N1302" s="1">
        <f ca="1">IFERROR(__xludf.DUMMYFUNCTION("""COMPUTED_VALUE"""),242.28)</f>
        <v>242.28</v>
      </c>
      <c r="O1302" s="1">
        <f ca="1">IFERROR(__xludf.DUMMYFUNCTION("""COMPUTED_VALUE"""),344.16)</f>
        <v>344.16</v>
      </c>
      <c r="P1302" s="1">
        <f ca="1">IFERROR(__xludf.DUMMYFUNCTION("""COMPUTED_VALUE"""),165.83)</f>
        <v>165.83</v>
      </c>
      <c r="Q1302" s="1">
        <f ca="1">IFERROR(__xludf.DUMMYFUNCTION("""COMPUTED_VALUE"""),487.72)</f>
        <v>487.72</v>
      </c>
      <c r="R1302" s="1">
        <f ca="1">IFERROR(__xludf.DUMMYFUNCTION("""COMPUTED_VALUE"""),107.62)</f>
        <v>107.62</v>
      </c>
      <c r="S1302" s="1">
        <f ca="1">IFERROR(__xludf.DUMMYFUNCTION("""COMPUTED_VALUE"""),70.01)</f>
        <v>70.010000000000005</v>
      </c>
      <c r="T1302" s="1">
        <f ca="1">IFERROR(__xludf.DUMMYFUNCTION("""COMPUTED_VALUE"""),91.72)</f>
        <v>91.72</v>
      </c>
      <c r="U1302" s="1">
        <f ca="1">IFERROR(__xludf.DUMMYFUNCTION("""COMPUTED_VALUE"""),78.59)</f>
        <v>78.59</v>
      </c>
      <c r="V1302" s="1">
        <f ca="1">IFERROR(__xludf.DUMMYFUNCTION("""COMPUTED_VALUE"""),341.01)</f>
        <v>341.01</v>
      </c>
      <c r="W1302" s="1">
        <f ca="1">IFERROR(__xludf.DUMMYFUNCTION("""COMPUTED_VALUE"""),461.5)</f>
        <v>461.5</v>
      </c>
      <c r="X1302" s="1">
        <f ca="1">IFERROR(__xludf.DUMMYFUNCTION("""COMPUTED_VALUE"""),714.84)</f>
        <v>714.84</v>
      </c>
      <c r="Y1302" s="1">
        <f ca="1">IFERROR(__xludf.DUMMYFUNCTION("""COMPUTED_VALUE"""),175.85)</f>
        <v>175.85</v>
      </c>
      <c r="Z1302" s="1">
        <f ca="1">IFERROR(__xludf.DUMMYFUNCTION("""COMPUTED_VALUE"""),559.67)</f>
        <v>559.66999999999996</v>
      </c>
      <c r="AA1302" s="1">
        <f ca="1">IFERROR(__xludf.DUMMYFUNCTION("""COMPUTED_VALUE"""),26.24)</f>
        <v>26.24</v>
      </c>
      <c r="AB1302" s="1">
        <f ca="1">IFERROR(__xludf.DUMMYFUNCTION("""COMPUTED_VALUE"""),106.48)</f>
        <v>106.48</v>
      </c>
      <c r="AC1302" s="1">
        <f ca="1">IFERROR(__xludf.DUMMYFUNCTION("""COMPUTED_VALUE"""),100.31)</f>
        <v>100.31</v>
      </c>
    </row>
    <row r="1303" spans="1:29" x14ac:dyDescent="0.25">
      <c r="A1303" s="2">
        <f ca="1">IFERROR(__xludf.DUMMYFUNCTION("""COMPUTED_VALUE"""),45723.6666666666)</f>
        <v>45723.666666666599</v>
      </c>
      <c r="B1303" s="1">
        <f ca="1">IFERROR(__xludf.DUMMYFUNCTION("""COMPUTED_VALUE"""),239.07)</f>
        <v>239.07</v>
      </c>
      <c r="C1303" s="1">
        <f ca="1">IFERROR(__xludf.DUMMYFUNCTION("""COMPUTED_VALUE"""),393.31)</f>
        <v>393.31</v>
      </c>
      <c r="D1303" s="1">
        <f ca="1">IFERROR(__xludf.DUMMYFUNCTION("""COMPUTED_VALUE"""),199.25)</f>
        <v>199.25</v>
      </c>
      <c r="E1303" s="1">
        <f ca="1">IFERROR(__xludf.DUMMYFUNCTION("""COMPUTED_VALUE"""),112.69)</f>
        <v>112.69</v>
      </c>
      <c r="F1303" s="1">
        <f ca="1">IFERROR(__xludf.DUMMYFUNCTION("""COMPUTED_VALUE"""),597.99)</f>
        <v>597.99</v>
      </c>
      <c r="G1303" s="1">
        <f ca="1">IFERROR(__xludf.DUMMYFUNCTION("""COMPUTED_VALUE"""),175.75)</f>
        <v>175.75</v>
      </c>
      <c r="H1303" s="1">
        <f ca="1">IFERROR(__xludf.DUMMYFUNCTION("""COMPUTED_VALUE"""),222.15)</f>
        <v>222.15</v>
      </c>
      <c r="I1303" s="1">
        <f ca="1">IFERROR(__xludf.DUMMYFUNCTION("""COMPUTED_VALUE"""),156.25)</f>
        <v>156.25</v>
      </c>
      <c r="J1303" s="1">
        <f ca="1">IFERROR(__xludf.DUMMYFUNCTION("""COMPUTED_VALUE"""),964.31)</f>
        <v>964.31</v>
      </c>
      <c r="K1303" s="1">
        <f ca="1">IFERROR(__xludf.DUMMYFUNCTION("""COMPUTED_VALUE"""),194.96)</f>
        <v>194.96</v>
      </c>
      <c r="L1303" s="1">
        <f ca="1">IFERROR(__xludf.DUMMYFUNCTION("""COMPUTED_VALUE"""),449.4)</f>
        <v>449.4</v>
      </c>
      <c r="M1303" s="1">
        <f ca="1">IFERROR(__xludf.DUMMYFUNCTION("""COMPUTED_VALUE"""),891.11)</f>
        <v>891.11</v>
      </c>
      <c r="N1303" s="1">
        <f ca="1">IFERROR(__xludf.DUMMYFUNCTION("""COMPUTED_VALUE"""),232.22)</f>
        <v>232.22</v>
      </c>
      <c r="O1303" s="1">
        <f ca="1">IFERROR(__xludf.DUMMYFUNCTION("""COMPUTED_VALUE"""),345.32)</f>
        <v>345.32</v>
      </c>
      <c r="P1303" s="1">
        <f ca="1">IFERROR(__xludf.DUMMYFUNCTION("""COMPUTED_VALUE"""),166.69)</f>
        <v>166.69</v>
      </c>
      <c r="Q1303" s="1">
        <f ca="1">IFERROR(__xludf.DUMMYFUNCTION("""COMPUTED_VALUE"""),493.48)</f>
        <v>493.48</v>
      </c>
      <c r="R1303" s="1">
        <f ca="1">IFERROR(__xludf.DUMMYFUNCTION("""COMPUTED_VALUE"""),109.02)</f>
        <v>109.02</v>
      </c>
      <c r="S1303" s="1">
        <f ca="1">IFERROR(__xludf.DUMMYFUNCTION("""COMPUTED_VALUE"""),72.83)</f>
        <v>72.83</v>
      </c>
      <c r="T1303" s="1">
        <f ca="1">IFERROR(__xludf.DUMMYFUNCTION("""COMPUTED_VALUE"""),87.82)</f>
        <v>87.82</v>
      </c>
      <c r="U1303" s="1">
        <f ca="1">IFERROR(__xludf.DUMMYFUNCTION("""COMPUTED_VALUE"""),76.4)</f>
        <v>76.400000000000006</v>
      </c>
      <c r="V1303" s="1">
        <f ca="1">IFERROR(__xludf.DUMMYFUNCTION("""COMPUTED_VALUE"""),350.3)</f>
        <v>350.3</v>
      </c>
      <c r="W1303" s="1">
        <f ca="1">IFERROR(__xludf.DUMMYFUNCTION("""COMPUTED_VALUE"""),473.65)</f>
        <v>473.65</v>
      </c>
      <c r="X1303" s="1">
        <f ca="1">IFERROR(__xludf.DUMMYFUNCTION("""COMPUTED_VALUE"""),732.22)</f>
        <v>732.22</v>
      </c>
      <c r="Y1303" s="1">
        <f ca="1">IFERROR(__xludf.DUMMYFUNCTION("""COMPUTED_VALUE"""),177.1)</f>
        <v>177.1</v>
      </c>
      <c r="Z1303" s="1">
        <f ca="1">IFERROR(__xludf.DUMMYFUNCTION("""COMPUTED_VALUE"""),531.66)</f>
        <v>531.66</v>
      </c>
      <c r="AA1303" s="1">
        <f ca="1">IFERROR(__xludf.DUMMYFUNCTION("""COMPUTED_VALUE"""),26.73)</f>
        <v>26.73</v>
      </c>
      <c r="AB1303" s="1">
        <f ca="1">IFERROR(__xludf.DUMMYFUNCTION("""COMPUTED_VALUE"""),101.13)</f>
        <v>101.13</v>
      </c>
      <c r="AC1303" s="1">
        <f ca="1">IFERROR(__xludf.DUMMYFUNCTION("""COMPUTED_VALUE"""),96.63)</f>
        <v>96.63</v>
      </c>
    </row>
    <row r="1304" spans="1:29" x14ac:dyDescent="0.25">
      <c r="A1304" s="2">
        <f ca="1">IFERROR(__xludf.DUMMYFUNCTION("""COMPUTED_VALUE"""),45726.6666666666)</f>
        <v>45726.666666666599</v>
      </c>
      <c r="B1304" s="1">
        <f ca="1">IFERROR(__xludf.DUMMYFUNCTION("""COMPUTED_VALUE"""),227.48)</f>
        <v>227.48</v>
      </c>
      <c r="C1304" s="1">
        <f ca="1">IFERROR(__xludf.DUMMYFUNCTION("""COMPUTED_VALUE"""),380.16)</f>
        <v>380.16</v>
      </c>
      <c r="D1304" s="1">
        <f ca="1">IFERROR(__xludf.DUMMYFUNCTION("""COMPUTED_VALUE"""),194.54)</f>
        <v>194.54</v>
      </c>
      <c r="E1304" s="1">
        <f ca="1">IFERROR(__xludf.DUMMYFUNCTION("""COMPUTED_VALUE"""),106.98)</f>
        <v>106.98</v>
      </c>
      <c r="F1304" s="1">
        <f ca="1">IFERROR(__xludf.DUMMYFUNCTION("""COMPUTED_VALUE"""),605.71)</f>
        <v>605.71</v>
      </c>
      <c r="G1304" s="1">
        <f ca="1">IFERROR(__xludf.DUMMYFUNCTION("""COMPUTED_VALUE"""),167.81)</f>
        <v>167.81</v>
      </c>
      <c r="H1304" s="1">
        <f ca="1">IFERROR(__xludf.DUMMYFUNCTION("""COMPUTED_VALUE"""),230.58)</f>
        <v>230.58</v>
      </c>
      <c r="I1304" s="1">
        <f ca="1">IFERROR(__xludf.DUMMYFUNCTION("""COMPUTED_VALUE"""),152.33)</f>
        <v>152.33000000000001</v>
      </c>
      <c r="J1304" s="1">
        <f ca="1">IFERROR(__xludf.DUMMYFUNCTION("""COMPUTED_VALUE"""),934.41)</f>
        <v>934.41</v>
      </c>
      <c r="K1304" s="1">
        <f ca="1">IFERROR(__xludf.DUMMYFUNCTION("""COMPUTED_VALUE"""),184.45)</f>
        <v>184.45</v>
      </c>
      <c r="L1304" s="1">
        <f ca="1">IFERROR(__xludf.DUMMYFUNCTION("""COMPUTED_VALUE"""),435.08)</f>
        <v>435.08</v>
      </c>
      <c r="M1304" s="1">
        <f ca="1">IFERROR(__xludf.DUMMYFUNCTION("""COMPUTED_VALUE"""),866.68)</f>
        <v>866.68</v>
      </c>
      <c r="N1304" s="1">
        <f ca="1">IFERROR(__xludf.DUMMYFUNCTION("""COMPUTED_VALUE"""),229.14)</f>
        <v>229.14</v>
      </c>
      <c r="O1304" s="1">
        <f ca="1">IFERROR(__xludf.DUMMYFUNCTION("""COMPUTED_VALUE"""),341.48)</f>
        <v>341.48</v>
      </c>
      <c r="P1304" s="1">
        <f ca="1">IFERROR(__xludf.DUMMYFUNCTION("""COMPUTED_VALUE"""),167.7)</f>
        <v>167.7</v>
      </c>
      <c r="Q1304" s="1">
        <f ca="1">IFERROR(__xludf.DUMMYFUNCTION("""COMPUTED_VALUE"""),480.22)</f>
        <v>480.22</v>
      </c>
      <c r="R1304" s="1">
        <f ca="1">IFERROR(__xludf.DUMMYFUNCTION("""COMPUTED_VALUE"""),111.8)</f>
        <v>111.8</v>
      </c>
      <c r="S1304" s="1">
        <f ca="1">IFERROR(__xludf.DUMMYFUNCTION("""COMPUTED_VALUE"""),76.16)</f>
        <v>76.16</v>
      </c>
      <c r="T1304" s="1">
        <f ca="1">IFERROR(__xludf.DUMMYFUNCTION("""COMPUTED_VALUE"""),87.44)</f>
        <v>87.44</v>
      </c>
      <c r="U1304" s="1">
        <f ca="1">IFERROR(__xludf.DUMMYFUNCTION("""COMPUTED_VALUE"""),74.17)</f>
        <v>74.17</v>
      </c>
      <c r="V1304" s="1">
        <f ca="1">IFERROR(__xludf.DUMMYFUNCTION("""COMPUTED_VALUE"""),345.21)</f>
        <v>345.21</v>
      </c>
      <c r="W1304" s="1">
        <f ca="1">IFERROR(__xludf.DUMMYFUNCTION("""COMPUTED_VALUE"""),479.17)</f>
        <v>479.17</v>
      </c>
      <c r="X1304" s="1">
        <f ca="1">IFERROR(__xludf.DUMMYFUNCTION("""COMPUTED_VALUE"""),683.11)</f>
        <v>683.11</v>
      </c>
      <c r="Y1304" s="1">
        <f ca="1">IFERROR(__xludf.DUMMYFUNCTION("""COMPUTED_VALUE"""),170.65)</f>
        <v>170.65</v>
      </c>
      <c r="Z1304" s="1">
        <f ca="1">IFERROR(__xludf.DUMMYFUNCTION("""COMPUTED_VALUE"""),531.43)</f>
        <v>531.42999999999995</v>
      </c>
      <c r="AA1304" s="1">
        <f ca="1">IFERROR(__xludf.DUMMYFUNCTION("""COMPUTED_VALUE"""),26.64)</f>
        <v>26.64</v>
      </c>
      <c r="AB1304" s="1">
        <f ca="1">IFERROR(__xludf.DUMMYFUNCTION("""COMPUTED_VALUE"""),99.58)</f>
        <v>99.58</v>
      </c>
      <c r="AC1304" s="1">
        <f ca="1">IFERROR(__xludf.DUMMYFUNCTION("""COMPUTED_VALUE"""),96.76)</f>
        <v>96.76</v>
      </c>
    </row>
    <row r="1305" spans="1:29" x14ac:dyDescent="0.25">
      <c r="A1305" s="2">
        <f ca="1">IFERROR(__xludf.DUMMYFUNCTION("""COMPUTED_VALUE"""),45727.6666666666)</f>
        <v>45727.666666666599</v>
      </c>
      <c r="B1305" s="1">
        <f ca="1">IFERROR(__xludf.DUMMYFUNCTION("""COMPUTED_VALUE"""),220.84)</f>
        <v>220.84</v>
      </c>
      <c r="C1305" s="1">
        <f ca="1">IFERROR(__xludf.DUMMYFUNCTION("""COMPUTED_VALUE"""),380.45)</f>
        <v>380.45</v>
      </c>
      <c r="D1305" s="1">
        <f ca="1">IFERROR(__xludf.DUMMYFUNCTION("""COMPUTED_VALUE"""),196.59)</f>
        <v>196.59</v>
      </c>
      <c r="E1305" s="1">
        <f ca="1">IFERROR(__xludf.DUMMYFUNCTION("""COMPUTED_VALUE"""),108.76)</f>
        <v>108.76</v>
      </c>
      <c r="F1305" s="1">
        <f ca="1">IFERROR(__xludf.DUMMYFUNCTION("""COMPUTED_VALUE"""),619.56)</f>
        <v>619.55999999999995</v>
      </c>
      <c r="G1305" s="1">
        <f ca="1">IFERROR(__xludf.DUMMYFUNCTION("""COMPUTED_VALUE"""),165.98)</f>
        <v>165.98</v>
      </c>
      <c r="H1305" s="1">
        <f ca="1">IFERROR(__xludf.DUMMYFUNCTION("""COMPUTED_VALUE"""),248.09)</f>
        <v>248.09</v>
      </c>
      <c r="I1305" s="1">
        <f ca="1">IFERROR(__xludf.DUMMYFUNCTION("""COMPUTED_VALUE"""),148.17)</f>
        <v>148.16999999999999</v>
      </c>
      <c r="J1305" s="1">
        <f ca="1">IFERROR(__xludf.DUMMYFUNCTION("""COMPUTED_VALUE"""),930.49)</f>
        <v>930.49</v>
      </c>
      <c r="K1305" s="1">
        <f ca="1">IFERROR(__xludf.DUMMYFUNCTION("""COMPUTED_VALUE"""),190.09)</f>
        <v>190.09</v>
      </c>
      <c r="L1305" s="1">
        <f ca="1">IFERROR(__xludf.DUMMYFUNCTION("""COMPUTED_VALUE"""),433.66)</f>
        <v>433.66</v>
      </c>
      <c r="M1305" s="1">
        <f ca="1">IFERROR(__xludf.DUMMYFUNCTION("""COMPUTED_VALUE"""),895.1)</f>
        <v>895.1</v>
      </c>
      <c r="N1305" s="1">
        <f ca="1">IFERROR(__xludf.DUMMYFUNCTION("""COMPUTED_VALUE"""),227.9)</f>
        <v>227.9</v>
      </c>
      <c r="O1305" s="1">
        <f ca="1">IFERROR(__xludf.DUMMYFUNCTION("""COMPUTED_VALUE"""),332.14)</f>
        <v>332.14</v>
      </c>
      <c r="P1305" s="1">
        <f ca="1">IFERROR(__xludf.DUMMYFUNCTION("""COMPUTED_VALUE"""),165.86)</f>
        <v>165.86</v>
      </c>
      <c r="Q1305" s="1">
        <f ca="1">IFERROR(__xludf.DUMMYFUNCTION("""COMPUTED_VALUE"""),486.04)</f>
        <v>486.04</v>
      </c>
      <c r="R1305" s="1">
        <f ca="1">IFERROR(__xludf.DUMMYFUNCTION("""COMPUTED_VALUE"""),109.16)</f>
        <v>109.16</v>
      </c>
      <c r="S1305" s="1">
        <f ca="1">IFERROR(__xludf.DUMMYFUNCTION("""COMPUTED_VALUE"""),74.03)</f>
        <v>74.03</v>
      </c>
      <c r="T1305" s="1">
        <f ca="1">IFERROR(__xludf.DUMMYFUNCTION("""COMPUTED_VALUE"""),85.2)</f>
        <v>85.2</v>
      </c>
      <c r="U1305" s="1">
        <f ca="1">IFERROR(__xludf.DUMMYFUNCTION("""COMPUTED_VALUE"""),73.58)</f>
        <v>73.58</v>
      </c>
      <c r="V1305" s="1">
        <f ca="1">IFERROR(__xludf.DUMMYFUNCTION("""COMPUTED_VALUE"""),339.77)</f>
        <v>339.77</v>
      </c>
      <c r="W1305" s="1">
        <f ca="1">IFERROR(__xludf.DUMMYFUNCTION("""COMPUTED_VALUE"""),468.88)</f>
        <v>468.88</v>
      </c>
      <c r="X1305" s="1">
        <f ca="1">IFERROR(__xludf.DUMMYFUNCTION("""COMPUTED_VALUE"""),690.21)</f>
        <v>690.21</v>
      </c>
      <c r="Y1305" s="1">
        <f ca="1">IFERROR(__xludf.DUMMYFUNCTION("""COMPUTED_VALUE"""),170.97)</f>
        <v>170.97</v>
      </c>
      <c r="Z1305" s="1">
        <f ca="1">IFERROR(__xludf.DUMMYFUNCTION("""COMPUTED_VALUE"""),535.71)</f>
        <v>535.71</v>
      </c>
      <c r="AA1305" s="1">
        <f ca="1">IFERROR(__xludf.DUMMYFUNCTION("""COMPUTED_VALUE"""),25.99)</f>
        <v>25.99</v>
      </c>
      <c r="AB1305" s="1">
        <f ca="1">IFERROR(__xludf.DUMMYFUNCTION("""COMPUTED_VALUE"""),98.69)</f>
        <v>98.69</v>
      </c>
      <c r="AC1305" s="1">
        <f ca="1">IFERROR(__xludf.DUMMYFUNCTION("""COMPUTED_VALUE"""),100.79)</f>
        <v>100.79</v>
      </c>
    </row>
    <row r="1306" spans="1:29" x14ac:dyDescent="0.25">
      <c r="A1306" s="2">
        <f ca="1">IFERROR(__xludf.DUMMYFUNCTION("""COMPUTED_VALUE"""),45728.6666666666)</f>
        <v>45728.666666666599</v>
      </c>
      <c r="B1306" s="1">
        <f ca="1">IFERROR(__xludf.DUMMYFUNCTION("""COMPUTED_VALUE"""),216.98)</f>
        <v>216.98</v>
      </c>
      <c r="C1306" s="1">
        <f ca="1">IFERROR(__xludf.DUMMYFUNCTION("""COMPUTED_VALUE"""),383.27)</f>
        <v>383.27</v>
      </c>
      <c r="D1306" s="1">
        <f ca="1">IFERROR(__xludf.DUMMYFUNCTION("""COMPUTED_VALUE"""),198.89)</f>
        <v>198.89</v>
      </c>
      <c r="E1306" s="1">
        <f ca="1">IFERROR(__xludf.DUMMYFUNCTION("""COMPUTED_VALUE"""),115.74)</f>
        <v>115.74</v>
      </c>
      <c r="F1306" s="1">
        <f ca="1">IFERROR(__xludf.DUMMYFUNCTION("""COMPUTED_VALUE"""),590.64)</f>
        <v>590.64</v>
      </c>
      <c r="G1306" s="1">
        <f ca="1">IFERROR(__xludf.DUMMYFUNCTION("""COMPUTED_VALUE"""),169)</f>
        <v>169</v>
      </c>
      <c r="H1306" s="1">
        <f ca="1">IFERROR(__xludf.DUMMYFUNCTION("""COMPUTED_VALUE"""),240.68)</f>
        <v>240.68</v>
      </c>
      <c r="I1306" s="1">
        <f ca="1">IFERROR(__xludf.DUMMYFUNCTION("""COMPUTED_VALUE"""),148.34)</f>
        <v>148.34</v>
      </c>
      <c r="J1306" s="1">
        <f ca="1">IFERROR(__xludf.DUMMYFUNCTION("""COMPUTED_VALUE"""),927.08)</f>
        <v>927.08</v>
      </c>
      <c r="K1306" s="1">
        <f ca="1">IFERROR(__xludf.DUMMYFUNCTION("""COMPUTED_VALUE"""),194.23)</f>
        <v>194.23</v>
      </c>
      <c r="L1306" s="1">
        <f ca="1">IFERROR(__xludf.DUMMYFUNCTION("""COMPUTED_VALUE"""),438.6)</f>
        <v>438.6</v>
      </c>
      <c r="M1306" s="1">
        <f ca="1">IFERROR(__xludf.DUMMYFUNCTION("""COMPUTED_VALUE"""),919.68)</f>
        <v>919.68</v>
      </c>
      <c r="N1306" s="1">
        <f ca="1">IFERROR(__xludf.DUMMYFUNCTION("""COMPUTED_VALUE"""),225.19)</f>
        <v>225.19</v>
      </c>
      <c r="O1306" s="1">
        <f ca="1">IFERROR(__xludf.DUMMYFUNCTION("""COMPUTED_VALUE"""),332.84)</f>
        <v>332.84</v>
      </c>
      <c r="P1306" s="1">
        <f ca="1">IFERROR(__xludf.DUMMYFUNCTION("""COMPUTED_VALUE"""),162.85)</f>
        <v>162.85</v>
      </c>
      <c r="Q1306" s="1">
        <f ca="1">IFERROR(__xludf.DUMMYFUNCTION("""COMPUTED_VALUE"""),481.11)</f>
        <v>481.11</v>
      </c>
      <c r="R1306" s="1">
        <f ca="1">IFERROR(__xludf.DUMMYFUNCTION("""COMPUTED_VALUE"""),109.13)</f>
        <v>109.13</v>
      </c>
      <c r="S1306" s="1">
        <f ca="1">IFERROR(__xludf.DUMMYFUNCTION("""COMPUTED_VALUE"""),72.92)</f>
        <v>72.92</v>
      </c>
      <c r="T1306" s="1">
        <f ca="1">IFERROR(__xludf.DUMMYFUNCTION("""COMPUTED_VALUE"""),84.5)</f>
        <v>84.5</v>
      </c>
      <c r="U1306" s="1">
        <f ca="1">IFERROR(__xludf.DUMMYFUNCTION("""COMPUTED_VALUE"""),72.64)</f>
        <v>72.64</v>
      </c>
      <c r="V1306" s="1">
        <f ca="1">IFERROR(__xludf.DUMMYFUNCTION("""COMPUTED_VALUE"""),338.13)</f>
        <v>338.13</v>
      </c>
      <c r="W1306" s="1">
        <f ca="1">IFERROR(__xludf.DUMMYFUNCTION("""COMPUTED_VALUE"""),461.5)</f>
        <v>461.5</v>
      </c>
      <c r="X1306" s="1">
        <f ca="1">IFERROR(__xludf.DUMMYFUNCTION("""COMPUTED_VALUE"""),703.37)</f>
        <v>703.37</v>
      </c>
      <c r="Y1306" s="1">
        <f ca="1">IFERROR(__xludf.DUMMYFUNCTION("""COMPUTED_VALUE"""),177.17)</f>
        <v>177.17</v>
      </c>
      <c r="Z1306" s="1">
        <f ca="1">IFERROR(__xludf.DUMMYFUNCTION("""COMPUTED_VALUE"""),524.81)</f>
        <v>524.80999999999995</v>
      </c>
      <c r="AA1306" s="1">
        <f ca="1">IFERROR(__xludf.DUMMYFUNCTION("""COMPUTED_VALUE"""),25.71)</f>
        <v>25.71</v>
      </c>
      <c r="AB1306" s="1">
        <f ca="1">IFERROR(__xludf.DUMMYFUNCTION("""COMPUTED_VALUE"""),96.04)</f>
        <v>96.04</v>
      </c>
      <c r="AC1306" s="1">
        <f ca="1">IFERROR(__xludf.DUMMYFUNCTION("""COMPUTED_VALUE"""),98.11)</f>
        <v>98.11</v>
      </c>
    </row>
    <row r="1307" spans="1:29" x14ac:dyDescent="0.25">
      <c r="A1307" s="2">
        <f ca="1">IFERROR(__xludf.DUMMYFUNCTION("""COMPUTED_VALUE"""),45729.6666666666)</f>
        <v>45729.666666666599</v>
      </c>
      <c r="B1307" s="1">
        <f ca="1">IFERROR(__xludf.DUMMYFUNCTION("""COMPUTED_VALUE"""),209.68)</f>
        <v>209.68</v>
      </c>
      <c r="C1307" s="1">
        <f ca="1">IFERROR(__xludf.DUMMYFUNCTION("""COMPUTED_VALUE"""),378.77)</f>
        <v>378.77</v>
      </c>
      <c r="D1307" s="1">
        <f ca="1">IFERROR(__xludf.DUMMYFUNCTION("""COMPUTED_VALUE"""),193.89)</f>
        <v>193.89</v>
      </c>
      <c r="E1307" s="1">
        <f ca="1">IFERROR(__xludf.DUMMYFUNCTION("""COMPUTED_VALUE"""),115.58)</f>
        <v>115.58</v>
      </c>
      <c r="F1307" s="1">
        <f ca="1">IFERROR(__xludf.DUMMYFUNCTION("""COMPUTED_VALUE"""),607.6)</f>
        <v>607.6</v>
      </c>
      <c r="G1307" s="1">
        <f ca="1">IFERROR(__xludf.DUMMYFUNCTION("""COMPUTED_VALUE"""),164.73)</f>
        <v>164.73</v>
      </c>
      <c r="H1307" s="1">
        <f ca="1">IFERROR(__xludf.DUMMYFUNCTION("""COMPUTED_VALUE"""),249.98)</f>
        <v>249.98</v>
      </c>
      <c r="I1307" s="1">
        <f ca="1">IFERROR(__xludf.DUMMYFUNCTION("""COMPUTED_VALUE"""),148.59)</f>
        <v>148.59</v>
      </c>
      <c r="J1307" s="1">
        <f ca="1">IFERROR(__xludf.DUMMYFUNCTION("""COMPUTED_VALUE"""),890.62)</f>
        <v>890.62</v>
      </c>
      <c r="K1307" s="1">
        <f ca="1">IFERROR(__xludf.DUMMYFUNCTION("""COMPUTED_VALUE"""),191.36)</f>
        <v>191.36</v>
      </c>
      <c r="L1307" s="1">
        <f ca="1">IFERROR(__xludf.DUMMYFUNCTION("""COMPUTED_VALUE"""),377.84)</f>
        <v>377.84</v>
      </c>
      <c r="M1307" s="1">
        <f ca="1">IFERROR(__xludf.DUMMYFUNCTION("""COMPUTED_VALUE"""),890.17)</f>
        <v>890.17</v>
      </c>
      <c r="N1307" s="1">
        <f ca="1">IFERROR(__xludf.DUMMYFUNCTION("""COMPUTED_VALUE"""),232.44)</f>
        <v>232.44</v>
      </c>
      <c r="O1307" s="1">
        <f ca="1">IFERROR(__xludf.DUMMYFUNCTION("""COMPUTED_VALUE"""),328.55)</f>
        <v>328.55</v>
      </c>
      <c r="P1307" s="1">
        <f ca="1">IFERROR(__xludf.DUMMYFUNCTION("""COMPUTED_VALUE"""),162.99)</f>
        <v>162.99</v>
      </c>
      <c r="Q1307" s="1">
        <f ca="1">IFERROR(__xludf.DUMMYFUNCTION("""COMPUTED_VALUE"""),481.52)</f>
        <v>481.52</v>
      </c>
      <c r="R1307" s="1">
        <f ca="1">IFERROR(__xludf.DUMMYFUNCTION("""COMPUTED_VALUE"""),108.67)</f>
        <v>108.67</v>
      </c>
      <c r="S1307" s="1">
        <f ca="1">IFERROR(__xludf.DUMMYFUNCTION("""COMPUTED_VALUE"""),72.73)</f>
        <v>72.73</v>
      </c>
      <c r="T1307" s="1">
        <f ca="1">IFERROR(__xludf.DUMMYFUNCTION("""COMPUTED_VALUE"""),85.35)</f>
        <v>85.35</v>
      </c>
      <c r="U1307" s="1">
        <f ca="1">IFERROR(__xludf.DUMMYFUNCTION("""COMPUTED_VALUE"""),71.66)</f>
        <v>71.66</v>
      </c>
      <c r="V1307" s="1">
        <f ca="1">IFERROR(__xludf.DUMMYFUNCTION("""COMPUTED_VALUE"""),333.31)</f>
        <v>333.31</v>
      </c>
      <c r="W1307" s="1">
        <f ca="1">IFERROR(__xludf.DUMMYFUNCTION("""COMPUTED_VALUE"""),467.93)</f>
        <v>467.93</v>
      </c>
      <c r="X1307" s="1">
        <f ca="1">IFERROR(__xludf.DUMMYFUNCTION("""COMPUTED_VALUE"""),694.59)</f>
        <v>694.59</v>
      </c>
      <c r="Y1307" s="1">
        <f ca="1">IFERROR(__xludf.DUMMYFUNCTION("""COMPUTED_VALUE"""),171.59)</f>
        <v>171.59</v>
      </c>
      <c r="Z1307" s="1">
        <f ca="1">IFERROR(__xludf.DUMMYFUNCTION("""COMPUTED_VALUE"""),541.41)</f>
        <v>541.41</v>
      </c>
      <c r="AA1307" s="1">
        <f ca="1">IFERROR(__xludf.DUMMYFUNCTION("""COMPUTED_VALUE"""),25.6)</f>
        <v>25.6</v>
      </c>
      <c r="AB1307" s="1">
        <f ca="1">IFERROR(__xludf.DUMMYFUNCTION("""COMPUTED_VALUE"""),98.11)</f>
        <v>98.11</v>
      </c>
      <c r="AC1307" s="1">
        <f ca="1">IFERROR(__xludf.DUMMYFUNCTION("""COMPUTED_VALUE"""),100.97)</f>
        <v>100.97</v>
      </c>
    </row>
    <row r="1308" spans="1:29" x14ac:dyDescent="0.25">
      <c r="A1308" s="2">
        <f ca="1">IFERROR(__xludf.DUMMYFUNCTION("""COMPUTED_VALUE"""),45730.6666666666)</f>
        <v>45730.666666666599</v>
      </c>
      <c r="B1308" s="1">
        <f ca="1">IFERROR(__xludf.DUMMYFUNCTION("""COMPUTED_VALUE"""),213.49)</f>
        <v>213.49</v>
      </c>
      <c r="C1308" s="1">
        <f ca="1">IFERROR(__xludf.DUMMYFUNCTION("""COMPUTED_VALUE"""),388.56)</f>
        <v>388.56</v>
      </c>
      <c r="D1308" s="1">
        <f ca="1">IFERROR(__xludf.DUMMYFUNCTION("""COMPUTED_VALUE"""),197.95)</f>
        <v>197.95</v>
      </c>
      <c r="E1308" s="1">
        <f ca="1">IFERROR(__xludf.DUMMYFUNCTION("""COMPUTED_VALUE"""),121.67)</f>
        <v>121.67</v>
      </c>
      <c r="F1308" s="1">
        <f ca="1">IFERROR(__xludf.DUMMYFUNCTION("""COMPUTED_VALUE"""),604.9)</f>
        <v>604.9</v>
      </c>
      <c r="G1308" s="1">
        <f ca="1">IFERROR(__xludf.DUMMYFUNCTION("""COMPUTED_VALUE"""),167.62)</f>
        <v>167.62</v>
      </c>
      <c r="H1308" s="1">
        <f ca="1">IFERROR(__xludf.DUMMYFUNCTION("""COMPUTED_VALUE"""),238.01)</f>
        <v>238.01</v>
      </c>
      <c r="I1308" s="1">
        <f ca="1">IFERROR(__xludf.DUMMYFUNCTION("""COMPUTED_VALUE"""),151.34)</f>
        <v>151.34</v>
      </c>
      <c r="J1308" s="1">
        <f ca="1">IFERROR(__xludf.DUMMYFUNCTION("""COMPUTED_VALUE"""),903.92)</f>
        <v>903.92</v>
      </c>
      <c r="K1308" s="1">
        <f ca="1">IFERROR(__xludf.DUMMYFUNCTION("""COMPUTED_VALUE"""),195.54)</f>
        <v>195.54</v>
      </c>
      <c r="L1308" s="1">
        <f ca="1">IFERROR(__xludf.DUMMYFUNCTION("""COMPUTED_VALUE"""),394.74)</f>
        <v>394.74</v>
      </c>
      <c r="M1308" s="1">
        <f ca="1">IFERROR(__xludf.DUMMYFUNCTION("""COMPUTED_VALUE"""),918)</f>
        <v>918</v>
      </c>
      <c r="N1308" s="1">
        <f ca="1">IFERROR(__xludf.DUMMYFUNCTION("""COMPUTED_VALUE"""),233.93)</f>
        <v>233.93</v>
      </c>
      <c r="O1308" s="1">
        <f ca="1">IFERROR(__xludf.DUMMYFUNCTION("""COMPUTED_VALUE"""),331.8)</f>
        <v>331.8</v>
      </c>
      <c r="P1308" s="1">
        <f ca="1">IFERROR(__xludf.DUMMYFUNCTION("""COMPUTED_VALUE"""),162.81)</f>
        <v>162.81</v>
      </c>
      <c r="Q1308" s="1">
        <f ca="1">IFERROR(__xludf.DUMMYFUNCTION("""COMPUTED_VALUE"""),488.65)</f>
        <v>488.65</v>
      </c>
      <c r="R1308" s="1">
        <f ca="1">IFERROR(__xludf.DUMMYFUNCTION("""COMPUTED_VALUE"""),111.9)</f>
        <v>111.9</v>
      </c>
      <c r="S1308" s="1">
        <f ca="1">IFERROR(__xludf.DUMMYFUNCTION("""COMPUTED_VALUE"""),73.55)</f>
        <v>73.55</v>
      </c>
      <c r="T1308" s="1">
        <f ca="1">IFERROR(__xludf.DUMMYFUNCTION("""COMPUTED_VALUE"""),87.46)</f>
        <v>87.46</v>
      </c>
      <c r="U1308" s="1">
        <f ca="1">IFERROR(__xludf.DUMMYFUNCTION("""COMPUTED_VALUE"""),73.7)</f>
        <v>73.7</v>
      </c>
      <c r="V1308" s="1">
        <f ca="1">IFERROR(__xludf.DUMMYFUNCTION("""COMPUTED_VALUE"""),339.64)</f>
        <v>339.64</v>
      </c>
      <c r="W1308" s="1">
        <f ca="1">IFERROR(__xludf.DUMMYFUNCTION("""COMPUTED_VALUE"""),466.17)</f>
        <v>466.17</v>
      </c>
      <c r="X1308" s="1">
        <f ca="1">IFERROR(__xludf.DUMMYFUNCTION("""COMPUTED_VALUE"""),714)</f>
        <v>714</v>
      </c>
      <c r="Y1308" s="1">
        <f ca="1">IFERROR(__xludf.DUMMYFUNCTION("""COMPUTED_VALUE"""),174.09)</f>
        <v>174.09</v>
      </c>
      <c r="Z1308" s="1">
        <f ca="1">IFERROR(__xludf.DUMMYFUNCTION("""COMPUTED_VALUE"""),551.34)</f>
        <v>551.34</v>
      </c>
      <c r="AA1308" s="1">
        <f ca="1">IFERROR(__xludf.DUMMYFUNCTION("""COMPUTED_VALUE"""),25.72)</f>
        <v>25.72</v>
      </c>
      <c r="AB1308" s="1">
        <f ca="1">IFERROR(__xludf.DUMMYFUNCTION("""COMPUTED_VALUE"""),99.08)</f>
        <v>99.08</v>
      </c>
      <c r="AC1308" s="1">
        <f ca="1">IFERROR(__xludf.DUMMYFUNCTION("""COMPUTED_VALUE"""),104.59)</f>
        <v>104.59</v>
      </c>
    </row>
    <row r="1309" spans="1:29" x14ac:dyDescent="0.25">
      <c r="A1309" s="2">
        <f ca="1">IFERROR(__xludf.DUMMYFUNCTION("""COMPUTED_VALUE"""),45733.6666666666)</f>
        <v>45733.666666666599</v>
      </c>
      <c r="B1309" s="1">
        <f ca="1">IFERROR(__xludf.DUMMYFUNCTION("""COMPUTED_VALUE"""),214)</f>
        <v>214</v>
      </c>
      <c r="C1309" s="1">
        <f ca="1">IFERROR(__xludf.DUMMYFUNCTION("""COMPUTED_VALUE"""),388.7)</f>
        <v>388.7</v>
      </c>
      <c r="D1309" s="1">
        <f ca="1">IFERROR(__xludf.DUMMYFUNCTION("""COMPUTED_VALUE"""),195.74)</f>
        <v>195.74</v>
      </c>
      <c r="E1309" s="1">
        <f ca="1">IFERROR(__xludf.DUMMYFUNCTION("""COMPUTED_VALUE"""),119.53)</f>
        <v>119.53</v>
      </c>
      <c r="F1309" s="1">
        <f ca="1">IFERROR(__xludf.DUMMYFUNCTION("""COMPUTED_VALUE"""),582.36)</f>
        <v>582.36</v>
      </c>
      <c r="G1309" s="1">
        <f ca="1">IFERROR(__xludf.DUMMYFUNCTION("""COMPUTED_VALUE"""),166.57)</f>
        <v>166.57</v>
      </c>
      <c r="H1309" s="1">
        <f ca="1">IFERROR(__xludf.DUMMYFUNCTION("""COMPUTED_VALUE"""),225.31)</f>
        <v>225.31</v>
      </c>
      <c r="I1309" s="1">
        <f ca="1">IFERROR(__xludf.DUMMYFUNCTION("""COMPUTED_VALUE"""),148.99)</f>
        <v>148.99</v>
      </c>
      <c r="J1309" s="1">
        <f ca="1">IFERROR(__xludf.DUMMYFUNCTION("""COMPUTED_VALUE"""),916.61)</f>
        <v>916.61</v>
      </c>
      <c r="K1309" s="1">
        <f ca="1">IFERROR(__xludf.DUMMYFUNCTION("""COMPUTED_VALUE"""),194.5)</f>
        <v>194.5</v>
      </c>
      <c r="L1309" s="1">
        <f ca="1">IFERROR(__xludf.DUMMYFUNCTION("""COMPUTED_VALUE"""),399.34)</f>
        <v>399.34</v>
      </c>
      <c r="M1309" s="1">
        <f ca="1">IFERROR(__xludf.DUMMYFUNCTION("""COMPUTED_VALUE"""),950.02)</f>
        <v>950.02</v>
      </c>
      <c r="N1309" s="1">
        <f ca="1">IFERROR(__xludf.DUMMYFUNCTION("""COMPUTED_VALUE"""),234.97)</f>
        <v>234.97</v>
      </c>
      <c r="O1309" s="1">
        <f ca="1">IFERROR(__xludf.DUMMYFUNCTION("""COMPUTED_VALUE"""),334.55)</f>
        <v>334.55</v>
      </c>
      <c r="P1309" s="1">
        <f ca="1">IFERROR(__xludf.DUMMYFUNCTION("""COMPUTED_VALUE"""),162.84)</f>
        <v>162.84</v>
      </c>
      <c r="Q1309" s="1">
        <f ca="1">IFERROR(__xludf.DUMMYFUNCTION("""COMPUTED_VALUE"""),499.02)</f>
        <v>499.02</v>
      </c>
      <c r="R1309" s="1">
        <f ca="1">IFERROR(__xludf.DUMMYFUNCTION("""COMPUTED_VALUE"""),113.76)</f>
        <v>113.76</v>
      </c>
      <c r="S1309" s="1">
        <f ca="1">IFERROR(__xludf.DUMMYFUNCTION("""COMPUTED_VALUE"""),72.11)</f>
        <v>72.11</v>
      </c>
      <c r="T1309" s="1">
        <f ca="1">IFERROR(__xludf.DUMMYFUNCTION("""COMPUTED_VALUE"""),85.59)</f>
        <v>85.59</v>
      </c>
      <c r="U1309" s="1">
        <f ca="1">IFERROR(__xludf.DUMMYFUNCTION("""COMPUTED_VALUE"""),73.31)</f>
        <v>73.31</v>
      </c>
      <c r="V1309" s="1">
        <f ca="1">IFERROR(__xludf.DUMMYFUNCTION("""COMPUTED_VALUE"""),342.64)</f>
        <v>342.64</v>
      </c>
      <c r="W1309" s="1">
        <f ca="1">IFERROR(__xludf.DUMMYFUNCTION("""COMPUTED_VALUE"""),467.61)</f>
        <v>467.61</v>
      </c>
      <c r="X1309" s="1">
        <f ca="1">IFERROR(__xludf.DUMMYFUNCTION("""COMPUTED_VALUE"""),730.33)</f>
        <v>730.33</v>
      </c>
      <c r="Y1309" s="1">
        <f ca="1">IFERROR(__xludf.DUMMYFUNCTION("""COMPUTED_VALUE"""),176.24)</f>
        <v>176.24</v>
      </c>
      <c r="Z1309" s="1">
        <f ca="1">IFERROR(__xludf.DUMMYFUNCTION("""COMPUTED_VALUE"""),551.78)</f>
        <v>551.78</v>
      </c>
      <c r="AA1309" s="1">
        <f ca="1">IFERROR(__xludf.DUMMYFUNCTION("""COMPUTED_VALUE"""),26.05)</f>
        <v>26.05</v>
      </c>
      <c r="AB1309" s="1">
        <f ca="1">IFERROR(__xludf.DUMMYFUNCTION("""COMPUTED_VALUE"""),98.28)</f>
        <v>98.28</v>
      </c>
      <c r="AC1309" s="1">
        <f ca="1">IFERROR(__xludf.DUMMYFUNCTION("""COMPUTED_VALUE"""),103.51)</f>
        <v>103.51</v>
      </c>
    </row>
    <row r="1310" spans="1:29" x14ac:dyDescent="0.25">
      <c r="A1310" s="2">
        <f ca="1">IFERROR(__xludf.DUMMYFUNCTION("""COMPUTED_VALUE"""),45734.6666666666)</f>
        <v>45734.666666666599</v>
      </c>
      <c r="B1310" s="1">
        <f ca="1">IFERROR(__xludf.DUMMYFUNCTION("""COMPUTED_VALUE"""),212.69)</f>
        <v>212.69</v>
      </c>
      <c r="C1310" s="1">
        <f ca="1">IFERROR(__xludf.DUMMYFUNCTION("""COMPUTED_VALUE"""),383.52)</f>
        <v>383.52</v>
      </c>
      <c r="D1310" s="1">
        <f ca="1">IFERROR(__xludf.DUMMYFUNCTION("""COMPUTED_VALUE"""),192.82)</f>
        <v>192.82</v>
      </c>
      <c r="E1310" s="1">
        <f ca="1">IFERROR(__xludf.DUMMYFUNCTION("""COMPUTED_VALUE"""),115.43)</f>
        <v>115.43</v>
      </c>
      <c r="F1310" s="1">
        <f ca="1">IFERROR(__xludf.DUMMYFUNCTION("""COMPUTED_VALUE"""),584.06)</f>
        <v>584.05999999999995</v>
      </c>
      <c r="G1310" s="1">
        <f ca="1">IFERROR(__xludf.DUMMYFUNCTION("""COMPUTED_VALUE"""),162.67)</f>
        <v>162.66999999999999</v>
      </c>
      <c r="H1310" s="1">
        <f ca="1">IFERROR(__xludf.DUMMYFUNCTION("""COMPUTED_VALUE"""),235.86)</f>
        <v>235.86</v>
      </c>
      <c r="I1310" s="1">
        <f ca="1">IFERROR(__xludf.DUMMYFUNCTION("""COMPUTED_VALUE"""),148.11)</f>
        <v>148.11000000000001</v>
      </c>
      <c r="J1310" s="1">
        <f ca="1">IFERROR(__xludf.DUMMYFUNCTION("""COMPUTED_VALUE"""),898.05)</f>
        <v>898.05</v>
      </c>
      <c r="K1310" s="1">
        <f ca="1">IFERROR(__xludf.DUMMYFUNCTION("""COMPUTED_VALUE"""),188.67)</f>
        <v>188.67</v>
      </c>
      <c r="L1310" s="1">
        <f ca="1">IFERROR(__xludf.DUMMYFUNCTION("""COMPUTED_VALUE"""),391.37)</f>
        <v>391.37</v>
      </c>
      <c r="M1310" s="1">
        <f ca="1">IFERROR(__xludf.DUMMYFUNCTION("""COMPUTED_VALUE"""),929.98)</f>
        <v>929.98</v>
      </c>
      <c r="N1310" s="1">
        <f ca="1">IFERROR(__xludf.DUMMYFUNCTION("""COMPUTED_VALUE"""),239.11)</f>
        <v>239.11</v>
      </c>
      <c r="O1310" s="1">
        <f ca="1">IFERROR(__xludf.DUMMYFUNCTION("""COMPUTED_VALUE"""),334.77)</f>
        <v>334.77</v>
      </c>
      <c r="P1310" s="1">
        <f ca="1">IFERROR(__xludf.DUMMYFUNCTION("""COMPUTED_VALUE"""),164.25)</f>
        <v>164.25</v>
      </c>
      <c r="Q1310" s="1">
        <f ca="1">IFERROR(__xludf.DUMMYFUNCTION("""COMPUTED_VALUE"""),503.8)</f>
        <v>503.8</v>
      </c>
      <c r="R1310" s="1">
        <f ca="1">IFERROR(__xludf.DUMMYFUNCTION("""COMPUTED_VALUE"""),113.64)</f>
        <v>113.64</v>
      </c>
      <c r="S1310" s="1">
        <f ca="1">IFERROR(__xludf.DUMMYFUNCTION("""COMPUTED_VALUE"""),70.7)</f>
        <v>70.7</v>
      </c>
      <c r="T1310" s="1">
        <f ca="1">IFERROR(__xludf.DUMMYFUNCTION("""COMPUTED_VALUE"""),86.33)</f>
        <v>86.33</v>
      </c>
      <c r="U1310" s="1">
        <f ca="1">IFERROR(__xludf.DUMMYFUNCTION("""COMPUTED_VALUE"""),72.99)</f>
        <v>72.989999999999995</v>
      </c>
      <c r="V1310" s="1">
        <f ca="1">IFERROR(__xludf.DUMMYFUNCTION("""COMPUTED_VALUE"""),336.71)</f>
        <v>336.71</v>
      </c>
      <c r="W1310" s="1">
        <f ca="1">IFERROR(__xludf.DUMMYFUNCTION("""COMPUTED_VALUE"""),469.28)</f>
        <v>469.28</v>
      </c>
      <c r="X1310" s="1">
        <f ca="1">IFERROR(__xludf.DUMMYFUNCTION("""COMPUTED_VALUE"""),731.11)</f>
        <v>731.11</v>
      </c>
      <c r="Y1310" s="1">
        <f ca="1">IFERROR(__xludf.DUMMYFUNCTION("""COMPUTED_VALUE"""),173.13)</f>
        <v>173.13</v>
      </c>
      <c r="Z1310" s="1">
        <f ca="1">IFERROR(__xludf.DUMMYFUNCTION("""COMPUTED_VALUE"""),557.34)</f>
        <v>557.34</v>
      </c>
      <c r="AA1310" s="1">
        <f ca="1">IFERROR(__xludf.DUMMYFUNCTION("""COMPUTED_VALUE"""),26.31)</f>
        <v>26.31</v>
      </c>
      <c r="AB1310" s="1">
        <f ca="1">IFERROR(__xludf.DUMMYFUNCTION("""COMPUTED_VALUE"""),99.19)</f>
        <v>99.19</v>
      </c>
      <c r="AC1310" s="1">
        <f ca="1">IFERROR(__xludf.DUMMYFUNCTION("""COMPUTED_VALUE"""),106.23)</f>
        <v>106.23</v>
      </c>
    </row>
    <row r="1311" spans="1:29" x14ac:dyDescent="0.25">
      <c r="A1311" s="2">
        <f ca="1">IFERROR(__xludf.DUMMYFUNCTION("""COMPUTED_VALUE"""),45735.6666666666)</f>
        <v>45735.666666666599</v>
      </c>
      <c r="B1311" s="1">
        <f ca="1">IFERROR(__xludf.DUMMYFUNCTION("""COMPUTED_VALUE"""),215.24)</f>
        <v>215.24</v>
      </c>
      <c r="C1311" s="1">
        <f ca="1">IFERROR(__xludf.DUMMYFUNCTION("""COMPUTED_VALUE"""),387.82)</f>
        <v>387.82</v>
      </c>
      <c r="D1311" s="1">
        <f ca="1">IFERROR(__xludf.DUMMYFUNCTION("""COMPUTED_VALUE"""),195.54)</f>
        <v>195.54</v>
      </c>
      <c r="E1311" s="1">
        <f ca="1">IFERROR(__xludf.DUMMYFUNCTION("""COMPUTED_VALUE"""),117.52)</f>
        <v>117.52</v>
      </c>
      <c r="F1311" s="1">
        <f ca="1">IFERROR(__xludf.DUMMYFUNCTION("""COMPUTED_VALUE"""),586)</f>
        <v>586</v>
      </c>
      <c r="G1311" s="1">
        <f ca="1">IFERROR(__xludf.DUMMYFUNCTION("""COMPUTED_VALUE"""),166.28)</f>
        <v>166.28</v>
      </c>
      <c r="H1311" s="1">
        <f ca="1">IFERROR(__xludf.DUMMYFUNCTION("""COMPUTED_VALUE"""),236.26)</f>
        <v>236.26</v>
      </c>
      <c r="I1311" s="1">
        <f ca="1">IFERROR(__xludf.DUMMYFUNCTION("""COMPUTED_VALUE"""),147.15)</f>
        <v>147.15</v>
      </c>
      <c r="J1311" s="1">
        <f ca="1">IFERROR(__xludf.DUMMYFUNCTION("""COMPUTED_VALUE"""),904.05)</f>
        <v>904.05</v>
      </c>
      <c r="K1311" s="1">
        <f ca="1">IFERROR(__xludf.DUMMYFUNCTION("""COMPUTED_VALUE"""),195.57)</f>
        <v>195.57</v>
      </c>
      <c r="L1311" s="1">
        <f ca="1">IFERROR(__xludf.DUMMYFUNCTION("""COMPUTED_VALUE"""),387.89)</f>
        <v>387.89</v>
      </c>
      <c r="M1311" s="1">
        <f ca="1">IFERROR(__xludf.DUMMYFUNCTION("""COMPUTED_VALUE"""),959.49)</f>
        <v>959.49</v>
      </c>
      <c r="N1311" s="1">
        <f ca="1">IFERROR(__xludf.DUMMYFUNCTION("""COMPUTED_VALUE"""),239.01)</f>
        <v>239.01</v>
      </c>
      <c r="O1311" s="1">
        <f ca="1">IFERROR(__xludf.DUMMYFUNCTION("""COMPUTED_VALUE"""),339.87)</f>
        <v>339.87</v>
      </c>
      <c r="P1311" s="1">
        <f ca="1">IFERROR(__xludf.DUMMYFUNCTION("""COMPUTED_VALUE"""),162.99)</f>
        <v>162.99</v>
      </c>
      <c r="Q1311" s="1">
        <f ca="1">IFERROR(__xludf.DUMMYFUNCTION("""COMPUTED_VALUE"""),503.2)</f>
        <v>503.2</v>
      </c>
      <c r="R1311" s="1">
        <f ca="1">IFERROR(__xludf.DUMMYFUNCTION("""COMPUTED_VALUE"""),115.41)</f>
        <v>115.41</v>
      </c>
      <c r="S1311" s="1">
        <f ca="1">IFERROR(__xludf.DUMMYFUNCTION("""COMPUTED_VALUE"""),70.5)</f>
        <v>70.5</v>
      </c>
      <c r="T1311" s="1">
        <f ca="1">IFERROR(__xludf.DUMMYFUNCTION("""COMPUTED_VALUE"""),85.81)</f>
        <v>85.81</v>
      </c>
      <c r="U1311" s="1">
        <f ca="1">IFERROR(__xludf.DUMMYFUNCTION("""COMPUTED_VALUE"""),71.86)</f>
        <v>71.86</v>
      </c>
      <c r="V1311" s="1">
        <f ca="1">IFERROR(__xludf.DUMMYFUNCTION("""COMPUTED_VALUE"""),338.62)</f>
        <v>338.62</v>
      </c>
      <c r="W1311" s="1">
        <f ca="1">IFERROR(__xludf.DUMMYFUNCTION("""COMPUTED_VALUE"""),470.55)</f>
        <v>470.55</v>
      </c>
      <c r="X1311" s="1">
        <f ca="1">IFERROR(__xludf.DUMMYFUNCTION("""COMPUTED_VALUE"""),734.91)</f>
        <v>734.91</v>
      </c>
      <c r="Y1311" s="1">
        <f ca="1">IFERROR(__xludf.DUMMYFUNCTION("""COMPUTED_VALUE"""),173.76)</f>
        <v>173.76</v>
      </c>
      <c r="Z1311" s="1">
        <f ca="1">IFERROR(__xludf.DUMMYFUNCTION("""COMPUTED_VALUE"""),562.68)</f>
        <v>562.67999999999995</v>
      </c>
      <c r="AA1311" s="1">
        <f ca="1">IFERROR(__xludf.DUMMYFUNCTION("""COMPUTED_VALUE"""),26.21)</f>
        <v>26.21</v>
      </c>
      <c r="AB1311" s="1">
        <f ca="1">IFERROR(__xludf.DUMMYFUNCTION("""COMPUTED_VALUE"""),99.28)</f>
        <v>99.28</v>
      </c>
      <c r="AC1311" s="1">
        <f ca="1">IFERROR(__xludf.DUMMYFUNCTION("""COMPUTED_VALUE"""),107.14)</f>
        <v>107.14</v>
      </c>
    </row>
    <row r="1312" spans="1:29" x14ac:dyDescent="0.25">
      <c r="A1312" s="2">
        <f ca="1">IFERROR(__xludf.DUMMYFUNCTION("""COMPUTED_VALUE"""),45736.6666666666)</f>
        <v>45736.666666666599</v>
      </c>
      <c r="B1312" s="1">
        <f ca="1">IFERROR(__xludf.DUMMYFUNCTION("""COMPUTED_VALUE"""),214.1)</f>
        <v>214.1</v>
      </c>
      <c r="C1312" s="1">
        <f ca="1">IFERROR(__xludf.DUMMYFUNCTION("""COMPUTED_VALUE"""),386.84)</f>
        <v>386.84</v>
      </c>
      <c r="D1312" s="1">
        <f ca="1">IFERROR(__xludf.DUMMYFUNCTION("""COMPUTED_VALUE"""),194.95)</f>
        <v>194.95</v>
      </c>
      <c r="E1312" s="1">
        <f ca="1">IFERROR(__xludf.DUMMYFUNCTION("""COMPUTED_VALUE"""),118.53)</f>
        <v>118.53</v>
      </c>
      <c r="F1312" s="1">
        <f ca="1">IFERROR(__xludf.DUMMYFUNCTION("""COMPUTED_VALUE"""),596.25)</f>
        <v>596.25</v>
      </c>
      <c r="G1312" s="1">
        <f ca="1">IFERROR(__xludf.DUMMYFUNCTION("""COMPUTED_VALUE"""),165.05)</f>
        <v>165.05</v>
      </c>
      <c r="H1312" s="1">
        <f ca="1">IFERROR(__xludf.DUMMYFUNCTION("""COMPUTED_VALUE"""),248.71)</f>
        <v>248.71</v>
      </c>
      <c r="I1312" s="1">
        <f ca="1">IFERROR(__xludf.DUMMYFUNCTION("""COMPUTED_VALUE"""),145.45)</f>
        <v>145.44999999999999</v>
      </c>
      <c r="J1312" s="1">
        <f ca="1">IFERROR(__xludf.DUMMYFUNCTION("""COMPUTED_VALUE"""),895.4)</f>
        <v>895.4</v>
      </c>
      <c r="K1312" s="1">
        <f ca="1">IFERROR(__xludf.DUMMYFUNCTION("""COMPUTED_VALUE"""),190.54)</f>
        <v>190.54</v>
      </c>
      <c r="L1312" s="1">
        <f ca="1">IFERROR(__xludf.DUMMYFUNCTION("""COMPUTED_VALUE"""),389.61)</f>
        <v>389.61</v>
      </c>
      <c r="M1312" s="1">
        <f ca="1">IFERROR(__xludf.DUMMYFUNCTION("""COMPUTED_VALUE"""),950.84)</f>
        <v>950.84</v>
      </c>
      <c r="N1312" s="1">
        <f ca="1">IFERROR(__xludf.DUMMYFUNCTION("""COMPUTED_VALUE"""),241.63)</f>
        <v>241.63</v>
      </c>
      <c r="O1312" s="1">
        <f ca="1">IFERROR(__xludf.DUMMYFUNCTION("""COMPUTED_VALUE"""),339.5)</f>
        <v>339.5</v>
      </c>
      <c r="P1312" s="1">
        <f ca="1">IFERROR(__xludf.DUMMYFUNCTION("""COMPUTED_VALUE"""),163.02)</f>
        <v>163.02000000000001</v>
      </c>
      <c r="Q1312" s="1">
        <f ca="1">IFERROR(__xludf.DUMMYFUNCTION("""COMPUTED_VALUE"""),511.3)</f>
        <v>511.3</v>
      </c>
      <c r="R1312" s="1">
        <f ca="1">IFERROR(__xludf.DUMMYFUNCTION("""COMPUTED_VALUE"""),115.9)</f>
        <v>115.9</v>
      </c>
      <c r="S1312" s="1">
        <f ca="1">IFERROR(__xludf.DUMMYFUNCTION("""COMPUTED_VALUE"""),71.15)</f>
        <v>71.150000000000006</v>
      </c>
      <c r="T1312" s="1">
        <f ca="1">IFERROR(__xludf.DUMMYFUNCTION("""COMPUTED_VALUE"""),85.98)</f>
        <v>85.98</v>
      </c>
      <c r="U1312" s="1">
        <f ca="1">IFERROR(__xludf.DUMMYFUNCTION("""COMPUTED_VALUE"""),67.94)</f>
        <v>67.94</v>
      </c>
      <c r="V1312" s="1">
        <f ca="1">IFERROR(__xludf.DUMMYFUNCTION("""COMPUTED_VALUE"""),336.25)</f>
        <v>336.25</v>
      </c>
      <c r="W1312" s="1">
        <f ca="1">IFERROR(__xludf.DUMMYFUNCTION("""COMPUTED_VALUE"""),466.74)</f>
        <v>466.74</v>
      </c>
      <c r="X1312" s="1">
        <f ca="1">IFERROR(__xludf.DUMMYFUNCTION("""COMPUTED_VALUE"""),734.06)</f>
        <v>734.06</v>
      </c>
      <c r="Y1312" s="1">
        <f ca="1">IFERROR(__xludf.DUMMYFUNCTION("""COMPUTED_VALUE"""),177.47)</f>
        <v>177.47</v>
      </c>
      <c r="Z1312" s="1">
        <f ca="1">IFERROR(__xludf.DUMMYFUNCTION("""COMPUTED_VALUE"""),565.14)</f>
        <v>565.14</v>
      </c>
      <c r="AA1312" s="1">
        <f ca="1">IFERROR(__xludf.DUMMYFUNCTION("""COMPUTED_VALUE"""),26.19)</f>
        <v>26.19</v>
      </c>
      <c r="AB1312" s="1">
        <f ca="1">IFERROR(__xludf.DUMMYFUNCTION("""COMPUTED_VALUE"""),97.07)</f>
        <v>97.07</v>
      </c>
      <c r="AC1312" s="1">
        <f ca="1">IFERROR(__xludf.DUMMYFUNCTION("""COMPUTED_VALUE"""),106.44)</f>
        <v>106.44</v>
      </c>
    </row>
    <row r="1313" spans="1:29" x14ac:dyDescent="0.25">
      <c r="A1313" s="2">
        <f ca="1">IFERROR(__xludf.DUMMYFUNCTION("""COMPUTED_VALUE"""),45737.6666666666)</f>
        <v>45737.666666666599</v>
      </c>
      <c r="B1313" s="1">
        <f ca="1">IFERROR(__xludf.DUMMYFUNCTION("""COMPUTED_VALUE"""),218.27)</f>
        <v>218.27</v>
      </c>
      <c r="C1313" s="1">
        <f ca="1">IFERROR(__xludf.DUMMYFUNCTION("""COMPUTED_VALUE"""),391.26)</f>
        <v>391.26</v>
      </c>
      <c r="D1313" s="1">
        <f ca="1">IFERROR(__xludf.DUMMYFUNCTION("""COMPUTED_VALUE"""),196.21)</f>
        <v>196.21</v>
      </c>
      <c r="E1313" s="1">
        <f ca="1">IFERROR(__xludf.DUMMYFUNCTION("""COMPUTED_VALUE"""),117.7)</f>
        <v>117.7</v>
      </c>
      <c r="F1313" s="1">
        <f ca="1">IFERROR(__xludf.DUMMYFUNCTION("""COMPUTED_VALUE"""),618.85)</f>
        <v>618.85</v>
      </c>
      <c r="G1313" s="1">
        <f ca="1">IFERROR(__xludf.DUMMYFUNCTION("""COMPUTED_VALUE"""),166.25)</f>
        <v>166.25</v>
      </c>
      <c r="H1313" s="1">
        <f ca="1">IFERROR(__xludf.DUMMYFUNCTION("""COMPUTED_VALUE"""),278.39)</f>
        <v>278.39</v>
      </c>
      <c r="I1313" s="1">
        <f ca="1">IFERROR(__xludf.DUMMYFUNCTION("""COMPUTED_VALUE"""),146.45)</f>
        <v>146.44999999999999</v>
      </c>
      <c r="J1313" s="1">
        <f ca="1">IFERROR(__xludf.DUMMYFUNCTION("""COMPUTED_VALUE"""),909.26)</f>
        <v>909.26</v>
      </c>
      <c r="K1313" s="1">
        <f ca="1">IFERROR(__xludf.DUMMYFUNCTION("""COMPUTED_VALUE"""),191.66)</f>
        <v>191.66</v>
      </c>
      <c r="L1313" s="1">
        <f ca="1">IFERROR(__xludf.DUMMYFUNCTION("""COMPUTED_VALUE"""),387.26)</f>
        <v>387.26</v>
      </c>
      <c r="M1313" s="1">
        <f ca="1">IFERROR(__xludf.DUMMYFUNCTION("""COMPUTED_VALUE"""),960.29)</f>
        <v>960.29</v>
      </c>
      <c r="N1313" s="1">
        <f ca="1">IFERROR(__xludf.DUMMYFUNCTION("""COMPUTED_VALUE"""),248.06)</f>
        <v>248.06</v>
      </c>
      <c r="O1313" s="1">
        <f ca="1">IFERROR(__xludf.DUMMYFUNCTION("""COMPUTED_VALUE"""),335.66)</f>
        <v>335.66</v>
      </c>
      <c r="P1313" s="1">
        <f ca="1">IFERROR(__xludf.DUMMYFUNCTION("""COMPUTED_VALUE"""),163.63)</f>
        <v>163.63</v>
      </c>
      <c r="Q1313" s="1">
        <f ca="1">IFERROR(__xludf.DUMMYFUNCTION("""COMPUTED_VALUE"""),516.85)</f>
        <v>516.85</v>
      </c>
      <c r="R1313" s="1">
        <f ca="1">IFERROR(__xludf.DUMMYFUNCTION("""COMPUTED_VALUE"""),115.5)</f>
        <v>115.5</v>
      </c>
      <c r="S1313" s="1">
        <f ca="1">IFERROR(__xludf.DUMMYFUNCTION("""COMPUTED_VALUE"""),70.88)</f>
        <v>70.88</v>
      </c>
      <c r="T1313" s="1">
        <f ca="1">IFERROR(__xludf.DUMMYFUNCTION("""COMPUTED_VALUE"""),87.49)</f>
        <v>87.49</v>
      </c>
      <c r="U1313" s="1">
        <f ca="1">IFERROR(__xludf.DUMMYFUNCTION("""COMPUTED_VALUE"""),67.39)</f>
        <v>67.39</v>
      </c>
      <c r="V1313" s="1">
        <f ca="1">IFERROR(__xludf.DUMMYFUNCTION("""COMPUTED_VALUE"""),335.78)</f>
        <v>335.78</v>
      </c>
      <c r="W1313" s="1">
        <f ca="1">IFERROR(__xludf.DUMMYFUNCTION("""COMPUTED_VALUE"""),439.7)</f>
        <v>439.7</v>
      </c>
      <c r="X1313" s="1">
        <f ca="1">IFERROR(__xludf.DUMMYFUNCTION("""COMPUTED_VALUE"""),716.22)</f>
        <v>716.22</v>
      </c>
      <c r="Y1313" s="1">
        <f ca="1">IFERROR(__xludf.DUMMYFUNCTION("""COMPUTED_VALUE"""),176.73)</f>
        <v>176.73</v>
      </c>
      <c r="Z1313" s="1">
        <f ca="1">IFERROR(__xludf.DUMMYFUNCTION("""COMPUTED_VALUE"""),580.1)</f>
        <v>580.1</v>
      </c>
      <c r="AA1313" s="1">
        <f ca="1">IFERROR(__xludf.DUMMYFUNCTION("""COMPUTED_VALUE"""),26.28)</f>
        <v>26.28</v>
      </c>
      <c r="AB1313" s="1">
        <f ca="1">IFERROR(__xludf.DUMMYFUNCTION("""COMPUTED_VALUE"""),95.72)</f>
        <v>95.72</v>
      </c>
      <c r="AC1313" s="1">
        <f ca="1">IFERROR(__xludf.DUMMYFUNCTION("""COMPUTED_VALUE"""),113.85)</f>
        <v>113.85</v>
      </c>
    </row>
    <row r="1314" spans="1:29" x14ac:dyDescent="0.25">
      <c r="A1314" s="2">
        <f ca="1">IFERROR(__xludf.DUMMYFUNCTION("""COMPUTED_VALUE"""),45740.6666666666)</f>
        <v>45740.666666666599</v>
      </c>
      <c r="B1314" s="1">
        <f ca="1">IFERROR(__xludf.DUMMYFUNCTION("""COMPUTED_VALUE"""),220.73)</f>
        <v>220.73</v>
      </c>
      <c r="C1314" s="1">
        <f ca="1">IFERROR(__xludf.DUMMYFUNCTION("""COMPUTED_VALUE"""),393.08)</f>
        <v>393.08</v>
      </c>
      <c r="D1314" s="1">
        <f ca="1">IFERROR(__xludf.DUMMYFUNCTION("""COMPUTED_VALUE"""),203.26)</f>
        <v>203.26</v>
      </c>
      <c r="E1314" s="1">
        <f ca="1">IFERROR(__xludf.DUMMYFUNCTION("""COMPUTED_VALUE"""),121.41)</f>
        <v>121.41</v>
      </c>
      <c r="F1314" s="1">
        <f ca="1">IFERROR(__xludf.DUMMYFUNCTION("""COMPUTED_VALUE"""),626.31)</f>
        <v>626.30999999999995</v>
      </c>
      <c r="G1314" s="1">
        <f ca="1">IFERROR(__xludf.DUMMYFUNCTION("""COMPUTED_VALUE"""),169.93)</f>
        <v>169.93</v>
      </c>
      <c r="H1314" s="1">
        <f ca="1">IFERROR(__xludf.DUMMYFUNCTION("""COMPUTED_VALUE"""),288.14)</f>
        <v>288.14</v>
      </c>
      <c r="I1314" s="1">
        <f ca="1">IFERROR(__xludf.DUMMYFUNCTION("""COMPUTED_VALUE"""),145.54)</f>
        <v>145.54</v>
      </c>
      <c r="J1314" s="1">
        <f ca="1">IFERROR(__xludf.DUMMYFUNCTION("""COMPUTED_VALUE"""),926.04)</f>
        <v>926.04</v>
      </c>
      <c r="K1314" s="1">
        <f ca="1">IFERROR(__xludf.DUMMYFUNCTION("""COMPUTED_VALUE"""),191.25)</f>
        <v>191.25</v>
      </c>
      <c r="L1314" s="1">
        <f ca="1">IFERROR(__xludf.DUMMYFUNCTION("""COMPUTED_VALUE"""),394.47)</f>
        <v>394.47</v>
      </c>
      <c r="M1314" s="1">
        <f ca="1">IFERROR(__xludf.DUMMYFUNCTION("""COMPUTED_VALUE"""),971.99)</f>
        <v>971.99</v>
      </c>
      <c r="N1314" s="1">
        <f ca="1">IFERROR(__xludf.DUMMYFUNCTION("""COMPUTED_VALUE"""),251.13)</f>
        <v>251.13</v>
      </c>
      <c r="O1314" s="1">
        <f ca="1">IFERROR(__xludf.DUMMYFUNCTION("""COMPUTED_VALUE"""),343.87)</f>
        <v>343.87</v>
      </c>
      <c r="P1314" s="1">
        <f ca="1">IFERROR(__xludf.DUMMYFUNCTION("""COMPUTED_VALUE"""),163.29)</f>
        <v>163.29</v>
      </c>
      <c r="Q1314" s="1">
        <f ca="1">IFERROR(__xludf.DUMMYFUNCTION("""COMPUTED_VALUE"""),516.5)</f>
        <v>516.5</v>
      </c>
      <c r="R1314" s="1">
        <f ca="1">IFERROR(__xludf.DUMMYFUNCTION("""COMPUTED_VALUE"""),115.8)</f>
        <v>115.8</v>
      </c>
      <c r="S1314" s="1">
        <f ca="1">IFERROR(__xludf.DUMMYFUNCTION("""COMPUTED_VALUE"""),70.07)</f>
        <v>70.069999999999993</v>
      </c>
      <c r="T1314" s="1">
        <f ca="1">IFERROR(__xludf.DUMMYFUNCTION("""COMPUTED_VALUE"""),84.76)</f>
        <v>84.76</v>
      </c>
      <c r="U1314" s="1">
        <f ca="1">IFERROR(__xludf.DUMMYFUNCTION("""COMPUTED_VALUE"""),66.54)</f>
        <v>66.540000000000006</v>
      </c>
      <c r="V1314" s="1">
        <f ca="1">IFERROR(__xludf.DUMMYFUNCTION("""COMPUTED_VALUE"""),341.67)</f>
        <v>341.67</v>
      </c>
      <c r="W1314" s="1">
        <f ca="1">IFERROR(__xludf.DUMMYFUNCTION("""COMPUTED_VALUE"""),434.98)</f>
        <v>434.98</v>
      </c>
      <c r="X1314" s="1">
        <f ca="1">IFERROR(__xludf.DUMMYFUNCTION("""COMPUTED_VALUE"""),727.84)</f>
        <v>727.84</v>
      </c>
      <c r="Y1314" s="1">
        <f ca="1">IFERROR(__xludf.DUMMYFUNCTION("""COMPUTED_VALUE"""),181.16)</f>
        <v>181.16</v>
      </c>
      <c r="Z1314" s="1">
        <f ca="1">IFERROR(__xludf.DUMMYFUNCTION("""COMPUTED_VALUE"""),585.94)</f>
        <v>585.94000000000005</v>
      </c>
      <c r="AA1314" s="1">
        <f ca="1">IFERROR(__xludf.DUMMYFUNCTION("""COMPUTED_VALUE"""),26.14)</f>
        <v>26.14</v>
      </c>
      <c r="AB1314" s="1">
        <f ca="1">IFERROR(__xludf.DUMMYFUNCTION("""COMPUTED_VALUE"""),95.88)</f>
        <v>95.88</v>
      </c>
      <c r="AC1314" s="1">
        <f ca="1">IFERROR(__xludf.DUMMYFUNCTION("""COMPUTED_VALUE"""),114.81)</f>
        <v>114.81</v>
      </c>
    </row>
    <row r="1315" spans="1:29" x14ac:dyDescent="0.25">
      <c r="A1315" s="2">
        <f ca="1">IFERROR(__xludf.DUMMYFUNCTION("""COMPUTED_VALUE"""),45741.6666666666)</f>
        <v>45741.666666666599</v>
      </c>
      <c r="B1315" s="1">
        <f ca="1">IFERROR(__xludf.DUMMYFUNCTION("""COMPUTED_VALUE"""),223.75)</f>
        <v>223.75</v>
      </c>
      <c r="C1315" s="1">
        <f ca="1">IFERROR(__xludf.DUMMYFUNCTION("""COMPUTED_VALUE"""),395.16)</f>
        <v>395.16</v>
      </c>
      <c r="D1315" s="1">
        <f ca="1">IFERROR(__xludf.DUMMYFUNCTION("""COMPUTED_VALUE"""),205.71)</f>
        <v>205.71</v>
      </c>
      <c r="E1315" s="1">
        <f ca="1">IFERROR(__xludf.DUMMYFUNCTION("""COMPUTED_VALUE"""),120.69)</f>
        <v>120.69</v>
      </c>
      <c r="F1315" s="1">
        <f ca="1">IFERROR(__xludf.DUMMYFUNCTION("""COMPUTED_VALUE"""),610.98)</f>
        <v>610.98</v>
      </c>
      <c r="G1315" s="1">
        <f ca="1">IFERROR(__xludf.DUMMYFUNCTION("""COMPUTED_VALUE"""),172.79)</f>
        <v>172.79</v>
      </c>
      <c r="H1315" s="1">
        <f ca="1">IFERROR(__xludf.DUMMYFUNCTION("""COMPUTED_VALUE"""),272.06)</f>
        <v>272.06</v>
      </c>
      <c r="I1315" s="1">
        <f ca="1">IFERROR(__xludf.DUMMYFUNCTION("""COMPUTED_VALUE"""),148.64)</f>
        <v>148.63999999999999</v>
      </c>
      <c r="J1315" s="1">
        <f ca="1">IFERROR(__xludf.DUMMYFUNCTION("""COMPUTED_VALUE"""),930.26)</f>
        <v>930.26</v>
      </c>
      <c r="K1315" s="1">
        <f ca="1">IFERROR(__xludf.DUMMYFUNCTION("""COMPUTED_VALUE"""),188.26)</f>
        <v>188.26</v>
      </c>
      <c r="L1315" s="1">
        <f ca="1">IFERROR(__xludf.DUMMYFUNCTION("""COMPUTED_VALUE"""),403.64)</f>
        <v>403.64</v>
      </c>
      <c r="M1315" s="1">
        <f ca="1">IFERROR(__xludf.DUMMYFUNCTION("""COMPUTED_VALUE"""),997.28)</f>
        <v>997.28</v>
      </c>
      <c r="N1315" s="1">
        <f ca="1">IFERROR(__xludf.DUMMYFUNCTION("""COMPUTED_VALUE"""),251.03)</f>
        <v>251.03</v>
      </c>
      <c r="O1315" s="1">
        <f ca="1">IFERROR(__xludf.DUMMYFUNCTION("""COMPUTED_VALUE"""),344.62)</f>
        <v>344.62</v>
      </c>
      <c r="P1315" s="1">
        <f ca="1">IFERROR(__xludf.DUMMYFUNCTION("""COMPUTED_VALUE"""),161.02)</f>
        <v>161.02000000000001</v>
      </c>
      <c r="Q1315" s="1">
        <f ca="1">IFERROR(__xludf.DUMMYFUNCTION("""COMPUTED_VALUE"""),513.43)</f>
        <v>513.42999999999995</v>
      </c>
      <c r="R1315" s="1">
        <f ca="1">IFERROR(__xludf.DUMMYFUNCTION("""COMPUTED_VALUE"""),116.59)</f>
        <v>116.59</v>
      </c>
      <c r="S1315" s="1">
        <f ca="1">IFERROR(__xludf.DUMMYFUNCTION("""COMPUTED_VALUE"""),68.59)</f>
        <v>68.59</v>
      </c>
      <c r="T1315" s="1">
        <f ca="1">IFERROR(__xludf.DUMMYFUNCTION("""COMPUTED_VALUE"""),85.21)</f>
        <v>85.21</v>
      </c>
      <c r="U1315" s="1">
        <f ca="1">IFERROR(__xludf.DUMMYFUNCTION("""COMPUTED_VALUE"""),65.74)</f>
        <v>65.739999999999995</v>
      </c>
      <c r="V1315" s="1">
        <f ca="1">IFERROR(__xludf.DUMMYFUNCTION("""COMPUTED_VALUE"""),342.62)</f>
        <v>342.62</v>
      </c>
      <c r="W1315" s="1">
        <f ca="1">IFERROR(__xludf.DUMMYFUNCTION("""COMPUTED_VALUE"""),442.07)</f>
        <v>442.07</v>
      </c>
      <c r="X1315" s="1">
        <f ca="1">IFERROR(__xludf.DUMMYFUNCTION("""COMPUTED_VALUE"""),726.74)</f>
        <v>726.74</v>
      </c>
      <c r="Y1315" s="1">
        <f ca="1">IFERROR(__xludf.DUMMYFUNCTION("""COMPUTED_VALUE"""),180.9)</f>
        <v>180.9</v>
      </c>
      <c r="Z1315" s="1">
        <f ca="1">IFERROR(__xludf.DUMMYFUNCTION("""COMPUTED_VALUE"""),573.92)</f>
        <v>573.91999999999996</v>
      </c>
      <c r="AA1315" s="1">
        <f ca="1">IFERROR(__xludf.DUMMYFUNCTION("""COMPUTED_VALUE"""),25.55)</f>
        <v>25.55</v>
      </c>
      <c r="AB1315" s="1">
        <f ca="1">IFERROR(__xludf.DUMMYFUNCTION("""COMPUTED_VALUE"""),97.97)</f>
        <v>97.97</v>
      </c>
      <c r="AC1315" s="1">
        <f ca="1">IFERROR(__xludf.DUMMYFUNCTION("""COMPUTED_VALUE"""),110.19)</f>
        <v>110.19</v>
      </c>
    </row>
    <row r="1316" spans="1:29" x14ac:dyDescent="0.25">
      <c r="A1316" s="2">
        <f ca="1">IFERROR(__xludf.DUMMYFUNCTION("""COMPUTED_VALUE"""),45742.6666666666)</f>
        <v>45742.666666666599</v>
      </c>
      <c r="B1316" s="1">
        <f ca="1">IFERROR(__xludf.DUMMYFUNCTION("""COMPUTED_VALUE"""),221.53)</f>
        <v>221.53</v>
      </c>
      <c r="C1316" s="1">
        <f ca="1">IFERROR(__xludf.DUMMYFUNCTION("""COMPUTED_VALUE"""),389.97)</f>
        <v>389.97</v>
      </c>
      <c r="D1316" s="1">
        <f ca="1">IFERROR(__xludf.DUMMYFUNCTION("""COMPUTED_VALUE"""),201.13)</f>
        <v>201.13</v>
      </c>
      <c r="E1316" s="1">
        <f ca="1">IFERROR(__xludf.DUMMYFUNCTION("""COMPUTED_VALUE"""),113.76)</f>
        <v>113.76</v>
      </c>
      <c r="F1316" s="1">
        <f ca="1">IFERROR(__xludf.DUMMYFUNCTION("""COMPUTED_VALUE"""),602.58)</f>
        <v>602.58000000000004</v>
      </c>
      <c r="G1316" s="1">
        <f ca="1">IFERROR(__xludf.DUMMYFUNCTION("""COMPUTED_VALUE"""),167.14)</f>
        <v>167.14</v>
      </c>
      <c r="H1316" s="1">
        <f ca="1">IFERROR(__xludf.DUMMYFUNCTION("""COMPUTED_VALUE"""),273.13)</f>
        <v>273.13</v>
      </c>
      <c r="I1316" s="1">
        <f ca="1">IFERROR(__xludf.DUMMYFUNCTION("""COMPUTED_VALUE"""),149.67)</f>
        <v>149.66999999999999</v>
      </c>
      <c r="J1316" s="1">
        <f ca="1">IFERROR(__xludf.DUMMYFUNCTION("""COMPUTED_VALUE"""),929.75)</f>
        <v>929.75</v>
      </c>
      <c r="K1316" s="1">
        <f ca="1">IFERROR(__xludf.DUMMYFUNCTION("""COMPUTED_VALUE"""),179.27)</f>
        <v>179.27</v>
      </c>
      <c r="L1316" s="1">
        <f ca="1">IFERROR(__xludf.DUMMYFUNCTION("""COMPUTED_VALUE"""),397.81)</f>
        <v>397.81</v>
      </c>
      <c r="M1316" s="1">
        <f ca="1">IFERROR(__xludf.DUMMYFUNCTION("""COMPUTED_VALUE"""),970.65)</f>
        <v>970.65</v>
      </c>
      <c r="N1316" s="1">
        <f ca="1">IFERROR(__xludf.DUMMYFUNCTION("""COMPUTED_VALUE"""),248.12)</f>
        <v>248.12</v>
      </c>
      <c r="O1316" s="1">
        <f ca="1">IFERROR(__xludf.DUMMYFUNCTION("""COMPUTED_VALUE"""),344.18)</f>
        <v>344.18</v>
      </c>
      <c r="P1316" s="1">
        <f ca="1">IFERROR(__xludf.DUMMYFUNCTION("""COMPUTED_VALUE"""),161.72)</f>
        <v>161.72</v>
      </c>
      <c r="Q1316" s="1">
        <f ca="1">IFERROR(__xludf.DUMMYFUNCTION("""COMPUTED_VALUE"""),518.2)</f>
        <v>518.20000000000005</v>
      </c>
      <c r="R1316" s="1">
        <f ca="1">IFERROR(__xludf.DUMMYFUNCTION("""COMPUTED_VALUE"""),118.27)</f>
        <v>118.27</v>
      </c>
      <c r="S1316" s="1">
        <f ca="1">IFERROR(__xludf.DUMMYFUNCTION("""COMPUTED_VALUE"""),69.73)</f>
        <v>69.73</v>
      </c>
      <c r="T1316" s="1">
        <f ca="1">IFERROR(__xludf.DUMMYFUNCTION("""COMPUTED_VALUE"""),85.63)</f>
        <v>85.63</v>
      </c>
      <c r="U1316" s="1">
        <f ca="1">IFERROR(__xludf.DUMMYFUNCTION("""COMPUTED_VALUE"""),65.8)</f>
        <v>65.8</v>
      </c>
      <c r="V1316" s="1">
        <f ca="1">IFERROR(__xludf.DUMMYFUNCTION("""COMPUTED_VALUE"""),341.11)</f>
        <v>341.11</v>
      </c>
      <c r="W1316" s="1">
        <f ca="1">IFERROR(__xludf.DUMMYFUNCTION("""COMPUTED_VALUE"""),445.17)</f>
        <v>445.17</v>
      </c>
      <c r="X1316" s="1">
        <f ca="1">IFERROR(__xludf.DUMMYFUNCTION("""COMPUTED_VALUE"""),705.76)</f>
        <v>705.76</v>
      </c>
      <c r="Y1316" s="1">
        <f ca="1">IFERROR(__xludf.DUMMYFUNCTION("""COMPUTED_VALUE"""),173.5)</f>
        <v>173.5</v>
      </c>
      <c r="Z1316" s="1">
        <f ca="1">IFERROR(__xludf.DUMMYFUNCTION("""COMPUTED_VALUE"""),558.92)</f>
        <v>558.91999999999996</v>
      </c>
      <c r="AA1316" s="1">
        <f ca="1">IFERROR(__xludf.DUMMYFUNCTION("""COMPUTED_VALUE"""),25.21)</f>
        <v>25.21</v>
      </c>
      <c r="AB1316" s="1">
        <f ca="1">IFERROR(__xludf.DUMMYFUNCTION("""COMPUTED_VALUE"""),98.85)</f>
        <v>98.85</v>
      </c>
      <c r="AC1316" s="1">
        <f ca="1">IFERROR(__xludf.DUMMYFUNCTION("""COMPUTED_VALUE"""),106.65)</f>
        <v>106.65</v>
      </c>
    </row>
    <row r="1317" spans="1:29" x14ac:dyDescent="0.25">
      <c r="A1317" s="2">
        <f ca="1">IFERROR(__xludf.DUMMYFUNCTION("""COMPUTED_VALUE"""),45743.6666666666)</f>
        <v>45743.666666666599</v>
      </c>
      <c r="B1317" s="1">
        <f ca="1">IFERROR(__xludf.DUMMYFUNCTION("""COMPUTED_VALUE"""),223.85)</f>
        <v>223.85</v>
      </c>
      <c r="C1317" s="1">
        <f ca="1">IFERROR(__xludf.DUMMYFUNCTION("""COMPUTED_VALUE"""),390.58)</f>
        <v>390.58</v>
      </c>
      <c r="D1317" s="1">
        <f ca="1">IFERROR(__xludf.DUMMYFUNCTION("""COMPUTED_VALUE"""),201.36)</f>
        <v>201.36</v>
      </c>
      <c r="E1317" s="1">
        <f ca="1">IFERROR(__xludf.DUMMYFUNCTION("""COMPUTED_VALUE"""),111.43)</f>
        <v>111.43</v>
      </c>
      <c r="F1317" s="1">
        <f ca="1">IFERROR(__xludf.DUMMYFUNCTION("""COMPUTED_VALUE"""),576.74)</f>
        <v>576.74</v>
      </c>
      <c r="G1317" s="1">
        <f ca="1">IFERROR(__xludf.DUMMYFUNCTION("""COMPUTED_VALUE"""),164.08)</f>
        <v>164.08</v>
      </c>
      <c r="H1317" s="1">
        <f ca="1">IFERROR(__xludf.DUMMYFUNCTION("""COMPUTED_VALUE"""),263.55)</f>
        <v>263.55</v>
      </c>
      <c r="I1317" s="1">
        <f ca="1">IFERROR(__xludf.DUMMYFUNCTION("""COMPUTED_VALUE"""),149.27)</f>
        <v>149.27000000000001</v>
      </c>
      <c r="J1317" s="1">
        <f ca="1">IFERROR(__xludf.DUMMYFUNCTION("""COMPUTED_VALUE"""),938.75)</f>
        <v>938.75</v>
      </c>
      <c r="K1317" s="1">
        <f ca="1">IFERROR(__xludf.DUMMYFUNCTION("""COMPUTED_VALUE"""),171.99)</f>
        <v>171.99</v>
      </c>
      <c r="L1317" s="1">
        <f ca="1">IFERROR(__xludf.DUMMYFUNCTION("""COMPUTED_VALUE"""),396.15)</f>
        <v>396.15</v>
      </c>
      <c r="M1317" s="1">
        <f ca="1">IFERROR(__xludf.DUMMYFUNCTION("""COMPUTED_VALUE"""),976.72)</f>
        <v>976.72</v>
      </c>
      <c r="N1317" s="1">
        <f ca="1">IFERROR(__xludf.DUMMYFUNCTION("""COMPUTED_VALUE"""),242.85)</f>
        <v>242.85</v>
      </c>
      <c r="O1317" s="1">
        <f ca="1">IFERROR(__xludf.DUMMYFUNCTION("""COMPUTED_VALUE"""),349.86)</f>
        <v>349.86</v>
      </c>
      <c r="P1317" s="1">
        <f ca="1">IFERROR(__xludf.DUMMYFUNCTION("""COMPUTED_VALUE"""),163.13)</f>
        <v>163.13</v>
      </c>
      <c r="Q1317" s="1">
        <f ca="1">IFERROR(__xludf.DUMMYFUNCTION("""COMPUTED_VALUE"""),515.72)</f>
        <v>515.72</v>
      </c>
      <c r="R1317" s="1">
        <f ca="1">IFERROR(__xludf.DUMMYFUNCTION("""COMPUTED_VALUE"""),117.89)</f>
        <v>117.89</v>
      </c>
      <c r="S1317" s="1">
        <f ca="1">IFERROR(__xludf.DUMMYFUNCTION("""COMPUTED_VALUE"""),70.03)</f>
        <v>70.03</v>
      </c>
      <c r="T1317" s="1">
        <f ca="1">IFERROR(__xludf.DUMMYFUNCTION("""COMPUTED_VALUE"""),85.15)</f>
        <v>85.15</v>
      </c>
      <c r="U1317" s="1">
        <f ca="1">IFERROR(__xludf.DUMMYFUNCTION("""COMPUTED_VALUE"""),63.29)</f>
        <v>63.29</v>
      </c>
      <c r="V1317" s="1">
        <f ca="1">IFERROR(__xludf.DUMMYFUNCTION("""COMPUTED_VALUE"""),339.3)</f>
        <v>339.3</v>
      </c>
      <c r="W1317" s="1">
        <f ca="1">IFERROR(__xludf.DUMMYFUNCTION("""COMPUTED_VALUE"""),442.28)</f>
        <v>442.28</v>
      </c>
      <c r="X1317" s="1">
        <f ca="1">IFERROR(__xludf.DUMMYFUNCTION("""COMPUTED_VALUE"""),690.63)</f>
        <v>690.63</v>
      </c>
      <c r="Y1317" s="1">
        <f ca="1">IFERROR(__xludf.DUMMYFUNCTION("""COMPUTED_VALUE"""),168.24)</f>
        <v>168.24</v>
      </c>
      <c r="Z1317" s="1">
        <f ca="1">IFERROR(__xludf.DUMMYFUNCTION("""COMPUTED_VALUE"""),543.12)</f>
        <v>543.12</v>
      </c>
      <c r="AA1317" s="1">
        <f ca="1">IFERROR(__xludf.DUMMYFUNCTION("""COMPUTED_VALUE"""),25.01)</f>
        <v>25.01</v>
      </c>
      <c r="AB1317" s="1">
        <f ca="1">IFERROR(__xludf.DUMMYFUNCTION("""COMPUTED_VALUE"""),97.73)</f>
        <v>97.73</v>
      </c>
      <c r="AC1317" s="1">
        <f ca="1">IFERROR(__xludf.DUMMYFUNCTION("""COMPUTED_VALUE"""),103.22)</f>
        <v>103.22</v>
      </c>
    </row>
    <row r="1318" spans="1:29" x14ac:dyDescent="0.25">
      <c r="A1318" s="2">
        <f ca="1">IFERROR(__xludf.DUMMYFUNCTION("""COMPUTED_VALUE"""),45744.6666666666)</f>
        <v>45744.666666666599</v>
      </c>
      <c r="B1318" s="1">
        <f ca="1">IFERROR(__xludf.DUMMYFUNCTION("""COMPUTED_VALUE"""),217.9)</f>
        <v>217.9</v>
      </c>
      <c r="C1318" s="1">
        <f ca="1">IFERROR(__xludf.DUMMYFUNCTION("""COMPUTED_VALUE"""),378.8)</f>
        <v>378.8</v>
      </c>
      <c r="D1318" s="1">
        <f ca="1">IFERROR(__xludf.DUMMYFUNCTION("""COMPUTED_VALUE"""),192.72)</f>
        <v>192.72</v>
      </c>
      <c r="E1318" s="1">
        <f ca="1">IFERROR(__xludf.DUMMYFUNCTION("""COMPUTED_VALUE"""),109.67)</f>
        <v>109.67</v>
      </c>
      <c r="F1318" s="1">
        <f ca="1">IFERROR(__xludf.DUMMYFUNCTION("""COMPUTED_VALUE"""),576.36)</f>
        <v>576.36</v>
      </c>
      <c r="G1318" s="1">
        <f ca="1">IFERROR(__xludf.DUMMYFUNCTION("""COMPUTED_VALUE"""),156.06)</f>
        <v>156.06</v>
      </c>
      <c r="H1318" s="1">
        <f ca="1">IFERROR(__xludf.DUMMYFUNCTION("""COMPUTED_VALUE"""),259.16)</f>
        <v>259.16000000000003</v>
      </c>
      <c r="I1318" s="1">
        <f ca="1">IFERROR(__xludf.DUMMYFUNCTION("""COMPUTED_VALUE"""),149.94)</f>
        <v>149.94</v>
      </c>
      <c r="J1318" s="1">
        <f ca="1">IFERROR(__xludf.DUMMYFUNCTION("""COMPUTED_VALUE"""),929.66)</f>
        <v>929.66</v>
      </c>
      <c r="K1318" s="1">
        <f ca="1">IFERROR(__xludf.DUMMYFUNCTION("""COMPUTED_VALUE"""),169.12)</f>
        <v>169.12</v>
      </c>
      <c r="L1318" s="1">
        <f ca="1">IFERROR(__xludf.DUMMYFUNCTION("""COMPUTED_VALUE"""),385.71)</f>
        <v>385.71</v>
      </c>
      <c r="M1318" s="1">
        <f ca="1">IFERROR(__xludf.DUMMYFUNCTION("""COMPUTED_VALUE"""),933.85)</f>
        <v>933.85</v>
      </c>
      <c r="N1318" s="1">
        <f ca="1">IFERROR(__xludf.DUMMYFUNCTION("""COMPUTED_VALUE"""),245.3)</f>
        <v>245.3</v>
      </c>
      <c r="O1318" s="1">
        <f ca="1">IFERROR(__xludf.DUMMYFUNCTION("""COMPUTED_VALUE"""),342.85)</f>
        <v>342.85</v>
      </c>
      <c r="P1318" s="1">
        <f ca="1">IFERROR(__xludf.DUMMYFUNCTION("""COMPUTED_VALUE"""),163.71)</f>
        <v>163.71</v>
      </c>
      <c r="Q1318" s="1">
        <f ca="1">IFERROR(__xludf.DUMMYFUNCTION("""COMPUTED_VALUE"""),516.04)</f>
        <v>516.04</v>
      </c>
      <c r="R1318" s="1">
        <f ca="1">IFERROR(__xludf.DUMMYFUNCTION("""COMPUTED_VALUE"""),117.73)</f>
        <v>117.73</v>
      </c>
      <c r="S1318" s="1">
        <f ca="1">IFERROR(__xludf.DUMMYFUNCTION("""COMPUTED_VALUE"""),70.45)</f>
        <v>70.45</v>
      </c>
      <c r="T1318" s="1">
        <f ca="1">IFERROR(__xludf.DUMMYFUNCTION("""COMPUTED_VALUE"""),87.79)</f>
        <v>87.79</v>
      </c>
      <c r="U1318" s="1">
        <f ca="1">IFERROR(__xludf.DUMMYFUNCTION("""COMPUTED_VALUE"""),63.48)</f>
        <v>63.48</v>
      </c>
      <c r="V1318" s="1">
        <f ca="1">IFERROR(__xludf.DUMMYFUNCTION("""COMPUTED_VALUE"""),329.69)</f>
        <v>329.69</v>
      </c>
      <c r="W1318" s="1">
        <f ca="1">IFERROR(__xludf.DUMMYFUNCTION("""COMPUTED_VALUE"""),441.49)</f>
        <v>441.49</v>
      </c>
      <c r="X1318" s="1">
        <f ca="1">IFERROR(__xludf.DUMMYFUNCTION("""COMPUTED_VALUE"""),674.58)</f>
        <v>674.58</v>
      </c>
      <c r="Y1318" s="1">
        <f ca="1">IFERROR(__xludf.DUMMYFUNCTION("""COMPUTED_VALUE"""),165.25)</f>
        <v>165.25</v>
      </c>
      <c r="Z1318" s="1">
        <f ca="1">IFERROR(__xludf.DUMMYFUNCTION("""COMPUTED_VALUE"""),546.29)</f>
        <v>546.29</v>
      </c>
      <c r="AA1318" s="1">
        <f ca="1">IFERROR(__xludf.DUMMYFUNCTION("""COMPUTED_VALUE"""),25.21)</f>
        <v>25.21</v>
      </c>
      <c r="AB1318" s="1">
        <f ca="1">IFERROR(__xludf.DUMMYFUNCTION("""COMPUTED_VALUE"""),98.09)</f>
        <v>98.09</v>
      </c>
      <c r="AC1318" s="1">
        <f ca="1">IFERROR(__xludf.DUMMYFUNCTION("""COMPUTED_VALUE"""),102.74)</f>
        <v>102.74</v>
      </c>
    </row>
    <row r="1319" spans="1:29" x14ac:dyDescent="0.25">
      <c r="A1319" s="2">
        <f ca="1">IFERROR(__xludf.DUMMYFUNCTION("""COMPUTED_VALUE"""),45747.6666666666)</f>
        <v>45747.666666666599</v>
      </c>
      <c r="B1319" s="1">
        <f ca="1">IFERROR(__xludf.DUMMYFUNCTION("""COMPUTED_VALUE"""),222.13)</f>
        <v>222.13</v>
      </c>
      <c r="C1319" s="1">
        <f ca="1">IFERROR(__xludf.DUMMYFUNCTION("""COMPUTED_VALUE"""),375.39)</f>
        <v>375.39</v>
      </c>
      <c r="D1319" s="1">
        <f ca="1">IFERROR(__xludf.DUMMYFUNCTION("""COMPUTED_VALUE"""),190.26)</f>
        <v>190.26</v>
      </c>
      <c r="E1319" s="1">
        <f ca="1">IFERROR(__xludf.DUMMYFUNCTION("""COMPUTED_VALUE"""),108.38)</f>
        <v>108.38</v>
      </c>
      <c r="F1319" s="1">
        <f ca="1">IFERROR(__xludf.DUMMYFUNCTION("""COMPUTED_VALUE"""),586)</f>
        <v>586</v>
      </c>
      <c r="G1319" s="1">
        <f ca="1">IFERROR(__xludf.DUMMYFUNCTION("""COMPUTED_VALUE"""),156.23)</f>
        <v>156.22999999999999</v>
      </c>
      <c r="H1319" s="1">
        <f ca="1">IFERROR(__xludf.DUMMYFUNCTION("""COMPUTED_VALUE"""),268.46)</f>
        <v>268.45999999999998</v>
      </c>
      <c r="I1319" s="1">
        <f ca="1">IFERROR(__xludf.DUMMYFUNCTION("""COMPUTED_VALUE"""),149.67)</f>
        <v>149.66999999999999</v>
      </c>
      <c r="J1319" s="1">
        <f ca="1">IFERROR(__xludf.DUMMYFUNCTION("""COMPUTED_VALUE"""),945.78)</f>
        <v>945.78</v>
      </c>
      <c r="K1319" s="1">
        <f ca="1">IFERROR(__xludf.DUMMYFUNCTION("""COMPUTED_VALUE"""),167.43)</f>
        <v>167.43</v>
      </c>
      <c r="L1319" s="1">
        <f ca="1">IFERROR(__xludf.DUMMYFUNCTION("""COMPUTED_VALUE"""),383.53)</f>
        <v>383.53</v>
      </c>
      <c r="M1319" s="1">
        <f ca="1">IFERROR(__xludf.DUMMYFUNCTION("""COMPUTED_VALUE"""),932.53)</f>
        <v>932.53</v>
      </c>
      <c r="N1319" s="1">
        <f ca="1">IFERROR(__xludf.DUMMYFUNCTION("""COMPUTED_VALUE"""),243.66)</f>
        <v>243.66</v>
      </c>
      <c r="O1319" s="1">
        <f ca="1">IFERROR(__xludf.DUMMYFUNCTION("""COMPUTED_VALUE"""),350.46)</f>
        <v>350.46</v>
      </c>
      <c r="P1319" s="1">
        <f ca="1">IFERROR(__xludf.DUMMYFUNCTION("""COMPUTED_VALUE"""),165.84)</f>
        <v>165.84</v>
      </c>
      <c r="Q1319" s="1">
        <f ca="1">IFERROR(__xludf.DUMMYFUNCTION("""COMPUTED_VALUE"""),523.75)</f>
        <v>523.75</v>
      </c>
      <c r="R1319" s="1">
        <f ca="1">IFERROR(__xludf.DUMMYFUNCTION("""COMPUTED_VALUE"""),118.93)</f>
        <v>118.93</v>
      </c>
      <c r="S1319" s="1">
        <f ca="1">IFERROR(__xludf.DUMMYFUNCTION("""COMPUTED_VALUE"""),70.89)</f>
        <v>70.89</v>
      </c>
      <c r="T1319" s="1">
        <f ca="1">IFERROR(__xludf.DUMMYFUNCTION("""COMPUTED_VALUE"""),88.83)</f>
        <v>88.83</v>
      </c>
      <c r="U1319" s="1">
        <f ca="1">IFERROR(__xludf.DUMMYFUNCTION("""COMPUTED_VALUE"""),64.76)</f>
        <v>64.760000000000005</v>
      </c>
      <c r="V1319" s="1">
        <f ca="1">IFERROR(__xludf.DUMMYFUNCTION("""COMPUTED_VALUE"""),329.8)</f>
        <v>329.8</v>
      </c>
      <c r="W1319" s="1">
        <f ca="1">IFERROR(__xludf.DUMMYFUNCTION("""COMPUTED_VALUE"""),446.71)</f>
        <v>446.71</v>
      </c>
      <c r="X1319" s="1">
        <f ca="1">IFERROR(__xludf.DUMMYFUNCTION("""COMPUTED_VALUE"""),662.63)</f>
        <v>662.63</v>
      </c>
      <c r="Y1319" s="1">
        <f ca="1">IFERROR(__xludf.DUMMYFUNCTION("""COMPUTED_VALUE"""),166)</f>
        <v>166</v>
      </c>
      <c r="Z1319" s="1">
        <f ca="1">IFERROR(__xludf.DUMMYFUNCTION("""COMPUTED_VALUE"""),548.45)</f>
        <v>548.45000000000005</v>
      </c>
      <c r="AA1319" s="1">
        <f ca="1">IFERROR(__xludf.DUMMYFUNCTION("""COMPUTED_VALUE"""),25.34)</f>
        <v>25.34</v>
      </c>
      <c r="AB1319" s="1">
        <f ca="1">IFERROR(__xludf.DUMMYFUNCTION("""COMPUTED_VALUE"""),98.23)</f>
        <v>98.23</v>
      </c>
      <c r="AC1319" s="1">
        <f ca="1">IFERROR(__xludf.DUMMYFUNCTION("""COMPUTED_VALUE"""),102.78)</f>
        <v>102.78</v>
      </c>
    </row>
    <row r="1320" spans="1:29" x14ac:dyDescent="0.25">
      <c r="A1320" s="2">
        <f ca="1">IFERROR(__xludf.DUMMYFUNCTION("""COMPUTED_VALUE"""),45748.6666666666)</f>
        <v>45748.666666666599</v>
      </c>
      <c r="B1320" s="1">
        <f ca="1">IFERROR(__xludf.DUMMYFUNCTION("""COMPUTED_VALUE"""),223.19)</f>
        <v>223.19</v>
      </c>
      <c r="C1320" s="1">
        <f ca="1">IFERROR(__xludf.DUMMYFUNCTION("""COMPUTED_VALUE"""),382.19)</f>
        <v>382.19</v>
      </c>
      <c r="D1320" s="1">
        <f ca="1">IFERROR(__xludf.DUMMYFUNCTION("""COMPUTED_VALUE"""),192.17)</f>
        <v>192.17</v>
      </c>
      <c r="E1320" s="1">
        <f ca="1">IFERROR(__xludf.DUMMYFUNCTION("""COMPUTED_VALUE"""),110.15)</f>
        <v>110.15</v>
      </c>
      <c r="F1320" s="1">
        <f ca="1">IFERROR(__xludf.DUMMYFUNCTION("""COMPUTED_VALUE"""),583.93)</f>
        <v>583.92999999999995</v>
      </c>
      <c r="G1320" s="1">
        <f ca="1">IFERROR(__xludf.DUMMYFUNCTION("""COMPUTED_VALUE"""),158.88)</f>
        <v>158.88</v>
      </c>
      <c r="H1320" s="1">
        <f ca="1">IFERROR(__xludf.DUMMYFUNCTION("""COMPUTED_VALUE"""),282.76)</f>
        <v>282.76</v>
      </c>
      <c r="I1320" s="1">
        <f ca="1">IFERROR(__xludf.DUMMYFUNCTION("""COMPUTED_VALUE"""),149.12)</f>
        <v>149.12</v>
      </c>
      <c r="J1320" s="1">
        <f ca="1">IFERROR(__xludf.DUMMYFUNCTION("""COMPUTED_VALUE"""),954.4)</f>
        <v>954.4</v>
      </c>
      <c r="K1320" s="1">
        <f ca="1">IFERROR(__xludf.DUMMYFUNCTION("""COMPUTED_VALUE"""),168.52)</f>
        <v>168.52</v>
      </c>
      <c r="L1320" s="1">
        <f ca="1">IFERROR(__xludf.DUMMYFUNCTION("""COMPUTED_VALUE"""),383.2)</f>
        <v>383.2</v>
      </c>
      <c r="M1320" s="1">
        <f ca="1">IFERROR(__xludf.DUMMYFUNCTION("""COMPUTED_VALUE"""),928.38)</f>
        <v>928.38</v>
      </c>
      <c r="N1320" s="1">
        <f ca="1">IFERROR(__xludf.DUMMYFUNCTION("""COMPUTED_VALUE"""),245.82)</f>
        <v>245.82</v>
      </c>
      <c r="O1320" s="1">
        <f ca="1">IFERROR(__xludf.DUMMYFUNCTION("""COMPUTED_VALUE"""),346.35)</f>
        <v>346.35</v>
      </c>
      <c r="P1320" s="1">
        <f ca="1">IFERROR(__xludf.DUMMYFUNCTION("""COMPUTED_VALUE"""),153.25)</f>
        <v>153.25</v>
      </c>
      <c r="Q1320" s="1">
        <f ca="1">IFERROR(__xludf.DUMMYFUNCTION("""COMPUTED_VALUE"""),523.12)</f>
        <v>523.12</v>
      </c>
      <c r="R1320" s="1">
        <f ca="1">IFERROR(__xludf.DUMMYFUNCTION("""COMPUTED_VALUE"""),119.04)</f>
        <v>119.04</v>
      </c>
      <c r="S1320" s="1">
        <f ca="1">IFERROR(__xludf.DUMMYFUNCTION("""COMPUTED_VALUE"""),70.92)</f>
        <v>70.92</v>
      </c>
      <c r="T1320" s="1">
        <f ca="1">IFERROR(__xludf.DUMMYFUNCTION("""COMPUTED_VALUE"""),89.76)</f>
        <v>89.76</v>
      </c>
      <c r="U1320" s="1">
        <f ca="1">IFERROR(__xludf.DUMMYFUNCTION("""COMPUTED_VALUE"""),64.96)</f>
        <v>64.959999999999994</v>
      </c>
      <c r="V1320" s="1">
        <f ca="1">IFERROR(__xludf.DUMMYFUNCTION("""COMPUTED_VALUE"""),330.57)</f>
        <v>330.57</v>
      </c>
      <c r="W1320" s="1">
        <f ca="1">IFERROR(__xludf.DUMMYFUNCTION("""COMPUTED_VALUE"""),448.64)</f>
        <v>448.64</v>
      </c>
      <c r="X1320" s="1">
        <f ca="1">IFERROR(__xludf.DUMMYFUNCTION("""COMPUTED_VALUE"""),667.34)</f>
        <v>667.34</v>
      </c>
      <c r="Y1320" s="1">
        <f ca="1">IFERROR(__xludf.DUMMYFUNCTION("""COMPUTED_VALUE"""),168.64)</f>
        <v>168.64</v>
      </c>
      <c r="Z1320" s="1">
        <f ca="1">IFERROR(__xludf.DUMMYFUNCTION("""COMPUTED_VALUE"""),563.1)</f>
        <v>563.1</v>
      </c>
      <c r="AA1320" s="1">
        <f ca="1">IFERROR(__xludf.DUMMYFUNCTION("""COMPUTED_VALUE"""),24.54)</f>
        <v>24.54</v>
      </c>
      <c r="AB1320" s="1">
        <f ca="1">IFERROR(__xludf.DUMMYFUNCTION("""COMPUTED_VALUE"""),99.41)</f>
        <v>99.41</v>
      </c>
      <c r="AC1320" s="1">
        <f ca="1">IFERROR(__xludf.DUMMYFUNCTION("""COMPUTED_VALUE"""),102.96)</f>
        <v>102.96</v>
      </c>
    </row>
    <row r="1321" spans="1:29" x14ac:dyDescent="0.25">
      <c r="A1321" s="2">
        <f ca="1">IFERROR(__xludf.DUMMYFUNCTION("""COMPUTED_VALUE"""),45749.6666666666)</f>
        <v>45749.666666666599</v>
      </c>
      <c r="B1321" s="1">
        <f ca="1">IFERROR(__xludf.DUMMYFUNCTION("""COMPUTED_VALUE"""),223.89)</f>
        <v>223.89</v>
      </c>
      <c r="C1321" s="1">
        <f ca="1">IFERROR(__xludf.DUMMYFUNCTION("""COMPUTED_VALUE"""),382.14)</f>
        <v>382.14</v>
      </c>
      <c r="D1321" s="1">
        <f ca="1">IFERROR(__xludf.DUMMYFUNCTION("""COMPUTED_VALUE"""),196.01)</f>
        <v>196.01</v>
      </c>
      <c r="E1321" s="1">
        <f ca="1">IFERROR(__xludf.DUMMYFUNCTION("""COMPUTED_VALUE"""),110.42)</f>
        <v>110.42</v>
      </c>
      <c r="F1321" s="1">
        <f ca="1">IFERROR(__xludf.DUMMYFUNCTION("""COMPUTED_VALUE"""),531.62)</f>
        <v>531.62</v>
      </c>
      <c r="G1321" s="1">
        <f ca="1">IFERROR(__xludf.DUMMYFUNCTION("""COMPUTED_VALUE"""),158.86)</f>
        <v>158.86000000000001</v>
      </c>
      <c r="H1321" s="1">
        <f ca="1">IFERROR(__xludf.DUMMYFUNCTION("""COMPUTED_VALUE"""),267.28)</f>
        <v>267.27999999999997</v>
      </c>
      <c r="I1321" s="1">
        <f ca="1">IFERROR(__xludf.DUMMYFUNCTION("""COMPUTED_VALUE"""),151.37)</f>
        <v>151.37</v>
      </c>
      <c r="J1321" s="1">
        <f ca="1">IFERROR(__xludf.DUMMYFUNCTION("""COMPUTED_VALUE"""),965.08)</f>
        <v>965.08</v>
      </c>
      <c r="K1321" s="1">
        <f ca="1">IFERROR(__xludf.DUMMYFUNCTION("""COMPUTED_VALUE"""),172.09)</f>
        <v>172.09</v>
      </c>
      <c r="L1321" s="1">
        <f ca="1">IFERROR(__xludf.DUMMYFUNCTION("""COMPUTED_VALUE"""),385.78)</f>
        <v>385.78</v>
      </c>
      <c r="M1321" s="1">
        <f ca="1">IFERROR(__xludf.DUMMYFUNCTION("""COMPUTED_VALUE"""),935.52)</f>
        <v>935.52</v>
      </c>
      <c r="N1321" s="1">
        <f ca="1">IFERROR(__xludf.DUMMYFUNCTION("""COMPUTED_VALUE"""),228.69)</f>
        <v>228.69</v>
      </c>
      <c r="O1321" s="1">
        <f ca="1">IFERROR(__xludf.DUMMYFUNCTION("""COMPUTED_VALUE"""),346.33)</f>
        <v>346.33</v>
      </c>
      <c r="P1321" s="1">
        <f ca="1">IFERROR(__xludf.DUMMYFUNCTION("""COMPUTED_VALUE"""),155.36)</f>
        <v>155.36000000000001</v>
      </c>
      <c r="Q1321" s="1">
        <f ca="1">IFERROR(__xludf.DUMMYFUNCTION("""COMPUTED_VALUE"""),523.2)</f>
        <v>523.20000000000005</v>
      </c>
      <c r="R1321" s="1">
        <f ca="1">IFERROR(__xludf.DUMMYFUNCTION("""COMPUTED_VALUE"""),118.67)</f>
        <v>118.67</v>
      </c>
      <c r="S1321" s="1">
        <f ca="1">IFERROR(__xludf.DUMMYFUNCTION("""COMPUTED_VALUE"""),70.48)</f>
        <v>70.48</v>
      </c>
      <c r="T1321" s="1">
        <f ca="1">IFERROR(__xludf.DUMMYFUNCTION("""COMPUTED_VALUE"""),87.26)</f>
        <v>87.26</v>
      </c>
      <c r="U1321" s="1">
        <f ca="1">IFERROR(__xludf.DUMMYFUNCTION("""COMPUTED_VALUE"""),55.58)</f>
        <v>55.58</v>
      </c>
      <c r="V1321" s="1">
        <f ca="1">IFERROR(__xludf.DUMMYFUNCTION("""COMPUTED_VALUE"""),334.66)</f>
        <v>334.66</v>
      </c>
      <c r="W1321" s="1">
        <f ca="1">IFERROR(__xludf.DUMMYFUNCTION("""COMPUTED_VALUE"""),452.87)</f>
        <v>452.87</v>
      </c>
      <c r="X1321" s="1">
        <f ca="1">IFERROR(__xludf.DUMMYFUNCTION("""COMPUTED_VALUE"""),669.01)</f>
        <v>669.01</v>
      </c>
      <c r="Y1321" s="1">
        <f ca="1">IFERROR(__xludf.DUMMYFUNCTION("""COMPUTED_VALUE"""),170.39)</f>
        <v>170.39</v>
      </c>
      <c r="Z1321" s="1">
        <f ca="1">IFERROR(__xludf.DUMMYFUNCTION("""COMPUTED_VALUE"""),511.23)</f>
        <v>511.23</v>
      </c>
      <c r="AA1321" s="1">
        <f ca="1">IFERROR(__xludf.DUMMYFUNCTION("""COMPUTED_VALUE"""),24.7)</f>
        <v>24.7</v>
      </c>
      <c r="AB1321" s="1">
        <f ca="1">IFERROR(__xludf.DUMMYFUNCTION("""COMPUTED_VALUE"""),88.26)</f>
        <v>88.26</v>
      </c>
      <c r="AC1321" s="1">
        <f ca="1">IFERROR(__xludf.DUMMYFUNCTION("""COMPUTED_VALUE"""),93.8)</f>
        <v>93.8</v>
      </c>
    </row>
    <row r="1322" spans="1:29" x14ac:dyDescent="0.25">
      <c r="A1322" s="2">
        <f ca="1">IFERROR(__xludf.DUMMYFUNCTION("""COMPUTED_VALUE"""),45750.6666666666)</f>
        <v>45750.666666666599</v>
      </c>
      <c r="B1322" s="1">
        <f ca="1">IFERROR(__xludf.DUMMYFUNCTION("""COMPUTED_VALUE"""),203.19)</f>
        <v>203.19</v>
      </c>
      <c r="C1322" s="1">
        <f ca="1">IFERROR(__xludf.DUMMYFUNCTION("""COMPUTED_VALUE"""),373.11)</f>
        <v>373.11</v>
      </c>
      <c r="D1322" s="1">
        <f ca="1">IFERROR(__xludf.DUMMYFUNCTION("""COMPUTED_VALUE"""),178.41)</f>
        <v>178.41</v>
      </c>
      <c r="E1322" s="1">
        <f ca="1">IFERROR(__xludf.DUMMYFUNCTION("""COMPUTED_VALUE"""),101.8)</f>
        <v>101.8</v>
      </c>
      <c r="F1322" s="1">
        <f ca="1">IFERROR(__xludf.DUMMYFUNCTION("""COMPUTED_VALUE"""),504.73)</f>
        <v>504.73</v>
      </c>
      <c r="G1322" s="1">
        <f ca="1">IFERROR(__xludf.DUMMYFUNCTION("""COMPUTED_VALUE"""),152.63)</f>
        <v>152.63</v>
      </c>
      <c r="H1322" s="1">
        <f ca="1">IFERROR(__xludf.DUMMYFUNCTION("""COMPUTED_VALUE"""),239.43)</f>
        <v>239.43</v>
      </c>
      <c r="I1322" s="1">
        <f ca="1">IFERROR(__xludf.DUMMYFUNCTION("""COMPUTED_VALUE"""),146.61)</f>
        <v>146.61000000000001</v>
      </c>
      <c r="J1322" s="1">
        <f ca="1">IFERROR(__xludf.DUMMYFUNCTION("""COMPUTED_VALUE"""),967.08)</f>
        <v>967.08</v>
      </c>
      <c r="K1322" s="1">
        <f ca="1">IFERROR(__xludf.DUMMYFUNCTION("""COMPUTED_VALUE"""),154.01)</f>
        <v>154.01</v>
      </c>
      <c r="L1322" s="1">
        <f ca="1">IFERROR(__xludf.DUMMYFUNCTION("""COMPUTED_VALUE"""),367.25)</f>
        <v>367.25</v>
      </c>
      <c r="M1322" s="1">
        <f ca="1">IFERROR(__xludf.DUMMYFUNCTION("""COMPUTED_VALUE"""),917.05)</f>
        <v>917.05</v>
      </c>
      <c r="N1322" s="1">
        <f ca="1">IFERROR(__xludf.DUMMYFUNCTION("""COMPUTED_VALUE"""),210.28)</f>
        <v>210.28</v>
      </c>
      <c r="O1322" s="1">
        <f ca="1">IFERROR(__xludf.DUMMYFUNCTION("""COMPUTED_VALUE"""),339.39)</f>
        <v>339.39</v>
      </c>
      <c r="P1322" s="1">
        <f ca="1">IFERROR(__xludf.DUMMYFUNCTION("""COMPUTED_VALUE"""),159.82)</f>
        <v>159.82</v>
      </c>
      <c r="Q1322" s="1">
        <f ca="1">IFERROR(__xludf.DUMMYFUNCTION("""COMPUTED_VALUE"""),540.44)</f>
        <v>540.44000000000005</v>
      </c>
      <c r="R1322" s="1">
        <f ca="1">IFERROR(__xludf.DUMMYFUNCTION("""COMPUTED_VALUE"""),112.43)</f>
        <v>112.43</v>
      </c>
      <c r="S1322" s="1">
        <f ca="1">IFERROR(__xludf.DUMMYFUNCTION("""COMPUTED_VALUE"""),72.14)</f>
        <v>72.14</v>
      </c>
      <c r="T1322" s="1">
        <f ca="1">IFERROR(__xludf.DUMMYFUNCTION("""COMPUTED_VALUE"""),83.19)</f>
        <v>83.19</v>
      </c>
      <c r="U1322" s="1">
        <f ca="1">IFERROR(__xludf.DUMMYFUNCTION("""COMPUTED_VALUE"""),57.25)</f>
        <v>57.25</v>
      </c>
      <c r="V1322" s="1">
        <f ca="1">IFERROR(__xludf.DUMMYFUNCTION("""COMPUTED_VALUE"""),305.76)</f>
        <v>305.76</v>
      </c>
      <c r="W1322" s="1">
        <f ca="1">IFERROR(__xludf.DUMMYFUNCTION("""COMPUTED_VALUE"""),454.78)</f>
        <v>454.78</v>
      </c>
      <c r="X1322" s="1">
        <f ca="1">IFERROR(__xludf.DUMMYFUNCTION("""COMPUTED_VALUE"""),623.22)</f>
        <v>623.22</v>
      </c>
      <c r="Y1322" s="1">
        <f ca="1">IFERROR(__xludf.DUMMYFUNCTION("""COMPUTED_VALUE"""),157.38)</f>
        <v>157.38</v>
      </c>
      <c r="Z1322" s="1">
        <f ca="1">IFERROR(__xludf.DUMMYFUNCTION("""COMPUTED_VALUE"""),470.81)</f>
        <v>470.81</v>
      </c>
      <c r="AA1322" s="1">
        <f ca="1">IFERROR(__xludf.DUMMYFUNCTION("""COMPUTED_VALUE"""),24.29)</f>
        <v>24.29</v>
      </c>
      <c r="AB1322" s="1">
        <f ca="1">IFERROR(__xludf.DUMMYFUNCTION("""COMPUTED_VALUE"""),82.1)</f>
        <v>82.1</v>
      </c>
      <c r="AC1322" s="1">
        <f ca="1">IFERROR(__xludf.DUMMYFUNCTION("""COMPUTED_VALUE"""),85.76)</f>
        <v>85.76</v>
      </c>
    </row>
    <row r="1323" spans="1:29" x14ac:dyDescent="0.25">
      <c r="A1323" s="2">
        <f ca="1">IFERROR(__xludf.DUMMYFUNCTION("""COMPUTED_VALUE"""),45751.6666666666)</f>
        <v>45751.666666666599</v>
      </c>
      <c r="B1323" s="1">
        <f ca="1">IFERROR(__xludf.DUMMYFUNCTION("""COMPUTED_VALUE"""),188.38)</f>
        <v>188.38</v>
      </c>
      <c r="C1323" s="1">
        <f ca="1">IFERROR(__xludf.DUMMYFUNCTION("""COMPUTED_VALUE"""),359.84)</f>
        <v>359.84</v>
      </c>
      <c r="D1323" s="1">
        <f ca="1">IFERROR(__xludf.DUMMYFUNCTION("""COMPUTED_VALUE"""),171)</f>
        <v>171</v>
      </c>
      <c r="E1323" s="1">
        <f ca="1">IFERROR(__xludf.DUMMYFUNCTION("""COMPUTED_VALUE"""),94.31)</f>
        <v>94.31</v>
      </c>
      <c r="F1323" s="1">
        <f ca="1">IFERROR(__xludf.DUMMYFUNCTION("""COMPUTED_VALUE"""),516.25)</f>
        <v>516.25</v>
      </c>
      <c r="G1323" s="1">
        <f ca="1">IFERROR(__xludf.DUMMYFUNCTION("""COMPUTED_VALUE"""),147.74)</f>
        <v>147.74</v>
      </c>
      <c r="H1323" s="1">
        <f ca="1">IFERROR(__xludf.DUMMYFUNCTION("""COMPUTED_VALUE"""),233.29)</f>
        <v>233.29</v>
      </c>
      <c r="I1323" s="1">
        <f ca="1">IFERROR(__xludf.DUMMYFUNCTION("""COMPUTED_VALUE"""),143.19)</f>
        <v>143.19</v>
      </c>
      <c r="J1323" s="1">
        <f ca="1">IFERROR(__xludf.DUMMYFUNCTION("""COMPUTED_VALUE"""),916.48)</f>
        <v>916.48</v>
      </c>
      <c r="K1323" s="1">
        <f ca="1">IFERROR(__xludf.DUMMYFUNCTION("""COMPUTED_VALUE"""),146.29)</f>
        <v>146.29</v>
      </c>
      <c r="L1323" s="1">
        <f ca="1">IFERROR(__xludf.DUMMYFUNCTION("""COMPUTED_VALUE"""),349.07)</f>
        <v>349.07</v>
      </c>
      <c r="M1323" s="1">
        <f ca="1">IFERROR(__xludf.DUMMYFUNCTION("""COMPUTED_VALUE"""),855.86)</f>
        <v>855.86</v>
      </c>
      <c r="N1323" s="1">
        <f ca="1">IFERROR(__xludf.DUMMYFUNCTION("""COMPUTED_VALUE"""),214.44)</f>
        <v>214.44</v>
      </c>
      <c r="O1323" s="1">
        <f ca="1">IFERROR(__xludf.DUMMYFUNCTION("""COMPUTED_VALUE"""),313.13)</f>
        <v>313.13</v>
      </c>
      <c r="P1323" s="1">
        <f ca="1">IFERROR(__xludf.DUMMYFUNCTION("""COMPUTED_VALUE"""),153.24)</f>
        <v>153.24</v>
      </c>
      <c r="Q1323" s="1">
        <f ca="1">IFERROR(__xludf.DUMMYFUNCTION("""COMPUTED_VALUE"""),525.05)</f>
        <v>525.04999999999995</v>
      </c>
      <c r="R1323" s="1">
        <f ca="1">IFERROR(__xludf.DUMMYFUNCTION("""COMPUTED_VALUE"""),104.34)</f>
        <v>104.34</v>
      </c>
      <c r="S1323" s="1">
        <f ca="1">IFERROR(__xludf.DUMMYFUNCTION("""COMPUTED_VALUE"""),66.91)</f>
        <v>66.91</v>
      </c>
      <c r="T1323" s="1">
        <f ca="1">IFERROR(__xludf.DUMMYFUNCTION("""COMPUTED_VALUE"""),83.83)</f>
        <v>83.83</v>
      </c>
      <c r="U1323" s="1">
        <f ca="1">IFERROR(__xludf.DUMMYFUNCTION("""COMPUTED_VALUE"""),55.61)</f>
        <v>55.61</v>
      </c>
      <c r="V1323" s="1">
        <f ca="1">IFERROR(__xludf.DUMMYFUNCTION("""COMPUTED_VALUE"""),288.08)</f>
        <v>288.08</v>
      </c>
      <c r="W1323" s="1">
        <f ca="1">IFERROR(__xludf.DUMMYFUNCTION("""COMPUTED_VALUE"""),432.15)</f>
        <v>432.15</v>
      </c>
      <c r="X1323" s="1">
        <f ca="1">IFERROR(__xludf.DUMMYFUNCTION("""COMPUTED_VALUE"""),605.55)</f>
        <v>605.54999999999995</v>
      </c>
      <c r="Y1323" s="1">
        <f ca="1">IFERROR(__xludf.DUMMYFUNCTION("""COMPUTED_VALUE"""),146.8)</f>
        <v>146.80000000000001</v>
      </c>
      <c r="Z1323" s="1">
        <f ca="1">IFERROR(__xludf.DUMMYFUNCTION("""COMPUTED_VALUE"""),465.51)</f>
        <v>465.51</v>
      </c>
      <c r="AA1323" s="1">
        <f ca="1">IFERROR(__xludf.DUMMYFUNCTION("""COMPUTED_VALUE"""),22.97)</f>
        <v>22.97</v>
      </c>
      <c r="AB1323" s="1">
        <f ca="1">IFERROR(__xludf.DUMMYFUNCTION("""COMPUTED_VALUE"""),80)</f>
        <v>80</v>
      </c>
      <c r="AC1323" s="1">
        <f ca="1">IFERROR(__xludf.DUMMYFUNCTION("""COMPUTED_VALUE"""),83.64)</f>
        <v>83.64</v>
      </c>
    </row>
    <row r="1324" spans="1:29" x14ac:dyDescent="0.25">
      <c r="A1324" s="2">
        <f ca="1">IFERROR(__xludf.DUMMYFUNCTION("""COMPUTED_VALUE"""),45754.6666666666)</f>
        <v>45754.666666666599</v>
      </c>
      <c r="B1324" s="1">
        <f ca="1">IFERROR(__xludf.DUMMYFUNCTION("""COMPUTED_VALUE"""),181.46)</f>
        <v>181.46</v>
      </c>
      <c r="C1324" s="1">
        <f ca="1">IFERROR(__xludf.DUMMYFUNCTION("""COMPUTED_VALUE"""),357.86)</f>
        <v>357.86</v>
      </c>
      <c r="D1324" s="1">
        <f ca="1">IFERROR(__xludf.DUMMYFUNCTION("""COMPUTED_VALUE"""),175.26)</f>
        <v>175.26</v>
      </c>
      <c r="E1324" s="1">
        <f ca="1">IFERROR(__xludf.DUMMYFUNCTION("""COMPUTED_VALUE"""),97.64)</f>
        <v>97.64</v>
      </c>
      <c r="F1324" s="1">
        <f ca="1">IFERROR(__xludf.DUMMYFUNCTION("""COMPUTED_VALUE"""),510.45)</f>
        <v>510.45</v>
      </c>
      <c r="G1324" s="1">
        <f ca="1">IFERROR(__xludf.DUMMYFUNCTION("""COMPUTED_VALUE"""),149.24)</f>
        <v>149.24</v>
      </c>
      <c r="H1324" s="1">
        <f ca="1">IFERROR(__xludf.DUMMYFUNCTION("""COMPUTED_VALUE"""),221.86)</f>
        <v>221.86</v>
      </c>
      <c r="I1324" s="1">
        <f ca="1">IFERROR(__xludf.DUMMYFUNCTION("""COMPUTED_VALUE"""),140.3)</f>
        <v>140.30000000000001</v>
      </c>
      <c r="J1324" s="1">
        <f ca="1">IFERROR(__xludf.DUMMYFUNCTION("""COMPUTED_VALUE"""),908.13)</f>
        <v>908.13</v>
      </c>
      <c r="K1324" s="1">
        <f ca="1">IFERROR(__xludf.DUMMYFUNCTION("""COMPUTED_VALUE"""),154.14)</f>
        <v>154.13999999999999</v>
      </c>
      <c r="L1324" s="1">
        <f ca="1">IFERROR(__xludf.DUMMYFUNCTION("""COMPUTED_VALUE"""),340.7)</f>
        <v>340.7</v>
      </c>
      <c r="M1324" s="1">
        <f ca="1">IFERROR(__xludf.DUMMYFUNCTION("""COMPUTED_VALUE"""),867.83)</f>
        <v>867.83</v>
      </c>
      <c r="N1324" s="1">
        <f ca="1">IFERROR(__xludf.DUMMYFUNCTION("""COMPUTED_VALUE"""),216.87)</f>
        <v>216.87</v>
      </c>
      <c r="O1324" s="1">
        <f ca="1">IFERROR(__xludf.DUMMYFUNCTION("""COMPUTED_VALUE"""),312.32)</f>
        <v>312.32</v>
      </c>
      <c r="P1324" s="1">
        <f ca="1">IFERROR(__xludf.DUMMYFUNCTION("""COMPUTED_VALUE"""),150.62)</f>
        <v>150.62</v>
      </c>
      <c r="Q1324" s="1">
        <f ca="1">IFERROR(__xludf.DUMMYFUNCTION("""COMPUTED_VALUE"""),524.7)</f>
        <v>524.70000000000005</v>
      </c>
      <c r="R1324" s="1">
        <f ca="1">IFERROR(__xludf.DUMMYFUNCTION("""COMPUTED_VALUE"""),102.94)</f>
        <v>102.94</v>
      </c>
      <c r="S1324" s="1">
        <f ca="1">IFERROR(__xludf.DUMMYFUNCTION("""COMPUTED_VALUE"""),65.06)</f>
        <v>65.06</v>
      </c>
      <c r="T1324" s="1">
        <f ca="1">IFERROR(__xludf.DUMMYFUNCTION("""COMPUTED_VALUE"""),81.79)</f>
        <v>81.790000000000006</v>
      </c>
      <c r="U1324" s="1">
        <f ca="1">IFERROR(__xludf.DUMMYFUNCTION("""COMPUTED_VALUE"""),53.27)</f>
        <v>53.27</v>
      </c>
      <c r="V1324" s="1">
        <f ca="1">IFERROR(__xludf.DUMMYFUNCTION("""COMPUTED_VALUE"""),280.06)</f>
        <v>280.06</v>
      </c>
      <c r="W1324" s="1">
        <f ca="1">IFERROR(__xludf.DUMMYFUNCTION("""COMPUTED_VALUE"""),430.82)</f>
        <v>430.82</v>
      </c>
      <c r="X1324" s="1">
        <f ca="1">IFERROR(__xludf.DUMMYFUNCTION("""COMPUTED_VALUE"""),615.84)</f>
        <v>615.84</v>
      </c>
      <c r="Y1324" s="1">
        <f ca="1">IFERROR(__xludf.DUMMYFUNCTION("""COMPUTED_VALUE"""),146.17)</f>
        <v>146.16999999999999</v>
      </c>
      <c r="Z1324" s="1">
        <f ca="1">IFERROR(__xludf.DUMMYFUNCTION("""COMPUTED_VALUE"""),462.22)</f>
        <v>462.22</v>
      </c>
      <c r="AA1324" s="1">
        <f ca="1">IFERROR(__xludf.DUMMYFUNCTION("""COMPUTED_VALUE"""),22.63)</f>
        <v>22.63</v>
      </c>
      <c r="AB1324" s="1">
        <f ca="1">IFERROR(__xludf.DUMMYFUNCTION("""COMPUTED_VALUE"""),79.69)</f>
        <v>79.69</v>
      </c>
      <c r="AC1324" s="1">
        <f ca="1">IFERROR(__xludf.DUMMYFUNCTION("""COMPUTED_VALUE"""),78.21)</f>
        <v>78.209999999999994</v>
      </c>
    </row>
    <row r="1325" spans="1:29" x14ac:dyDescent="0.25">
      <c r="A1325" s="2">
        <f ca="1">IFERROR(__xludf.DUMMYFUNCTION("""COMPUTED_VALUE"""),45755.6666666666)</f>
        <v>45755.666666666599</v>
      </c>
      <c r="B1325" s="1">
        <f ca="1">IFERROR(__xludf.DUMMYFUNCTION("""COMPUTED_VALUE"""),172.42)</f>
        <v>172.42</v>
      </c>
      <c r="C1325" s="1">
        <f ca="1">IFERROR(__xludf.DUMMYFUNCTION("""COMPUTED_VALUE"""),354.56)</f>
        <v>354.56</v>
      </c>
      <c r="D1325" s="1">
        <f ca="1">IFERROR(__xludf.DUMMYFUNCTION("""COMPUTED_VALUE"""),170.66)</f>
        <v>170.66</v>
      </c>
      <c r="E1325" s="1">
        <f ca="1">IFERROR(__xludf.DUMMYFUNCTION("""COMPUTED_VALUE"""),96.3)</f>
        <v>96.3</v>
      </c>
      <c r="F1325" s="1">
        <f ca="1">IFERROR(__xludf.DUMMYFUNCTION("""COMPUTED_VALUE"""),585.77)</f>
        <v>585.77</v>
      </c>
      <c r="G1325" s="1">
        <f ca="1">IFERROR(__xludf.DUMMYFUNCTION("""COMPUTED_VALUE"""),146.58)</f>
        <v>146.58000000000001</v>
      </c>
      <c r="H1325" s="1">
        <f ca="1">IFERROR(__xludf.DUMMYFUNCTION("""COMPUTED_VALUE"""),272.2)</f>
        <v>272.2</v>
      </c>
      <c r="I1325" s="1">
        <f ca="1">IFERROR(__xludf.DUMMYFUNCTION("""COMPUTED_VALUE"""),145.59)</f>
        <v>145.59</v>
      </c>
      <c r="J1325" s="1">
        <f ca="1">IFERROR(__xludf.DUMMYFUNCTION("""COMPUTED_VALUE"""),908.75)</f>
        <v>908.75</v>
      </c>
      <c r="K1325" s="1">
        <f ca="1">IFERROR(__xludf.DUMMYFUNCTION("""COMPUTED_VALUE"""),156.03)</f>
        <v>156.03</v>
      </c>
      <c r="L1325" s="1">
        <f ca="1">IFERROR(__xludf.DUMMYFUNCTION("""COMPUTED_VALUE"""),340)</f>
        <v>340</v>
      </c>
      <c r="M1325" s="1">
        <f ca="1">IFERROR(__xludf.DUMMYFUNCTION("""COMPUTED_VALUE"""),870.4)</f>
        <v>870.4</v>
      </c>
      <c r="N1325" s="1">
        <f ca="1">IFERROR(__xludf.DUMMYFUNCTION("""COMPUTED_VALUE"""),234.34)</f>
        <v>234.34</v>
      </c>
      <c r="O1325" s="1">
        <f ca="1">IFERROR(__xludf.DUMMYFUNCTION("""COMPUTED_VALUE"""),308.27)</f>
        <v>308.27</v>
      </c>
      <c r="P1325" s="1">
        <f ca="1">IFERROR(__xludf.DUMMYFUNCTION("""COMPUTED_VALUE"""),150)</f>
        <v>150</v>
      </c>
      <c r="Q1325" s="1">
        <f ca="1">IFERROR(__xludf.DUMMYFUNCTION("""COMPUTED_VALUE"""),553.08)</f>
        <v>553.08000000000004</v>
      </c>
      <c r="R1325" s="1">
        <f ca="1">IFERROR(__xludf.DUMMYFUNCTION("""COMPUTED_VALUE"""),100.77)</f>
        <v>100.77</v>
      </c>
      <c r="S1325" s="1">
        <f ca="1">IFERROR(__xludf.DUMMYFUNCTION("""COMPUTED_VALUE"""),64.11)</f>
        <v>64.11</v>
      </c>
      <c r="T1325" s="1">
        <f ca="1">IFERROR(__xludf.DUMMYFUNCTION("""COMPUTED_VALUE"""),89.6)</f>
        <v>89.6</v>
      </c>
      <c r="U1325" s="1">
        <f ca="1">IFERROR(__xludf.DUMMYFUNCTION("""COMPUTED_VALUE"""),59.32)</f>
        <v>59.32</v>
      </c>
      <c r="V1325" s="1">
        <f ca="1">IFERROR(__xludf.DUMMYFUNCTION("""COMPUTED_VALUE"""),273.94)</f>
        <v>273.94</v>
      </c>
      <c r="W1325" s="1">
        <f ca="1">IFERROR(__xludf.DUMMYFUNCTION("""COMPUTED_VALUE"""),443.36)</f>
        <v>443.36</v>
      </c>
      <c r="X1325" s="1">
        <f ca="1">IFERROR(__xludf.DUMMYFUNCTION("""COMPUTED_VALUE"""),595.37)</f>
        <v>595.37</v>
      </c>
      <c r="Y1325" s="1">
        <f ca="1">IFERROR(__xludf.DUMMYFUNCTION("""COMPUTED_VALUE"""),141.37)</f>
        <v>141.37</v>
      </c>
      <c r="Z1325" s="1">
        <f ca="1">IFERROR(__xludf.DUMMYFUNCTION("""COMPUTED_VALUE"""),516.87)</f>
        <v>516.87</v>
      </c>
      <c r="AA1325" s="1">
        <f ca="1">IFERROR(__xludf.DUMMYFUNCTION("""COMPUTED_VALUE"""),21.84)</f>
        <v>21.84</v>
      </c>
      <c r="AB1325" s="1">
        <f ca="1">IFERROR(__xludf.DUMMYFUNCTION("""COMPUTED_VALUE"""),88.68)</f>
        <v>88.68</v>
      </c>
      <c r="AC1325" s="1">
        <f ca="1">IFERROR(__xludf.DUMMYFUNCTION("""COMPUTED_VALUE"""),96.84)</f>
        <v>96.84</v>
      </c>
    </row>
    <row r="1326" spans="1:29" x14ac:dyDescent="0.25">
      <c r="A1326" s="2">
        <f ca="1">IFERROR(__xludf.DUMMYFUNCTION("""COMPUTED_VALUE"""),45756.6666666666)</f>
        <v>45756.666666666599</v>
      </c>
      <c r="B1326" s="1">
        <f ca="1">IFERROR(__xludf.DUMMYFUNCTION("""COMPUTED_VALUE"""),198.85)</f>
        <v>198.85</v>
      </c>
      <c r="C1326" s="1">
        <f ca="1">IFERROR(__xludf.DUMMYFUNCTION("""COMPUTED_VALUE"""),390.49)</f>
        <v>390.49</v>
      </c>
      <c r="D1326" s="1">
        <f ca="1">IFERROR(__xludf.DUMMYFUNCTION("""COMPUTED_VALUE"""),191.1)</f>
        <v>191.1</v>
      </c>
      <c r="E1326" s="1">
        <f ca="1">IFERROR(__xludf.DUMMYFUNCTION("""COMPUTED_VALUE"""),114.33)</f>
        <v>114.33</v>
      </c>
      <c r="F1326" s="1">
        <f ca="1">IFERROR(__xludf.DUMMYFUNCTION("""COMPUTED_VALUE"""),546.29)</f>
        <v>546.29</v>
      </c>
      <c r="G1326" s="1">
        <f ca="1">IFERROR(__xludf.DUMMYFUNCTION("""COMPUTED_VALUE"""),161.06)</f>
        <v>161.06</v>
      </c>
      <c r="H1326" s="1">
        <f ca="1">IFERROR(__xludf.DUMMYFUNCTION("""COMPUTED_VALUE"""),252.4)</f>
        <v>252.4</v>
      </c>
      <c r="I1326" s="1">
        <f ca="1">IFERROR(__xludf.DUMMYFUNCTION("""COMPUTED_VALUE"""),144.14)</f>
        <v>144.13999999999999</v>
      </c>
      <c r="J1326" s="1">
        <f ca="1">IFERROR(__xludf.DUMMYFUNCTION("""COMPUTED_VALUE"""),965.19)</f>
        <v>965.19</v>
      </c>
      <c r="K1326" s="1">
        <f ca="1">IFERROR(__xludf.DUMMYFUNCTION("""COMPUTED_VALUE"""),185.15)</f>
        <v>185.15</v>
      </c>
      <c r="L1326" s="1">
        <f ca="1">IFERROR(__xludf.DUMMYFUNCTION("""COMPUTED_VALUE"""),364.64)</f>
        <v>364.64</v>
      </c>
      <c r="M1326" s="1">
        <f ca="1">IFERROR(__xludf.DUMMYFUNCTION("""COMPUTED_VALUE"""),945.47)</f>
        <v>945.47</v>
      </c>
      <c r="N1326" s="1">
        <f ca="1">IFERROR(__xludf.DUMMYFUNCTION("""COMPUTED_VALUE"""),227.11)</f>
        <v>227.11</v>
      </c>
      <c r="O1326" s="1">
        <f ca="1">IFERROR(__xludf.DUMMYFUNCTION("""COMPUTED_VALUE"""),332.43)</f>
        <v>332.43</v>
      </c>
      <c r="P1326" s="1">
        <f ca="1">IFERROR(__xludf.DUMMYFUNCTION("""COMPUTED_VALUE"""),150.97)</f>
        <v>150.97</v>
      </c>
      <c r="Q1326" s="1">
        <f ca="1">IFERROR(__xludf.DUMMYFUNCTION("""COMPUTED_VALUE"""),578.5)</f>
        <v>578.5</v>
      </c>
      <c r="R1326" s="1">
        <f ca="1">IFERROR(__xludf.DUMMYFUNCTION("""COMPUTED_VALUE"""),105.8)</f>
        <v>105.8</v>
      </c>
      <c r="S1326" s="1">
        <f ca="1">IFERROR(__xludf.DUMMYFUNCTION("""COMPUTED_VALUE"""),67.58)</f>
        <v>67.58</v>
      </c>
      <c r="T1326" s="1">
        <f ca="1">IFERROR(__xludf.DUMMYFUNCTION("""COMPUTED_VALUE"""),90.61)</f>
        <v>90.61</v>
      </c>
      <c r="U1326" s="1">
        <f ca="1">IFERROR(__xludf.DUMMYFUNCTION("""COMPUTED_VALUE"""),54.4)</f>
        <v>54.4</v>
      </c>
      <c r="V1326" s="1">
        <f ca="1">IFERROR(__xludf.DUMMYFUNCTION("""COMPUTED_VALUE"""),301.01)</f>
        <v>301.01</v>
      </c>
      <c r="W1326" s="1">
        <f ca="1">IFERROR(__xludf.DUMMYFUNCTION("""COMPUTED_VALUE"""),462.24)</f>
        <v>462.24</v>
      </c>
      <c r="X1326" s="1">
        <f ca="1">IFERROR(__xludf.DUMMYFUNCTION("""COMPUTED_VALUE"""),687.26)</f>
        <v>687.26</v>
      </c>
      <c r="Y1326" s="1">
        <f ca="1">IFERROR(__xludf.DUMMYFUNCTION("""COMPUTED_VALUE"""),158.75)</f>
        <v>158.75</v>
      </c>
      <c r="Z1326" s="1">
        <f ca="1">IFERROR(__xludf.DUMMYFUNCTION("""COMPUTED_VALUE"""),489.8)</f>
        <v>489.8</v>
      </c>
      <c r="AA1326" s="1">
        <f ca="1">IFERROR(__xludf.DUMMYFUNCTION("""COMPUTED_VALUE"""),22.49)</f>
        <v>22.49</v>
      </c>
      <c r="AB1326" s="1">
        <f ca="1">IFERROR(__xludf.DUMMYFUNCTION("""COMPUTED_VALUE"""),84.6)</f>
        <v>84.6</v>
      </c>
      <c r="AC1326" s="1">
        <f ca="1">IFERROR(__xludf.DUMMYFUNCTION("""COMPUTED_VALUE"""),88.7)</f>
        <v>88.7</v>
      </c>
    </row>
    <row r="1327" spans="1:29" x14ac:dyDescent="0.25">
      <c r="A1327" s="2">
        <f ca="1">IFERROR(__xludf.DUMMYFUNCTION("""COMPUTED_VALUE"""),45757.6666666666)</f>
        <v>45757.666666666599</v>
      </c>
      <c r="B1327" s="1">
        <f ca="1">IFERROR(__xludf.DUMMYFUNCTION("""COMPUTED_VALUE"""),190.42)</f>
        <v>190.42</v>
      </c>
      <c r="C1327" s="1">
        <f ca="1">IFERROR(__xludf.DUMMYFUNCTION("""COMPUTED_VALUE"""),381.35)</f>
        <v>381.35</v>
      </c>
      <c r="D1327" s="1">
        <f ca="1">IFERROR(__xludf.DUMMYFUNCTION("""COMPUTED_VALUE"""),181.22)</f>
        <v>181.22</v>
      </c>
      <c r="E1327" s="1">
        <f ca="1">IFERROR(__xludf.DUMMYFUNCTION("""COMPUTED_VALUE"""),107.57)</f>
        <v>107.57</v>
      </c>
      <c r="F1327" s="1">
        <f ca="1">IFERROR(__xludf.DUMMYFUNCTION("""COMPUTED_VALUE"""),543.57)</f>
        <v>543.57000000000005</v>
      </c>
      <c r="G1327" s="1">
        <f ca="1">IFERROR(__xludf.DUMMYFUNCTION("""COMPUTED_VALUE"""),155.37)</f>
        <v>155.37</v>
      </c>
      <c r="H1327" s="1">
        <f ca="1">IFERROR(__xludf.DUMMYFUNCTION("""COMPUTED_VALUE"""),252.31)</f>
        <v>252.31</v>
      </c>
      <c r="I1327" s="1">
        <f ca="1">IFERROR(__xludf.DUMMYFUNCTION("""COMPUTED_VALUE"""),144.43)</f>
        <v>144.43</v>
      </c>
      <c r="J1327" s="1">
        <f ca="1">IFERROR(__xludf.DUMMYFUNCTION("""COMPUTED_VALUE"""),964.31)</f>
        <v>964.31</v>
      </c>
      <c r="K1327" s="1">
        <f ca="1">IFERROR(__xludf.DUMMYFUNCTION("""COMPUTED_VALUE"""),172.3)</f>
        <v>172.3</v>
      </c>
      <c r="L1327" s="1">
        <f ca="1">IFERROR(__xludf.DUMMYFUNCTION("""COMPUTED_VALUE"""),350.05)</f>
        <v>350.05</v>
      </c>
      <c r="M1327" s="1">
        <f ca="1">IFERROR(__xludf.DUMMYFUNCTION("""COMPUTED_VALUE"""),921.17)</f>
        <v>921.17</v>
      </c>
      <c r="N1327" s="1">
        <f ca="1">IFERROR(__xludf.DUMMYFUNCTION("""COMPUTED_VALUE"""),236.2)</f>
        <v>236.2</v>
      </c>
      <c r="O1327" s="1">
        <f ca="1">IFERROR(__xludf.DUMMYFUNCTION("""COMPUTED_VALUE"""),324.61)</f>
        <v>324.61</v>
      </c>
      <c r="P1327" s="1">
        <f ca="1">IFERROR(__xludf.DUMMYFUNCTION("""COMPUTED_VALUE"""),148.69)</f>
        <v>148.69</v>
      </c>
      <c r="Q1327" s="1">
        <f ca="1">IFERROR(__xludf.DUMMYFUNCTION("""COMPUTED_VALUE"""),594.4)</f>
        <v>594.4</v>
      </c>
      <c r="R1327" s="1">
        <f ca="1">IFERROR(__xludf.DUMMYFUNCTION("""COMPUTED_VALUE"""),99.93)</f>
        <v>99.93</v>
      </c>
      <c r="S1327" s="1">
        <f ca="1">IFERROR(__xludf.DUMMYFUNCTION("""COMPUTED_VALUE"""),66.72)</f>
        <v>66.72</v>
      </c>
      <c r="T1327" s="1">
        <f ca="1">IFERROR(__xludf.DUMMYFUNCTION("""COMPUTED_VALUE"""),92.8)</f>
        <v>92.8</v>
      </c>
      <c r="U1327" s="1">
        <f ca="1">IFERROR(__xludf.DUMMYFUNCTION("""COMPUTED_VALUE"""),54.39)</f>
        <v>54.39</v>
      </c>
      <c r="V1327" s="1">
        <f ca="1">IFERROR(__xludf.DUMMYFUNCTION("""COMPUTED_VALUE"""),289.16)</f>
        <v>289.16000000000003</v>
      </c>
      <c r="W1327" s="1">
        <f ca="1">IFERROR(__xludf.DUMMYFUNCTION("""COMPUTED_VALUE"""),463.7)</f>
        <v>463.7</v>
      </c>
      <c r="X1327" s="1">
        <f ca="1">IFERROR(__xludf.DUMMYFUNCTION("""COMPUTED_VALUE"""),649.55)</f>
        <v>649.54999999999995</v>
      </c>
      <c r="Y1327" s="1">
        <f ca="1">IFERROR(__xludf.DUMMYFUNCTION("""COMPUTED_VALUE"""),151.13)</f>
        <v>151.13</v>
      </c>
      <c r="Z1327" s="1">
        <f ca="1">IFERROR(__xludf.DUMMYFUNCTION("""COMPUTED_VALUE"""),494.44)</f>
        <v>494.44</v>
      </c>
      <c r="AA1327" s="1">
        <f ca="1">IFERROR(__xludf.DUMMYFUNCTION("""COMPUTED_VALUE"""),21.59)</f>
        <v>21.59</v>
      </c>
      <c r="AB1327" s="1">
        <f ca="1">IFERROR(__xludf.DUMMYFUNCTION("""COMPUTED_VALUE"""),85.43)</f>
        <v>85.43</v>
      </c>
      <c r="AC1327" s="1">
        <f ca="1">IFERROR(__xludf.DUMMYFUNCTION("""COMPUTED_VALUE"""),93.4)</f>
        <v>93.4</v>
      </c>
    </row>
    <row r="1328" spans="1:29" x14ac:dyDescent="0.25">
      <c r="A1328" s="2">
        <f ca="1">IFERROR(__xludf.DUMMYFUNCTION("""COMPUTED_VALUE"""),45758.6666666666)</f>
        <v>45758.666666666599</v>
      </c>
      <c r="B1328" s="1">
        <f ca="1">IFERROR(__xludf.DUMMYFUNCTION("""COMPUTED_VALUE"""),198.15)</f>
        <v>198.15</v>
      </c>
      <c r="C1328" s="1">
        <f ca="1">IFERROR(__xludf.DUMMYFUNCTION("""COMPUTED_VALUE"""),388.45)</f>
        <v>388.45</v>
      </c>
      <c r="D1328" s="1">
        <f ca="1">IFERROR(__xludf.DUMMYFUNCTION("""COMPUTED_VALUE"""),184.87)</f>
        <v>184.87</v>
      </c>
      <c r="E1328" s="1">
        <f ca="1">IFERROR(__xludf.DUMMYFUNCTION("""COMPUTED_VALUE"""),110.93)</f>
        <v>110.93</v>
      </c>
      <c r="F1328" s="1">
        <f ca="1">IFERROR(__xludf.DUMMYFUNCTION("""COMPUTED_VALUE"""),531.48)</f>
        <v>531.48</v>
      </c>
      <c r="G1328" s="1">
        <f ca="1">IFERROR(__xludf.DUMMYFUNCTION("""COMPUTED_VALUE"""),159.4)</f>
        <v>159.4</v>
      </c>
      <c r="H1328" s="1">
        <f ca="1">IFERROR(__xludf.DUMMYFUNCTION("""COMPUTED_VALUE"""),252.35)</f>
        <v>252.35</v>
      </c>
      <c r="I1328" s="1">
        <f ca="1">IFERROR(__xludf.DUMMYFUNCTION("""COMPUTED_VALUE"""),146.75)</f>
        <v>146.75</v>
      </c>
      <c r="J1328" s="1">
        <f ca="1">IFERROR(__xludf.DUMMYFUNCTION("""COMPUTED_VALUE"""),963.41)</f>
        <v>963.41</v>
      </c>
      <c r="K1328" s="1">
        <f ca="1">IFERROR(__xludf.DUMMYFUNCTION("""COMPUTED_VALUE"""),181.94)</f>
        <v>181.94</v>
      </c>
      <c r="L1328" s="1">
        <f ca="1">IFERROR(__xludf.DUMMYFUNCTION("""COMPUTED_VALUE"""),352.47)</f>
        <v>352.47</v>
      </c>
      <c r="M1328" s="1">
        <f ca="1">IFERROR(__xludf.DUMMYFUNCTION("""COMPUTED_VALUE"""),918.29)</f>
        <v>918.29</v>
      </c>
      <c r="N1328" s="1">
        <f ca="1">IFERROR(__xludf.DUMMYFUNCTION("""COMPUTED_VALUE"""),234.72)</f>
        <v>234.72</v>
      </c>
      <c r="O1328" s="1">
        <f ca="1">IFERROR(__xludf.DUMMYFUNCTION("""COMPUTED_VALUE"""),333.4)</f>
        <v>333.4</v>
      </c>
      <c r="P1328" s="1">
        <f ca="1">IFERROR(__xludf.DUMMYFUNCTION("""COMPUTED_VALUE"""),151.73)</f>
        <v>151.72999999999999</v>
      </c>
      <c r="Q1328" s="1">
        <f ca="1">IFERROR(__xludf.DUMMYFUNCTION("""COMPUTED_VALUE"""),599.47)</f>
        <v>599.47</v>
      </c>
      <c r="R1328" s="1">
        <f ca="1">IFERROR(__xludf.DUMMYFUNCTION("""COMPUTED_VALUE"""),103.14)</f>
        <v>103.14</v>
      </c>
      <c r="S1328" s="1">
        <f ca="1">IFERROR(__xludf.DUMMYFUNCTION("""COMPUTED_VALUE"""),65.81)</f>
        <v>65.81</v>
      </c>
      <c r="T1328" s="1">
        <f ca="1">IFERROR(__xludf.DUMMYFUNCTION("""COMPUTED_VALUE"""),94.73)</f>
        <v>94.73</v>
      </c>
      <c r="U1328" s="1">
        <f ca="1">IFERROR(__xludf.DUMMYFUNCTION("""COMPUTED_VALUE"""),55.41)</f>
        <v>55.41</v>
      </c>
      <c r="V1328" s="1">
        <f ca="1">IFERROR(__xludf.DUMMYFUNCTION("""COMPUTED_VALUE"""),293.45)</f>
        <v>293.45</v>
      </c>
      <c r="W1328" s="1">
        <f ca="1">IFERROR(__xludf.DUMMYFUNCTION("""COMPUTED_VALUE"""),474.9)</f>
        <v>474.9</v>
      </c>
      <c r="X1328" s="1">
        <f ca="1">IFERROR(__xludf.DUMMYFUNCTION("""COMPUTED_VALUE"""),668.81)</f>
        <v>668.81</v>
      </c>
      <c r="Y1328" s="1">
        <f ca="1">IFERROR(__xludf.DUMMYFUNCTION("""COMPUTED_VALUE"""),157.08)</f>
        <v>157.08000000000001</v>
      </c>
      <c r="Z1328" s="1">
        <f ca="1">IFERROR(__xludf.DUMMYFUNCTION("""COMPUTED_VALUE"""),503.98)</f>
        <v>503.98</v>
      </c>
      <c r="AA1328" s="1">
        <f ca="1">IFERROR(__xludf.DUMMYFUNCTION("""COMPUTED_VALUE"""),21.91)</f>
        <v>21.91</v>
      </c>
      <c r="AB1328" s="1">
        <f ca="1">IFERROR(__xludf.DUMMYFUNCTION("""COMPUTED_VALUE"""),85.49)</f>
        <v>85.49</v>
      </c>
      <c r="AC1328" s="1">
        <f ca="1">IFERROR(__xludf.DUMMYFUNCTION("""COMPUTED_VALUE"""),94.5)</f>
        <v>94.5</v>
      </c>
    </row>
    <row r="1329" spans="1:29" x14ac:dyDescent="0.25">
      <c r="A1329" s="2">
        <f ca="1">IFERROR(__xludf.DUMMYFUNCTION("""COMPUTED_VALUE"""),45761.6666666666)</f>
        <v>45761.666666666599</v>
      </c>
      <c r="B1329" s="1">
        <f ca="1">IFERROR(__xludf.DUMMYFUNCTION("""COMPUTED_VALUE"""),202.52)</f>
        <v>202.52</v>
      </c>
      <c r="C1329" s="1">
        <f ca="1">IFERROR(__xludf.DUMMYFUNCTION("""COMPUTED_VALUE"""),387.81)</f>
        <v>387.81</v>
      </c>
      <c r="D1329" s="1">
        <f ca="1">IFERROR(__xludf.DUMMYFUNCTION("""COMPUTED_VALUE"""),182.12)</f>
        <v>182.12</v>
      </c>
      <c r="E1329" s="1">
        <f ca="1">IFERROR(__xludf.DUMMYFUNCTION("""COMPUTED_VALUE"""),110.71)</f>
        <v>110.71</v>
      </c>
      <c r="F1329" s="1">
        <f ca="1">IFERROR(__xludf.DUMMYFUNCTION("""COMPUTED_VALUE"""),521.52)</f>
        <v>521.52</v>
      </c>
      <c r="G1329" s="1">
        <f ca="1">IFERROR(__xludf.DUMMYFUNCTION("""COMPUTED_VALUE"""),161.47)</f>
        <v>161.47</v>
      </c>
      <c r="H1329" s="1">
        <f ca="1">IFERROR(__xludf.DUMMYFUNCTION("""COMPUTED_VALUE"""),254.11)</f>
        <v>254.11</v>
      </c>
      <c r="I1329" s="1">
        <f ca="1">IFERROR(__xludf.DUMMYFUNCTION("""COMPUTED_VALUE"""),142.84)</f>
        <v>142.84</v>
      </c>
      <c r="J1329" s="1">
        <f ca="1">IFERROR(__xludf.DUMMYFUNCTION("""COMPUTED_VALUE"""),979.32)</f>
        <v>979.32</v>
      </c>
      <c r="K1329" s="1">
        <f ca="1">IFERROR(__xludf.DUMMYFUNCTION("""COMPUTED_VALUE"""),178.36)</f>
        <v>178.36</v>
      </c>
      <c r="L1329" s="1">
        <f ca="1">IFERROR(__xludf.DUMMYFUNCTION("""COMPUTED_VALUE"""),350.91)</f>
        <v>350.91</v>
      </c>
      <c r="M1329" s="1">
        <f ca="1">IFERROR(__xludf.DUMMYFUNCTION("""COMPUTED_VALUE"""),931.28)</f>
        <v>931.28</v>
      </c>
      <c r="N1329" s="1">
        <f ca="1">IFERROR(__xludf.DUMMYFUNCTION("""COMPUTED_VALUE"""),233.13)</f>
        <v>233.13</v>
      </c>
      <c r="O1329" s="1">
        <f ca="1">IFERROR(__xludf.DUMMYFUNCTION("""COMPUTED_VALUE"""),335.18)</f>
        <v>335.18</v>
      </c>
      <c r="P1329" s="1">
        <f ca="1">IFERROR(__xludf.DUMMYFUNCTION("""COMPUTED_VALUE"""),154.36)</f>
        <v>154.36000000000001</v>
      </c>
      <c r="Q1329" s="1">
        <f ca="1">IFERROR(__xludf.DUMMYFUNCTION("""COMPUTED_VALUE"""),587.06)</f>
        <v>587.05999999999995</v>
      </c>
      <c r="R1329" s="1">
        <f ca="1">IFERROR(__xludf.DUMMYFUNCTION("""COMPUTED_VALUE"""),103.39)</f>
        <v>103.39</v>
      </c>
      <c r="S1329" s="1">
        <f ca="1">IFERROR(__xludf.DUMMYFUNCTION("""COMPUTED_VALUE"""),67.69)</f>
        <v>67.69</v>
      </c>
      <c r="T1329" s="1">
        <f ca="1">IFERROR(__xludf.DUMMYFUNCTION("""COMPUTED_VALUE"""),93.97)</f>
        <v>93.97</v>
      </c>
      <c r="U1329" s="1">
        <f ca="1">IFERROR(__xludf.DUMMYFUNCTION("""COMPUTED_VALUE"""),54.83)</f>
        <v>54.83</v>
      </c>
      <c r="V1329" s="1">
        <f ca="1">IFERROR(__xludf.DUMMYFUNCTION("""COMPUTED_VALUE"""),298.12)</f>
        <v>298.12</v>
      </c>
      <c r="W1329" s="1">
        <f ca="1">IFERROR(__xludf.DUMMYFUNCTION("""COMPUTED_VALUE"""),475.34)</f>
        <v>475.34</v>
      </c>
      <c r="X1329" s="1">
        <f ca="1">IFERROR(__xludf.DUMMYFUNCTION("""COMPUTED_VALUE"""),672.87)</f>
        <v>672.87</v>
      </c>
      <c r="Y1329" s="1">
        <f ca="1">IFERROR(__xludf.DUMMYFUNCTION("""COMPUTED_VALUE"""),155.84)</f>
        <v>155.84</v>
      </c>
      <c r="Z1329" s="1">
        <f ca="1">IFERROR(__xludf.DUMMYFUNCTION("""COMPUTED_VALUE"""),507.89)</f>
        <v>507.89</v>
      </c>
      <c r="AA1329" s="1">
        <f ca="1">IFERROR(__xludf.DUMMYFUNCTION("""COMPUTED_VALUE"""),22.12)</f>
        <v>22.12</v>
      </c>
      <c r="AB1329" s="1">
        <f ca="1">IFERROR(__xludf.DUMMYFUNCTION("""COMPUTED_VALUE"""),83.71)</f>
        <v>83.71</v>
      </c>
      <c r="AC1329" s="1">
        <f ca="1">IFERROR(__xludf.DUMMYFUNCTION("""COMPUTED_VALUE"""),95.29)</f>
        <v>95.29</v>
      </c>
    </row>
    <row r="1330" spans="1:29" x14ac:dyDescent="0.25">
      <c r="A1330" s="2">
        <f ca="1">IFERROR(__xludf.DUMMYFUNCTION("""COMPUTED_VALUE"""),45762.6666666666)</f>
        <v>45762.666666666599</v>
      </c>
      <c r="B1330" s="1">
        <f ca="1">IFERROR(__xludf.DUMMYFUNCTION("""COMPUTED_VALUE"""),202.14)</f>
        <v>202.14</v>
      </c>
      <c r="C1330" s="1">
        <f ca="1">IFERROR(__xludf.DUMMYFUNCTION("""COMPUTED_VALUE"""),385.73)</f>
        <v>385.73</v>
      </c>
      <c r="D1330" s="1">
        <f ca="1">IFERROR(__xludf.DUMMYFUNCTION("""COMPUTED_VALUE"""),179.59)</f>
        <v>179.59</v>
      </c>
      <c r="E1330" s="1">
        <f ca="1">IFERROR(__xludf.DUMMYFUNCTION("""COMPUTED_VALUE"""),112.2)</f>
        <v>112.2</v>
      </c>
      <c r="F1330" s="1">
        <f ca="1">IFERROR(__xludf.DUMMYFUNCTION("""COMPUTED_VALUE"""),502.31)</f>
        <v>502.31</v>
      </c>
      <c r="G1330" s="1">
        <f ca="1">IFERROR(__xludf.DUMMYFUNCTION("""COMPUTED_VALUE"""),158.68)</f>
        <v>158.68</v>
      </c>
      <c r="H1330" s="1">
        <f ca="1">IFERROR(__xludf.DUMMYFUNCTION("""COMPUTED_VALUE"""),241.55)</f>
        <v>241.55</v>
      </c>
      <c r="I1330" s="1">
        <f ca="1">IFERROR(__xludf.DUMMYFUNCTION("""COMPUTED_VALUE"""),140.09)</f>
        <v>140.09</v>
      </c>
      <c r="J1330" s="1">
        <f ca="1">IFERROR(__xludf.DUMMYFUNCTION("""COMPUTED_VALUE"""),976.92)</f>
        <v>976.92</v>
      </c>
      <c r="K1330" s="1">
        <f ca="1">IFERROR(__xludf.DUMMYFUNCTION("""COMPUTED_VALUE"""),178.95)</f>
        <v>178.95</v>
      </c>
      <c r="L1330" s="1">
        <f ca="1">IFERROR(__xludf.DUMMYFUNCTION("""COMPUTED_VALUE"""),350.38)</f>
        <v>350.38</v>
      </c>
      <c r="M1330" s="1">
        <f ca="1">IFERROR(__xludf.DUMMYFUNCTION("""COMPUTED_VALUE"""),976.28)</f>
        <v>976.28</v>
      </c>
      <c r="N1330" s="1">
        <f ca="1">IFERROR(__xludf.DUMMYFUNCTION("""COMPUTED_VALUE"""),229.61)</f>
        <v>229.61</v>
      </c>
      <c r="O1330" s="1">
        <f ca="1">IFERROR(__xludf.DUMMYFUNCTION("""COMPUTED_VALUE"""),335.81)</f>
        <v>335.81</v>
      </c>
      <c r="P1330" s="1">
        <f ca="1">IFERROR(__xludf.DUMMYFUNCTION("""COMPUTED_VALUE"""),153.62)</f>
        <v>153.62</v>
      </c>
      <c r="Q1330" s="1">
        <f ca="1">IFERROR(__xludf.DUMMYFUNCTION("""COMPUTED_VALUE"""),583.59)</f>
        <v>583.59</v>
      </c>
      <c r="R1330" s="1">
        <f ca="1">IFERROR(__xludf.DUMMYFUNCTION("""COMPUTED_VALUE"""),103.1)</f>
        <v>103.1</v>
      </c>
      <c r="S1330" s="1">
        <f ca="1">IFERROR(__xludf.DUMMYFUNCTION("""COMPUTED_VALUE"""),67.66)</f>
        <v>67.66</v>
      </c>
      <c r="T1330" s="1">
        <f ca="1">IFERROR(__xludf.DUMMYFUNCTION("""COMPUTED_VALUE"""),91.19)</f>
        <v>91.19</v>
      </c>
      <c r="U1330" s="1">
        <f ca="1">IFERROR(__xludf.DUMMYFUNCTION("""COMPUTED_VALUE"""),53.55)</f>
        <v>53.55</v>
      </c>
      <c r="V1330" s="1">
        <f ca="1">IFERROR(__xludf.DUMMYFUNCTION("""COMPUTED_VALUE"""),293.43)</f>
        <v>293.43</v>
      </c>
      <c r="W1330" s="1">
        <f ca="1">IFERROR(__xludf.DUMMYFUNCTION("""COMPUTED_VALUE"""),469.58)</f>
        <v>469.58</v>
      </c>
      <c r="X1330" s="1">
        <f ca="1">IFERROR(__xludf.DUMMYFUNCTION("""COMPUTED_VALUE"""),683.16)</f>
        <v>683.16</v>
      </c>
      <c r="Y1330" s="1">
        <f ca="1">IFERROR(__xludf.DUMMYFUNCTION("""COMPUTED_VALUE"""),157.33)</f>
        <v>157.33000000000001</v>
      </c>
      <c r="Z1330" s="1">
        <f ca="1">IFERROR(__xludf.DUMMYFUNCTION("""COMPUTED_VALUE"""),499.05)</f>
        <v>499.05</v>
      </c>
      <c r="AA1330" s="1">
        <f ca="1">IFERROR(__xludf.DUMMYFUNCTION("""COMPUTED_VALUE"""),22.44)</f>
        <v>22.44</v>
      </c>
      <c r="AB1330" s="1">
        <f ca="1">IFERROR(__xludf.DUMMYFUNCTION("""COMPUTED_VALUE"""),80.76)</f>
        <v>80.760000000000005</v>
      </c>
      <c r="AC1330" s="1">
        <f ca="1">IFERROR(__xludf.DUMMYFUNCTION("""COMPUTED_VALUE"""),88.29)</f>
        <v>88.29</v>
      </c>
    </row>
    <row r="1331" spans="1:29" x14ac:dyDescent="0.25">
      <c r="A1331" s="2">
        <f ca="1">IFERROR(__xludf.DUMMYFUNCTION("""COMPUTED_VALUE"""),45763.6666666666)</f>
        <v>45763.666666666599</v>
      </c>
      <c r="B1331" s="1">
        <f ca="1">IFERROR(__xludf.DUMMYFUNCTION("""COMPUTED_VALUE"""),194.27)</f>
        <v>194.27</v>
      </c>
      <c r="C1331" s="1">
        <f ca="1">IFERROR(__xludf.DUMMYFUNCTION("""COMPUTED_VALUE"""),371.61)</f>
        <v>371.61</v>
      </c>
      <c r="D1331" s="1">
        <f ca="1">IFERROR(__xludf.DUMMYFUNCTION("""COMPUTED_VALUE"""),174.33)</f>
        <v>174.33</v>
      </c>
      <c r="E1331" s="1">
        <f ca="1">IFERROR(__xludf.DUMMYFUNCTION("""COMPUTED_VALUE"""),104.49)</f>
        <v>104.49</v>
      </c>
      <c r="F1331" s="1">
        <f ca="1">IFERROR(__xludf.DUMMYFUNCTION("""COMPUTED_VALUE"""),501.48)</f>
        <v>501.48</v>
      </c>
      <c r="G1331" s="1">
        <f ca="1">IFERROR(__xludf.DUMMYFUNCTION("""COMPUTED_VALUE"""),155.5)</f>
        <v>155.5</v>
      </c>
      <c r="H1331" s="1">
        <f ca="1">IFERROR(__xludf.DUMMYFUNCTION("""COMPUTED_VALUE"""),241.37)</f>
        <v>241.37</v>
      </c>
      <c r="I1331" s="1">
        <f ca="1">IFERROR(__xludf.DUMMYFUNCTION("""COMPUTED_VALUE"""),142.84)</f>
        <v>142.84</v>
      </c>
      <c r="J1331" s="1">
        <f ca="1">IFERROR(__xludf.DUMMYFUNCTION("""COMPUTED_VALUE"""),967.75)</f>
        <v>967.75</v>
      </c>
      <c r="K1331" s="1">
        <f ca="1">IFERROR(__xludf.DUMMYFUNCTION("""COMPUTED_VALUE"""),174.61)</f>
        <v>174.61</v>
      </c>
      <c r="L1331" s="1">
        <f ca="1">IFERROR(__xludf.DUMMYFUNCTION("""COMPUTED_VALUE"""),344.19)</f>
        <v>344.19</v>
      </c>
      <c r="M1331" s="1">
        <f ca="1">IFERROR(__xludf.DUMMYFUNCTION("""COMPUTED_VALUE"""),961.63)</f>
        <v>961.63</v>
      </c>
      <c r="N1331" s="1">
        <f ca="1">IFERROR(__xludf.DUMMYFUNCTION("""COMPUTED_VALUE"""),231.96)</f>
        <v>231.96</v>
      </c>
      <c r="O1331" s="1">
        <f ca="1">IFERROR(__xludf.DUMMYFUNCTION("""COMPUTED_VALUE"""),331.33)</f>
        <v>331.33</v>
      </c>
      <c r="P1331" s="1">
        <f ca="1">IFERROR(__xludf.DUMMYFUNCTION("""COMPUTED_VALUE"""),153.91)</f>
        <v>153.91</v>
      </c>
      <c r="Q1331" s="1">
        <f ca="1">IFERROR(__xludf.DUMMYFUNCTION("""COMPUTED_VALUE"""),585.04)</f>
        <v>585.04</v>
      </c>
      <c r="R1331" s="1">
        <f ca="1">IFERROR(__xludf.DUMMYFUNCTION("""COMPUTED_VALUE"""),104.19)</f>
        <v>104.19</v>
      </c>
      <c r="S1331" s="1">
        <f ca="1">IFERROR(__xludf.DUMMYFUNCTION("""COMPUTED_VALUE"""),65.64)</f>
        <v>65.64</v>
      </c>
      <c r="T1331" s="1">
        <f ca="1">IFERROR(__xludf.DUMMYFUNCTION("""COMPUTED_VALUE"""),93.22)</f>
        <v>93.22</v>
      </c>
      <c r="U1331" s="1">
        <f ca="1">IFERROR(__xludf.DUMMYFUNCTION("""COMPUTED_VALUE"""),55.76)</f>
        <v>55.76</v>
      </c>
      <c r="V1331" s="1">
        <f ca="1">IFERROR(__xludf.DUMMYFUNCTION("""COMPUTED_VALUE"""),290.14)</f>
        <v>290.14</v>
      </c>
      <c r="W1331" s="1">
        <f ca="1">IFERROR(__xludf.DUMMYFUNCTION("""COMPUTED_VALUE"""),477.08)</f>
        <v>477.08</v>
      </c>
      <c r="X1331" s="1">
        <f ca="1">IFERROR(__xludf.DUMMYFUNCTION("""COMPUTED_VALUE"""),634.93)</f>
        <v>634.92999999999995</v>
      </c>
      <c r="Y1331" s="1">
        <f ca="1">IFERROR(__xludf.DUMMYFUNCTION("""COMPUTED_VALUE"""),151.67)</f>
        <v>151.66999999999999</v>
      </c>
      <c r="Z1331" s="1">
        <f ca="1">IFERROR(__xludf.DUMMYFUNCTION("""COMPUTED_VALUE"""),509.49)</f>
        <v>509.49</v>
      </c>
      <c r="AA1331" s="1">
        <f ca="1">IFERROR(__xludf.DUMMYFUNCTION("""COMPUTED_VALUE"""),22.04)</f>
        <v>22.04</v>
      </c>
      <c r="AB1331" s="1">
        <f ca="1">IFERROR(__xludf.DUMMYFUNCTION("""COMPUTED_VALUE"""),81.5)</f>
        <v>81.5</v>
      </c>
      <c r="AC1331" s="1">
        <f ca="1">IFERROR(__xludf.DUMMYFUNCTION("""COMPUTED_VALUE"""),87.5)</f>
        <v>87.5</v>
      </c>
    </row>
    <row r="1332" spans="1:29" x14ac:dyDescent="0.25">
      <c r="A1332" s="2">
        <f ca="1">IFERROR(__xludf.DUMMYFUNCTION("""COMPUTED_VALUE"""),45764.6666666666)</f>
        <v>45764.666666666599</v>
      </c>
      <c r="B1332" s="1">
        <f ca="1">IFERROR(__xludf.DUMMYFUNCTION("""COMPUTED_VALUE"""),196.98)</f>
        <v>196.98</v>
      </c>
      <c r="C1332" s="1">
        <f ca="1">IFERROR(__xludf.DUMMYFUNCTION("""COMPUTED_VALUE"""),367.78)</f>
        <v>367.78</v>
      </c>
      <c r="D1332" s="1">
        <f ca="1">IFERROR(__xludf.DUMMYFUNCTION("""COMPUTED_VALUE"""),172.61)</f>
        <v>172.61</v>
      </c>
      <c r="E1332" s="1">
        <f ca="1">IFERROR(__xludf.DUMMYFUNCTION("""COMPUTED_VALUE"""),101.49)</f>
        <v>101.49</v>
      </c>
      <c r="F1332" s="1">
        <f ca="1">IFERROR(__xludf.DUMMYFUNCTION("""COMPUTED_VALUE"""),484.66)</f>
        <v>484.66</v>
      </c>
      <c r="G1332" s="1">
        <f ca="1">IFERROR(__xludf.DUMMYFUNCTION("""COMPUTED_VALUE"""),153.36)</f>
        <v>153.36000000000001</v>
      </c>
      <c r="H1332" s="1">
        <f ca="1">IFERROR(__xludf.DUMMYFUNCTION("""COMPUTED_VALUE"""),227.5)</f>
        <v>227.5</v>
      </c>
      <c r="I1332" s="1">
        <f ca="1">IFERROR(__xludf.DUMMYFUNCTION("""COMPUTED_VALUE"""),141.73)</f>
        <v>141.72999999999999</v>
      </c>
      <c r="J1332" s="1">
        <f ca="1">IFERROR(__xludf.DUMMYFUNCTION("""COMPUTED_VALUE"""),994.5)</f>
        <v>994.5</v>
      </c>
      <c r="K1332" s="1">
        <f ca="1">IFERROR(__xludf.DUMMYFUNCTION("""COMPUTED_VALUE"""),170.99)</f>
        <v>170.99</v>
      </c>
      <c r="L1332" s="1">
        <f ca="1">IFERROR(__xludf.DUMMYFUNCTION("""COMPUTED_VALUE"""),348.8)</f>
        <v>348.8</v>
      </c>
      <c r="M1332" s="1">
        <f ca="1">IFERROR(__xludf.DUMMYFUNCTION("""COMPUTED_VALUE"""),973.03)</f>
        <v>973.03</v>
      </c>
      <c r="N1332" s="1">
        <f ca="1">IFERROR(__xludf.DUMMYFUNCTION("""COMPUTED_VALUE"""),228.99)</f>
        <v>228.99</v>
      </c>
      <c r="O1332" s="1">
        <f ca="1">IFERROR(__xludf.DUMMYFUNCTION("""COMPUTED_VALUE"""),329.61)</f>
        <v>329.61</v>
      </c>
      <c r="P1332" s="1">
        <f ca="1">IFERROR(__xludf.DUMMYFUNCTION("""COMPUTED_VALUE"""),157.47)</f>
        <v>157.47</v>
      </c>
      <c r="Q1332" s="1">
        <f ca="1">IFERROR(__xludf.DUMMYFUNCTION("""COMPUTED_VALUE"""),454.11)</f>
        <v>454.11</v>
      </c>
      <c r="R1332" s="1">
        <f ca="1">IFERROR(__xludf.DUMMYFUNCTION("""COMPUTED_VALUE"""),106.92)</f>
        <v>106.92</v>
      </c>
      <c r="S1332" s="1">
        <f ca="1">IFERROR(__xludf.DUMMYFUNCTION("""COMPUTED_VALUE"""),66.31)</f>
        <v>66.31</v>
      </c>
      <c r="T1332" s="1">
        <f ca="1">IFERROR(__xludf.DUMMYFUNCTION("""COMPUTED_VALUE"""),92.41)</f>
        <v>92.41</v>
      </c>
      <c r="U1332" s="1">
        <f ca="1">IFERROR(__xludf.DUMMYFUNCTION("""COMPUTED_VALUE"""),56.12)</f>
        <v>56.12</v>
      </c>
      <c r="V1332" s="1">
        <f ca="1">IFERROR(__xludf.DUMMYFUNCTION("""COMPUTED_VALUE"""),294.25)</f>
        <v>294.25</v>
      </c>
      <c r="W1332" s="1">
        <f ca="1">IFERROR(__xludf.DUMMYFUNCTION("""COMPUTED_VALUE"""),464.08)</f>
        <v>464.08</v>
      </c>
      <c r="X1332" s="1">
        <f ca="1">IFERROR(__xludf.DUMMYFUNCTION("""COMPUTED_VALUE"""),640.16)</f>
        <v>640.16</v>
      </c>
      <c r="Y1332" s="1">
        <f ca="1">IFERROR(__xludf.DUMMYFUNCTION("""COMPUTED_VALUE"""),151.74)</f>
        <v>151.74</v>
      </c>
      <c r="Z1332" s="1">
        <f ca="1">IFERROR(__xludf.DUMMYFUNCTION("""COMPUTED_VALUE"""),501.36)</f>
        <v>501.36</v>
      </c>
      <c r="AA1332" s="1">
        <f ca="1">IFERROR(__xludf.DUMMYFUNCTION("""COMPUTED_VALUE"""),22.14)</f>
        <v>22.14</v>
      </c>
      <c r="AB1332" s="1">
        <f ca="1">IFERROR(__xludf.DUMMYFUNCTION("""COMPUTED_VALUE"""),80.68)</f>
        <v>80.680000000000007</v>
      </c>
      <c r="AC1332" s="1">
        <f ca="1">IFERROR(__xludf.DUMMYFUNCTION("""COMPUTED_VALUE"""),85.56)</f>
        <v>85.56</v>
      </c>
    </row>
    <row r="1333" spans="1:29" x14ac:dyDescent="0.25">
      <c r="A1333" s="2">
        <f ca="1">IFERROR(__xludf.DUMMYFUNCTION("""COMPUTED_VALUE"""),45768.6666666666)</f>
        <v>45768.666666666599</v>
      </c>
      <c r="B1333" s="1">
        <f ca="1">IFERROR(__xludf.DUMMYFUNCTION("""COMPUTED_VALUE"""),193.16)</f>
        <v>193.16</v>
      </c>
      <c r="C1333" s="1">
        <f ca="1">IFERROR(__xludf.DUMMYFUNCTION("""COMPUTED_VALUE"""),359.12)</f>
        <v>359.12</v>
      </c>
      <c r="D1333" s="1">
        <f ca="1">IFERROR(__xludf.DUMMYFUNCTION("""COMPUTED_VALUE"""),167.32)</f>
        <v>167.32</v>
      </c>
      <c r="E1333" s="1">
        <f ca="1">IFERROR(__xludf.DUMMYFUNCTION("""COMPUTED_VALUE"""),96.91)</f>
        <v>96.91</v>
      </c>
      <c r="F1333" s="1">
        <f ca="1">IFERROR(__xludf.DUMMYFUNCTION("""COMPUTED_VALUE"""),500.28)</f>
        <v>500.28</v>
      </c>
      <c r="G1333" s="1">
        <f ca="1">IFERROR(__xludf.DUMMYFUNCTION("""COMPUTED_VALUE"""),149.86)</f>
        <v>149.86000000000001</v>
      </c>
      <c r="H1333" s="1">
        <f ca="1">IFERROR(__xludf.DUMMYFUNCTION("""COMPUTED_VALUE"""),237.97)</f>
        <v>237.97</v>
      </c>
      <c r="I1333" s="1">
        <f ca="1">IFERROR(__xludf.DUMMYFUNCTION("""COMPUTED_VALUE"""),143.46)</f>
        <v>143.46</v>
      </c>
      <c r="J1333" s="1">
        <f ca="1">IFERROR(__xludf.DUMMYFUNCTION("""COMPUTED_VALUE"""),957.77)</f>
        <v>957.77</v>
      </c>
      <c r="K1333" s="1">
        <f ca="1">IFERROR(__xludf.DUMMYFUNCTION("""COMPUTED_VALUE"""),166.21)</f>
        <v>166.21</v>
      </c>
      <c r="L1333" s="1">
        <f ca="1">IFERROR(__xludf.DUMMYFUNCTION("""COMPUTED_VALUE"""),343.22)</f>
        <v>343.22</v>
      </c>
      <c r="M1333" s="1">
        <f ca="1">IFERROR(__xludf.DUMMYFUNCTION("""COMPUTED_VALUE"""),987.91)</f>
        <v>987.91</v>
      </c>
      <c r="N1333" s="1">
        <f ca="1">IFERROR(__xludf.DUMMYFUNCTION("""COMPUTED_VALUE"""),235.59)</f>
        <v>235.59</v>
      </c>
      <c r="O1333" s="1">
        <f ca="1">IFERROR(__xludf.DUMMYFUNCTION("""COMPUTED_VALUE"""),320.1)</f>
        <v>320.10000000000002</v>
      </c>
      <c r="P1333" s="1">
        <f ca="1">IFERROR(__xludf.DUMMYFUNCTION("""COMPUTED_VALUE"""),156.92)</f>
        <v>156.91999999999999</v>
      </c>
      <c r="Q1333" s="1">
        <f ca="1">IFERROR(__xludf.DUMMYFUNCTION("""COMPUTED_VALUE"""),425.33)</f>
        <v>425.33</v>
      </c>
      <c r="R1333" s="1">
        <f ca="1">IFERROR(__xludf.DUMMYFUNCTION("""COMPUTED_VALUE"""),105.35)</f>
        <v>105.35</v>
      </c>
      <c r="S1333" s="1">
        <f ca="1">IFERROR(__xludf.DUMMYFUNCTION("""COMPUTED_VALUE"""),64.68)</f>
        <v>64.680000000000007</v>
      </c>
      <c r="T1333" s="1">
        <f ca="1">IFERROR(__xludf.DUMMYFUNCTION("""COMPUTED_VALUE"""),94.85)</f>
        <v>94.85</v>
      </c>
      <c r="U1333" s="1">
        <f ca="1">IFERROR(__xludf.DUMMYFUNCTION("""COMPUTED_VALUE"""),57.06)</f>
        <v>57.06</v>
      </c>
      <c r="V1333" s="1">
        <f ca="1">IFERROR(__xludf.DUMMYFUNCTION("""COMPUTED_VALUE"""),284.74)</f>
        <v>284.74</v>
      </c>
      <c r="W1333" s="1">
        <f ca="1">IFERROR(__xludf.DUMMYFUNCTION("""COMPUTED_VALUE"""),458.33)</f>
        <v>458.33</v>
      </c>
      <c r="X1333" s="1">
        <f ca="1">IFERROR(__xludf.DUMMYFUNCTION("""COMPUTED_VALUE"""),624.69)</f>
        <v>624.69000000000005</v>
      </c>
      <c r="Y1333" s="1">
        <f ca="1">IFERROR(__xludf.DUMMYFUNCTION("""COMPUTED_VALUE"""),147.86)</f>
        <v>147.86000000000001</v>
      </c>
      <c r="Z1333" s="1">
        <f ca="1">IFERROR(__xludf.DUMMYFUNCTION("""COMPUTED_VALUE"""),519.99)</f>
        <v>519.99</v>
      </c>
      <c r="AA1333" s="1">
        <f ca="1">IFERROR(__xludf.DUMMYFUNCTION("""COMPUTED_VALUE"""),22.04)</f>
        <v>22.04</v>
      </c>
      <c r="AB1333" s="1">
        <f ca="1">IFERROR(__xludf.DUMMYFUNCTION("""COMPUTED_VALUE"""),81.75)</f>
        <v>81.75</v>
      </c>
      <c r="AC1333" s="1">
        <f ca="1">IFERROR(__xludf.DUMMYFUNCTION("""COMPUTED_VALUE"""),86.26)</f>
        <v>86.26</v>
      </c>
    </row>
    <row r="1334" spans="1:29" x14ac:dyDescent="0.25">
      <c r="A1334" s="2">
        <f ca="1">IFERROR(__xludf.DUMMYFUNCTION("""COMPUTED_VALUE"""),45769.6666666666)</f>
        <v>45769.666666666599</v>
      </c>
      <c r="B1334" s="1">
        <f ca="1">IFERROR(__xludf.DUMMYFUNCTION("""COMPUTED_VALUE"""),199.74)</f>
        <v>199.74</v>
      </c>
      <c r="C1334" s="1">
        <f ca="1">IFERROR(__xludf.DUMMYFUNCTION("""COMPUTED_VALUE"""),366.82)</f>
        <v>366.82</v>
      </c>
      <c r="D1334" s="1">
        <f ca="1">IFERROR(__xludf.DUMMYFUNCTION("""COMPUTED_VALUE"""),173.18)</f>
        <v>173.18</v>
      </c>
      <c r="E1334" s="1">
        <f ca="1">IFERROR(__xludf.DUMMYFUNCTION("""COMPUTED_VALUE"""),98.89)</f>
        <v>98.89</v>
      </c>
      <c r="F1334" s="1">
        <f ca="1">IFERROR(__xludf.DUMMYFUNCTION("""COMPUTED_VALUE"""),520.27)</f>
        <v>520.27</v>
      </c>
      <c r="G1334" s="1">
        <f ca="1">IFERROR(__xludf.DUMMYFUNCTION("""COMPUTED_VALUE"""),153.9)</f>
        <v>153.9</v>
      </c>
      <c r="H1334" s="1">
        <f ca="1">IFERROR(__xludf.DUMMYFUNCTION("""COMPUTED_VALUE"""),250.74)</f>
        <v>250.74</v>
      </c>
      <c r="I1334" s="1">
        <f ca="1">IFERROR(__xludf.DUMMYFUNCTION("""COMPUTED_VALUE"""),142.26)</f>
        <v>142.26</v>
      </c>
      <c r="J1334" s="1">
        <f ca="1">IFERROR(__xludf.DUMMYFUNCTION("""COMPUTED_VALUE"""),979.23)</f>
        <v>979.23</v>
      </c>
      <c r="K1334" s="1">
        <f ca="1">IFERROR(__xludf.DUMMYFUNCTION("""COMPUTED_VALUE"""),169.58)</f>
        <v>169.58</v>
      </c>
      <c r="L1334" s="1">
        <f ca="1">IFERROR(__xludf.DUMMYFUNCTION("""COMPUTED_VALUE"""),349.91)</f>
        <v>349.91</v>
      </c>
      <c r="M1334" s="1">
        <f ca="1">IFERROR(__xludf.DUMMYFUNCTION("""COMPUTED_VALUE"""),1040.34)</f>
        <v>1040.3399999999999</v>
      </c>
      <c r="N1334" s="1">
        <f ca="1">IFERROR(__xludf.DUMMYFUNCTION("""COMPUTED_VALUE"""),240.88)</f>
        <v>240.88</v>
      </c>
      <c r="O1334" s="1">
        <f ca="1">IFERROR(__xludf.DUMMYFUNCTION("""COMPUTED_VALUE"""),331.4)</f>
        <v>331.4</v>
      </c>
      <c r="P1334" s="1">
        <f ca="1">IFERROR(__xludf.DUMMYFUNCTION("""COMPUTED_VALUE"""),157.75)</f>
        <v>157.75</v>
      </c>
      <c r="Q1334" s="1">
        <f ca="1">IFERROR(__xludf.DUMMYFUNCTION("""COMPUTED_VALUE"""),427.18)</f>
        <v>427.18</v>
      </c>
      <c r="R1334" s="1">
        <f ca="1">IFERROR(__xludf.DUMMYFUNCTION("""COMPUTED_VALUE"""),108.3)</f>
        <v>108.3</v>
      </c>
      <c r="S1334" s="1">
        <f ca="1">IFERROR(__xludf.DUMMYFUNCTION("""COMPUTED_VALUE"""),66.64)</f>
        <v>66.64</v>
      </c>
      <c r="T1334" s="1">
        <f ca="1">IFERROR(__xludf.DUMMYFUNCTION("""COMPUTED_VALUE"""),94.96)</f>
        <v>94.96</v>
      </c>
      <c r="U1334" s="1">
        <f ca="1">IFERROR(__xludf.DUMMYFUNCTION("""COMPUTED_VALUE"""),57.39)</f>
        <v>57.39</v>
      </c>
      <c r="V1334" s="1">
        <f ca="1">IFERROR(__xludf.DUMMYFUNCTION("""COMPUTED_VALUE"""),291.17)</f>
        <v>291.17</v>
      </c>
      <c r="W1334" s="1">
        <f ca="1">IFERROR(__xludf.DUMMYFUNCTION("""COMPUTED_VALUE"""),462.08)</f>
        <v>462.08</v>
      </c>
      <c r="X1334" s="1">
        <f ca="1">IFERROR(__xludf.DUMMYFUNCTION("""COMPUTED_VALUE"""),638.69)</f>
        <v>638.69000000000005</v>
      </c>
      <c r="Y1334" s="1">
        <f ca="1">IFERROR(__xludf.DUMMYFUNCTION("""COMPUTED_VALUE"""),151.4)</f>
        <v>151.4</v>
      </c>
      <c r="Z1334" s="1">
        <f ca="1">IFERROR(__xludf.DUMMYFUNCTION("""COMPUTED_VALUE"""),529.31)</f>
        <v>529.30999999999995</v>
      </c>
      <c r="AA1334" s="1">
        <f ca="1">IFERROR(__xludf.DUMMYFUNCTION("""COMPUTED_VALUE"""),22.53)</f>
        <v>22.53</v>
      </c>
      <c r="AB1334" s="1">
        <f ca="1">IFERROR(__xludf.DUMMYFUNCTION("""COMPUTED_VALUE"""),82.81)</f>
        <v>82.81</v>
      </c>
      <c r="AC1334" s="1">
        <f ca="1">IFERROR(__xludf.DUMMYFUNCTION("""COMPUTED_VALUE"""),90.39)</f>
        <v>90.39</v>
      </c>
    </row>
    <row r="1335" spans="1:29" x14ac:dyDescent="0.25">
      <c r="A1335" s="2">
        <f ca="1">IFERROR(__xludf.DUMMYFUNCTION("""COMPUTED_VALUE"""),45770.6666666666)</f>
        <v>45770.666666666599</v>
      </c>
      <c r="B1335" s="1">
        <f ca="1">IFERROR(__xludf.DUMMYFUNCTION("""COMPUTED_VALUE"""),204.6)</f>
        <v>204.6</v>
      </c>
      <c r="C1335" s="1">
        <f ca="1">IFERROR(__xludf.DUMMYFUNCTION("""COMPUTED_VALUE"""),374.39)</f>
        <v>374.39</v>
      </c>
      <c r="D1335" s="1">
        <f ca="1">IFERROR(__xludf.DUMMYFUNCTION("""COMPUTED_VALUE"""),180.6)</f>
        <v>180.6</v>
      </c>
      <c r="E1335" s="1">
        <f ca="1">IFERROR(__xludf.DUMMYFUNCTION("""COMPUTED_VALUE"""),102.71)</f>
        <v>102.71</v>
      </c>
      <c r="F1335" s="1">
        <f ca="1">IFERROR(__xludf.DUMMYFUNCTION("""COMPUTED_VALUE"""),533.15)</f>
        <v>533.15</v>
      </c>
      <c r="G1335" s="1">
        <f ca="1">IFERROR(__xludf.DUMMYFUNCTION("""COMPUTED_VALUE"""),157.72)</f>
        <v>157.72</v>
      </c>
      <c r="H1335" s="1">
        <f ca="1">IFERROR(__xludf.DUMMYFUNCTION("""COMPUTED_VALUE"""),259.51)</f>
        <v>259.51</v>
      </c>
      <c r="I1335" s="1">
        <f ca="1">IFERROR(__xludf.DUMMYFUNCTION("""COMPUTED_VALUE"""),135.31)</f>
        <v>135.31</v>
      </c>
      <c r="J1335" s="1">
        <f ca="1">IFERROR(__xludf.DUMMYFUNCTION("""COMPUTED_VALUE"""),975.84)</f>
        <v>975.84</v>
      </c>
      <c r="K1335" s="1">
        <f ca="1">IFERROR(__xludf.DUMMYFUNCTION("""COMPUTED_VALUE"""),176.91)</f>
        <v>176.91</v>
      </c>
      <c r="L1335" s="1">
        <f ca="1">IFERROR(__xludf.DUMMYFUNCTION("""COMPUTED_VALUE"""),351.96)</f>
        <v>351.96</v>
      </c>
      <c r="M1335" s="1">
        <f ca="1">IFERROR(__xludf.DUMMYFUNCTION("""COMPUTED_VALUE"""),1049.59)</f>
        <v>1049.5899999999999</v>
      </c>
      <c r="N1335" s="1">
        <f ca="1">IFERROR(__xludf.DUMMYFUNCTION("""COMPUTED_VALUE"""),244.64)</f>
        <v>244.64</v>
      </c>
      <c r="O1335" s="1">
        <f ca="1">IFERROR(__xludf.DUMMYFUNCTION("""COMPUTED_VALUE"""),334.37)</f>
        <v>334.37</v>
      </c>
      <c r="P1335" s="1">
        <f ca="1">IFERROR(__xludf.DUMMYFUNCTION("""COMPUTED_VALUE"""),155.38)</f>
        <v>155.38</v>
      </c>
      <c r="Q1335" s="1">
        <f ca="1">IFERROR(__xludf.DUMMYFUNCTION("""COMPUTED_VALUE"""),427.96)</f>
        <v>427.96</v>
      </c>
      <c r="R1335" s="1">
        <f ca="1">IFERROR(__xludf.DUMMYFUNCTION("""COMPUTED_VALUE"""),107.37)</f>
        <v>107.37</v>
      </c>
      <c r="S1335" s="1">
        <f ca="1">IFERROR(__xludf.DUMMYFUNCTION("""COMPUTED_VALUE"""),67.27)</f>
        <v>67.27</v>
      </c>
      <c r="T1335" s="1">
        <f ca="1">IFERROR(__xludf.DUMMYFUNCTION("""COMPUTED_VALUE"""),95.84)</f>
        <v>95.84</v>
      </c>
      <c r="U1335" s="1">
        <f ca="1">IFERROR(__xludf.DUMMYFUNCTION("""COMPUTED_VALUE"""),58.48)</f>
        <v>58.48</v>
      </c>
      <c r="V1335" s="1">
        <f ca="1">IFERROR(__xludf.DUMMYFUNCTION("""COMPUTED_VALUE"""),295.77)</f>
        <v>295.77</v>
      </c>
      <c r="W1335" s="1">
        <f ca="1">IFERROR(__xludf.DUMMYFUNCTION("""COMPUTED_VALUE"""),463.55)</f>
        <v>463.55</v>
      </c>
      <c r="X1335" s="1">
        <f ca="1">IFERROR(__xludf.DUMMYFUNCTION("""COMPUTED_VALUE"""),657.98)</f>
        <v>657.98</v>
      </c>
      <c r="Y1335" s="1">
        <f ca="1">IFERROR(__xludf.DUMMYFUNCTION("""COMPUTED_VALUE"""),157.81)</f>
        <v>157.81</v>
      </c>
      <c r="Z1335" s="1">
        <f ca="1">IFERROR(__xludf.DUMMYFUNCTION("""COMPUTED_VALUE"""),545.37)</f>
        <v>545.37</v>
      </c>
      <c r="AA1335" s="1">
        <f ca="1">IFERROR(__xludf.DUMMYFUNCTION("""COMPUTED_VALUE"""),22.39)</f>
        <v>22.39</v>
      </c>
      <c r="AB1335" s="1">
        <f ca="1">IFERROR(__xludf.DUMMYFUNCTION("""COMPUTED_VALUE"""),83.86)</f>
        <v>83.86</v>
      </c>
      <c r="AC1335" s="1">
        <f ca="1">IFERROR(__xludf.DUMMYFUNCTION("""COMPUTED_VALUE"""),94.47)</f>
        <v>94.47</v>
      </c>
    </row>
    <row r="1336" spans="1:29" x14ac:dyDescent="0.25">
      <c r="A1336" s="2">
        <f ca="1">IFERROR(__xludf.DUMMYFUNCTION("""COMPUTED_VALUE"""),45771.6666666666)</f>
        <v>45771.666666666599</v>
      </c>
      <c r="B1336" s="1">
        <f ca="1">IFERROR(__xludf.DUMMYFUNCTION("""COMPUTED_VALUE"""),208.37)</f>
        <v>208.37</v>
      </c>
      <c r="C1336" s="1">
        <f ca="1">IFERROR(__xludf.DUMMYFUNCTION("""COMPUTED_VALUE"""),387.3)</f>
        <v>387.3</v>
      </c>
      <c r="D1336" s="1">
        <f ca="1">IFERROR(__xludf.DUMMYFUNCTION("""COMPUTED_VALUE"""),186.54)</f>
        <v>186.54</v>
      </c>
      <c r="E1336" s="1">
        <f ca="1">IFERROR(__xludf.DUMMYFUNCTION("""COMPUTED_VALUE"""),106.43)</f>
        <v>106.43</v>
      </c>
      <c r="F1336" s="1">
        <f ca="1">IFERROR(__xludf.DUMMYFUNCTION("""COMPUTED_VALUE"""),547.27)</f>
        <v>547.27</v>
      </c>
      <c r="G1336" s="1">
        <f ca="1">IFERROR(__xludf.DUMMYFUNCTION("""COMPUTED_VALUE"""),161.47)</f>
        <v>161.47</v>
      </c>
      <c r="H1336" s="1">
        <f ca="1">IFERROR(__xludf.DUMMYFUNCTION("""COMPUTED_VALUE"""),284.95)</f>
        <v>284.95</v>
      </c>
      <c r="I1336" s="1">
        <f ca="1">IFERROR(__xludf.DUMMYFUNCTION("""COMPUTED_VALUE"""),133.38)</f>
        <v>133.38</v>
      </c>
      <c r="J1336" s="1">
        <f ca="1">IFERROR(__xludf.DUMMYFUNCTION("""COMPUTED_VALUE"""),975.48)</f>
        <v>975.48</v>
      </c>
      <c r="K1336" s="1">
        <f ca="1">IFERROR(__xludf.DUMMYFUNCTION("""COMPUTED_VALUE"""),188.15)</f>
        <v>188.15</v>
      </c>
      <c r="L1336" s="1">
        <f ca="1">IFERROR(__xludf.DUMMYFUNCTION("""COMPUTED_VALUE"""),360.91)</f>
        <v>360.91</v>
      </c>
      <c r="M1336" s="1">
        <f ca="1">IFERROR(__xludf.DUMMYFUNCTION("""COMPUTED_VALUE"""),1096.87)</f>
        <v>1096.8699999999999</v>
      </c>
      <c r="N1336" s="1">
        <f ca="1">IFERROR(__xludf.DUMMYFUNCTION("""COMPUTED_VALUE"""),243.55)</f>
        <v>243.55</v>
      </c>
      <c r="O1336" s="1">
        <f ca="1">IFERROR(__xludf.DUMMYFUNCTION("""COMPUTED_VALUE"""),335.71)</f>
        <v>335.71</v>
      </c>
      <c r="P1336" s="1">
        <f ca="1">IFERROR(__xludf.DUMMYFUNCTION("""COMPUTED_VALUE"""),154.93)</f>
        <v>154.93</v>
      </c>
      <c r="Q1336" s="1">
        <f ca="1">IFERROR(__xludf.DUMMYFUNCTION("""COMPUTED_VALUE"""),424.25)</f>
        <v>424.25</v>
      </c>
      <c r="R1336" s="1">
        <f ca="1">IFERROR(__xludf.DUMMYFUNCTION("""COMPUTED_VALUE"""),108.63)</f>
        <v>108.63</v>
      </c>
      <c r="S1336" s="1">
        <f ca="1">IFERROR(__xludf.DUMMYFUNCTION("""COMPUTED_VALUE"""),66.35)</f>
        <v>66.349999999999994</v>
      </c>
      <c r="T1336" s="1">
        <f ca="1">IFERROR(__xludf.DUMMYFUNCTION("""COMPUTED_VALUE"""),95.09)</f>
        <v>95.09</v>
      </c>
      <c r="U1336" s="1">
        <f ca="1">IFERROR(__xludf.DUMMYFUNCTION("""COMPUTED_VALUE"""),57.62)</f>
        <v>57.62</v>
      </c>
      <c r="V1336" s="1">
        <f ca="1">IFERROR(__xludf.DUMMYFUNCTION("""COMPUTED_VALUE"""),306.86)</f>
        <v>306.86</v>
      </c>
      <c r="W1336" s="1">
        <f ca="1">IFERROR(__xludf.DUMMYFUNCTION("""COMPUTED_VALUE"""),466.81)</f>
        <v>466.81</v>
      </c>
      <c r="X1336" s="1">
        <f ca="1">IFERROR(__xludf.DUMMYFUNCTION("""COMPUTED_VALUE"""),675)</f>
        <v>675</v>
      </c>
      <c r="Y1336" s="1">
        <f ca="1">IFERROR(__xludf.DUMMYFUNCTION("""COMPUTED_VALUE"""),164.18)</f>
        <v>164.18</v>
      </c>
      <c r="Z1336" s="1">
        <f ca="1">IFERROR(__xludf.DUMMYFUNCTION("""COMPUTED_VALUE"""),544.86)</f>
        <v>544.86</v>
      </c>
      <c r="AA1336" s="1">
        <f ca="1">IFERROR(__xludf.DUMMYFUNCTION("""COMPUTED_VALUE"""),22.78)</f>
        <v>22.78</v>
      </c>
      <c r="AB1336" s="1">
        <f ca="1">IFERROR(__xludf.DUMMYFUNCTION("""COMPUTED_VALUE"""),83.81)</f>
        <v>83.81</v>
      </c>
      <c r="AC1336" s="1">
        <f ca="1">IFERROR(__xludf.DUMMYFUNCTION("""COMPUTED_VALUE"""),96.65)</f>
        <v>96.65</v>
      </c>
    </row>
    <row r="1337" spans="1:29" x14ac:dyDescent="0.25">
      <c r="A1337" s="2">
        <f ca="1">IFERROR(__xludf.DUMMYFUNCTION("""COMPUTED_VALUE"""),45772.6666666666)</f>
        <v>45772.666666666599</v>
      </c>
      <c r="B1337" s="1">
        <f ca="1">IFERROR(__xludf.DUMMYFUNCTION("""COMPUTED_VALUE"""),209.28)</f>
        <v>209.28</v>
      </c>
      <c r="C1337" s="1">
        <f ca="1">IFERROR(__xludf.DUMMYFUNCTION("""COMPUTED_VALUE"""),391.85)</f>
        <v>391.85</v>
      </c>
      <c r="D1337" s="1">
        <f ca="1">IFERROR(__xludf.DUMMYFUNCTION("""COMPUTED_VALUE"""),188.99)</f>
        <v>188.99</v>
      </c>
      <c r="E1337" s="1">
        <f ca="1">IFERROR(__xludf.DUMMYFUNCTION("""COMPUTED_VALUE"""),111.01)</f>
        <v>111.01</v>
      </c>
      <c r="F1337" s="1">
        <f ca="1">IFERROR(__xludf.DUMMYFUNCTION("""COMPUTED_VALUE"""),549.74)</f>
        <v>549.74</v>
      </c>
      <c r="G1337" s="1">
        <f ca="1">IFERROR(__xludf.DUMMYFUNCTION("""COMPUTED_VALUE"""),163.85)</f>
        <v>163.85</v>
      </c>
      <c r="H1337" s="1">
        <f ca="1">IFERROR(__xludf.DUMMYFUNCTION("""COMPUTED_VALUE"""),285.88)</f>
        <v>285.88</v>
      </c>
      <c r="I1337" s="1">
        <f ca="1">IFERROR(__xludf.DUMMYFUNCTION("""COMPUTED_VALUE"""),133.76)</f>
        <v>133.76</v>
      </c>
      <c r="J1337" s="1">
        <f ca="1">IFERROR(__xludf.DUMMYFUNCTION("""COMPUTED_VALUE"""),977.16)</f>
        <v>977.16</v>
      </c>
      <c r="K1337" s="1">
        <f ca="1">IFERROR(__xludf.DUMMYFUNCTION("""COMPUTED_VALUE"""),192.31)</f>
        <v>192.31</v>
      </c>
      <c r="L1337" s="1">
        <f ca="1">IFERROR(__xludf.DUMMYFUNCTION("""COMPUTED_VALUE"""),367.72)</f>
        <v>367.72</v>
      </c>
      <c r="M1337" s="1">
        <f ca="1">IFERROR(__xludf.DUMMYFUNCTION("""COMPUTED_VALUE"""),1101.53)</f>
        <v>1101.53</v>
      </c>
      <c r="N1337" s="1">
        <f ca="1">IFERROR(__xludf.DUMMYFUNCTION("""COMPUTED_VALUE"""),243.22)</f>
        <v>243.22</v>
      </c>
      <c r="O1337" s="1">
        <f ca="1">IFERROR(__xludf.DUMMYFUNCTION("""COMPUTED_VALUE"""),335.17)</f>
        <v>335.17</v>
      </c>
      <c r="P1337" s="1">
        <f ca="1">IFERROR(__xludf.DUMMYFUNCTION("""COMPUTED_VALUE"""),154.58)</f>
        <v>154.58000000000001</v>
      </c>
      <c r="Q1337" s="1">
        <f ca="1">IFERROR(__xludf.DUMMYFUNCTION("""COMPUTED_VALUE"""),418.64)</f>
        <v>418.64</v>
      </c>
      <c r="R1337" s="1">
        <f ca="1">IFERROR(__xludf.DUMMYFUNCTION("""COMPUTED_VALUE"""),108.57)</f>
        <v>108.57</v>
      </c>
      <c r="S1337" s="1">
        <f ca="1">IFERROR(__xludf.DUMMYFUNCTION("""COMPUTED_VALUE"""),66.09)</f>
        <v>66.09</v>
      </c>
      <c r="T1337" s="1">
        <f ca="1">IFERROR(__xludf.DUMMYFUNCTION("""COMPUTED_VALUE"""),95.22)</f>
        <v>95.22</v>
      </c>
      <c r="U1337" s="1">
        <f ca="1">IFERROR(__xludf.DUMMYFUNCTION("""COMPUTED_VALUE"""),57.31)</f>
        <v>57.31</v>
      </c>
      <c r="V1337" s="1">
        <f ca="1">IFERROR(__xludf.DUMMYFUNCTION("""COMPUTED_VALUE"""),306.45)</f>
        <v>306.45</v>
      </c>
      <c r="W1337" s="1">
        <f ca="1">IFERROR(__xludf.DUMMYFUNCTION("""COMPUTED_VALUE"""),477.64)</f>
        <v>477.64</v>
      </c>
      <c r="X1337" s="1">
        <f ca="1">IFERROR(__xludf.DUMMYFUNCTION("""COMPUTED_VALUE"""),677.27)</f>
        <v>677.27</v>
      </c>
      <c r="Y1337" s="1">
        <f ca="1">IFERROR(__xludf.DUMMYFUNCTION("""COMPUTED_VALUE"""),165.1)</f>
        <v>165.1</v>
      </c>
      <c r="Z1337" s="1">
        <f ca="1">IFERROR(__xludf.DUMMYFUNCTION("""COMPUTED_VALUE"""),546.4)</f>
        <v>546.4</v>
      </c>
      <c r="AA1337" s="1">
        <f ca="1">IFERROR(__xludf.DUMMYFUNCTION("""COMPUTED_VALUE"""),22.92)</f>
        <v>22.92</v>
      </c>
      <c r="AB1337" s="1">
        <f ca="1">IFERROR(__xludf.DUMMYFUNCTION("""COMPUTED_VALUE"""),83.9)</f>
        <v>83.9</v>
      </c>
      <c r="AC1337" s="1">
        <f ca="1">IFERROR(__xludf.DUMMYFUNCTION("""COMPUTED_VALUE"""),96.39)</f>
        <v>96.39</v>
      </c>
    </row>
    <row r="1338" spans="1:29" x14ac:dyDescent="0.25">
      <c r="A1338" s="2">
        <f ca="1">IFERROR(__xludf.DUMMYFUNCTION("""COMPUTED_VALUE"""),45775.6666666666)</f>
        <v>45775.666666666599</v>
      </c>
      <c r="B1338" s="1">
        <f ca="1">IFERROR(__xludf.DUMMYFUNCTION("""COMPUTED_VALUE"""),210.14)</f>
        <v>210.14</v>
      </c>
      <c r="C1338" s="1">
        <f ca="1">IFERROR(__xludf.DUMMYFUNCTION("""COMPUTED_VALUE"""),391.16)</f>
        <v>391.16</v>
      </c>
      <c r="D1338" s="1">
        <f ca="1">IFERROR(__xludf.DUMMYFUNCTION("""COMPUTED_VALUE"""),187.7)</f>
        <v>187.7</v>
      </c>
      <c r="E1338" s="1">
        <f ca="1">IFERROR(__xludf.DUMMYFUNCTION("""COMPUTED_VALUE"""),108.73)</f>
        <v>108.73</v>
      </c>
      <c r="F1338" s="1">
        <f ca="1">IFERROR(__xludf.DUMMYFUNCTION("""COMPUTED_VALUE"""),554.44)</f>
        <v>554.44000000000005</v>
      </c>
      <c r="G1338" s="1">
        <f ca="1">IFERROR(__xludf.DUMMYFUNCTION("""COMPUTED_VALUE"""),162.42)</f>
        <v>162.41999999999999</v>
      </c>
      <c r="H1338" s="1">
        <f ca="1">IFERROR(__xludf.DUMMYFUNCTION("""COMPUTED_VALUE"""),292.03)</f>
        <v>292.02999999999997</v>
      </c>
      <c r="I1338" s="1">
        <f ca="1">IFERROR(__xludf.DUMMYFUNCTION("""COMPUTED_VALUE"""),134.31)</f>
        <v>134.31</v>
      </c>
      <c r="J1338" s="1">
        <f ca="1">IFERROR(__xludf.DUMMYFUNCTION("""COMPUTED_VALUE"""),978.54)</f>
        <v>978.54</v>
      </c>
      <c r="K1338" s="1">
        <f ca="1">IFERROR(__xludf.DUMMYFUNCTION("""COMPUTED_VALUE"""),192.47)</f>
        <v>192.47</v>
      </c>
      <c r="L1338" s="1">
        <f ca="1">IFERROR(__xludf.DUMMYFUNCTION("""COMPUTED_VALUE"""),368.62)</f>
        <v>368.62</v>
      </c>
      <c r="M1338" s="1">
        <f ca="1">IFERROR(__xludf.DUMMYFUNCTION("""COMPUTED_VALUE"""),1110.38)</f>
        <v>1110.3800000000001</v>
      </c>
      <c r="N1338" s="1">
        <f ca="1">IFERROR(__xludf.DUMMYFUNCTION("""COMPUTED_VALUE"""),244.62)</f>
        <v>244.62</v>
      </c>
      <c r="O1338" s="1">
        <f ca="1">IFERROR(__xludf.DUMMYFUNCTION("""COMPUTED_VALUE"""),337.51)</f>
        <v>337.51</v>
      </c>
      <c r="P1338" s="1">
        <f ca="1">IFERROR(__xludf.DUMMYFUNCTION("""COMPUTED_VALUE"""),155.35)</f>
        <v>155.35</v>
      </c>
      <c r="Q1338" s="1">
        <f ca="1">IFERROR(__xludf.DUMMYFUNCTION("""COMPUTED_VALUE"""),420)</f>
        <v>420</v>
      </c>
      <c r="R1338" s="1">
        <f ca="1">IFERROR(__xludf.DUMMYFUNCTION("""COMPUTED_VALUE"""),108.63)</f>
        <v>108.63</v>
      </c>
      <c r="S1338" s="1">
        <f ca="1">IFERROR(__xludf.DUMMYFUNCTION("""COMPUTED_VALUE"""),66.19)</f>
        <v>66.19</v>
      </c>
      <c r="T1338" s="1">
        <f ca="1">IFERROR(__xludf.DUMMYFUNCTION("""COMPUTED_VALUE"""),96.04)</f>
        <v>96.04</v>
      </c>
      <c r="U1338" s="1">
        <f ca="1">IFERROR(__xludf.DUMMYFUNCTION("""COMPUTED_VALUE"""),57.54)</f>
        <v>57.54</v>
      </c>
      <c r="V1338" s="1">
        <f ca="1">IFERROR(__xludf.DUMMYFUNCTION("""COMPUTED_VALUE"""),307.06)</f>
        <v>307.06</v>
      </c>
      <c r="W1338" s="1">
        <f ca="1">IFERROR(__xludf.DUMMYFUNCTION("""COMPUTED_VALUE"""),476.29)</f>
        <v>476.29</v>
      </c>
      <c r="X1338" s="1">
        <f ca="1">IFERROR(__xludf.DUMMYFUNCTION("""COMPUTED_VALUE"""),672.76)</f>
        <v>672.76</v>
      </c>
      <c r="Y1338" s="1">
        <f ca="1">IFERROR(__xludf.DUMMYFUNCTION("""COMPUTED_VALUE"""),163.4)</f>
        <v>163.4</v>
      </c>
      <c r="Z1338" s="1">
        <f ca="1">IFERROR(__xludf.DUMMYFUNCTION("""COMPUTED_VALUE"""),548.92)</f>
        <v>548.91999999999996</v>
      </c>
      <c r="AA1338" s="1">
        <f ca="1">IFERROR(__xludf.DUMMYFUNCTION("""COMPUTED_VALUE"""),23.05)</f>
        <v>23.05</v>
      </c>
      <c r="AB1338" s="1">
        <f ca="1">IFERROR(__xludf.DUMMYFUNCTION("""COMPUTED_VALUE"""),84.85)</f>
        <v>84.85</v>
      </c>
      <c r="AC1338" s="1">
        <f ca="1">IFERROR(__xludf.DUMMYFUNCTION("""COMPUTED_VALUE"""),96.06)</f>
        <v>96.06</v>
      </c>
    </row>
    <row r="1339" spans="1:29" x14ac:dyDescent="0.25">
      <c r="A1339" s="2">
        <f ca="1">IFERROR(__xludf.DUMMYFUNCTION("""COMPUTED_VALUE"""),45776.6666666666)</f>
        <v>45776.666666666599</v>
      </c>
      <c r="B1339" s="1">
        <f ca="1">IFERROR(__xludf.DUMMYFUNCTION("""COMPUTED_VALUE"""),211.21)</f>
        <v>211.21</v>
      </c>
      <c r="C1339" s="1">
        <f ca="1">IFERROR(__xludf.DUMMYFUNCTION("""COMPUTED_VALUE"""),394.04)</f>
        <v>394.04</v>
      </c>
      <c r="D1339" s="1">
        <f ca="1">IFERROR(__xludf.DUMMYFUNCTION("""COMPUTED_VALUE"""),187.39)</f>
        <v>187.39</v>
      </c>
      <c r="E1339" s="1">
        <f ca="1">IFERROR(__xludf.DUMMYFUNCTION("""COMPUTED_VALUE"""),109.02)</f>
        <v>109.02</v>
      </c>
      <c r="F1339" s="1">
        <f ca="1">IFERROR(__xludf.DUMMYFUNCTION("""COMPUTED_VALUE"""),549)</f>
        <v>549</v>
      </c>
      <c r="G1339" s="1">
        <f ca="1">IFERROR(__xludf.DUMMYFUNCTION("""COMPUTED_VALUE"""),162.06)</f>
        <v>162.06</v>
      </c>
      <c r="H1339" s="1">
        <f ca="1">IFERROR(__xludf.DUMMYFUNCTION("""COMPUTED_VALUE"""),282.16)</f>
        <v>282.16000000000003</v>
      </c>
      <c r="I1339" s="1">
        <f ca="1">IFERROR(__xludf.DUMMYFUNCTION("""COMPUTED_VALUE"""),135.58)</f>
        <v>135.58000000000001</v>
      </c>
      <c r="J1339" s="1">
        <f ca="1">IFERROR(__xludf.DUMMYFUNCTION("""COMPUTED_VALUE"""),991.7)</f>
        <v>991.7</v>
      </c>
      <c r="K1339" s="1">
        <f ca="1">IFERROR(__xludf.DUMMYFUNCTION("""COMPUTED_VALUE"""),191.17)</f>
        <v>191.17</v>
      </c>
      <c r="L1339" s="1">
        <f ca="1">IFERROR(__xludf.DUMMYFUNCTION("""COMPUTED_VALUE"""),370.98)</f>
        <v>370.98</v>
      </c>
      <c r="M1339" s="1">
        <f ca="1">IFERROR(__xludf.DUMMYFUNCTION("""COMPUTED_VALUE"""),1125.64)</f>
        <v>1125.6400000000001</v>
      </c>
      <c r="N1339" s="1">
        <f ca="1">IFERROR(__xludf.DUMMYFUNCTION("""COMPUTED_VALUE"""),244.62)</f>
        <v>244.62</v>
      </c>
      <c r="O1339" s="1">
        <f ca="1">IFERROR(__xludf.DUMMYFUNCTION("""COMPUTED_VALUE"""),341.52)</f>
        <v>341.52</v>
      </c>
      <c r="P1339" s="1">
        <f ca="1">IFERROR(__xludf.DUMMYFUNCTION("""COMPUTED_VALUE"""),155.91)</f>
        <v>155.91</v>
      </c>
      <c r="Q1339" s="1">
        <f ca="1">IFERROR(__xludf.DUMMYFUNCTION("""COMPUTED_VALUE"""),409.23)</f>
        <v>409.23</v>
      </c>
      <c r="R1339" s="1">
        <f ca="1">IFERROR(__xludf.DUMMYFUNCTION("""COMPUTED_VALUE"""),108.36)</f>
        <v>108.36</v>
      </c>
      <c r="S1339" s="1">
        <f ca="1">IFERROR(__xludf.DUMMYFUNCTION("""COMPUTED_VALUE"""),67.25)</f>
        <v>67.25</v>
      </c>
      <c r="T1339" s="1">
        <f ca="1">IFERROR(__xludf.DUMMYFUNCTION("""COMPUTED_VALUE"""),97.25)</f>
        <v>97.25</v>
      </c>
      <c r="U1339" s="1">
        <f ca="1">IFERROR(__xludf.DUMMYFUNCTION("""COMPUTED_VALUE"""),56.4)</f>
        <v>56.4</v>
      </c>
      <c r="V1339" s="1">
        <f ca="1">IFERROR(__xludf.DUMMYFUNCTION("""COMPUTED_VALUE"""),307.4)</f>
        <v>307.39999999999998</v>
      </c>
      <c r="W1339" s="1">
        <f ca="1">IFERROR(__xludf.DUMMYFUNCTION("""COMPUTED_VALUE"""),475.88)</f>
        <v>475.88</v>
      </c>
      <c r="X1339" s="1">
        <f ca="1">IFERROR(__xludf.DUMMYFUNCTION("""COMPUTED_VALUE"""),666.11)</f>
        <v>666.11</v>
      </c>
      <c r="Y1339" s="1">
        <f ca="1">IFERROR(__xludf.DUMMYFUNCTION("""COMPUTED_VALUE"""),164.48)</f>
        <v>164.48</v>
      </c>
      <c r="Z1339" s="1">
        <f ca="1">IFERROR(__xludf.DUMMYFUNCTION("""COMPUTED_VALUE"""),547.55)</f>
        <v>547.54999999999995</v>
      </c>
      <c r="AA1339" s="1">
        <f ca="1">IFERROR(__xludf.DUMMYFUNCTION("""COMPUTED_VALUE"""),23.79)</f>
        <v>23.79</v>
      </c>
      <c r="AB1339" s="1">
        <f ca="1">IFERROR(__xludf.DUMMYFUNCTION("""COMPUTED_VALUE"""),80.05)</f>
        <v>80.05</v>
      </c>
      <c r="AC1339" s="1">
        <f ca="1">IFERROR(__xludf.DUMMYFUNCTION("""COMPUTED_VALUE"""),97.35)</f>
        <v>97.35</v>
      </c>
    </row>
    <row r="1340" spans="1:29" x14ac:dyDescent="0.25">
      <c r="A1340" s="2">
        <f ca="1">IFERROR(__xludf.DUMMYFUNCTION("""COMPUTED_VALUE"""),45777.6666666666)</f>
        <v>45777.666666666599</v>
      </c>
      <c r="B1340" s="1">
        <f ca="1">IFERROR(__xludf.DUMMYFUNCTION("""COMPUTED_VALUE"""),212.5)</f>
        <v>212.5</v>
      </c>
      <c r="C1340" s="1">
        <f ca="1">IFERROR(__xludf.DUMMYFUNCTION("""COMPUTED_VALUE"""),395.26)</f>
        <v>395.26</v>
      </c>
      <c r="D1340" s="1">
        <f ca="1">IFERROR(__xludf.DUMMYFUNCTION("""COMPUTED_VALUE"""),184.42)</f>
        <v>184.42</v>
      </c>
      <c r="E1340" s="1">
        <f ca="1">IFERROR(__xludf.DUMMYFUNCTION("""COMPUTED_VALUE"""),108.92)</f>
        <v>108.92</v>
      </c>
      <c r="F1340" s="1">
        <f ca="1">IFERROR(__xludf.DUMMYFUNCTION("""COMPUTED_VALUE"""),572.21)</f>
        <v>572.21</v>
      </c>
      <c r="G1340" s="1">
        <f ca="1">IFERROR(__xludf.DUMMYFUNCTION("""COMPUTED_VALUE"""),160.89)</f>
        <v>160.88999999999999</v>
      </c>
      <c r="H1340" s="1">
        <f ca="1">IFERROR(__xludf.DUMMYFUNCTION("""COMPUTED_VALUE"""),280.52)</f>
        <v>280.52</v>
      </c>
      <c r="I1340" s="1">
        <f ca="1">IFERROR(__xludf.DUMMYFUNCTION("""COMPUTED_VALUE"""),133.55)</f>
        <v>133.55000000000001</v>
      </c>
      <c r="J1340" s="1">
        <f ca="1">IFERROR(__xludf.DUMMYFUNCTION("""COMPUTED_VALUE"""),994.5)</f>
        <v>994.5</v>
      </c>
      <c r="K1340" s="1">
        <f ca="1">IFERROR(__xludf.DUMMYFUNCTION("""COMPUTED_VALUE"""),192.47)</f>
        <v>192.47</v>
      </c>
      <c r="L1340" s="1">
        <f ca="1">IFERROR(__xludf.DUMMYFUNCTION("""COMPUTED_VALUE"""),374.98)</f>
        <v>374.98</v>
      </c>
      <c r="M1340" s="1">
        <f ca="1">IFERROR(__xludf.DUMMYFUNCTION("""COMPUTED_VALUE"""),1131.72)</f>
        <v>1131.72</v>
      </c>
      <c r="N1340" s="1">
        <f ca="1">IFERROR(__xludf.DUMMYFUNCTION("""COMPUTED_VALUE"""),246.89)</f>
        <v>246.89</v>
      </c>
      <c r="O1340" s="1">
        <f ca="1">IFERROR(__xludf.DUMMYFUNCTION("""COMPUTED_VALUE"""),345.5)</f>
        <v>345.5</v>
      </c>
      <c r="P1340" s="1">
        <f ca="1">IFERROR(__xludf.DUMMYFUNCTION("""COMPUTED_VALUE"""),156.31)</f>
        <v>156.31</v>
      </c>
      <c r="Q1340" s="1">
        <f ca="1">IFERROR(__xludf.DUMMYFUNCTION("""COMPUTED_VALUE"""),411.44)</f>
        <v>411.44</v>
      </c>
      <c r="R1340" s="1">
        <f ca="1">IFERROR(__xludf.DUMMYFUNCTION("""COMPUTED_VALUE"""),105.63)</f>
        <v>105.63</v>
      </c>
      <c r="S1340" s="1">
        <f ca="1">IFERROR(__xludf.DUMMYFUNCTION("""COMPUTED_VALUE"""),66.88)</f>
        <v>66.88</v>
      </c>
      <c r="T1340" s="1">
        <f ca="1">IFERROR(__xludf.DUMMYFUNCTION("""COMPUTED_VALUE"""),97.41)</f>
        <v>97.41</v>
      </c>
      <c r="U1340" s="1">
        <f ca="1">IFERROR(__xludf.DUMMYFUNCTION("""COMPUTED_VALUE"""),56.76)</f>
        <v>56.76</v>
      </c>
      <c r="V1340" s="1">
        <f ca="1">IFERROR(__xludf.DUMMYFUNCTION("""COMPUTED_VALUE"""),309.27)</f>
        <v>309.27</v>
      </c>
      <c r="W1340" s="1">
        <f ca="1">IFERROR(__xludf.DUMMYFUNCTION("""COMPUTED_VALUE"""),477.75)</f>
        <v>477.75</v>
      </c>
      <c r="X1340" s="1">
        <f ca="1">IFERROR(__xludf.DUMMYFUNCTION("""COMPUTED_VALUE"""),668.08)</f>
        <v>668.08</v>
      </c>
      <c r="Y1340" s="1">
        <f ca="1">IFERROR(__xludf.DUMMYFUNCTION("""COMPUTED_VALUE"""),166.69)</f>
        <v>166.69</v>
      </c>
      <c r="Z1340" s="1">
        <f ca="1">IFERROR(__xludf.DUMMYFUNCTION("""COMPUTED_VALUE"""),553.83)</f>
        <v>553.83000000000004</v>
      </c>
      <c r="AA1340" s="1">
        <f ca="1">IFERROR(__xludf.DUMMYFUNCTION("""COMPUTED_VALUE"""),24.41)</f>
        <v>24.41</v>
      </c>
      <c r="AB1340" s="1">
        <f ca="1">IFERROR(__xludf.DUMMYFUNCTION("""COMPUTED_VALUE"""),82.01)</f>
        <v>82.01</v>
      </c>
      <c r="AC1340" s="1">
        <f ca="1">IFERROR(__xludf.DUMMYFUNCTION("""COMPUTED_VALUE"""),96.65)</f>
        <v>96.65</v>
      </c>
    </row>
    <row r="1341" spans="1:29" x14ac:dyDescent="0.25">
      <c r="A1341" s="2">
        <f ca="1">IFERROR(__xludf.DUMMYFUNCTION("""COMPUTED_VALUE"""),45778.6666666666)</f>
        <v>45778.666666666599</v>
      </c>
      <c r="B1341" s="1">
        <f ca="1">IFERROR(__xludf.DUMMYFUNCTION("""COMPUTED_VALUE"""),213.32)</f>
        <v>213.32</v>
      </c>
      <c r="C1341" s="1">
        <f ca="1">IFERROR(__xludf.DUMMYFUNCTION("""COMPUTED_VALUE"""),425.4)</f>
        <v>425.4</v>
      </c>
      <c r="D1341" s="1">
        <f ca="1">IFERROR(__xludf.DUMMYFUNCTION("""COMPUTED_VALUE"""),190.2)</f>
        <v>190.2</v>
      </c>
      <c r="E1341" s="1">
        <f ca="1">IFERROR(__xludf.DUMMYFUNCTION("""COMPUTED_VALUE"""),111.61)</f>
        <v>111.61</v>
      </c>
      <c r="F1341" s="1">
        <f ca="1">IFERROR(__xludf.DUMMYFUNCTION("""COMPUTED_VALUE"""),597.02)</f>
        <v>597.02</v>
      </c>
      <c r="G1341" s="1">
        <f ca="1">IFERROR(__xludf.DUMMYFUNCTION("""COMPUTED_VALUE"""),162.79)</f>
        <v>162.79</v>
      </c>
      <c r="H1341" s="1">
        <f ca="1">IFERROR(__xludf.DUMMYFUNCTION("""COMPUTED_VALUE"""),287.21)</f>
        <v>287.20999999999998</v>
      </c>
      <c r="I1341" s="1">
        <f ca="1">IFERROR(__xludf.DUMMYFUNCTION("""COMPUTED_VALUE"""),133.75)</f>
        <v>133.75</v>
      </c>
      <c r="J1341" s="1">
        <f ca="1">IFERROR(__xludf.DUMMYFUNCTION("""COMPUTED_VALUE"""),999.04)</f>
        <v>999.04</v>
      </c>
      <c r="K1341" s="1">
        <f ca="1">IFERROR(__xludf.DUMMYFUNCTION("""COMPUTED_VALUE"""),197.33)</f>
        <v>197.33</v>
      </c>
      <c r="L1341" s="1">
        <f ca="1">IFERROR(__xludf.DUMMYFUNCTION("""COMPUTED_VALUE"""),374.63)</f>
        <v>374.63</v>
      </c>
      <c r="M1341" s="1">
        <f ca="1">IFERROR(__xludf.DUMMYFUNCTION("""COMPUTED_VALUE"""),1133.47)</f>
        <v>1133.47</v>
      </c>
      <c r="N1341" s="1">
        <f ca="1">IFERROR(__xludf.DUMMYFUNCTION("""COMPUTED_VALUE"""),252.51)</f>
        <v>252.51</v>
      </c>
      <c r="O1341" s="1">
        <f ca="1">IFERROR(__xludf.DUMMYFUNCTION("""COMPUTED_VALUE"""),342.45)</f>
        <v>342.45</v>
      </c>
      <c r="P1341" s="1">
        <f ca="1">IFERROR(__xludf.DUMMYFUNCTION("""COMPUTED_VALUE"""),154.46)</f>
        <v>154.46</v>
      </c>
      <c r="Q1341" s="1">
        <f ca="1">IFERROR(__xludf.DUMMYFUNCTION("""COMPUTED_VALUE"""),400.68)</f>
        <v>400.68</v>
      </c>
      <c r="R1341" s="1">
        <f ca="1">IFERROR(__xludf.DUMMYFUNCTION("""COMPUTED_VALUE"""),105.78)</f>
        <v>105.78</v>
      </c>
      <c r="S1341" s="1">
        <f ca="1">IFERROR(__xludf.DUMMYFUNCTION("""COMPUTED_VALUE"""),66.05)</f>
        <v>66.05</v>
      </c>
      <c r="T1341" s="1">
        <f ca="1">IFERROR(__xludf.DUMMYFUNCTION("""COMPUTED_VALUE"""),98.75)</f>
        <v>98.75</v>
      </c>
      <c r="U1341" s="1">
        <f ca="1">IFERROR(__xludf.DUMMYFUNCTION("""COMPUTED_VALUE"""),58.59)</f>
        <v>58.59</v>
      </c>
      <c r="V1341" s="1">
        <f ca="1">IFERROR(__xludf.DUMMYFUNCTION("""COMPUTED_VALUE"""),313.96)</f>
        <v>313.95999999999998</v>
      </c>
      <c r="W1341" s="1">
        <f ca="1">IFERROR(__xludf.DUMMYFUNCTION("""COMPUTED_VALUE"""),477.72)</f>
        <v>477.72</v>
      </c>
      <c r="X1341" s="1">
        <f ca="1">IFERROR(__xludf.DUMMYFUNCTION("""COMPUTED_VALUE"""),666.72)</f>
        <v>666.72</v>
      </c>
      <c r="Y1341" s="1">
        <f ca="1">IFERROR(__xludf.DUMMYFUNCTION("""COMPUTED_VALUE"""),172.72)</f>
        <v>172.72</v>
      </c>
      <c r="Z1341" s="1">
        <f ca="1">IFERROR(__xludf.DUMMYFUNCTION("""COMPUTED_VALUE"""),566.1)</f>
        <v>566.1</v>
      </c>
      <c r="AA1341" s="1">
        <f ca="1">IFERROR(__xludf.DUMMYFUNCTION("""COMPUTED_VALUE"""),23.93)</f>
        <v>23.93</v>
      </c>
      <c r="AB1341" s="1">
        <f ca="1">IFERROR(__xludf.DUMMYFUNCTION("""COMPUTED_VALUE"""),84.69)</f>
        <v>84.69</v>
      </c>
      <c r="AC1341" s="1">
        <f ca="1">IFERROR(__xludf.DUMMYFUNCTION("""COMPUTED_VALUE"""),98.8)</f>
        <v>98.8</v>
      </c>
    </row>
    <row r="1342" spans="1:29" x14ac:dyDescent="0.25">
      <c r="A1342" s="2">
        <f ca="1">IFERROR(__xludf.DUMMYFUNCTION("""COMPUTED_VALUE"""),45779.6666666666)</f>
        <v>45779.666666666599</v>
      </c>
      <c r="B1342" s="1">
        <f ca="1">IFERROR(__xludf.DUMMYFUNCTION("""COMPUTED_VALUE"""),205.35)</f>
        <v>205.35</v>
      </c>
      <c r="C1342" s="1">
        <f ca="1">IFERROR(__xludf.DUMMYFUNCTION("""COMPUTED_VALUE"""),435.28)</f>
        <v>435.28</v>
      </c>
      <c r="D1342" s="1">
        <f ca="1">IFERROR(__xludf.DUMMYFUNCTION("""COMPUTED_VALUE"""),189.98)</f>
        <v>189.98</v>
      </c>
      <c r="E1342" s="1">
        <f ca="1">IFERROR(__xludf.DUMMYFUNCTION("""COMPUTED_VALUE"""),114.5)</f>
        <v>114.5</v>
      </c>
      <c r="F1342" s="1">
        <f ca="1">IFERROR(__xludf.DUMMYFUNCTION("""COMPUTED_VALUE"""),599.27)</f>
        <v>599.27</v>
      </c>
      <c r="G1342" s="1">
        <f ca="1">IFERROR(__xludf.DUMMYFUNCTION("""COMPUTED_VALUE"""),165.81)</f>
        <v>165.81</v>
      </c>
      <c r="H1342" s="1">
        <f ca="1">IFERROR(__xludf.DUMMYFUNCTION("""COMPUTED_VALUE"""),280.26)</f>
        <v>280.26</v>
      </c>
      <c r="I1342" s="1">
        <f ca="1">IFERROR(__xludf.DUMMYFUNCTION("""COMPUTED_VALUE"""),131.99)</f>
        <v>131.99</v>
      </c>
      <c r="J1342" s="1">
        <f ca="1">IFERROR(__xludf.DUMMYFUNCTION("""COMPUTED_VALUE"""),1008.3)</f>
        <v>1008.3</v>
      </c>
      <c r="K1342" s="1">
        <f ca="1">IFERROR(__xludf.DUMMYFUNCTION("""COMPUTED_VALUE"""),203.64)</f>
        <v>203.64</v>
      </c>
      <c r="L1342" s="1">
        <f ca="1">IFERROR(__xludf.DUMMYFUNCTION("""COMPUTED_VALUE"""),380.87)</f>
        <v>380.87</v>
      </c>
      <c r="M1342" s="1">
        <f ca="1">IFERROR(__xludf.DUMMYFUNCTION("""COMPUTED_VALUE"""),1156.49)</f>
        <v>1156.49</v>
      </c>
      <c r="N1342" s="1">
        <f ca="1">IFERROR(__xludf.DUMMYFUNCTION("""COMPUTED_VALUE"""),252.56)</f>
        <v>252.56</v>
      </c>
      <c r="O1342" s="1">
        <f ca="1">IFERROR(__xludf.DUMMYFUNCTION("""COMPUTED_VALUE"""),347.6)</f>
        <v>347.6</v>
      </c>
      <c r="P1342" s="1">
        <f ca="1">IFERROR(__xludf.DUMMYFUNCTION("""COMPUTED_VALUE"""),156.12)</f>
        <v>156.12</v>
      </c>
      <c r="Q1342" s="1">
        <f ca="1">IFERROR(__xludf.DUMMYFUNCTION("""COMPUTED_VALUE"""),399.92)</f>
        <v>399.92</v>
      </c>
      <c r="R1342" s="1">
        <f ca="1">IFERROR(__xludf.DUMMYFUNCTION("""COMPUTED_VALUE"""),106.21)</f>
        <v>106.21</v>
      </c>
      <c r="S1342" s="1">
        <f ca="1">IFERROR(__xludf.DUMMYFUNCTION("""COMPUTED_VALUE"""),67.09)</f>
        <v>67.09</v>
      </c>
      <c r="T1342" s="1">
        <f ca="1">IFERROR(__xludf.DUMMYFUNCTION("""COMPUTED_VALUE"""),99.33)</f>
        <v>99.33</v>
      </c>
      <c r="U1342" s="1">
        <f ca="1">IFERROR(__xludf.DUMMYFUNCTION("""COMPUTED_VALUE"""),57.35)</f>
        <v>57.35</v>
      </c>
      <c r="V1342" s="1">
        <f ca="1">IFERROR(__xludf.DUMMYFUNCTION("""COMPUTED_VALUE"""),323.68)</f>
        <v>323.68</v>
      </c>
      <c r="W1342" s="1">
        <f ca="1">IFERROR(__xludf.DUMMYFUNCTION("""COMPUTED_VALUE"""),472.8)</f>
        <v>472.8</v>
      </c>
      <c r="X1342" s="1">
        <f ca="1">IFERROR(__xludf.DUMMYFUNCTION("""COMPUTED_VALUE"""),690.33)</f>
        <v>690.33</v>
      </c>
      <c r="Y1342" s="1">
        <f ca="1">IFERROR(__xludf.DUMMYFUNCTION("""COMPUTED_VALUE"""),179.28)</f>
        <v>179.28</v>
      </c>
      <c r="Z1342" s="1">
        <f ca="1">IFERROR(__xludf.DUMMYFUNCTION("""COMPUTED_VALUE"""),559.56)</f>
        <v>559.55999999999995</v>
      </c>
      <c r="AA1342" s="1">
        <f ca="1">IFERROR(__xludf.DUMMYFUNCTION("""COMPUTED_VALUE"""),24.2)</f>
        <v>24.2</v>
      </c>
      <c r="AB1342" s="1">
        <f ca="1">IFERROR(__xludf.DUMMYFUNCTION("""COMPUTED_VALUE"""),81.66)</f>
        <v>81.66</v>
      </c>
      <c r="AC1342" s="1">
        <f ca="1">IFERROR(__xludf.DUMMYFUNCTION("""COMPUTED_VALUE"""),100.59)</f>
        <v>100.59</v>
      </c>
    </row>
    <row r="1343" spans="1:29" x14ac:dyDescent="0.25">
      <c r="A1343" s="2">
        <f ca="1">IFERROR(__xludf.DUMMYFUNCTION("""COMPUTED_VALUE"""),45782.6666666666)</f>
        <v>45782.666666666599</v>
      </c>
      <c r="B1343" s="1">
        <f ca="1">IFERROR(__xludf.DUMMYFUNCTION("""COMPUTED_VALUE"""),198.89)</f>
        <v>198.89</v>
      </c>
      <c r="C1343" s="1">
        <f ca="1">IFERROR(__xludf.DUMMYFUNCTION("""COMPUTED_VALUE"""),436.17)</f>
        <v>436.17</v>
      </c>
      <c r="D1343" s="1">
        <f ca="1">IFERROR(__xludf.DUMMYFUNCTION("""COMPUTED_VALUE"""),186.35)</f>
        <v>186.35</v>
      </c>
      <c r="E1343" s="1">
        <f ca="1">IFERROR(__xludf.DUMMYFUNCTION("""COMPUTED_VALUE"""),113.82)</f>
        <v>113.82</v>
      </c>
      <c r="F1343" s="1">
        <f ca="1">IFERROR(__xludf.DUMMYFUNCTION("""COMPUTED_VALUE"""),587.31)</f>
        <v>587.30999999999995</v>
      </c>
      <c r="G1343" s="1">
        <f ca="1">IFERROR(__xludf.DUMMYFUNCTION("""COMPUTED_VALUE"""),166.05)</f>
        <v>166.05</v>
      </c>
      <c r="H1343" s="1">
        <f ca="1">IFERROR(__xludf.DUMMYFUNCTION("""COMPUTED_VALUE"""),275.35)</f>
        <v>275.35000000000002</v>
      </c>
      <c r="I1343" s="1">
        <f ca="1">IFERROR(__xludf.DUMMYFUNCTION("""COMPUTED_VALUE"""),130.74)</f>
        <v>130.74</v>
      </c>
      <c r="J1343" s="1">
        <f ca="1">IFERROR(__xludf.DUMMYFUNCTION("""COMPUTED_VALUE"""),1014.89)</f>
        <v>1014.89</v>
      </c>
      <c r="K1343" s="1">
        <f ca="1">IFERROR(__xludf.DUMMYFUNCTION("""COMPUTED_VALUE"""),200.72)</f>
        <v>200.72</v>
      </c>
      <c r="L1343" s="1">
        <f ca="1">IFERROR(__xludf.DUMMYFUNCTION("""COMPUTED_VALUE"""),381.06)</f>
        <v>381.06</v>
      </c>
      <c r="M1343" s="1">
        <f ca="1">IFERROR(__xludf.DUMMYFUNCTION("""COMPUTED_VALUE"""),1134.06)</f>
        <v>1134.06</v>
      </c>
      <c r="N1343" s="1">
        <f ca="1">IFERROR(__xludf.DUMMYFUNCTION("""COMPUTED_VALUE"""),249.25)</f>
        <v>249.25</v>
      </c>
      <c r="O1343" s="1">
        <f ca="1">IFERROR(__xludf.DUMMYFUNCTION("""COMPUTED_VALUE"""),348.64)</f>
        <v>348.64</v>
      </c>
      <c r="P1343" s="1">
        <f ca="1">IFERROR(__xludf.DUMMYFUNCTION("""COMPUTED_VALUE"""),155)</f>
        <v>155</v>
      </c>
      <c r="Q1343" s="1">
        <f ca="1">IFERROR(__xludf.DUMMYFUNCTION("""COMPUTED_VALUE"""),404.81)</f>
        <v>404.81</v>
      </c>
      <c r="R1343" s="1">
        <f ca="1">IFERROR(__xludf.DUMMYFUNCTION("""COMPUTED_VALUE"""),103.27)</f>
        <v>103.27</v>
      </c>
      <c r="S1343" s="1">
        <f ca="1">IFERROR(__xludf.DUMMYFUNCTION("""COMPUTED_VALUE"""),66.1)</f>
        <v>66.099999999999994</v>
      </c>
      <c r="T1343" s="1">
        <f ca="1">IFERROR(__xludf.DUMMYFUNCTION("""COMPUTED_VALUE"""),98.55)</f>
        <v>98.55</v>
      </c>
      <c r="U1343" s="1">
        <f ca="1">IFERROR(__xludf.DUMMYFUNCTION("""COMPUTED_VALUE"""),57.04)</f>
        <v>57.04</v>
      </c>
      <c r="V1343" s="1">
        <f ca="1">IFERROR(__xludf.DUMMYFUNCTION("""COMPUTED_VALUE"""),323.11)</f>
        <v>323.11</v>
      </c>
      <c r="W1343" s="1">
        <f ca="1">IFERROR(__xludf.DUMMYFUNCTION("""COMPUTED_VALUE"""),471.56)</f>
        <v>471.56</v>
      </c>
      <c r="X1343" s="1">
        <f ca="1">IFERROR(__xludf.DUMMYFUNCTION("""COMPUTED_VALUE"""),683.36)</f>
        <v>683.36</v>
      </c>
      <c r="Y1343" s="1">
        <f ca="1">IFERROR(__xludf.DUMMYFUNCTION("""COMPUTED_VALUE"""),176.4)</f>
        <v>176.4</v>
      </c>
      <c r="Z1343" s="1">
        <f ca="1">IFERROR(__xludf.DUMMYFUNCTION("""COMPUTED_VALUE"""),549.36)</f>
        <v>549.36</v>
      </c>
      <c r="AA1343" s="1">
        <f ca="1">IFERROR(__xludf.DUMMYFUNCTION("""COMPUTED_VALUE"""),23.87)</f>
        <v>23.87</v>
      </c>
      <c r="AB1343" s="1">
        <f ca="1">IFERROR(__xludf.DUMMYFUNCTION("""COMPUTED_VALUE"""),82.78)</f>
        <v>82.78</v>
      </c>
      <c r="AC1343" s="1">
        <f ca="1">IFERROR(__xludf.DUMMYFUNCTION("""COMPUTED_VALUE"""),98.62)</f>
        <v>98.62</v>
      </c>
    </row>
    <row r="1344" spans="1:29" x14ac:dyDescent="0.25">
      <c r="A1344" s="2">
        <f ca="1">IFERROR(__xludf.DUMMYFUNCTION("""COMPUTED_VALUE"""),45783.6666666666)</f>
        <v>45783.666666666599</v>
      </c>
      <c r="B1344" s="1">
        <f ca="1">IFERROR(__xludf.DUMMYFUNCTION("""COMPUTED_VALUE"""),198.51)</f>
        <v>198.51</v>
      </c>
      <c r="C1344" s="1">
        <f ca="1">IFERROR(__xludf.DUMMYFUNCTION("""COMPUTED_VALUE"""),433.31)</f>
        <v>433.31</v>
      </c>
      <c r="D1344" s="1">
        <f ca="1">IFERROR(__xludf.DUMMYFUNCTION("""COMPUTED_VALUE"""),185.01)</f>
        <v>185.01</v>
      </c>
      <c r="E1344" s="1">
        <f ca="1">IFERROR(__xludf.DUMMYFUNCTION("""COMPUTED_VALUE"""),113.54)</f>
        <v>113.54</v>
      </c>
      <c r="F1344" s="1">
        <f ca="1">IFERROR(__xludf.DUMMYFUNCTION("""COMPUTED_VALUE"""),596.81)</f>
        <v>596.80999999999995</v>
      </c>
      <c r="G1344" s="1">
        <f ca="1">IFERROR(__xludf.DUMMYFUNCTION("""COMPUTED_VALUE"""),165.2)</f>
        <v>165.2</v>
      </c>
      <c r="H1344" s="1">
        <f ca="1">IFERROR(__xludf.DUMMYFUNCTION("""COMPUTED_VALUE"""),276.22)</f>
        <v>276.22000000000003</v>
      </c>
      <c r="I1344" s="1">
        <f ca="1">IFERROR(__xludf.DUMMYFUNCTION("""COMPUTED_VALUE"""),131.92)</f>
        <v>131.91999999999999</v>
      </c>
      <c r="J1344" s="1">
        <f ca="1">IFERROR(__xludf.DUMMYFUNCTION("""COMPUTED_VALUE"""),1010.5)</f>
        <v>1010.5</v>
      </c>
      <c r="K1344" s="1">
        <f ca="1">IFERROR(__xludf.DUMMYFUNCTION("""COMPUTED_VALUE"""),200.09)</f>
        <v>200.09</v>
      </c>
      <c r="L1344" s="1">
        <f ca="1">IFERROR(__xludf.DUMMYFUNCTION("""COMPUTED_VALUE"""),382.98)</f>
        <v>382.98</v>
      </c>
      <c r="M1344" s="1">
        <f ca="1">IFERROR(__xludf.DUMMYFUNCTION("""COMPUTED_VALUE"""),1137.69)</f>
        <v>1137.69</v>
      </c>
      <c r="N1344" s="1">
        <f ca="1">IFERROR(__xludf.DUMMYFUNCTION("""COMPUTED_VALUE"""),249.39)</f>
        <v>249.39</v>
      </c>
      <c r="O1344" s="1">
        <f ca="1">IFERROR(__xludf.DUMMYFUNCTION("""COMPUTED_VALUE"""),347.7)</f>
        <v>347.7</v>
      </c>
      <c r="P1344" s="1">
        <f ca="1">IFERROR(__xludf.DUMMYFUNCTION("""COMPUTED_VALUE"""),154.47)</f>
        <v>154.47</v>
      </c>
      <c r="Q1344" s="1">
        <f ca="1">IFERROR(__xludf.DUMMYFUNCTION("""COMPUTED_VALUE"""),394.51)</f>
        <v>394.51</v>
      </c>
      <c r="R1344" s="1">
        <f ca="1">IFERROR(__xludf.DUMMYFUNCTION("""COMPUTED_VALUE"""),104.71)</f>
        <v>104.71</v>
      </c>
      <c r="S1344" s="1">
        <f ca="1">IFERROR(__xludf.DUMMYFUNCTION("""COMPUTED_VALUE"""),66.54)</f>
        <v>66.540000000000006</v>
      </c>
      <c r="T1344" s="1">
        <f ca="1">IFERROR(__xludf.DUMMYFUNCTION("""COMPUTED_VALUE"""),98.83)</f>
        <v>98.83</v>
      </c>
      <c r="U1344" s="1">
        <f ca="1">IFERROR(__xludf.DUMMYFUNCTION("""COMPUTED_VALUE"""),58.62)</f>
        <v>58.62</v>
      </c>
      <c r="V1344" s="1">
        <f ca="1">IFERROR(__xludf.DUMMYFUNCTION("""COMPUTED_VALUE"""),320.89)</f>
        <v>320.89</v>
      </c>
      <c r="W1344" s="1">
        <f ca="1">IFERROR(__xludf.DUMMYFUNCTION("""COMPUTED_VALUE"""),468.21)</f>
        <v>468.21</v>
      </c>
      <c r="X1344" s="1">
        <f ca="1">IFERROR(__xludf.DUMMYFUNCTION("""COMPUTED_VALUE"""),679.99)</f>
        <v>679.99</v>
      </c>
      <c r="Y1344" s="1">
        <f ca="1">IFERROR(__xludf.DUMMYFUNCTION("""COMPUTED_VALUE"""),172.28)</f>
        <v>172.28</v>
      </c>
      <c r="Z1344" s="1">
        <f ca="1">IFERROR(__xludf.DUMMYFUNCTION("""COMPUTED_VALUE"""),551.92)</f>
        <v>551.91999999999996</v>
      </c>
      <c r="AA1344" s="1">
        <f ca="1">IFERROR(__xludf.DUMMYFUNCTION("""COMPUTED_VALUE"""),22.88)</f>
        <v>22.88</v>
      </c>
      <c r="AB1344" s="1">
        <f ca="1">IFERROR(__xludf.DUMMYFUNCTION("""COMPUTED_VALUE"""),82.71)</f>
        <v>82.71</v>
      </c>
      <c r="AC1344" s="1">
        <f ca="1">IFERROR(__xludf.DUMMYFUNCTION("""COMPUTED_VALUE"""),100.36)</f>
        <v>100.36</v>
      </c>
    </row>
    <row r="1345" spans="1:29" x14ac:dyDescent="0.25">
      <c r="A1345" s="2">
        <f ca="1">IFERROR(__xludf.DUMMYFUNCTION("""COMPUTED_VALUE"""),45784.6666666666)</f>
        <v>45784.666666666599</v>
      </c>
      <c r="B1345" s="1">
        <f ca="1">IFERROR(__xludf.DUMMYFUNCTION("""COMPUTED_VALUE"""),196.25)</f>
        <v>196.25</v>
      </c>
      <c r="C1345" s="1">
        <f ca="1">IFERROR(__xludf.DUMMYFUNCTION("""COMPUTED_VALUE"""),433.35)</f>
        <v>433.35</v>
      </c>
      <c r="D1345" s="1">
        <f ca="1">IFERROR(__xludf.DUMMYFUNCTION("""COMPUTED_VALUE"""),188.71)</f>
        <v>188.71</v>
      </c>
      <c r="E1345" s="1">
        <f ca="1">IFERROR(__xludf.DUMMYFUNCTION("""COMPUTED_VALUE"""),117.06)</f>
        <v>117.06</v>
      </c>
      <c r="F1345" s="1">
        <f ca="1">IFERROR(__xludf.DUMMYFUNCTION("""COMPUTED_VALUE"""),598.01)</f>
        <v>598.01</v>
      </c>
      <c r="G1345" s="1">
        <f ca="1">IFERROR(__xludf.DUMMYFUNCTION("""COMPUTED_VALUE"""),152.8)</f>
        <v>152.80000000000001</v>
      </c>
      <c r="H1345" s="1">
        <f ca="1">IFERROR(__xludf.DUMMYFUNCTION("""COMPUTED_VALUE"""),284.82)</f>
        <v>284.82</v>
      </c>
      <c r="I1345" s="1">
        <f ca="1">IFERROR(__xludf.DUMMYFUNCTION("""COMPUTED_VALUE"""),131.43)</f>
        <v>131.43</v>
      </c>
      <c r="J1345" s="1">
        <f ca="1">IFERROR(__xludf.DUMMYFUNCTION("""COMPUTED_VALUE"""),1007.15)</f>
        <v>1007.15</v>
      </c>
      <c r="K1345" s="1">
        <f ca="1">IFERROR(__xludf.DUMMYFUNCTION("""COMPUTED_VALUE"""),204.81)</f>
        <v>204.81</v>
      </c>
      <c r="L1345" s="1">
        <f ca="1">IFERROR(__xludf.DUMMYFUNCTION("""COMPUTED_VALUE"""),384.97)</f>
        <v>384.97</v>
      </c>
      <c r="M1345" s="1">
        <f ca="1">IFERROR(__xludf.DUMMYFUNCTION("""COMPUTED_VALUE"""),1155.41)</f>
        <v>1155.4100000000001</v>
      </c>
      <c r="N1345" s="1">
        <f ca="1">IFERROR(__xludf.DUMMYFUNCTION("""COMPUTED_VALUE"""),253.47)</f>
        <v>253.47</v>
      </c>
      <c r="O1345" s="1">
        <f ca="1">IFERROR(__xludf.DUMMYFUNCTION("""COMPUTED_VALUE"""),349.85)</f>
        <v>349.85</v>
      </c>
      <c r="P1345" s="1">
        <f ca="1">IFERROR(__xludf.DUMMYFUNCTION("""COMPUTED_VALUE"""),157.3)</f>
        <v>157.30000000000001</v>
      </c>
      <c r="Q1345" s="1">
        <f ca="1">IFERROR(__xludf.DUMMYFUNCTION("""COMPUTED_VALUE"""),391.06)</f>
        <v>391.06</v>
      </c>
      <c r="R1345" s="1">
        <f ca="1">IFERROR(__xludf.DUMMYFUNCTION("""COMPUTED_VALUE"""),104.61)</f>
        <v>104.61</v>
      </c>
      <c r="S1345" s="1">
        <f ca="1">IFERROR(__xludf.DUMMYFUNCTION("""COMPUTED_VALUE"""),67.36)</f>
        <v>67.36</v>
      </c>
      <c r="T1345" s="1">
        <f ca="1">IFERROR(__xludf.DUMMYFUNCTION("""COMPUTED_VALUE"""),97.43)</f>
        <v>97.43</v>
      </c>
      <c r="U1345" s="1">
        <f ca="1">IFERROR(__xludf.DUMMYFUNCTION("""COMPUTED_VALUE"""),58.91)</f>
        <v>58.91</v>
      </c>
      <c r="V1345" s="1">
        <f ca="1">IFERROR(__xludf.DUMMYFUNCTION("""COMPUTED_VALUE"""),320.29)</f>
        <v>320.29000000000002</v>
      </c>
      <c r="W1345" s="1">
        <f ca="1">IFERROR(__xludf.DUMMYFUNCTION("""COMPUTED_VALUE"""),471.32)</f>
        <v>471.32</v>
      </c>
      <c r="X1345" s="1">
        <f ca="1">IFERROR(__xludf.DUMMYFUNCTION("""COMPUTED_VALUE"""),700.39)</f>
        <v>700.39</v>
      </c>
      <c r="Y1345" s="1">
        <f ca="1">IFERROR(__xludf.DUMMYFUNCTION("""COMPUTED_VALUE"""),174.54)</f>
        <v>174.54</v>
      </c>
      <c r="Z1345" s="1">
        <f ca="1">IFERROR(__xludf.DUMMYFUNCTION("""COMPUTED_VALUE"""),565.7)</f>
        <v>565.70000000000005</v>
      </c>
      <c r="AA1345" s="1">
        <f ca="1">IFERROR(__xludf.DUMMYFUNCTION("""COMPUTED_VALUE"""),22.79)</f>
        <v>22.79</v>
      </c>
      <c r="AB1345" s="1">
        <f ca="1">IFERROR(__xludf.DUMMYFUNCTION("""COMPUTED_VALUE"""),82.19)</f>
        <v>82.19</v>
      </c>
      <c r="AC1345" s="1">
        <f ca="1">IFERROR(__xludf.DUMMYFUNCTION("""COMPUTED_VALUE"""),101.7)</f>
        <v>101.7</v>
      </c>
    </row>
    <row r="1346" spans="1:29" x14ac:dyDescent="0.25">
      <c r="A1346" s="2">
        <f ca="1">IFERROR(__xludf.DUMMYFUNCTION("""COMPUTED_VALUE"""),45785.6666666666)</f>
        <v>45785.666666666599</v>
      </c>
      <c r="B1346" s="1">
        <f ca="1">IFERROR(__xludf.DUMMYFUNCTION("""COMPUTED_VALUE"""),197.49)</f>
        <v>197.49</v>
      </c>
      <c r="C1346" s="1">
        <f ca="1">IFERROR(__xludf.DUMMYFUNCTION("""COMPUTED_VALUE"""),438.17)</f>
        <v>438.17</v>
      </c>
      <c r="D1346" s="1">
        <f ca="1">IFERROR(__xludf.DUMMYFUNCTION("""COMPUTED_VALUE"""),192.08)</f>
        <v>192.08</v>
      </c>
      <c r="E1346" s="1">
        <f ca="1">IFERROR(__xludf.DUMMYFUNCTION("""COMPUTED_VALUE"""),117.37)</f>
        <v>117.37</v>
      </c>
      <c r="F1346" s="1">
        <f ca="1">IFERROR(__xludf.DUMMYFUNCTION("""COMPUTED_VALUE"""),592.49)</f>
        <v>592.49</v>
      </c>
      <c r="G1346" s="1">
        <f ca="1">IFERROR(__xludf.DUMMYFUNCTION("""COMPUTED_VALUE"""),155.75)</f>
        <v>155.75</v>
      </c>
      <c r="H1346" s="1">
        <f ca="1">IFERROR(__xludf.DUMMYFUNCTION("""COMPUTED_VALUE"""),298.26)</f>
        <v>298.26</v>
      </c>
      <c r="I1346" s="1">
        <f ca="1">IFERROR(__xludf.DUMMYFUNCTION("""COMPUTED_VALUE"""),130.44)</f>
        <v>130.44</v>
      </c>
      <c r="J1346" s="1">
        <f ca="1">IFERROR(__xludf.DUMMYFUNCTION("""COMPUTED_VALUE"""),1007.71)</f>
        <v>1007.71</v>
      </c>
      <c r="K1346" s="1">
        <f ca="1">IFERROR(__xludf.DUMMYFUNCTION("""COMPUTED_VALUE"""),207.77)</f>
        <v>207.77</v>
      </c>
      <c r="L1346" s="1">
        <f ca="1">IFERROR(__xludf.DUMMYFUNCTION("""COMPUTED_VALUE"""),383.99)</f>
        <v>383.99</v>
      </c>
      <c r="M1346" s="1">
        <f ca="1">IFERROR(__xludf.DUMMYFUNCTION("""COMPUTED_VALUE"""),1144.43)</f>
        <v>1144.43</v>
      </c>
      <c r="N1346" s="1">
        <f ca="1">IFERROR(__xludf.DUMMYFUNCTION("""COMPUTED_VALUE"""),253.08)</f>
        <v>253.08</v>
      </c>
      <c r="O1346" s="1">
        <f ca="1">IFERROR(__xludf.DUMMYFUNCTION("""COMPUTED_VALUE"""),351.27)</f>
        <v>351.27</v>
      </c>
      <c r="P1346" s="1">
        <f ca="1">IFERROR(__xludf.DUMMYFUNCTION("""COMPUTED_VALUE"""),155.66)</f>
        <v>155.66</v>
      </c>
      <c r="Q1346" s="1">
        <f ca="1">IFERROR(__xludf.DUMMYFUNCTION("""COMPUTED_VALUE"""),385.55)</f>
        <v>385.55</v>
      </c>
      <c r="R1346" s="1">
        <f ca="1">IFERROR(__xludf.DUMMYFUNCTION("""COMPUTED_VALUE"""),106.07)</f>
        <v>106.07</v>
      </c>
      <c r="S1346" s="1">
        <f ca="1">IFERROR(__xludf.DUMMYFUNCTION("""COMPUTED_VALUE"""),68.32)</f>
        <v>68.319999999999993</v>
      </c>
      <c r="T1346" s="1">
        <f ca="1">IFERROR(__xludf.DUMMYFUNCTION("""COMPUTED_VALUE"""),96.72)</f>
        <v>96.72</v>
      </c>
      <c r="U1346" s="1">
        <f ca="1">IFERROR(__xludf.DUMMYFUNCTION("""COMPUTED_VALUE"""),58.3)</f>
        <v>58.3</v>
      </c>
      <c r="V1346" s="1">
        <f ca="1">IFERROR(__xludf.DUMMYFUNCTION("""COMPUTED_VALUE"""),324.25)</f>
        <v>324.25</v>
      </c>
      <c r="W1346" s="1">
        <f ca="1">IFERROR(__xludf.DUMMYFUNCTION("""COMPUTED_VALUE"""),474.53)</f>
        <v>474.53</v>
      </c>
      <c r="X1346" s="1">
        <f ca="1">IFERROR(__xludf.DUMMYFUNCTION("""COMPUTED_VALUE"""),708.03)</f>
        <v>708.03</v>
      </c>
      <c r="Y1346" s="1">
        <f ca="1">IFERROR(__xludf.DUMMYFUNCTION("""COMPUTED_VALUE"""),175.22)</f>
        <v>175.22</v>
      </c>
      <c r="Z1346" s="1">
        <f ca="1">IFERROR(__xludf.DUMMYFUNCTION("""COMPUTED_VALUE"""),567.1)</f>
        <v>567.1</v>
      </c>
      <c r="AA1346" s="1">
        <f ca="1">IFERROR(__xludf.DUMMYFUNCTION("""COMPUTED_VALUE"""),22.97)</f>
        <v>22.97</v>
      </c>
      <c r="AB1346" s="1">
        <f ca="1">IFERROR(__xludf.DUMMYFUNCTION("""COMPUTED_VALUE"""),80.3)</f>
        <v>80.3</v>
      </c>
      <c r="AC1346" s="1">
        <f ca="1">IFERROR(__xludf.DUMMYFUNCTION("""COMPUTED_VALUE"""),102.84)</f>
        <v>102.84</v>
      </c>
    </row>
    <row r="1347" spans="1:29" x14ac:dyDescent="0.25">
      <c r="A1347" s="2">
        <f ca="1">IFERROR(__xludf.DUMMYFUNCTION("""COMPUTED_VALUE"""),45786.6666666666)</f>
        <v>45786.666666666599</v>
      </c>
      <c r="B1347" s="1">
        <f ca="1">IFERROR(__xludf.DUMMYFUNCTION("""COMPUTED_VALUE"""),198.53)</f>
        <v>198.53</v>
      </c>
      <c r="C1347" s="1">
        <f ca="1">IFERROR(__xludf.DUMMYFUNCTION("""COMPUTED_VALUE"""),438.73)</f>
        <v>438.73</v>
      </c>
      <c r="D1347" s="1">
        <f ca="1">IFERROR(__xludf.DUMMYFUNCTION("""COMPUTED_VALUE"""),193.06)</f>
        <v>193.06</v>
      </c>
      <c r="E1347" s="1">
        <f ca="1">IFERROR(__xludf.DUMMYFUNCTION("""COMPUTED_VALUE"""),116.65)</f>
        <v>116.65</v>
      </c>
      <c r="F1347" s="1">
        <f ca="1">IFERROR(__xludf.DUMMYFUNCTION("""COMPUTED_VALUE"""),639.43)</f>
        <v>639.42999999999995</v>
      </c>
      <c r="G1347" s="1">
        <f ca="1">IFERROR(__xludf.DUMMYFUNCTION("""COMPUTED_VALUE"""),154.38)</f>
        <v>154.38</v>
      </c>
      <c r="H1347" s="1">
        <f ca="1">IFERROR(__xludf.DUMMYFUNCTION("""COMPUTED_VALUE"""),318.38)</f>
        <v>318.38</v>
      </c>
      <c r="I1347" s="1">
        <f ca="1">IFERROR(__xludf.DUMMYFUNCTION("""COMPUTED_VALUE"""),131.68)</f>
        <v>131.68</v>
      </c>
      <c r="J1347" s="1">
        <f ca="1">IFERROR(__xludf.DUMMYFUNCTION("""COMPUTED_VALUE"""),1008.09)</f>
        <v>1008.09</v>
      </c>
      <c r="K1347" s="1">
        <f ca="1">IFERROR(__xludf.DUMMYFUNCTION("""COMPUTED_VALUE"""),208.2)</f>
        <v>208.2</v>
      </c>
      <c r="L1347" s="1">
        <f ca="1">IFERROR(__xludf.DUMMYFUNCTION("""COMPUTED_VALUE"""),383.28)</f>
        <v>383.28</v>
      </c>
      <c r="M1347" s="1">
        <f ca="1">IFERROR(__xludf.DUMMYFUNCTION("""COMPUTED_VALUE"""),1140.22)</f>
        <v>1140.22</v>
      </c>
      <c r="N1347" s="1">
        <f ca="1">IFERROR(__xludf.DUMMYFUNCTION("""COMPUTED_VALUE"""),260.05)</f>
        <v>260.05</v>
      </c>
      <c r="O1347" s="1">
        <f ca="1">IFERROR(__xludf.DUMMYFUNCTION("""COMPUTED_VALUE"""),352.54)</f>
        <v>352.54</v>
      </c>
      <c r="P1347" s="1">
        <f ca="1">IFERROR(__xludf.DUMMYFUNCTION("""COMPUTED_VALUE"""),154.22)</f>
        <v>154.22</v>
      </c>
      <c r="Q1347" s="1">
        <f ca="1">IFERROR(__xludf.DUMMYFUNCTION("""COMPUTED_VALUE"""),380.64)</f>
        <v>380.64</v>
      </c>
      <c r="R1347" s="1">
        <f ca="1">IFERROR(__xludf.DUMMYFUNCTION("""COMPUTED_VALUE"""),107.31)</f>
        <v>107.31</v>
      </c>
      <c r="S1347" s="1">
        <f ca="1">IFERROR(__xludf.DUMMYFUNCTION("""COMPUTED_VALUE"""),70.31)</f>
        <v>70.31</v>
      </c>
      <c r="T1347" s="1">
        <f ca="1">IFERROR(__xludf.DUMMYFUNCTION("""COMPUTED_VALUE"""),96.75)</f>
        <v>96.75</v>
      </c>
      <c r="U1347" s="1">
        <f ca="1">IFERROR(__xludf.DUMMYFUNCTION("""COMPUTED_VALUE"""),62.58)</f>
        <v>62.58</v>
      </c>
      <c r="V1347" s="1">
        <f ca="1">IFERROR(__xludf.DUMMYFUNCTION("""COMPUTED_VALUE"""),325.62)</f>
        <v>325.62</v>
      </c>
      <c r="W1347" s="1">
        <f ca="1">IFERROR(__xludf.DUMMYFUNCTION("""COMPUTED_VALUE"""),473.52)</f>
        <v>473.52</v>
      </c>
      <c r="X1347" s="1">
        <f ca="1">IFERROR(__xludf.DUMMYFUNCTION("""COMPUTED_VALUE"""),706.21)</f>
        <v>706.21</v>
      </c>
      <c r="Y1347" s="1">
        <f ca="1">IFERROR(__xludf.DUMMYFUNCTION("""COMPUTED_VALUE"""),176.52)</f>
        <v>176.52</v>
      </c>
      <c r="Z1347" s="1">
        <f ca="1">IFERROR(__xludf.DUMMYFUNCTION("""COMPUTED_VALUE"""),591.34)</f>
        <v>591.34</v>
      </c>
      <c r="AA1347" s="1">
        <f ca="1">IFERROR(__xludf.DUMMYFUNCTION("""COMPUTED_VALUE"""),22.28)</f>
        <v>22.28</v>
      </c>
      <c r="AB1347" s="1">
        <f ca="1">IFERROR(__xludf.DUMMYFUNCTION("""COMPUTED_VALUE"""),85.67)</f>
        <v>85.67</v>
      </c>
      <c r="AC1347" s="1">
        <f ca="1">IFERROR(__xludf.DUMMYFUNCTION("""COMPUTED_VALUE"""),108.12)</f>
        <v>108.12</v>
      </c>
    </row>
    <row r="1348" spans="1:29" x14ac:dyDescent="0.25">
      <c r="A1348" s="2">
        <f ca="1">IFERROR(__xludf.DUMMYFUNCTION("""COMPUTED_VALUE"""),45789.6666666666)</f>
        <v>45789.666666666599</v>
      </c>
      <c r="B1348" s="1">
        <f ca="1">IFERROR(__xludf.DUMMYFUNCTION("""COMPUTED_VALUE"""),210.79)</f>
        <v>210.79</v>
      </c>
      <c r="C1348" s="1">
        <f ca="1">IFERROR(__xludf.DUMMYFUNCTION("""COMPUTED_VALUE"""),449.26)</f>
        <v>449.26</v>
      </c>
      <c r="D1348" s="1">
        <f ca="1">IFERROR(__xludf.DUMMYFUNCTION("""COMPUTED_VALUE"""),208.64)</f>
        <v>208.64</v>
      </c>
      <c r="E1348" s="1">
        <f ca="1">IFERROR(__xludf.DUMMYFUNCTION("""COMPUTED_VALUE"""),123)</f>
        <v>123</v>
      </c>
      <c r="F1348" s="1">
        <f ca="1">IFERROR(__xludf.DUMMYFUNCTION("""COMPUTED_VALUE"""),656.03)</f>
        <v>656.03</v>
      </c>
      <c r="G1348" s="1">
        <f ca="1">IFERROR(__xludf.DUMMYFUNCTION("""COMPUTED_VALUE"""),159.58)</f>
        <v>159.58000000000001</v>
      </c>
      <c r="H1348" s="1">
        <f ca="1">IFERROR(__xludf.DUMMYFUNCTION("""COMPUTED_VALUE"""),334.07)</f>
        <v>334.07</v>
      </c>
      <c r="I1348" s="1">
        <f ca="1">IFERROR(__xludf.DUMMYFUNCTION("""COMPUTED_VALUE"""),130.31)</f>
        <v>130.31</v>
      </c>
      <c r="J1348" s="1">
        <f ca="1">IFERROR(__xludf.DUMMYFUNCTION("""COMPUTED_VALUE"""),1016.15)</f>
        <v>1016.15</v>
      </c>
      <c r="K1348" s="1">
        <f ca="1">IFERROR(__xludf.DUMMYFUNCTION("""COMPUTED_VALUE"""),221.58)</f>
        <v>221.58</v>
      </c>
      <c r="L1348" s="1">
        <f ca="1">IFERROR(__xludf.DUMMYFUNCTION("""COMPUTED_VALUE"""),395.94)</f>
        <v>395.94</v>
      </c>
      <c r="M1348" s="1">
        <f ca="1">IFERROR(__xludf.DUMMYFUNCTION("""COMPUTED_VALUE"""),1110)</f>
        <v>1110</v>
      </c>
      <c r="N1348" s="1">
        <f ca="1">IFERROR(__xludf.DUMMYFUNCTION("""COMPUTED_VALUE"""),263.01)</f>
        <v>263.01</v>
      </c>
      <c r="O1348" s="1">
        <f ca="1">IFERROR(__xludf.DUMMYFUNCTION("""COMPUTED_VALUE"""),355.85)</f>
        <v>355.85</v>
      </c>
      <c r="P1348" s="1">
        <f ca="1">IFERROR(__xludf.DUMMYFUNCTION("""COMPUTED_VALUE"""),154.14)</f>
        <v>154.13999999999999</v>
      </c>
      <c r="Q1348" s="1">
        <f ca="1">IFERROR(__xludf.DUMMYFUNCTION("""COMPUTED_VALUE"""),378.75)</f>
        <v>378.75</v>
      </c>
      <c r="R1348" s="1">
        <f ca="1">IFERROR(__xludf.DUMMYFUNCTION("""COMPUTED_VALUE"""),109.16)</f>
        <v>109.16</v>
      </c>
      <c r="S1348" s="1">
        <f ca="1">IFERROR(__xludf.DUMMYFUNCTION("""COMPUTED_VALUE"""),69.69)</f>
        <v>69.69</v>
      </c>
      <c r="T1348" s="1">
        <f ca="1">IFERROR(__xludf.DUMMYFUNCTION("""COMPUTED_VALUE"""),95.88)</f>
        <v>95.88</v>
      </c>
      <c r="U1348" s="1">
        <f ca="1">IFERROR(__xludf.DUMMYFUNCTION("""COMPUTED_VALUE"""),62.39)</f>
        <v>62.39</v>
      </c>
      <c r="V1348" s="1">
        <f ca="1">IFERROR(__xludf.DUMMYFUNCTION("""COMPUTED_VALUE"""),342.55)</f>
        <v>342.55</v>
      </c>
      <c r="W1348" s="1">
        <f ca="1">IFERROR(__xludf.DUMMYFUNCTION("""COMPUTED_VALUE"""),473.16)</f>
        <v>473.16</v>
      </c>
      <c r="X1348" s="1">
        <f ca="1">IFERROR(__xludf.DUMMYFUNCTION("""COMPUTED_VALUE"""),750.2)</f>
        <v>750.2</v>
      </c>
      <c r="Y1348" s="1">
        <f ca="1">IFERROR(__xludf.DUMMYFUNCTION("""COMPUTED_VALUE"""),186.98)</f>
        <v>186.98</v>
      </c>
      <c r="Z1348" s="1">
        <f ca="1">IFERROR(__xludf.DUMMYFUNCTION("""COMPUTED_VALUE"""),603.81)</f>
        <v>603.80999999999995</v>
      </c>
      <c r="AA1348" s="1">
        <f ca="1">IFERROR(__xludf.DUMMYFUNCTION("""COMPUTED_VALUE"""),23.09)</f>
        <v>23.09</v>
      </c>
      <c r="AB1348" s="1">
        <f ca="1">IFERROR(__xludf.DUMMYFUNCTION("""COMPUTED_VALUE"""),86.88)</f>
        <v>86.88</v>
      </c>
      <c r="AC1348" s="1">
        <f ca="1">IFERROR(__xludf.DUMMYFUNCTION("""COMPUTED_VALUE"""),112.46)</f>
        <v>112.46</v>
      </c>
    </row>
    <row r="1349" spans="1:29" x14ac:dyDescent="0.25">
      <c r="A1349" s="2">
        <f ca="1">IFERROR(__xludf.DUMMYFUNCTION("""COMPUTED_VALUE"""),45790.6666666666)</f>
        <v>45790.666666666599</v>
      </c>
      <c r="B1349" s="1">
        <f ca="1">IFERROR(__xludf.DUMMYFUNCTION("""COMPUTED_VALUE"""),212.93)</f>
        <v>212.93</v>
      </c>
      <c r="C1349" s="1">
        <f ca="1">IFERROR(__xludf.DUMMYFUNCTION("""COMPUTED_VALUE"""),449.14)</f>
        <v>449.14</v>
      </c>
      <c r="D1349" s="1">
        <f ca="1">IFERROR(__xludf.DUMMYFUNCTION("""COMPUTED_VALUE"""),211.37)</f>
        <v>211.37</v>
      </c>
      <c r="E1349" s="1">
        <f ca="1">IFERROR(__xludf.DUMMYFUNCTION("""COMPUTED_VALUE"""),129.93)</f>
        <v>129.93</v>
      </c>
      <c r="F1349" s="1">
        <f ca="1">IFERROR(__xludf.DUMMYFUNCTION("""COMPUTED_VALUE"""),659.36)</f>
        <v>659.36</v>
      </c>
      <c r="G1349" s="1">
        <f ca="1">IFERROR(__xludf.DUMMYFUNCTION("""COMPUTED_VALUE"""),160.89)</f>
        <v>160.88999999999999</v>
      </c>
      <c r="H1349" s="1">
        <f ca="1">IFERROR(__xludf.DUMMYFUNCTION("""COMPUTED_VALUE"""),347.68)</f>
        <v>347.68</v>
      </c>
      <c r="I1349" s="1">
        <f ca="1">IFERROR(__xludf.DUMMYFUNCTION("""COMPUTED_VALUE"""),128.45)</f>
        <v>128.44999999999999</v>
      </c>
      <c r="J1349" s="1">
        <f ca="1">IFERROR(__xludf.DUMMYFUNCTION("""COMPUTED_VALUE"""),999.03)</f>
        <v>999.03</v>
      </c>
      <c r="K1349" s="1">
        <f ca="1">IFERROR(__xludf.DUMMYFUNCTION("""COMPUTED_VALUE"""),232.42)</f>
        <v>232.42</v>
      </c>
      <c r="L1349" s="1">
        <f ca="1">IFERROR(__xludf.DUMMYFUNCTION("""COMPUTED_VALUE"""),397.4)</f>
        <v>397.4</v>
      </c>
      <c r="M1349" s="1">
        <f ca="1">IFERROR(__xludf.DUMMYFUNCTION("""COMPUTED_VALUE"""),1138.44)</f>
        <v>1138.44</v>
      </c>
      <c r="N1349" s="1">
        <f ca="1">IFERROR(__xludf.DUMMYFUNCTION("""COMPUTED_VALUE"""),265.64)</f>
        <v>265.64</v>
      </c>
      <c r="O1349" s="1">
        <f ca="1">IFERROR(__xludf.DUMMYFUNCTION("""COMPUTED_VALUE"""),356.14)</f>
        <v>356.14</v>
      </c>
      <c r="P1349" s="1">
        <f ca="1">IFERROR(__xludf.DUMMYFUNCTION("""COMPUTED_VALUE"""),148.44)</f>
        <v>148.44</v>
      </c>
      <c r="Q1349" s="1">
        <f ca="1">IFERROR(__xludf.DUMMYFUNCTION("""COMPUTED_VALUE"""),311.38)</f>
        <v>311.38</v>
      </c>
      <c r="R1349" s="1">
        <f ca="1">IFERROR(__xludf.DUMMYFUNCTION("""COMPUTED_VALUE"""),109.46)</f>
        <v>109.46</v>
      </c>
      <c r="S1349" s="1">
        <f ca="1">IFERROR(__xludf.DUMMYFUNCTION("""COMPUTED_VALUE"""),72.11)</f>
        <v>72.11</v>
      </c>
      <c r="T1349" s="1">
        <f ca="1">IFERROR(__xludf.DUMMYFUNCTION("""COMPUTED_VALUE"""),96.83)</f>
        <v>96.83</v>
      </c>
      <c r="U1349" s="1">
        <f ca="1">IFERROR(__xludf.DUMMYFUNCTION("""COMPUTED_VALUE"""),61.73)</f>
        <v>61.73</v>
      </c>
      <c r="V1349" s="1">
        <f ca="1">IFERROR(__xludf.DUMMYFUNCTION("""COMPUTED_VALUE"""),352.54)</f>
        <v>352.54</v>
      </c>
      <c r="W1349" s="1">
        <f ca="1">IFERROR(__xludf.DUMMYFUNCTION("""COMPUTED_VALUE"""),459.83)</f>
        <v>459.83</v>
      </c>
      <c r="X1349" s="1">
        <f ca="1">IFERROR(__xludf.DUMMYFUNCTION("""COMPUTED_VALUE"""),763.9)</f>
        <v>763.9</v>
      </c>
      <c r="Y1349" s="1">
        <f ca="1">IFERROR(__xludf.DUMMYFUNCTION("""COMPUTED_VALUE"""),193.99)</f>
        <v>193.99</v>
      </c>
      <c r="Z1349" s="1">
        <f ca="1">IFERROR(__xludf.DUMMYFUNCTION("""COMPUTED_VALUE"""),611.6)</f>
        <v>611.6</v>
      </c>
      <c r="AA1349" s="1">
        <f ca="1">IFERROR(__xludf.DUMMYFUNCTION("""COMPUTED_VALUE"""),22.87)</f>
        <v>22.87</v>
      </c>
      <c r="AB1349" s="1">
        <f ca="1">IFERROR(__xludf.DUMMYFUNCTION("""COMPUTED_VALUE"""),86.54)</f>
        <v>86.54</v>
      </c>
      <c r="AC1349" s="1">
        <f ca="1">IFERROR(__xludf.DUMMYFUNCTION("""COMPUTED_VALUE"""),117.72)</f>
        <v>117.72</v>
      </c>
    </row>
    <row r="1350" spans="1:29" x14ac:dyDescent="0.25">
      <c r="A1350" s="2">
        <f ca="1">IFERROR(__xludf.DUMMYFUNCTION("""COMPUTED_VALUE"""),45791.6666666666)</f>
        <v>45791.666666666599</v>
      </c>
      <c r="B1350" s="1">
        <f ca="1">IFERROR(__xludf.DUMMYFUNCTION("""COMPUTED_VALUE"""),212.33)</f>
        <v>212.33</v>
      </c>
      <c r="C1350" s="1">
        <f ca="1">IFERROR(__xludf.DUMMYFUNCTION("""COMPUTED_VALUE"""),452.94)</f>
        <v>452.94</v>
      </c>
      <c r="D1350" s="1">
        <f ca="1">IFERROR(__xludf.DUMMYFUNCTION("""COMPUTED_VALUE"""),210.25)</f>
        <v>210.25</v>
      </c>
      <c r="E1350" s="1">
        <f ca="1">IFERROR(__xludf.DUMMYFUNCTION("""COMPUTED_VALUE"""),135.34)</f>
        <v>135.34</v>
      </c>
      <c r="F1350" s="1">
        <f ca="1">IFERROR(__xludf.DUMMYFUNCTION("""COMPUTED_VALUE"""),643.88)</f>
        <v>643.88</v>
      </c>
      <c r="G1350" s="1">
        <f ca="1">IFERROR(__xludf.DUMMYFUNCTION("""COMPUTED_VALUE"""),166.81)</f>
        <v>166.81</v>
      </c>
      <c r="H1350" s="1">
        <f ca="1">IFERROR(__xludf.DUMMYFUNCTION("""COMPUTED_VALUE"""),342.82)</f>
        <v>342.82</v>
      </c>
      <c r="I1350" s="1">
        <f ca="1">IFERROR(__xludf.DUMMYFUNCTION("""COMPUTED_VALUE"""),131.5)</f>
        <v>131.5</v>
      </c>
      <c r="J1350" s="1">
        <f ca="1">IFERROR(__xludf.DUMMYFUNCTION("""COMPUTED_VALUE"""),991.54)</f>
        <v>991.54</v>
      </c>
      <c r="K1350" s="1">
        <f ca="1">IFERROR(__xludf.DUMMYFUNCTION("""COMPUTED_VALUE"""),232.12)</f>
        <v>232.12</v>
      </c>
      <c r="L1350" s="1">
        <f ca="1">IFERROR(__xludf.DUMMYFUNCTION("""COMPUTED_VALUE"""),399.47)</f>
        <v>399.47</v>
      </c>
      <c r="M1350" s="1">
        <f ca="1">IFERROR(__xludf.DUMMYFUNCTION("""COMPUTED_VALUE"""),1150.99)</f>
        <v>1150.99</v>
      </c>
      <c r="N1350" s="1">
        <f ca="1">IFERROR(__xludf.DUMMYFUNCTION("""COMPUTED_VALUE"""),267.49)</f>
        <v>267.49</v>
      </c>
      <c r="O1350" s="1">
        <f ca="1">IFERROR(__xludf.DUMMYFUNCTION("""COMPUTED_VALUE"""),356.46)</f>
        <v>356.46</v>
      </c>
      <c r="P1350" s="1">
        <f ca="1">IFERROR(__xludf.DUMMYFUNCTION("""COMPUTED_VALUE"""),146.36)</f>
        <v>146.36000000000001</v>
      </c>
      <c r="Q1350" s="1">
        <f ca="1">IFERROR(__xludf.DUMMYFUNCTION("""COMPUTED_VALUE"""),308.01)</f>
        <v>308.01</v>
      </c>
      <c r="R1350" s="1">
        <f ca="1">IFERROR(__xludf.DUMMYFUNCTION("""COMPUTED_VALUE"""),108.48)</f>
        <v>108.48</v>
      </c>
      <c r="S1350" s="1">
        <f ca="1">IFERROR(__xludf.DUMMYFUNCTION("""COMPUTED_VALUE"""),72.19)</f>
        <v>72.19</v>
      </c>
      <c r="T1350" s="1">
        <f ca="1">IFERROR(__xludf.DUMMYFUNCTION("""COMPUTED_VALUE"""),96.35)</f>
        <v>96.35</v>
      </c>
      <c r="U1350" s="1">
        <f ca="1">IFERROR(__xludf.DUMMYFUNCTION("""COMPUTED_VALUE"""),62.4)</f>
        <v>62.4</v>
      </c>
      <c r="V1350" s="1">
        <f ca="1">IFERROR(__xludf.DUMMYFUNCTION("""COMPUTED_VALUE"""),349.66)</f>
        <v>349.66</v>
      </c>
      <c r="W1350" s="1">
        <f ca="1">IFERROR(__xludf.DUMMYFUNCTION("""COMPUTED_VALUE"""),449.18)</f>
        <v>449.18</v>
      </c>
      <c r="X1350" s="1">
        <f ca="1">IFERROR(__xludf.DUMMYFUNCTION("""COMPUTED_VALUE"""),768.91)</f>
        <v>768.91</v>
      </c>
      <c r="Y1350" s="1">
        <f ca="1">IFERROR(__xludf.DUMMYFUNCTION("""COMPUTED_VALUE"""),194.76)</f>
        <v>194.76</v>
      </c>
      <c r="Z1350" s="1">
        <f ca="1">IFERROR(__xludf.DUMMYFUNCTION("""COMPUTED_VALUE"""),615.9)</f>
        <v>615.9</v>
      </c>
      <c r="AA1350" s="1">
        <f ca="1">IFERROR(__xludf.DUMMYFUNCTION("""COMPUTED_VALUE"""),22.02)</f>
        <v>22.02</v>
      </c>
      <c r="AB1350" s="1">
        <f ca="1">IFERROR(__xludf.DUMMYFUNCTION("""COMPUTED_VALUE"""),87.26)</f>
        <v>87.26</v>
      </c>
      <c r="AC1350" s="1">
        <f ca="1">IFERROR(__xludf.DUMMYFUNCTION("""COMPUTED_VALUE"""),114.99)</f>
        <v>114.99</v>
      </c>
    </row>
    <row r="1351" spans="1:29" x14ac:dyDescent="0.25">
      <c r="A1351" s="2">
        <f ca="1">IFERROR(__xludf.DUMMYFUNCTION("""COMPUTED_VALUE"""),45792.6666666666)</f>
        <v>45792.666666666599</v>
      </c>
      <c r="B1351" s="1">
        <f ca="1">IFERROR(__xludf.DUMMYFUNCTION("""COMPUTED_VALUE"""),211.45)</f>
        <v>211.45</v>
      </c>
      <c r="C1351" s="1">
        <f ca="1">IFERROR(__xludf.DUMMYFUNCTION("""COMPUTED_VALUE"""),453.13)</f>
        <v>453.13</v>
      </c>
      <c r="D1351" s="1">
        <f ca="1">IFERROR(__xludf.DUMMYFUNCTION("""COMPUTED_VALUE"""),205.17)</f>
        <v>205.17</v>
      </c>
      <c r="E1351" s="1">
        <f ca="1">IFERROR(__xludf.DUMMYFUNCTION("""COMPUTED_VALUE"""),134.83)</f>
        <v>134.83000000000001</v>
      </c>
      <c r="F1351" s="1">
        <f ca="1">IFERROR(__xludf.DUMMYFUNCTION("""COMPUTED_VALUE"""),640.34)</f>
        <v>640.34</v>
      </c>
      <c r="G1351" s="1">
        <f ca="1">IFERROR(__xludf.DUMMYFUNCTION("""COMPUTED_VALUE"""),165.4)</f>
        <v>165.4</v>
      </c>
      <c r="H1351" s="1">
        <f ca="1">IFERROR(__xludf.DUMMYFUNCTION("""COMPUTED_VALUE"""),349.98)</f>
        <v>349.98</v>
      </c>
      <c r="I1351" s="1">
        <f ca="1">IFERROR(__xludf.DUMMYFUNCTION("""COMPUTED_VALUE"""),131.98)</f>
        <v>131.97999999999999</v>
      </c>
      <c r="J1351" s="1">
        <f ca="1">IFERROR(__xludf.DUMMYFUNCTION("""COMPUTED_VALUE"""),1010.47)</f>
        <v>1010.47</v>
      </c>
      <c r="K1351" s="1">
        <f ca="1">IFERROR(__xludf.DUMMYFUNCTION("""COMPUTED_VALUE"""),232.64)</f>
        <v>232.64</v>
      </c>
      <c r="L1351" s="1">
        <f ca="1">IFERROR(__xludf.DUMMYFUNCTION("""COMPUTED_VALUE"""),404.69)</f>
        <v>404.69</v>
      </c>
      <c r="M1351" s="1">
        <f ca="1">IFERROR(__xludf.DUMMYFUNCTION("""COMPUTED_VALUE"""),1177.98)</f>
        <v>1177.98</v>
      </c>
      <c r="N1351" s="1">
        <f ca="1">IFERROR(__xludf.DUMMYFUNCTION("""COMPUTED_VALUE"""),267.56)</f>
        <v>267.56</v>
      </c>
      <c r="O1351" s="1">
        <f ca="1">IFERROR(__xludf.DUMMYFUNCTION("""COMPUTED_VALUE"""),362.3)</f>
        <v>362.3</v>
      </c>
      <c r="P1351" s="1">
        <f ca="1">IFERROR(__xludf.DUMMYFUNCTION("""COMPUTED_VALUE"""),149.61)</f>
        <v>149.61000000000001</v>
      </c>
      <c r="Q1351" s="1">
        <f ca="1">IFERROR(__xludf.DUMMYFUNCTION("""COMPUTED_VALUE"""),274.35)</f>
        <v>274.35000000000002</v>
      </c>
      <c r="R1351" s="1">
        <f ca="1">IFERROR(__xludf.DUMMYFUNCTION("""COMPUTED_VALUE"""),108.58)</f>
        <v>108.58</v>
      </c>
      <c r="S1351" s="1">
        <f ca="1">IFERROR(__xludf.DUMMYFUNCTION("""COMPUTED_VALUE"""),74.55)</f>
        <v>74.55</v>
      </c>
      <c r="T1351" s="1">
        <f ca="1">IFERROR(__xludf.DUMMYFUNCTION("""COMPUTED_VALUE"""),98.24)</f>
        <v>98.24</v>
      </c>
      <c r="U1351" s="1">
        <f ca="1">IFERROR(__xludf.DUMMYFUNCTION("""COMPUTED_VALUE"""),63.11)</f>
        <v>63.11</v>
      </c>
      <c r="V1351" s="1">
        <f ca="1">IFERROR(__xludf.DUMMYFUNCTION("""COMPUTED_VALUE"""),349.81)</f>
        <v>349.81</v>
      </c>
      <c r="W1351" s="1">
        <f ca="1">IFERROR(__xludf.DUMMYFUNCTION("""COMPUTED_VALUE"""),465.14)</f>
        <v>465.14</v>
      </c>
      <c r="X1351" s="1">
        <f ca="1">IFERROR(__xludf.DUMMYFUNCTION("""COMPUTED_VALUE"""),758.36)</f>
        <v>758.36</v>
      </c>
      <c r="Y1351" s="1">
        <f ca="1">IFERROR(__xludf.DUMMYFUNCTION("""COMPUTED_VALUE"""),194.22)</f>
        <v>194.22</v>
      </c>
      <c r="Z1351" s="1">
        <f ca="1">IFERROR(__xludf.DUMMYFUNCTION("""COMPUTED_VALUE"""),619.03)</f>
        <v>619.03</v>
      </c>
      <c r="AA1351" s="1">
        <f ca="1">IFERROR(__xludf.DUMMYFUNCTION("""COMPUTED_VALUE"""),22.6)</f>
        <v>22.6</v>
      </c>
      <c r="AB1351" s="1">
        <f ca="1">IFERROR(__xludf.DUMMYFUNCTION("""COMPUTED_VALUE"""),85.57)</f>
        <v>85.57</v>
      </c>
      <c r="AC1351" s="1">
        <f ca="1">IFERROR(__xludf.DUMMYFUNCTION("""COMPUTED_VALUE"""),117.17)</f>
        <v>117.17</v>
      </c>
    </row>
    <row r="1352" spans="1:29" x14ac:dyDescent="0.25">
      <c r="A1352" s="2">
        <f ca="1">IFERROR(__xludf.DUMMYFUNCTION("""COMPUTED_VALUE"""),45793.6666666666)</f>
        <v>45793.666666666599</v>
      </c>
      <c r="B1352" s="1">
        <f ca="1">IFERROR(__xludf.DUMMYFUNCTION("""COMPUTED_VALUE"""),211.26)</f>
        <v>211.26</v>
      </c>
      <c r="C1352" s="1">
        <f ca="1">IFERROR(__xludf.DUMMYFUNCTION("""COMPUTED_VALUE"""),454.27)</f>
        <v>454.27</v>
      </c>
      <c r="D1352" s="1">
        <f ca="1">IFERROR(__xludf.DUMMYFUNCTION("""COMPUTED_VALUE"""),205.59)</f>
        <v>205.59</v>
      </c>
      <c r="E1352" s="1">
        <f ca="1">IFERROR(__xludf.DUMMYFUNCTION("""COMPUTED_VALUE"""),135.4)</f>
        <v>135.4</v>
      </c>
      <c r="F1352" s="1">
        <f ca="1">IFERROR(__xludf.DUMMYFUNCTION("""COMPUTED_VALUE"""),640.43)</f>
        <v>640.42999999999995</v>
      </c>
      <c r="G1352" s="1">
        <f ca="1">IFERROR(__xludf.DUMMYFUNCTION("""COMPUTED_VALUE"""),167.43)</f>
        <v>167.43</v>
      </c>
      <c r="H1352" s="1">
        <f ca="1">IFERROR(__xludf.DUMMYFUNCTION("""COMPUTED_VALUE"""),342.09)</f>
        <v>342.09</v>
      </c>
      <c r="I1352" s="1">
        <f ca="1">IFERROR(__xludf.DUMMYFUNCTION("""COMPUTED_VALUE"""),131.79)</f>
        <v>131.79</v>
      </c>
      <c r="J1352" s="1">
        <f ca="1">IFERROR(__xludf.DUMMYFUNCTION("""COMPUTED_VALUE"""),1025.83)</f>
        <v>1025.83</v>
      </c>
      <c r="K1352" s="1">
        <f ca="1">IFERROR(__xludf.DUMMYFUNCTION("""COMPUTED_VALUE"""),228.61)</f>
        <v>228.61</v>
      </c>
      <c r="L1352" s="1">
        <f ca="1">IFERROR(__xludf.DUMMYFUNCTION("""COMPUTED_VALUE"""),417.13)</f>
        <v>417.13</v>
      </c>
      <c r="M1352" s="1">
        <f ca="1">IFERROR(__xludf.DUMMYFUNCTION("""COMPUTED_VALUE"""),1191.53)</f>
        <v>1191.53</v>
      </c>
      <c r="N1352" s="1">
        <f ca="1">IFERROR(__xludf.DUMMYFUNCTION("""COMPUTED_VALUE"""),264.88)</f>
        <v>264.88</v>
      </c>
      <c r="O1352" s="1">
        <f ca="1">IFERROR(__xludf.DUMMYFUNCTION("""COMPUTED_VALUE"""),365.12)</f>
        <v>365.12</v>
      </c>
      <c r="P1352" s="1">
        <f ca="1">IFERROR(__xludf.DUMMYFUNCTION("""COMPUTED_VALUE"""),151.33)</f>
        <v>151.33000000000001</v>
      </c>
      <c r="Q1352" s="1">
        <f ca="1">IFERROR(__xludf.DUMMYFUNCTION("""COMPUTED_VALUE"""),291.91)</f>
        <v>291.91000000000003</v>
      </c>
      <c r="R1352" s="1">
        <f ca="1">IFERROR(__xludf.DUMMYFUNCTION("""COMPUTED_VALUE"""),108.19)</f>
        <v>108.19</v>
      </c>
      <c r="S1352" s="1">
        <f ca="1">IFERROR(__xludf.DUMMYFUNCTION("""COMPUTED_VALUE"""),75)</f>
        <v>75</v>
      </c>
      <c r="T1352" s="1">
        <f ca="1">IFERROR(__xludf.DUMMYFUNCTION("""COMPUTED_VALUE"""),98.12)</f>
        <v>98.12</v>
      </c>
      <c r="U1352" s="1">
        <f ca="1">IFERROR(__xludf.DUMMYFUNCTION("""COMPUTED_VALUE"""),62.08)</f>
        <v>62.08</v>
      </c>
      <c r="V1352" s="1">
        <f ca="1">IFERROR(__xludf.DUMMYFUNCTION("""COMPUTED_VALUE"""),353.58)</f>
        <v>353.58</v>
      </c>
      <c r="W1352" s="1">
        <f ca="1">IFERROR(__xludf.DUMMYFUNCTION("""COMPUTED_VALUE"""),468.32)</f>
        <v>468.32</v>
      </c>
      <c r="X1352" s="1">
        <f ca="1">IFERROR(__xludf.DUMMYFUNCTION("""COMPUTED_VALUE"""),748.1)</f>
        <v>748.1</v>
      </c>
      <c r="Y1352" s="1">
        <f ca="1">IFERROR(__xludf.DUMMYFUNCTION("""COMPUTED_VALUE"""),194.22)</f>
        <v>194.22</v>
      </c>
      <c r="Z1352" s="1">
        <f ca="1">IFERROR(__xludf.DUMMYFUNCTION("""COMPUTED_VALUE"""),612.3)</f>
        <v>612.29999999999995</v>
      </c>
      <c r="AA1352" s="1">
        <f ca="1">IFERROR(__xludf.DUMMYFUNCTION("""COMPUTED_VALUE"""),22.83)</f>
        <v>22.83</v>
      </c>
      <c r="AB1352" s="1">
        <f ca="1">IFERROR(__xludf.DUMMYFUNCTION("""COMPUTED_VALUE"""),84.61)</f>
        <v>84.61</v>
      </c>
      <c r="AC1352" s="1">
        <f ca="1">IFERROR(__xludf.DUMMYFUNCTION("""COMPUTED_VALUE"""),114.74)</f>
        <v>114.74</v>
      </c>
    </row>
    <row r="1353" spans="1:29" x14ac:dyDescent="0.25">
      <c r="A1353" s="2">
        <f ca="1">IFERROR(__xludf.DUMMYFUNCTION("""COMPUTED_VALUE"""),45796.6666666666)</f>
        <v>45796.666666666599</v>
      </c>
      <c r="B1353" s="1">
        <f ca="1">IFERROR(__xludf.DUMMYFUNCTION("""COMPUTED_VALUE"""),208.78)</f>
        <v>208.78</v>
      </c>
      <c r="C1353" s="1">
        <f ca="1">IFERROR(__xludf.DUMMYFUNCTION("""COMPUTED_VALUE"""),458.87)</f>
        <v>458.87</v>
      </c>
      <c r="D1353" s="1">
        <f ca="1">IFERROR(__xludf.DUMMYFUNCTION("""COMPUTED_VALUE"""),206.16)</f>
        <v>206.16</v>
      </c>
      <c r="E1353" s="1">
        <f ca="1">IFERROR(__xludf.DUMMYFUNCTION("""COMPUTED_VALUE"""),135.57)</f>
        <v>135.57</v>
      </c>
      <c r="F1353" s="1">
        <f ca="1">IFERROR(__xludf.DUMMYFUNCTION("""COMPUTED_VALUE"""),637.1)</f>
        <v>637.1</v>
      </c>
      <c r="G1353" s="1">
        <f ca="1">IFERROR(__xludf.DUMMYFUNCTION("""COMPUTED_VALUE"""),167.87)</f>
        <v>167.87</v>
      </c>
      <c r="H1353" s="1">
        <f ca="1">IFERROR(__xludf.DUMMYFUNCTION("""COMPUTED_VALUE"""),343.82)</f>
        <v>343.82</v>
      </c>
      <c r="I1353" s="1">
        <f ca="1">IFERROR(__xludf.DUMMYFUNCTION("""COMPUTED_VALUE"""),131.8)</f>
        <v>131.80000000000001</v>
      </c>
      <c r="J1353" s="1">
        <f ca="1">IFERROR(__xludf.DUMMYFUNCTION("""COMPUTED_VALUE"""),1034.34)</f>
        <v>1034.3399999999999</v>
      </c>
      <c r="K1353" s="1">
        <f ca="1">IFERROR(__xludf.DUMMYFUNCTION("""COMPUTED_VALUE"""),230.63)</f>
        <v>230.63</v>
      </c>
      <c r="L1353" s="1">
        <f ca="1">IFERROR(__xludf.DUMMYFUNCTION("""COMPUTED_VALUE"""),420.68)</f>
        <v>420.68</v>
      </c>
      <c r="M1353" s="1">
        <f ca="1">IFERROR(__xludf.DUMMYFUNCTION("""COMPUTED_VALUE"""),1191.64)</f>
        <v>1191.6400000000001</v>
      </c>
      <c r="N1353" s="1">
        <f ca="1">IFERROR(__xludf.DUMMYFUNCTION("""COMPUTED_VALUE"""),265.68)</f>
        <v>265.68</v>
      </c>
      <c r="O1353" s="1">
        <f ca="1">IFERROR(__xludf.DUMMYFUNCTION("""COMPUTED_VALUE"""),367.9)</f>
        <v>367.9</v>
      </c>
      <c r="P1353" s="1">
        <f ca="1">IFERROR(__xludf.DUMMYFUNCTION("""COMPUTED_VALUE"""),152.49)</f>
        <v>152.49</v>
      </c>
      <c r="Q1353" s="1">
        <f ca="1">IFERROR(__xludf.DUMMYFUNCTION("""COMPUTED_VALUE"""),315.89)</f>
        <v>315.89</v>
      </c>
      <c r="R1353" s="1">
        <f ca="1">IFERROR(__xludf.DUMMYFUNCTION("""COMPUTED_VALUE"""),106.47)</f>
        <v>106.47</v>
      </c>
      <c r="S1353" s="1">
        <f ca="1">IFERROR(__xludf.DUMMYFUNCTION("""COMPUTED_VALUE"""),73.86)</f>
        <v>73.86</v>
      </c>
      <c r="T1353" s="1">
        <f ca="1">IFERROR(__xludf.DUMMYFUNCTION("""COMPUTED_VALUE"""),97.8)</f>
        <v>97.8</v>
      </c>
      <c r="U1353" s="1">
        <f ca="1">IFERROR(__xludf.DUMMYFUNCTION("""COMPUTED_VALUE"""),62.56)</f>
        <v>62.56</v>
      </c>
      <c r="V1353" s="1">
        <f ca="1">IFERROR(__xludf.DUMMYFUNCTION("""COMPUTED_VALUE"""),352.57)</f>
        <v>352.57</v>
      </c>
      <c r="W1353" s="1">
        <f ca="1">IFERROR(__xludf.DUMMYFUNCTION("""COMPUTED_VALUE"""),473.06)</f>
        <v>473.06</v>
      </c>
      <c r="X1353" s="1">
        <f ca="1">IFERROR(__xludf.DUMMYFUNCTION("""COMPUTED_VALUE"""),749.13)</f>
        <v>749.13</v>
      </c>
      <c r="Y1353" s="1">
        <f ca="1">IFERROR(__xludf.DUMMYFUNCTION("""COMPUTED_VALUE"""),193.5)</f>
        <v>193.5</v>
      </c>
      <c r="Z1353" s="1">
        <f ca="1">IFERROR(__xludf.DUMMYFUNCTION("""COMPUTED_VALUE"""),606.52)</f>
        <v>606.52</v>
      </c>
      <c r="AA1353" s="1">
        <f ca="1">IFERROR(__xludf.DUMMYFUNCTION("""COMPUTED_VALUE"""),23)</f>
        <v>23</v>
      </c>
      <c r="AB1353" s="1">
        <f ca="1">IFERROR(__xludf.DUMMYFUNCTION("""COMPUTED_VALUE"""),85.59)</f>
        <v>85.59</v>
      </c>
      <c r="AC1353" s="1">
        <f ca="1">IFERROR(__xludf.DUMMYFUNCTION("""COMPUTED_VALUE"""),113.51)</f>
        <v>113.51</v>
      </c>
    </row>
    <row r="1354" spans="1:29" x14ac:dyDescent="0.25">
      <c r="A1354" s="2">
        <f ca="1">IFERROR(__xludf.DUMMYFUNCTION("""COMPUTED_VALUE"""),45797.6666666666)</f>
        <v>45797.666666666599</v>
      </c>
      <c r="B1354" s="1">
        <f ca="1">IFERROR(__xludf.DUMMYFUNCTION("""COMPUTED_VALUE"""),206.86)</f>
        <v>206.86</v>
      </c>
      <c r="C1354" s="1">
        <f ca="1">IFERROR(__xludf.DUMMYFUNCTION("""COMPUTED_VALUE"""),458.17)</f>
        <v>458.17</v>
      </c>
      <c r="D1354" s="1">
        <f ca="1">IFERROR(__xludf.DUMMYFUNCTION("""COMPUTED_VALUE"""),204.07)</f>
        <v>204.07</v>
      </c>
      <c r="E1354" s="1">
        <f ca="1">IFERROR(__xludf.DUMMYFUNCTION("""COMPUTED_VALUE"""),134.38)</f>
        <v>134.38</v>
      </c>
      <c r="F1354" s="1">
        <f ca="1">IFERROR(__xludf.DUMMYFUNCTION("""COMPUTED_VALUE"""),635.5)</f>
        <v>635.5</v>
      </c>
      <c r="G1354" s="1">
        <f ca="1">IFERROR(__xludf.DUMMYFUNCTION("""COMPUTED_VALUE"""),165.32)</f>
        <v>165.32</v>
      </c>
      <c r="H1354" s="1">
        <f ca="1">IFERROR(__xludf.DUMMYFUNCTION("""COMPUTED_VALUE"""),334.62)</f>
        <v>334.62</v>
      </c>
      <c r="I1354" s="1">
        <f ca="1">IFERROR(__xludf.DUMMYFUNCTION("""COMPUTED_VALUE"""),130.15)</f>
        <v>130.15</v>
      </c>
      <c r="J1354" s="1">
        <f ca="1">IFERROR(__xludf.DUMMYFUNCTION("""COMPUTED_VALUE"""),1036.82)</f>
        <v>1036.82</v>
      </c>
      <c r="K1354" s="1">
        <f ca="1">IFERROR(__xludf.DUMMYFUNCTION("""COMPUTED_VALUE"""),231.68)</f>
        <v>231.68</v>
      </c>
      <c r="L1354" s="1">
        <f ca="1">IFERROR(__xludf.DUMMYFUNCTION("""COMPUTED_VALUE"""),417.61)</f>
        <v>417.61</v>
      </c>
      <c r="M1354" s="1">
        <f ca="1">IFERROR(__xludf.DUMMYFUNCTION("""COMPUTED_VALUE"""),1192.02)</f>
        <v>1192.02</v>
      </c>
      <c r="N1354" s="1">
        <f ca="1">IFERROR(__xludf.DUMMYFUNCTION("""COMPUTED_VALUE"""),261.04)</f>
        <v>261.04000000000002</v>
      </c>
      <c r="O1354" s="1">
        <f ca="1">IFERROR(__xludf.DUMMYFUNCTION("""COMPUTED_VALUE"""),366.84)</f>
        <v>366.84</v>
      </c>
      <c r="P1354" s="1">
        <f ca="1">IFERROR(__xludf.DUMMYFUNCTION("""COMPUTED_VALUE"""),153.66)</f>
        <v>153.66</v>
      </c>
      <c r="Q1354" s="1">
        <f ca="1">IFERROR(__xludf.DUMMYFUNCTION("""COMPUTED_VALUE"""),321.58)</f>
        <v>321.58</v>
      </c>
      <c r="R1354" s="1">
        <f ca="1">IFERROR(__xludf.DUMMYFUNCTION("""COMPUTED_VALUE"""),104.95)</f>
        <v>104.95</v>
      </c>
      <c r="S1354" s="1">
        <f ca="1">IFERROR(__xludf.DUMMYFUNCTION("""COMPUTED_VALUE"""),74.41)</f>
        <v>74.41</v>
      </c>
      <c r="T1354" s="1">
        <f ca="1">IFERROR(__xludf.DUMMYFUNCTION("""COMPUTED_VALUE"""),96.43)</f>
        <v>96.43</v>
      </c>
      <c r="U1354" s="1">
        <f ca="1">IFERROR(__xludf.DUMMYFUNCTION("""COMPUTED_VALUE"""),59.98)</f>
        <v>59.98</v>
      </c>
      <c r="V1354" s="1">
        <f ca="1">IFERROR(__xludf.DUMMYFUNCTION("""COMPUTED_VALUE"""),349.49)</f>
        <v>349.49</v>
      </c>
      <c r="W1354" s="1">
        <f ca="1">IFERROR(__xludf.DUMMYFUNCTION("""COMPUTED_VALUE"""),475.82)</f>
        <v>475.82</v>
      </c>
      <c r="X1354" s="1">
        <f ca="1">IFERROR(__xludf.DUMMYFUNCTION("""COMPUTED_VALUE"""),748.76)</f>
        <v>748.76</v>
      </c>
      <c r="Y1354" s="1">
        <f ca="1">IFERROR(__xludf.DUMMYFUNCTION("""COMPUTED_VALUE"""),193.45)</f>
        <v>193.45</v>
      </c>
      <c r="Z1354" s="1">
        <f ca="1">IFERROR(__xludf.DUMMYFUNCTION("""COMPUTED_VALUE"""),593.46)</f>
        <v>593.46</v>
      </c>
      <c r="AA1354" s="1">
        <f ca="1">IFERROR(__xludf.DUMMYFUNCTION("""COMPUTED_VALUE"""),23.52)</f>
        <v>23.52</v>
      </c>
      <c r="AB1354" s="1">
        <f ca="1">IFERROR(__xludf.DUMMYFUNCTION("""COMPUTED_VALUE"""),82.98)</f>
        <v>82.98</v>
      </c>
      <c r="AC1354" s="1">
        <f ca="1">IFERROR(__xludf.DUMMYFUNCTION("""COMPUTED_VALUE"""),112.06)</f>
        <v>112.06</v>
      </c>
    </row>
    <row r="1355" spans="1:29" x14ac:dyDescent="0.25">
      <c r="A1355" s="2">
        <f ca="1">IFERROR(__xludf.DUMMYFUNCTION("""COMPUTED_VALUE"""),45798.6666666666)</f>
        <v>45798.666666666599</v>
      </c>
      <c r="B1355" s="1">
        <f ca="1">IFERROR(__xludf.DUMMYFUNCTION("""COMPUTED_VALUE"""),202.09)</f>
        <v>202.09</v>
      </c>
      <c r="C1355" s="1">
        <f ca="1">IFERROR(__xludf.DUMMYFUNCTION("""COMPUTED_VALUE"""),452.57)</f>
        <v>452.57</v>
      </c>
      <c r="D1355" s="1">
        <f ca="1">IFERROR(__xludf.DUMMYFUNCTION("""COMPUTED_VALUE"""),201.12)</f>
        <v>201.12</v>
      </c>
      <c r="E1355" s="1">
        <f ca="1">IFERROR(__xludf.DUMMYFUNCTION("""COMPUTED_VALUE"""),131.8)</f>
        <v>131.80000000000001</v>
      </c>
      <c r="F1355" s="1">
        <f ca="1">IFERROR(__xludf.DUMMYFUNCTION("""COMPUTED_VALUE"""),636.57)</f>
        <v>636.57000000000005</v>
      </c>
      <c r="G1355" s="1">
        <f ca="1">IFERROR(__xludf.DUMMYFUNCTION("""COMPUTED_VALUE"""),170.06)</f>
        <v>170.06</v>
      </c>
      <c r="H1355" s="1">
        <f ca="1">IFERROR(__xludf.DUMMYFUNCTION("""COMPUTED_VALUE"""),334.62)</f>
        <v>334.62</v>
      </c>
      <c r="I1355" s="1">
        <f ca="1">IFERROR(__xludf.DUMMYFUNCTION("""COMPUTED_VALUE"""),130.12)</f>
        <v>130.12</v>
      </c>
      <c r="J1355" s="1">
        <f ca="1">IFERROR(__xludf.DUMMYFUNCTION("""COMPUTED_VALUE"""),1025.3)</f>
        <v>1025.3</v>
      </c>
      <c r="K1355" s="1">
        <f ca="1">IFERROR(__xludf.DUMMYFUNCTION("""COMPUTED_VALUE"""),229.73)</f>
        <v>229.73</v>
      </c>
      <c r="L1355" s="1">
        <f ca="1">IFERROR(__xludf.DUMMYFUNCTION("""COMPUTED_VALUE"""),414.03)</f>
        <v>414.03</v>
      </c>
      <c r="M1355" s="1">
        <f ca="1">IFERROR(__xludf.DUMMYFUNCTION("""COMPUTED_VALUE"""),1194.63)</f>
        <v>1194.6300000000001</v>
      </c>
      <c r="N1355" s="1">
        <f ca="1">IFERROR(__xludf.DUMMYFUNCTION("""COMPUTED_VALUE"""),261.04)</f>
        <v>261.04000000000002</v>
      </c>
      <c r="O1355" s="1">
        <f ca="1">IFERROR(__xludf.DUMMYFUNCTION("""COMPUTED_VALUE"""),358.3)</f>
        <v>358.3</v>
      </c>
      <c r="P1355" s="1">
        <f ca="1">IFERROR(__xludf.DUMMYFUNCTION("""COMPUTED_VALUE"""),153.18)</f>
        <v>153.18</v>
      </c>
      <c r="Q1355" s="1">
        <f ca="1">IFERROR(__xludf.DUMMYFUNCTION("""COMPUTED_VALUE"""),302.98)</f>
        <v>302.98</v>
      </c>
      <c r="R1355" s="1">
        <f ca="1">IFERROR(__xludf.DUMMYFUNCTION("""COMPUTED_VALUE"""),103.66)</f>
        <v>103.66</v>
      </c>
      <c r="S1355" s="1">
        <f ca="1">IFERROR(__xludf.DUMMYFUNCTION("""COMPUTED_VALUE"""),71.54)</f>
        <v>71.540000000000006</v>
      </c>
      <c r="T1355" s="1">
        <f ca="1">IFERROR(__xludf.DUMMYFUNCTION("""COMPUTED_VALUE"""),96.43)</f>
        <v>96.43</v>
      </c>
      <c r="U1355" s="1">
        <f ca="1">IFERROR(__xludf.DUMMYFUNCTION("""COMPUTED_VALUE"""),61.32)</f>
        <v>61.32</v>
      </c>
      <c r="V1355" s="1">
        <f ca="1">IFERROR(__xludf.DUMMYFUNCTION("""COMPUTED_VALUE"""),342.51)</f>
        <v>342.51</v>
      </c>
      <c r="W1355" s="1">
        <f ca="1">IFERROR(__xludf.DUMMYFUNCTION("""COMPUTED_VALUE"""),470.28)</f>
        <v>470.28</v>
      </c>
      <c r="X1355" s="1">
        <f ca="1">IFERROR(__xludf.DUMMYFUNCTION("""COMPUTED_VALUE"""),737.17)</f>
        <v>737.17</v>
      </c>
      <c r="Y1355" s="1">
        <f ca="1">IFERROR(__xludf.DUMMYFUNCTION("""COMPUTED_VALUE"""),191.76)</f>
        <v>191.76</v>
      </c>
      <c r="Z1355" s="1">
        <f ca="1">IFERROR(__xludf.DUMMYFUNCTION("""COMPUTED_VALUE"""),593.46)</f>
        <v>593.46</v>
      </c>
      <c r="AA1355" s="1">
        <f ca="1">IFERROR(__xludf.DUMMYFUNCTION("""COMPUTED_VALUE"""),23.04)</f>
        <v>23.04</v>
      </c>
      <c r="AB1355" s="1">
        <f ca="1">IFERROR(__xludf.DUMMYFUNCTION("""COMPUTED_VALUE"""),83.97)</f>
        <v>83.97</v>
      </c>
      <c r="AC1355" s="1">
        <f ca="1">IFERROR(__xludf.DUMMYFUNCTION("""COMPUTED_VALUE"""),112.06)</f>
        <v>112.06</v>
      </c>
    </row>
    <row r="1356" spans="1:29" x14ac:dyDescent="0.25">
      <c r="A1356" s="2">
        <f ca="1">IFERROR(__xludf.DUMMYFUNCTION("""COMPUTED_VALUE"""),45799.6666666666)</f>
        <v>45799.666666666599</v>
      </c>
      <c r="B1356" s="1">
        <f ca="1">IFERROR(__xludf.DUMMYFUNCTION("""COMPUTED_VALUE"""),202.09)</f>
        <v>202.09</v>
      </c>
      <c r="C1356" s="1">
        <f ca="1">IFERROR(__xludf.DUMMYFUNCTION("""COMPUTED_VALUE"""),454.86)</f>
        <v>454.86</v>
      </c>
      <c r="D1356" s="1">
        <f ca="1">IFERROR(__xludf.DUMMYFUNCTION("""COMPUTED_VALUE"""),201.12)</f>
        <v>201.12</v>
      </c>
      <c r="E1356" s="1">
        <f ca="1">IFERROR(__xludf.DUMMYFUNCTION("""COMPUTED_VALUE"""),131.8)</f>
        <v>131.80000000000001</v>
      </c>
      <c r="F1356" s="1">
        <f ca="1">IFERROR(__xludf.DUMMYFUNCTION("""COMPUTED_VALUE"""),627.06)</f>
        <v>627.05999999999995</v>
      </c>
      <c r="G1356" s="1">
        <f ca="1">IFERROR(__xludf.DUMMYFUNCTION("""COMPUTED_VALUE"""),170.06)</f>
        <v>170.06</v>
      </c>
      <c r="H1356" s="1">
        <f ca="1">IFERROR(__xludf.DUMMYFUNCTION("""COMPUTED_VALUE"""),339.34)</f>
        <v>339.34</v>
      </c>
      <c r="I1356" s="1">
        <f ca="1">IFERROR(__xludf.DUMMYFUNCTION("""COMPUTED_VALUE"""),129.34)</f>
        <v>129.34</v>
      </c>
      <c r="J1356" s="1">
        <f ca="1">IFERROR(__xludf.DUMMYFUNCTION("""COMPUTED_VALUE"""),1018.13)</f>
        <v>1018.13</v>
      </c>
      <c r="K1356" s="1">
        <f ca="1">IFERROR(__xludf.DUMMYFUNCTION("""COMPUTED_VALUE"""),230.53)</f>
        <v>230.53</v>
      </c>
      <c r="L1356" s="1">
        <f ca="1">IFERROR(__xludf.DUMMYFUNCTION("""COMPUTED_VALUE"""),414.03)</f>
        <v>414.03</v>
      </c>
      <c r="M1356" s="1">
        <f ca="1">IFERROR(__xludf.DUMMYFUNCTION("""COMPUTED_VALUE"""),1187.97)</f>
        <v>1187.97</v>
      </c>
      <c r="N1356" s="1">
        <f ca="1">IFERROR(__xludf.DUMMYFUNCTION("""COMPUTED_VALUE"""),260.71)</f>
        <v>260.70999999999998</v>
      </c>
      <c r="O1356" s="1">
        <f ca="1">IFERROR(__xludf.DUMMYFUNCTION("""COMPUTED_VALUE"""),357.97)</f>
        <v>357.97</v>
      </c>
      <c r="P1356" s="1">
        <f ca="1">IFERROR(__xludf.DUMMYFUNCTION("""COMPUTED_VALUE"""),153.18)</f>
        <v>153.18</v>
      </c>
      <c r="Q1356" s="1">
        <f ca="1">IFERROR(__xludf.DUMMYFUNCTION("""COMPUTED_VALUE"""),296.67)</f>
        <v>296.67</v>
      </c>
      <c r="R1356" s="1">
        <f ca="1">IFERROR(__xludf.DUMMYFUNCTION("""COMPUTED_VALUE"""),103.66)</f>
        <v>103.66</v>
      </c>
      <c r="S1356" s="1">
        <f ca="1">IFERROR(__xludf.DUMMYFUNCTION("""COMPUTED_VALUE"""),71.54)</f>
        <v>71.540000000000006</v>
      </c>
      <c r="T1356" s="1">
        <f ca="1">IFERROR(__xludf.DUMMYFUNCTION("""COMPUTED_VALUE"""),96.34)</f>
        <v>96.34</v>
      </c>
      <c r="U1356" s="1">
        <f ca="1">IFERROR(__xludf.DUMMYFUNCTION("""COMPUTED_VALUE"""),60.02)</f>
        <v>60.02</v>
      </c>
      <c r="V1356" s="1">
        <f ca="1">IFERROR(__xludf.DUMMYFUNCTION("""COMPUTED_VALUE"""),342.51)</f>
        <v>342.51</v>
      </c>
      <c r="W1356" s="1">
        <f ca="1">IFERROR(__xludf.DUMMYFUNCTION("""COMPUTED_VALUE"""),470.28)</f>
        <v>470.28</v>
      </c>
      <c r="X1356" s="1">
        <f ca="1">IFERROR(__xludf.DUMMYFUNCTION("""COMPUTED_VALUE"""),737.17)</f>
        <v>737.17</v>
      </c>
      <c r="Y1356" s="1">
        <f ca="1">IFERROR(__xludf.DUMMYFUNCTION("""COMPUTED_VALUE"""),196.19)</f>
        <v>196.19</v>
      </c>
      <c r="Z1356" s="1">
        <f ca="1">IFERROR(__xludf.DUMMYFUNCTION("""COMPUTED_VALUE"""),598.54)</f>
        <v>598.54</v>
      </c>
      <c r="AA1356" s="1">
        <f ca="1">IFERROR(__xludf.DUMMYFUNCTION("""COMPUTED_VALUE"""),23.04)</f>
        <v>23.04</v>
      </c>
      <c r="AB1356" s="1">
        <f ca="1">IFERROR(__xludf.DUMMYFUNCTION("""COMPUTED_VALUE"""),84.4)</f>
        <v>84.4</v>
      </c>
      <c r="AC1356" s="1">
        <f ca="1">IFERROR(__xludf.DUMMYFUNCTION("""COMPUTED_VALUE"""),110.31)</f>
        <v>110.31</v>
      </c>
    </row>
    <row r="1357" spans="1:29" x14ac:dyDescent="0.25">
      <c r="A1357" s="2">
        <f ca="1">IFERROR(__xludf.DUMMYFUNCTION("""COMPUTED_VALUE"""),45800.6666666666)</f>
        <v>45800.666666666599</v>
      </c>
      <c r="B1357" s="1">
        <f ca="1">IFERROR(__xludf.DUMMYFUNCTION("""COMPUTED_VALUE"""),195.27)</f>
        <v>195.27</v>
      </c>
      <c r="C1357" s="1">
        <f ca="1">IFERROR(__xludf.DUMMYFUNCTION("""COMPUTED_VALUE"""),450.18)</f>
        <v>450.18</v>
      </c>
      <c r="D1357" s="1">
        <f ca="1">IFERROR(__xludf.DUMMYFUNCTION("""COMPUTED_VALUE"""),200.99)</f>
        <v>200.99</v>
      </c>
      <c r="E1357" s="1">
        <f ca="1">IFERROR(__xludf.DUMMYFUNCTION("""COMPUTED_VALUE"""),131.29)</f>
        <v>131.29</v>
      </c>
      <c r="F1357" s="1">
        <f ca="1">IFERROR(__xludf.DUMMYFUNCTION("""COMPUTED_VALUE"""),642.32)</f>
        <v>642.32000000000005</v>
      </c>
      <c r="G1357" s="1">
        <f ca="1">IFERROR(__xludf.DUMMYFUNCTION("""COMPUTED_VALUE"""),169.59)</f>
        <v>169.59</v>
      </c>
      <c r="H1357" s="1">
        <f ca="1">IFERROR(__xludf.DUMMYFUNCTION("""COMPUTED_VALUE"""),362.89)</f>
        <v>362.89</v>
      </c>
      <c r="I1357" s="1">
        <f ca="1">IFERROR(__xludf.DUMMYFUNCTION("""COMPUTED_VALUE"""),131.37)</f>
        <v>131.37</v>
      </c>
      <c r="J1357" s="1">
        <f ca="1">IFERROR(__xludf.DUMMYFUNCTION("""COMPUTED_VALUE"""),1008.5)</f>
        <v>1008.5</v>
      </c>
      <c r="K1357" s="1">
        <f ca="1">IFERROR(__xludf.DUMMYFUNCTION("""COMPUTED_VALUE"""),228.72)</f>
        <v>228.72</v>
      </c>
      <c r="L1357" s="1">
        <f ca="1">IFERROR(__xludf.DUMMYFUNCTION("""COMPUTED_VALUE"""),407.69)</f>
        <v>407.69</v>
      </c>
      <c r="M1357" s="1">
        <f ca="1">IFERROR(__xludf.DUMMYFUNCTION("""COMPUTED_VALUE"""),1185.39)</f>
        <v>1185.3900000000001</v>
      </c>
      <c r="N1357" s="1">
        <f ca="1">IFERROR(__xludf.DUMMYFUNCTION("""COMPUTED_VALUE"""),265.29)</f>
        <v>265.29000000000002</v>
      </c>
      <c r="O1357" s="1">
        <f ca="1">IFERROR(__xludf.DUMMYFUNCTION("""COMPUTED_VALUE"""),353.54)</f>
        <v>353.54</v>
      </c>
      <c r="P1357" s="1">
        <f ca="1">IFERROR(__xludf.DUMMYFUNCTION("""COMPUTED_VALUE"""),152.94)</f>
        <v>152.94</v>
      </c>
      <c r="Q1357" s="1">
        <f ca="1">IFERROR(__xludf.DUMMYFUNCTION("""COMPUTED_VALUE"""),295.57)</f>
        <v>295.57</v>
      </c>
      <c r="R1357" s="1">
        <f ca="1">IFERROR(__xludf.DUMMYFUNCTION("""COMPUTED_VALUE"""),103.03)</f>
        <v>103.03</v>
      </c>
      <c r="S1357" s="1">
        <f ca="1">IFERROR(__xludf.DUMMYFUNCTION("""COMPUTED_VALUE"""),67.76)</f>
        <v>67.760000000000005</v>
      </c>
      <c r="T1357" s="1">
        <f ca="1">IFERROR(__xludf.DUMMYFUNCTION("""COMPUTED_VALUE"""),97.58)</f>
        <v>97.58</v>
      </c>
      <c r="U1357" s="1">
        <f ca="1">IFERROR(__xludf.DUMMYFUNCTION("""COMPUTED_VALUE"""),62.83)</f>
        <v>62.83</v>
      </c>
      <c r="V1357" s="1">
        <f ca="1">IFERROR(__xludf.DUMMYFUNCTION("""COMPUTED_VALUE"""),343.39)</f>
        <v>343.39</v>
      </c>
      <c r="W1357" s="1">
        <f ca="1">IFERROR(__xludf.DUMMYFUNCTION("""COMPUTED_VALUE"""),468.88)</f>
        <v>468.88</v>
      </c>
      <c r="X1357" s="1">
        <f ca="1">IFERROR(__xludf.DUMMYFUNCTION("""COMPUTED_VALUE"""),732.49)</f>
        <v>732.49</v>
      </c>
      <c r="Y1357" s="1">
        <f ca="1">IFERROR(__xludf.DUMMYFUNCTION("""COMPUTED_VALUE"""),191.98)</f>
        <v>191.98</v>
      </c>
      <c r="Z1357" s="1">
        <f ca="1">IFERROR(__xludf.DUMMYFUNCTION("""COMPUTED_VALUE"""),615.73)</f>
        <v>615.73</v>
      </c>
      <c r="AA1357" s="1">
        <f ca="1">IFERROR(__xludf.DUMMYFUNCTION("""COMPUTED_VALUE"""),23.32)</f>
        <v>23.32</v>
      </c>
      <c r="AB1357" s="1">
        <f ca="1">IFERROR(__xludf.DUMMYFUNCTION("""COMPUTED_VALUE"""),87.01)</f>
        <v>87.01</v>
      </c>
      <c r="AC1357" s="1">
        <f ca="1">IFERROR(__xludf.DUMMYFUNCTION("""COMPUTED_VALUE"""),114.56)</f>
        <v>114.56</v>
      </c>
    </row>
    <row r="1358" spans="1:29" x14ac:dyDescent="0.25">
      <c r="A1358" s="2">
        <f ca="1">IFERROR(__xludf.DUMMYFUNCTION("""COMPUTED_VALUE"""),45804.6666666666)</f>
        <v>45804.666666666599</v>
      </c>
      <c r="B1358" s="1">
        <f ca="1">IFERROR(__xludf.DUMMYFUNCTION("""COMPUTED_VALUE"""),200.21)</f>
        <v>200.21</v>
      </c>
      <c r="C1358" s="1">
        <f ca="1">IFERROR(__xludf.DUMMYFUNCTION("""COMPUTED_VALUE"""),460.69)</f>
        <v>460.69</v>
      </c>
      <c r="D1358" s="1">
        <f ca="1">IFERROR(__xludf.DUMMYFUNCTION("""COMPUTED_VALUE"""),206.02)</f>
        <v>206.02</v>
      </c>
      <c r="E1358" s="1">
        <f ca="1">IFERROR(__xludf.DUMMYFUNCTION("""COMPUTED_VALUE"""),135.5)</f>
        <v>135.5</v>
      </c>
      <c r="F1358" s="1">
        <f ca="1">IFERROR(__xludf.DUMMYFUNCTION("""COMPUTED_VALUE"""),643.58)</f>
        <v>643.58000000000004</v>
      </c>
      <c r="G1358" s="1">
        <f ca="1">IFERROR(__xludf.DUMMYFUNCTION("""COMPUTED_VALUE"""),173.98)</f>
        <v>173.98</v>
      </c>
      <c r="H1358" s="1">
        <f ca="1">IFERROR(__xludf.DUMMYFUNCTION("""COMPUTED_VALUE"""),356.9)</f>
        <v>356.9</v>
      </c>
      <c r="I1358" s="1">
        <f ca="1">IFERROR(__xludf.DUMMYFUNCTION("""COMPUTED_VALUE"""),130.67)</f>
        <v>130.66999999999999</v>
      </c>
      <c r="J1358" s="1">
        <f ca="1">IFERROR(__xludf.DUMMYFUNCTION("""COMPUTED_VALUE"""),1017.79)</f>
        <v>1017.79</v>
      </c>
      <c r="K1358" s="1">
        <f ca="1">IFERROR(__xludf.DUMMYFUNCTION("""COMPUTED_VALUE"""),235.65)</f>
        <v>235.65</v>
      </c>
      <c r="L1358" s="1">
        <f ca="1">IFERROR(__xludf.DUMMYFUNCTION("""COMPUTED_VALUE"""),413.1)</f>
        <v>413.1</v>
      </c>
      <c r="M1358" s="1">
        <f ca="1">IFERROR(__xludf.DUMMYFUNCTION("""COMPUTED_VALUE"""),1211.57)</f>
        <v>1211.57</v>
      </c>
      <c r="N1358" s="1">
        <f ca="1">IFERROR(__xludf.DUMMYFUNCTION("""COMPUTED_VALUE"""),263.49)</f>
        <v>263.49</v>
      </c>
      <c r="O1358" s="1">
        <f ca="1">IFERROR(__xludf.DUMMYFUNCTION("""COMPUTED_VALUE"""),359.3)</f>
        <v>359.3</v>
      </c>
      <c r="P1358" s="1">
        <f ca="1">IFERROR(__xludf.DUMMYFUNCTION("""COMPUTED_VALUE"""),153.25)</f>
        <v>153.25</v>
      </c>
      <c r="Q1358" s="1">
        <f ca="1">IFERROR(__xludf.DUMMYFUNCTION("""COMPUTED_VALUE"""),295)</f>
        <v>295</v>
      </c>
      <c r="R1358" s="1">
        <f ca="1">IFERROR(__xludf.DUMMYFUNCTION("""COMPUTED_VALUE"""),103.52)</f>
        <v>103.52</v>
      </c>
      <c r="S1358" s="1">
        <f ca="1">IFERROR(__xludf.DUMMYFUNCTION("""COMPUTED_VALUE"""),68.04)</f>
        <v>68.040000000000006</v>
      </c>
      <c r="T1358" s="1">
        <f ca="1">IFERROR(__xludf.DUMMYFUNCTION("""COMPUTED_VALUE"""),97.24)</f>
        <v>97.24</v>
      </c>
      <c r="U1358" s="1">
        <f ca="1">IFERROR(__xludf.DUMMYFUNCTION("""COMPUTED_VALUE"""),61.78)</f>
        <v>61.78</v>
      </c>
      <c r="V1358" s="1">
        <f ca="1">IFERROR(__xludf.DUMMYFUNCTION("""COMPUTED_VALUE"""),351.51)</f>
        <v>351.51</v>
      </c>
      <c r="W1358" s="1">
        <f ca="1">IFERROR(__xludf.DUMMYFUNCTION("""COMPUTED_VALUE"""),476.85)</f>
        <v>476.85</v>
      </c>
      <c r="X1358" s="1">
        <f ca="1">IFERROR(__xludf.DUMMYFUNCTION("""COMPUTED_VALUE"""),756.79)</f>
        <v>756.79</v>
      </c>
      <c r="Y1358" s="1">
        <f ca="1">IFERROR(__xludf.DUMMYFUNCTION("""COMPUTED_VALUE"""),197.68)</f>
        <v>197.68</v>
      </c>
      <c r="Z1358" s="1">
        <f ca="1">IFERROR(__xludf.DUMMYFUNCTION("""COMPUTED_VALUE"""),608.44)</f>
        <v>608.44000000000005</v>
      </c>
      <c r="AA1358" s="1">
        <f ca="1">IFERROR(__xludf.DUMMYFUNCTION("""COMPUTED_VALUE"""),23.61)</f>
        <v>23.61</v>
      </c>
      <c r="AB1358" s="1">
        <f ca="1">IFERROR(__xludf.DUMMYFUNCTION("""COMPUTED_VALUE"""),86)</f>
        <v>86</v>
      </c>
      <c r="AC1358" s="1">
        <f ca="1">IFERROR(__xludf.DUMMYFUNCTION("""COMPUTED_VALUE"""),112.86)</f>
        <v>112.86</v>
      </c>
    </row>
    <row r="1359" spans="1:29" x14ac:dyDescent="0.25">
      <c r="A1359" s="2">
        <f ca="1">IFERROR(__xludf.DUMMYFUNCTION("""COMPUTED_VALUE"""),45805.6666666666)</f>
        <v>45805.666666666599</v>
      </c>
      <c r="B1359" s="1">
        <f ca="1">IFERROR(__xludf.DUMMYFUNCTION("""COMPUTED_VALUE"""),200.42)</f>
        <v>200.42</v>
      </c>
      <c r="C1359" s="1">
        <f ca="1">IFERROR(__xludf.DUMMYFUNCTION("""COMPUTED_VALUE"""),457.36)</f>
        <v>457.36</v>
      </c>
      <c r="D1359" s="1">
        <f ca="1">IFERROR(__xludf.DUMMYFUNCTION("""COMPUTED_VALUE"""),204.72)</f>
        <v>204.72</v>
      </c>
      <c r="E1359" s="1">
        <f ca="1">IFERROR(__xludf.DUMMYFUNCTION("""COMPUTED_VALUE"""),134.81)</f>
        <v>134.81</v>
      </c>
      <c r="F1359" s="1">
        <f ca="1">IFERROR(__xludf.DUMMYFUNCTION("""COMPUTED_VALUE"""),645.05)</f>
        <v>645.04999999999995</v>
      </c>
      <c r="G1359" s="1">
        <f ca="1">IFERROR(__xludf.DUMMYFUNCTION("""COMPUTED_VALUE"""),173.38)</f>
        <v>173.38</v>
      </c>
      <c r="H1359" s="1">
        <f ca="1">IFERROR(__xludf.DUMMYFUNCTION("""COMPUTED_VALUE"""),358.43)</f>
        <v>358.43</v>
      </c>
      <c r="I1359" s="1">
        <f ca="1">IFERROR(__xludf.DUMMYFUNCTION("""COMPUTED_VALUE"""),131.92)</f>
        <v>131.91999999999999</v>
      </c>
      <c r="J1359" s="1">
        <f ca="1">IFERROR(__xludf.DUMMYFUNCTION("""COMPUTED_VALUE"""),1013.14)</f>
        <v>1013.14</v>
      </c>
      <c r="K1359" s="1">
        <f ca="1">IFERROR(__xludf.DUMMYFUNCTION("""COMPUTED_VALUE"""),239.43)</f>
        <v>239.43</v>
      </c>
      <c r="L1359" s="1">
        <f ca="1">IFERROR(__xludf.DUMMYFUNCTION("""COMPUTED_VALUE"""),412.23)</f>
        <v>412.23</v>
      </c>
      <c r="M1359" s="1">
        <f ca="1">IFERROR(__xludf.DUMMYFUNCTION("""COMPUTED_VALUE"""),1208.55)</f>
        <v>1208.55</v>
      </c>
      <c r="N1359" s="1">
        <f ca="1">IFERROR(__xludf.DUMMYFUNCTION("""COMPUTED_VALUE"""),264.37)</f>
        <v>264.37</v>
      </c>
      <c r="O1359" s="1">
        <f ca="1">IFERROR(__xludf.DUMMYFUNCTION("""COMPUTED_VALUE"""),359.73)</f>
        <v>359.73</v>
      </c>
      <c r="P1359" s="1">
        <f ca="1">IFERROR(__xludf.DUMMYFUNCTION("""COMPUTED_VALUE"""),152.43)</f>
        <v>152.43</v>
      </c>
      <c r="Q1359" s="1">
        <f ca="1">IFERROR(__xludf.DUMMYFUNCTION("""COMPUTED_VALUE"""),298.11)</f>
        <v>298.11</v>
      </c>
      <c r="R1359" s="1">
        <f ca="1">IFERROR(__xludf.DUMMYFUNCTION("""COMPUTED_VALUE"""),102.11)</f>
        <v>102.11</v>
      </c>
      <c r="S1359" s="1">
        <f ca="1">IFERROR(__xludf.DUMMYFUNCTION("""COMPUTED_VALUE"""),67.21)</f>
        <v>67.209999999999994</v>
      </c>
      <c r="T1359" s="1">
        <f ca="1">IFERROR(__xludf.DUMMYFUNCTION("""COMPUTED_VALUE"""),97.1)</f>
        <v>97.1</v>
      </c>
      <c r="U1359" s="1">
        <f ca="1">IFERROR(__xludf.DUMMYFUNCTION("""COMPUTED_VALUE"""),61.44)</f>
        <v>61.44</v>
      </c>
      <c r="V1359" s="1">
        <f ca="1">IFERROR(__xludf.DUMMYFUNCTION("""COMPUTED_VALUE"""),349.49)</f>
        <v>349.49</v>
      </c>
      <c r="W1359" s="1">
        <f ca="1">IFERROR(__xludf.DUMMYFUNCTION("""COMPUTED_VALUE"""),469.98)</f>
        <v>469.98</v>
      </c>
      <c r="X1359" s="1">
        <f ca="1">IFERROR(__xludf.DUMMYFUNCTION("""COMPUTED_VALUE"""),746.51)</f>
        <v>746.51</v>
      </c>
      <c r="Y1359" s="1">
        <f ca="1">IFERROR(__xludf.DUMMYFUNCTION("""COMPUTED_VALUE"""),196.14)</f>
        <v>196.14</v>
      </c>
      <c r="Z1359" s="1">
        <f ca="1">IFERROR(__xludf.DUMMYFUNCTION("""COMPUTED_VALUE"""),604.86)</f>
        <v>604.86</v>
      </c>
      <c r="AA1359" s="1">
        <f ca="1">IFERROR(__xludf.DUMMYFUNCTION("""COMPUTED_VALUE"""),23.18)</f>
        <v>23.18</v>
      </c>
      <c r="AB1359" s="1">
        <f ca="1">IFERROR(__xludf.DUMMYFUNCTION("""COMPUTED_VALUE"""),84.05)</f>
        <v>84.05</v>
      </c>
      <c r="AC1359" s="1">
        <f ca="1">IFERROR(__xludf.DUMMYFUNCTION("""COMPUTED_VALUE"""),113.03)</f>
        <v>113.03</v>
      </c>
    </row>
    <row r="1360" spans="1:29" x14ac:dyDescent="0.25">
      <c r="A1360" s="2">
        <f ca="1">IFERROR(__xludf.DUMMYFUNCTION("""COMPUTED_VALUE"""),45806.6666666666)</f>
        <v>45806.666666666599</v>
      </c>
      <c r="B1360" s="1">
        <f ca="1">IFERROR(__xludf.DUMMYFUNCTION("""COMPUTED_VALUE"""),199.95)</f>
        <v>199.95</v>
      </c>
      <c r="C1360" s="1">
        <f ca="1">IFERROR(__xludf.DUMMYFUNCTION("""COMPUTED_VALUE"""),458.68)</f>
        <v>458.68</v>
      </c>
      <c r="D1360" s="1">
        <f ca="1">IFERROR(__xludf.DUMMYFUNCTION("""COMPUTED_VALUE"""),205.7)</f>
        <v>205.7</v>
      </c>
      <c r="E1360" s="1">
        <f ca="1">IFERROR(__xludf.DUMMYFUNCTION("""COMPUTED_VALUE"""),139.19)</f>
        <v>139.19</v>
      </c>
      <c r="F1360" s="1">
        <f ca="1">IFERROR(__xludf.DUMMYFUNCTION("""COMPUTED_VALUE"""),647.49)</f>
        <v>647.49</v>
      </c>
      <c r="G1360" s="1">
        <f ca="1">IFERROR(__xludf.DUMMYFUNCTION("""COMPUTED_VALUE"""),172.96)</f>
        <v>172.96</v>
      </c>
      <c r="H1360" s="1">
        <f ca="1">IFERROR(__xludf.DUMMYFUNCTION("""COMPUTED_VALUE"""),346.46)</f>
        <v>346.46</v>
      </c>
      <c r="I1360" s="1">
        <f ca="1">IFERROR(__xludf.DUMMYFUNCTION("""COMPUTED_VALUE"""),131.45)</f>
        <v>131.44999999999999</v>
      </c>
      <c r="J1360" s="1">
        <f ca="1">IFERROR(__xludf.DUMMYFUNCTION("""COMPUTED_VALUE"""),1008.74)</f>
        <v>1008.74</v>
      </c>
      <c r="K1360" s="1">
        <f ca="1">IFERROR(__xludf.DUMMYFUNCTION("""COMPUTED_VALUE"""),241.97)</f>
        <v>241.97</v>
      </c>
      <c r="L1360" s="1">
        <f ca="1">IFERROR(__xludf.DUMMYFUNCTION("""COMPUTED_VALUE"""),413.36)</f>
        <v>413.36</v>
      </c>
      <c r="M1360" s="1">
        <f ca="1">IFERROR(__xludf.DUMMYFUNCTION("""COMPUTED_VALUE"""),1184.86)</f>
        <v>1184.8599999999999</v>
      </c>
      <c r="N1360" s="1">
        <f ca="1">IFERROR(__xludf.DUMMYFUNCTION("""COMPUTED_VALUE"""),264)</f>
        <v>264</v>
      </c>
      <c r="O1360" s="1">
        <f ca="1">IFERROR(__xludf.DUMMYFUNCTION("""COMPUTED_VALUE"""),362.4)</f>
        <v>362.4</v>
      </c>
      <c r="P1360" s="1">
        <f ca="1">IFERROR(__xludf.DUMMYFUNCTION("""COMPUTED_VALUE"""),153.58)</f>
        <v>153.58000000000001</v>
      </c>
      <c r="Q1360" s="1">
        <f ca="1">IFERROR(__xludf.DUMMYFUNCTION("""COMPUTED_VALUE"""),298.17)</f>
        <v>298.17</v>
      </c>
      <c r="R1360" s="1">
        <f ca="1">IFERROR(__xludf.DUMMYFUNCTION("""COMPUTED_VALUE"""),102.69)</f>
        <v>102.69</v>
      </c>
      <c r="S1360" s="1">
        <f ca="1">IFERROR(__xludf.DUMMYFUNCTION("""COMPUTED_VALUE"""),68.99)</f>
        <v>68.989999999999995</v>
      </c>
      <c r="T1360" s="1">
        <f ca="1">IFERROR(__xludf.DUMMYFUNCTION("""COMPUTED_VALUE"""),98.72)</f>
        <v>98.72</v>
      </c>
      <c r="U1360" s="1">
        <f ca="1">IFERROR(__xludf.DUMMYFUNCTION("""COMPUTED_VALUE"""),60.59)</f>
        <v>60.59</v>
      </c>
      <c r="V1360" s="1">
        <f ca="1">IFERROR(__xludf.DUMMYFUNCTION("""COMPUTED_VALUE"""),351.79)</f>
        <v>351.79</v>
      </c>
      <c r="W1360" s="1">
        <f ca="1">IFERROR(__xludf.DUMMYFUNCTION("""COMPUTED_VALUE"""),473.69)</f>
        <v>473.69</v>
      </c>
      <c r="X1360" s="1">
        <f ca="1">IFERROR(__xludf.DUMMYFUNCTION("""COMPUTED_VALUE"""),747.07)</f>
        <v>747.07</v>
      </c>
      <c r="Y1360" s="1">
        <f ca="1">IFERROR(__xludf.DUMMYFUNCTION("""COMPUTED_VALUE"""),197.15)</f>
        <v>197.15</v>
      </c>
      <c r="Z1360" s="1">
        <f ca="1">IFERROR(__xludf.DUMMYFUNCTION("""COMPUTED_VALUE"""),600.45)</f>
        <v>600.45000000000005</v>
      </c>
      <c r="AA1360" s="1">
        <f ca="1">IFERROR(__xludf.DUMMYFUNCTION("""COMPUTED_VALUE"""),23.45)</f>
        <v>23.45</v>
      </c>
      <c r="AB1360" s="1">
        <f ca="1">IFERROR(__xludf.DUMMYFUNCTION("""COMPUTED_VALUE"""),83.95)</f>
        <v>83.95</v>
      </c>
      <c r="AC1360" s="1">
        <f ca="1">IFERROR(__xludf.DUMMYFUNCTION("""COMPUTED_VALUE"""),110.73)</f>
        <v>110.73</v>
      </c>
    </row>
    <row r="1361" spans="1:29" x14ac:dyDescent="0.25">
      <c r="A1361" s="2">
        <f ca="1">IFERROR(__xludf.DUMMYFUNCTION("""COMPUTED_VALUE"""),45807.6666666666)</f>
        <v>45807.666666666599</v>
      </c>
      <c r="B1361" s="1">
        <f ca="1">IFERROR(__xludf.DUMMYFUNCTION("""COMPUTED_VALUE"""),200.85)</f>
        <v>200.85</v>
      </c>
      <c r="C1361" s="1">
        <f ca="1">IFERROR(__xludf.DUMMYFUNCTION("""COMPUTED_VALUE"""),460.36)</f>
        <v>460.36</v>
      </c>
      <c r="D1361" s="1">
        <f ca="1">IFERROR(__xludf.DUMMYFUNCTION("""COMPUTED_VALUE"""),205.01)</f>
        <v>205.01</v>
      </c>
      <c r="E1361" s="1">
        <f ca="1">IFERROR(__xludf.DUMMYFUNCTION("""COMPUTED_VALUE"""),135.13)</f>
        <v>135.13</v>
      </c>
      <c r="F1361" s="1">
        <f ca="1">IFERROR(__xludf.DUMMYFUNCTION("""COMPUTED_VALUE"""),670.9)</f>
        <v>670.9</v>
      </c>
      <c r="G1361" s="1">
        <f ca="1">IFERROR(__xludf.DUMMYFUNCTION("""COMPUTED_VALUE"""),172.85)</f>
        <v>172.85</v>
      </c>
      <c r="H1361" s="1">
        <f ca="1">IFERROR(__xludf.DUMMYFUNCTION("""COMPUTED_VALUE"""),342.69)</f>
        <v>342.69</v>
      </c>
      <c r="I1361" s="1">
        <f ca="1">IFERROR(__xludf.DUMMYFUNCTION("""COMPUTED_VALUE"""),130.91)</f>
        <v>130.91</v>
      </c>
      <c r="J1361" s="1">
        <f ca="1">IFERROR(__xludf.DUMMYFUNCTION("""COMPUTED_VALUE"""),1040.18)</f>
        <v>1040.18</v>
      </c>
      <c r="K1361" s="1">
        <f ca="1">IFERROR(__xludf.DUMMYFUNCTION("""COMPUTED_VALUE"""),242.07)</f>
        <v>242.07</v>
      </c>
      <c r="L1361" s="1">
        <f ca="1">IFERROR(__xludf.DUMMYFUNCTION("""COMPUTED_VALUE"""),415.09)</f>
        <v>415.09</v>
      </c>
      <c r="M1361" s="1">
        <f ca="1">IFERROR(__xludf.DUMMYFUNCTION("""COMPUTED_VALUE"""),1207.23)</f>
        <v>1207.23</v>
      </c>
      <c r="N1361" s="1">
        <f ca="1">IFERROR(__xludf.DUMMYFUNCTION("""COMPUTED_VALUE"""),264.66)</f>
        <v>264.66000000000003</v>
      </c>
      <c r="O1361" s="1">
        <f ca="1">IFERROR(__xludf.DUMMYFUNCTION("""COMPUTED_VALUE"""),365.19)</f>
        <v>365.19</v>
      </c>
      <c r="P1361" s="1">
        <f ca="1">IFERROR(__xludf.DUMMYFUNCTION("""COMPUTED_VALUE"""),155.21)</f>
        <v>155.21</v>
      </c>
      <c r="Q1361" s="1">
        <f ca="1">IFERROR(__xludf.DUMMYFUNCTION("""COMPUTED_VALUE"""),301.91)</f>
        <v>301.91000000000003</v>
      </c>
      <c r="R1361" s="1">
        <f ca="1">IFERROR(__xludf.DUMMYFUNCTION("""COMPUTED_VALUE"""),102.3)</f>
        <v>102.3</v>
      </c>
      <c r="S1361" s="1">
        <f ca="1">IFERROR(__xludf.DUMMYFUNCTION("""COMPUTED_VALUE"""),70.64)</f>
        <v>70.64</v>
      </c>
      <c r="T1361" s="1">
        <f ca="1">IFERROR(__xludf.DUMMYFUNCTION("""COMPUTED_VALUE"""),99.77)</f>
        <v>99.77</v>
      </c>
      <c r="U1361" s="1">
        <f ca="1">IFERROR(__xludf.DUMMYFUNCTION("""COMPUTED_VALUE"""),61.57)</f>
        <v>61.57</v>
      </c>
      <c r="V1361" s="1">
        <f ca="1">IFERROR(__xludf.DUMMYFUNCTION("""COMPUTED_VALUE"""),348.03)</f>
        <v>348.03</v>
      </c>
      <c r="W1361" s="1">
        <f ca="1">IFERROR(__xludf.DUMMYFUNCTION("""COMPUTED_VALUE"""),482.38)</f>
        <v>482.38</v>
      </c>
      <c r="X1361" s="1">
        <f ca="1">IFERROR(__xludf.DUMMYFUNCTION("""COMPUTED_VALUE"""),736.77)</f>
        <v>736.77</v>
      </c>
      <c r="Y1361" s="1">
        <f ca="1">IFERROR(__xludf.DUMMYFUNCTION("""COMPUTED_VALUE"""),193.32)</f>
        <v>193.32</v>
      </c>
      <c r="Z1361" s="1">
        <f ca="1">IFERROR(__xludf.DUMMYFUNCTION("""COMPUTED_VALUE"""),598.72)</f>
        <v>598.72</v>
      </c>
      <c r="AA1361" s="1">
        <f ca="1">IFERROR(__xludf.DUMMYFUNCTION("""COMPUTED_VALUE"""),23.49)</f>
        <v>23.49</v>
      </c>
      <c r="AB1361" s="1">
        <f ca="1">IFERROR(__xludf.DUMMYFUNCTION("""COMPUTED_VALUE"""),85.19)</f>
        <v>85.19</v>
      </c>
      <c r="AC1361" s="1">
        <f ca="1">IFERROR(__xludf.DUMMYFUNCTION("""COMPUTED_VALUE"""),114.63)</f>
        <v>114.63</v>
      </c>
    </row>
    <row r="1362" spans="1:29" x14ac:dyDescent="0.25">
      <c r="A1362" s="2">
        <f ca="1">IFERROR(__xludf.DUMMYFUNCTION("""COMPUTED_VALUE"""),45810.6666666666)</f>
        <v>45810.666666666599</v>
      </c>
      <c r="B1362" s="1">
        <f ca="1">IFERROR(__xludf.DUMMYFUNCTION("""COMPUTED_VALUE"""),201.7)</f>
        <v>201.7</v>
      </c>
      <c r="C1362" s="1">
        <f ca="1">IFERROR(__xludf.DUMMYFUNCTION("""COMPUTED_VALUE"""),461.97)</f>
        <v>461.97</v>
      </c>
      <c r="D1362" s="1">
        <f ca="1">IFERROR(__xludf.DUMMYFUNCTION("""COMPUTED_VALUE"""),206.65)</f>
        <v>206.65</v>
      </c>
      <c r="E1362" s="1">
        <f ca="1">IFERROR(__xludf.DUMMYFUNCTION("""COMPUTED_VALUE"""),137.38)</f>
        <v>137.38</v>
      </c>
      <c r="F1362" s="1">
        <f ca="1">IFERROR(__xludf.DUMMYFUNCTION("""COMPUTED_VALUE"""),666.85)</f>
        <v>666.85</v>
      </c>
      <c r="G1362" s="1">
        <f ca="1">IFERROR(__xludf.DUMMYFUNCTION("""COMPUTED_VALUE"""),170.37)</f>
        <v>170.37</v>
      </c>
      <c r="H1362" s="1">
        <f ca="1">IFERROR(__xludf.DUMMYFUNCTION("""COMPUTED_VALUE"""),344.27)</f>
        <v>344.27</v>
      </c>
      <c r="I1362" s="1">
        <f ca="1">IFERROR(__xludf.DUMMYFUNCTION("""COMPUTED_VALUE"""),131.85)</f>
        <v>131.85</v>
      </c>
      <c r="J1362" s="1">
        <f ca="1">IFERROR(__xludf.DUMMYFUNCTION("""COMPUTED_VALUE"""),1056.85)</f>
        <v>1056.8499999999999</v>
      </c>
      <c r="K1362" s="1">
        <f ca="1">IFERROR(__xludf.DUMMYFUNCTION("""COMPUTED_VALUE"""),248.71)</f>
        <v>248.71</v>
      </c>
      <c r="L1362" s="1">
        <f ca="1">IFERROR(__xludf.DUMMYFUNCTION("""COMPUTED_VALUE"""),403.4)</f>
        <v>403.4</v>
      </c>
      <c r="M1362" s="1">
        <f ca="1">IFERROR(__xludf.DUMMYFUNCTION("""COMPUTED_VALUE"""),1218.98)</f>
        <v>1218.98</v>
      </c>
      <c r="N1362" s="1">
        <f ca="1">IFERROR(__xludf.DUMMYFUNCTION("""COMPUTED_VALUE"""),266.27)</f>
        <v>266.27</v>
      </c>
      <c r="O1362" s="1">
        <f ca="1">IFERROR(__xludf.DUMMYFUNCTION("""COMPUTED_VALUE"""),365.32)</f>
        <v>365.32</v>
      </c>
      <c r="P1362" s="1">
        <f ca="1">IFERROR(__xludf.DUMMYFUNCTION("""COMPUTED_VALUE"""),155.4)</f>
        <v>155.4</v>
      </c>
      <c r="Q1362" s="1">
        <f ca="1">IFERROR(__xludf.DUMMYFUNCTION("""COMPUTED_VALUE"""),304.72)</f>
        <v>304.72000000000003</v>
      </c>
      <c r="R1362" s="1">
        <f ca="1">IFERROR(__xludf.DUMMYFUNCTION("""COMPUTED_VALUE"""),103.05)</f>
        <v>103.05</v>
      </c>
      <c r="S1362" s="1">
        <f ca="1">IFERROR(__xludf.DUMMYFUNCTION("""COMPUTED_VALUE"""),70.15)</f>
        <v>70.150000000000006</v>
      </c>
      <c r="T1362" s="1">
        <f ca="1">IFERROR(__xludf.DUMMYFUNCTION("""COMPUTED_VALUE"""),99.98)</f>
        <v>99.98</v>
      </c>
      <c r="U1362" s="1">
        <f ca="1">IFERROR(__xludf.DUMMYFUNCTION("""COMPUTED_VALUE"""),62.37)</f>
        <v>62.37</v>
      </c>
      <c r="V1362" s="1">
        <f ca="1">IFERROR(__xludf.DUMMYFUNCTION("""COMPUTED_VALUE"""),344.67)</f>
        <v>344.67</v>
      </c>
      <c r="W1362" s="1">
        <f ca="1">IFERROR(__xludf.DUMMYFUNCTION("""COMPUTED_VALUE"""),478.82)</f>
        <v>478.82</v>
      </c>
      <c r="X1362" s="1">
        <f ca="1">IFERROR(__xludf.DUMMYFUNCTION("""COMPUTED_VALUE"""),746.53)</f>
        <v>746.53</v>
      </c>
      <c r="Y1362" s="1">
        <f ca="1">IFERROR(__xludf.DUMMYFUNCTION("""COMPUTED_VALUE"""),194.84)</f>
        <v>194.84</v>
      </c>
      <c r="Z1362" s="1">
        <f ca="1">IFERROR(__xludf.DUMMYFUNCTION("""COMPUTED_VALUE"""),603.83)</f>
        <v>603.83000000000004</v>
      </c>
      <c r="AA1362" s="1">
        <f ca="1">IFERROR(__xludf.DUMMYFUNCTION("""COMPUTED_VALUE"""),23.46)</f>
        <v>23.46</v>
      </c>
      <c r="AB1362" s="1">
        <f ca="1">IFERROR(__xludf.DUMMYFUNCTION("""COMPUTED_VALUE"""),86.6)</f>
        <v>86.6</v>
      </c>
      <c r="AC1362" s="1">
        <f ca="1">IFERROR(__xludf.DUMMYFUNCTION("""COMPUTED_VALUE"""),117.31)</f>
        <v>117.31</v>
      </c>
    </row>
    <row r="1363" spans="1:29" x14ac:dyDescent="0.25">
      <c r="A1363" s="2">
        <f ca="1">IFERROR(__xludf.DUMMYFUNCTION("""COMPUTED_VALUE"""),45811.6666666666)</f>
        <v>45811.666666666599</v>
      </c>
      <c r="B1363" s="1">
        <f ca="1">IFERROR(__xludf.DUMMYFUNCTION("""COMPUTED_VALUE"""),203.27)</f>
        <v>203.27</v>
      </c>
      <c r="C1363" s="1">
        <f ca="1">IFERROR(__xludf.DUMMYFUNCTION("""COMPUTED_VALUE"""),462.97)</f>
        <v>462.97</v>
      </c>
      <c r="D1363" s="1">
        <f ca="1">IFERROR(__xludf.DUMMYFUNCTION("""COMPUTED_VALUE"""),205.71)</f>
        <v>205.71</v>
      </c>
      <c r="E1363" s="1">
        <f ca="1">IFERROR(__xludf.DUMMYFUNCTION("""COMPUTED_VALUE"""),141.22)</f>
        <v>141.22</v>
      </c>
      <c r="F1363" s="1">
        <f ca="1">IFERROR(__xludf.DUMMYFUNCTION("""COMPUTED_VALUE"""),687.95)</f>
        <v>687.95</v>
      </c>
      <c r="G1363" s="1">
        <f ca="1">IFERROR(__xludf.DUMMYFUNCTION("""COMPUTED_VALUE"""),167.71)</f>
        <v>167.71</v>
      </c>
      <c r="H1363" s="1">
        <f ca="1">IFERROR(__xludf.DUMMYFUNCTION("""COMPUTED_VALUE"""),332.05)</f>
        <v>332.05</v>
      </c>
      <c r="I1363" s="1">
        <f ca="1">IFERROR(__xludf.DUMMYFUNCTION("""COMPUTED_VALUE"""),131.74)</f>
        <v>131.74</v>
      </c>
      <c r="J1363" s="1">
        <f ca="1">IFERROR(__xludf.DUMMYFUNCTION("""COMPUTED_VALUE"""),1055.59)</f>
        <v>1055.5899999999999</v>
      </c>
      <c r="K1363" s="1">
        <f ca="1">IFERROR(__xludf.DUMMYFUNCTION("""COMPUTED_VALUE"""),256.85)</f>
        <v>256.85000000000002</v>
      </c>
      <c r="L1363" s="1">
        <f ca="1">IFERROR(__xludf.DUMMYFUNCTION("""COMPUTED_VALUE"""),412.49)</f>
        <v>412.49</v>
      </c>
      <c r="M1363" s="1">
        <f ca="1">IFERROR(__xludf.DUMMYFUNCTION("""COMPUTED_VALUE"""),1217.94)</f>
        <v>1217.94</v>
      </c>
      <c r="N1363" s="1">
        <f ca="1">IFERROR(__xludf.DUMMYFUNCTION("""COMPUTED_VALUE"""),264.22)</f>
        <v>264.22000000000003</v>
      </c>
      <c r="O1363" s="1">
        <f ca="1">IFERROR(__xludf.DUMMYFUNCTION("""COMPUTED_VALUE"""),365.86)</f>
        <v>365.86</v>
      </c>
      <c r="P1363" s="1">
        <f ca="1">IFERROR(__xludf.DUMMYFUNCTION("""COMPUTED_VALUE"""),154.42)</f>
        <v>154.41999999999999</v>
      </c>
      <c r="Q1363" s="1">
        <f ca="1">IFERROR(__xludf.DUMMYFUNCTION("""COMPUTED_VALUE"""),301.22)</f>
        <v>301.22000000000003</v>
      </c>
      <c r="R1363" s="1">
        <f ca="1">IFERROR(__xludf.DUMMYFUNCTION("""COMPUTED_VALUE"""),103.8)</f>
        <v>103.8</v>
      </c>
      <c r="S1363" s="1">
        <f ca="1">IFERROR(__xludf.DUMMYFUNCTION("""COMPUTED_VALUE"""),70.95)</f>
        <v>70.95</v>
      </c>
      <c r="T1363" s="1">
        <f ca="1">IFERROR(__xludf.DUMMYFUNCTION("""COMPUTED_VALUE"""),99.35)</f>
        <v>99.35</v>
      </c>
      <c r="U1363" s="1">
        <f ca="1">IFERROR(__xludf.DUMMYFUNCTION("""COMPUTED_VALUE"""),62.77)</f>
        <v>62.77</v>
      </c>
      <c r="V1363" s="1">
        <f ca="1">IFERROR(__xludf.DUMMYFUNCTION("""COMPUTED_VALUE"""),349.4)</f>
        <v>349.4</v>
      </c>
      <c r="W1363" s="1">
        <f ca="1">IFERROR(__xludf.DUMMYFUNCTION("""COMPUTED_VALUE"""),480.17)</f>
        <v>480.17</v>
      </c>
      <c r="X1363" s="1">
        <f ca="1">IFERROR(__xludf.DUMMYFUNCTION("""COMPUTED_VALUE"""),747.25)</f>
        <v>747.25</v>
      </c>
      <c r="Y1363" s="1">
        <f ca="1">IFERROR(__xludf.DUMMYFUNCTION("""COMPUTED_VALUE"""),197.61)</f>
        <v>197.61</v>
      </c>
      <c r="Z1363" s="1">
        <f ca="1">IFERROR(__xludf.DUMMYFUNCTION("""COMPUTED_VALUE"""),599.21)</f>
        <v>599.21</v>
      </c>
      <c r="AA1363" s="1">
        <f ca="1">IFERROR(__xludf.DUMMYFUNCTION("""COMPUTED_VALUE"""),23.35)</f>
        <v>23.35</v>
      </c>
      <c r="AB1363" s="1">
        <f ca="1">IFERROR(__xludf.DUMMYFUNCTION("""COMPUTED_VALUE"""),88.11)</f>
        <v>88.11</v>
      </c>
      <c r="AC1363" s="1">
        <f ca="1">IFERROR(__xludf.DUMMYFUNCTION("""COMPUTED_VALUE"""),118.58)</f>
        <v>118.58</v>
      </c>
    </row>
    <row r="1364" spans="1:29" x14ac:dyDescent="0.25">
      <c r="A1364" s="2">
        <f ca="1">IFERROR(__xludf.DUMMYFUNCTION("""COMPUTED_VALUE"""),45812.6666666666)</f>
        <v>45812.666666666599</v>
      </c>
      <c r="B1364" s="1">
        <f ca="1">IFERROR(__xludf.DUMMYFUNCTION("""COMPUTED_VALUE"""),202.82)</f>
        <v>202.82</v>
      </c>
      <c r="C1364" s="1">
        <f ca="1">IFERROR(__xludf.DUMMYFUNCTION("""COMPUTED_VALUE"""),463.87)</f>
        <v>463.87</v>
      </c>
      <c r="D1364" s="1">
        <f ca="1">IFERROR(__xludf.DUMMYFUNCTION("""COMPUTED_VALUE"""),207.23)</f>
        <v>207.23</v>
      </c>
      <c r="E1364" s="1">
        <f ca="1">IFERROR(__xludf.DUMMYFUNCTION("""COMPUTED_VALUE"""),141.92)</f>
        <v>141.91999999999999</v>
      </c>
      <c r="F1364" s="1">
        <f ca="1">IFERROR(__xludf.DUMMYFUNCTION("""COMPUTED_VALUE"""),684.62)</f>
        <v>684.62</v>
      </c>
      <c r="G1364" s="1">
        <f ca="1">IFERROR(__xludf.DUMMYFUNCTION("""COMPUTED_VALUE"""),169.39)</f>
        <v>169.39</v>
      </c>
      <c r="H1364" s="1">
        <f ca="1">IFERROR(__xludf.DUMMYFUNCTION("""COMPUTED_VALUE"""),284.7)</f>
        <v>284.7</v>
      </c>
      <c r="I1364" s="1">
        <f ca="1">IFERROR(__xludf.DUMMYFUNCTION("""COMPUTED_VALUE"""),131.11)</f>
        <v>131.11000000000001</v>
      </c>
      <c r="J1364" s="1">
        <f ca="1">IFERROR(__xludf.DUMMYFUNCTION("""COMPUTED_VALUE"""),1051.69)</f>
        <v>1051.69</v>
      </c>
      <c r="K1364" s="1">
        <f ca="1">IFERROR(__xludf.DUMMYFUNCTION("""COMPUTED_VALUE"""),261.08)</f>
        <v>261.08</v>
      </c>
      <c r="L1364" s="1">
        <f ca="1">IFERROR(__xludf.DUMMYFUNCTION("""COMPUTED_VALUE"""),413.91)</f>
        <v>413.91</v>
      </c>
      <c r="M1364" s="1">
        <f ca="1">IFERROR(__xludf.DUMMYFUNCTION("""COMPUTED_VALUE"""),1239.66)</f>
        <v>1239.6600000000001</v>
      </c>
      <c r="N1364" s="1">
        <f ca="1">IFERROR(__xludf.DUMMYFUNCTION("""COMPUTED_VALUE"""),261.95)</f>
        <v>261.95</v>
      </c>
      <c r="O1364" s="1">
        <f ca="1">IFERROR(__xludf.DUMMYFUNCTION("""COMPUTED_VALUE"""),368)</f>
        <v>368</v>
      </c>
      <c r="P1364" s="1">
        <f ca="1">IFERROR(__xludf.DUMMYFUNCTION("""COMPUTED_VALUE"""),153.22)</f>
        <v>153.22</v>
      </c>
      <c r="Q1364" s="1">
        <f ca="1">IFERROR(__xludf.DUMMYFUNCTION("""COMPUTED_VALUE"""),300.38)</f>
        <v>300.38</v>
      </c>
      <c r="R1364" s="1">
        <f ca="1">IFERROR(__xludf.DUMMYFUNCTION("""COMPUTED_VALUE"""),102.3)</f>
        <v>102.3</v>
      </c>
      <c r="S1364" s="1">
        <f ca="1">IFERROR(__xludf.DUMMYFUNCTION("""COMPUTED_VALUE"""),69.88)</f>
        <v>69.88</v>
      </c>
      <c r="T1364" s="1">
        <f ca="1">IFERROR(__xludf.DUMMYFUNCTION("""COMPUTED_VALUE"""),97.96)</f>
        <v>97.96</v>
      </c>
      <c r="U1364" s="1">
        <f ca="1">IFERROR(__xludf.DUMMYFUNCTION("""COMPUTED_VALUE"""),62.67)</f>
        <v>62.67</v>
      </c>
      <c r="V1364" s="1">
        <f ca="1">IFERROR(__xludf.DUMMYFUNCTION("""COMPUTED_VALUE"""),349.33)</f>
        <v>349.33</v>
      </c>
      <c r="W1364" s="1">
        <f ca="1">IFERROR(__xludf.DUMMYFUNCTION("""COMPUTED_VALUE"""),482.21)</f>
        <v>482.21</v>
      </c>
      <c r="X1364" s="1">
        <f ca="1">IFERROR(__xludf.DUMMYFUNCTION("""COMPUTED_VALUE"""),742.78)</f>
        <v>742.78</v>
      </c>
      <c r="Y1364" s="1">
        <f ca="1">IFERROR(__xludf.DUMMYFUNCTION("""COMPUTED_VALUE"""),202.4)</f>
        <v>202.4</v>
      </c>
      <c r="Z1364" s="1">
        <f ca="1">IFERROR(__xludf.DUMMYFUNCTION("""COMPUTED_VALUE"""),605.88)</f>
        <v>605.88</v>
      </c>
      <c r="AA1364" s="1">
        <f ca="1">IFERROR(__xludf.DUMMYFUNCTION("""COMPUTED_VALUE"""),23.39)</f>
        <v>23.39</v>
      </c>
      <c r="AB1364" s="1">
        <f ca="1">IFERROR(__xludf.DUMMYFUNCTION("""COMPUTED_VALUE"""),86.99)</f>
        <v>86.99</v>
      </c>
      <c r="AC1364" s="1">
        <f ca="1">IFERROR(__xludf.DUMMYFUNCTION("""COMPUTED_VALUE"""),115.69)</f>
        <v>115.69</v>
      </c>
    </row>
    <row r="1365" spans="1:29" x14ac:dyDescent="0.25">
      <c r="A1365" s="2">
        <f ca="1">IFERROR(__xludf.DUMMYFUNCTION("""COMPUTED_VALUE"""),45813.6666666666)</f>
        <v>45813.666666666599</v>
      </c>
      <c r="B1365" s="1">
        <f ca="1">IFERROR(__xludf.DUMMYFUNCTION("""COMPUTED_VALUE"""),200.63)</f>
        <v>200.63</v>
      </c>
      <c r="C1365" s="1">
        <f ca="1">IFERROR(__xludf.DUMMYFUNCTION("""COMPUTED_VALUE"""),467.68)</f>
        <v>467.68</v>
      </c>
      <c r="D1365" s="1">
        <f ca="1">IFERROR(__xludf.DUMMYFUNCTION("""COMPUTED_VALUE"""),207.91)</f>
        <v>207.91</v>
      </c>
      <c r="E1365" s="1">
        <f ca="1">IFERROR(__xludf.DUMMYFUNCTION("""COMPUTED_VALUE"""),139.99)</f>
        <v>139.99</v>
      </c>
      <c r="F1365" s="1">
        <f ca="1">IFERROR(__xludf.DUMMYFUNCTION("""COMPUTED_VALUE"""),697.71)</f>
        <v>697.71</v>
      </c>
      <c r="G1365" s="1">
        <f ca="1">IFERROR(__xludf.DUMMYFUNCTION("""COMPUTED_VALUE"""),169.81)</f>
        <v>169.81</v>
      </c>
      <c r="H1365" s="1">
        <f ca="1">IFERROR(__xludf.DUMMYFUNCTION("""COMPUTED_VALUE"""),295.14)</f>
        <v>295.14</v>
      </c>
      <c r="I1365" s="1">
        <f ca="1">IFERROR(__xludf.DUMMYFUNCTION("""COMPUTED_VALUE"""),130.03)</f>
        <v>130.03</v>
      </c>
      <c r="J1365" s="1">
        <f ca="1">IFERROR(__xludf.DUMMYFUNCTION("""COMPUTED_VALUE"""),1010.81)</f>
        <v>1010.81</v>
      </c>
      <c r="K1365" s="1">
        <f ca="1">IFERROR(__xludf.DUMMYFUNCTION("""COMPUTED_VALUE"""),259.93)</f>
        <v>259.93</v>
      </c>
      <c r="L1365" s="1">
        <f ca="1">IFERROR(__xludf.DUMMYFUNCTION("""COMPUTED_VALUE"""),415.2)</f>
        <v>415.2</v>
      </c>
      <c r="M1365" s="1">
        <f ca="1">IFERROR(__xludf.DUMMYFUNCTION("""COMPUTED_VALUE"""),1250.52)</f>
        <v>1250.52</v>
      </c>
      <c r="N1365" s="1">
        <f ca="1">IFERROR(__xludf.DUMMYFUNCTION("""COMPUTED_VALUE"""),265.73)</f>
        <v>265.73</v>
      </c>
      <c r="O1365" s="1">
        <f ca="1">IFERROR(__xludf.DUMMYFUNCTION("""COMPUTED_VALUE"""),366.77)</f>
        <v>366.77</v>
      </c>
      <c r="P1365" s="1">
        <f ca="1">IFERROR(__xludf.DUMMYFUNCTION("""COMPUTED_VALUE"""),153.66)</f>
        <v>153.66</v>
      </c>
      <c r="Q1365" s="1">
        <f ca="1">IFERROR(__xludf.DUMMYFUNCTION("""COMPUTED_VALUE"""),295.84)</f>
        <v>295.83999999999997</v>
      </c>
      <c r="R1365" s="1">
        <f ca="1">IFERROR(__xludf.DUMMYFUNCTION("""COMPUTED_VALUE"""),101.83)</f>
        <v>101.83</v>
      </c>
      <c r="S1365" s="1">
        <f ca="1">IFERROR(__xludf.DUMMYFUNCTION("""COMPUTED_VALUE"""),71.5)</f>
        <v>71.5</v>
      </c>
      <c r="T1365" s="1">
        <f ca="1">IFERROR(__xludf.DUMMYFUNCTION("""COMPUTED_VALUE"""),97.47)</f>
        <v>97.47</v>
      </c>
      <c r="U1365" s="1">
        <f ca="1">IFERROR(__xludf.DUMMYFUNCTION("""COMPUTED_VALUE"""),62.8)</f>
        <v>62.8</v>
      </c>
      <c r="V1365" s="1">
        <f ca="1">IFERROR(__xludf.DUMMYFUNCTION("""COMPUTED_VALUE"""),348.96)</f>
        <v>348.96</v>
      </c>
      <c r="W1365" s="1">
        <f ca="1">IFERROR(__xludf.DUMMYFUNCTION("""COMPUTED_VALUE"""),478.03)</f>
        <v>478.03</v>
      </c>
      <c r="X1365" s="1">
        <f ca="1">IFERROR(__xludf.DUMMYFUNCTION("""COMPUTED_VALUE"""),747.76)</f>
        <v>747.76</v>
      </c>
      <c r="Y1365" s="1">
        <f ca="1">IFERROR(__xludf.DUMMYFUNCTION("""COMPUTED_VALUE"""),203.34)</f>
        <v>203.34</v>
      </c>
      <c r="Z1365" s="1">
        <f ca="1">IFERROR(__xludf.DUMMYFUNCTION("""COMPUTED_VALUE"""),614)</f>
        <v>614</v>
      </c>
      <c r="AA1365" s="1">
        <f ca="1">IFERROR(__xludf.DUMMYFUNCTION("""COMPUTED_VALUE"""),23.12)</f>
        <v>23.12</v>
      </c>
      <c r="AB1365" s="1">
        <f ca="1">IFERROR(__xludf.DUMMYFUNCTION("""COMPUTED_VALUE"""),89.64)</f>
        <v>89.64</v>
      </c>
      <c r="AC1365" s="1">
        <f ca="1">IFERROR(__xludf.DUMMYFUNCTION("""COMPUTED_VALUE"""),116.19)</f>
        <v>116.19</v>
      </c>
    </row>
    <row r="1366" spans="1:29" x14ac:dyDescent="0.25">
      <c r="A1366" s="2">
        <f ca="1">IFERROR(__xludf.DUMMYFUNCTION("""COMPUTED_VALUE"""),45814.6666666666)</f>
        <v>45814.666666666599</v>
      </c>
      <c r="B1366" s="1">
        <f ca="1">IFERROR(__xludf.DUMMYFUNCTION("""COMPUTED_VALUE"""),203.92)</f>
        <v>203.92</v>
      </c>
      <c r="C1366" s="1">
        <f ca="1">IFERROR(__xludf.DUMMYFUNCTION("""COMPUTED_VALUE"""),470.38)</f>
        <v>470.38</v>
      </c>
      <c r="D1366" s="1">
        <f ca="1">IFERROR(__xludf.DUMMYFUNCTION("""COMPUTED_VALUE"""),213.57)</f>
        <v>213.57</v>
      </c>
      <c r="E1366" s="1">
        <f ca="1">IFERROR(__xludf.DUMMYFUNCTION("""COMPUTED_VALUE"""),141.72)</f>
        <v>141.72</v>
      </c>
      <c r="F1366" s="1">
        <f ca="1">IFERROR(__xludf.DUMMYFUNCTION("""COMPUTED_VALUE"""),694.06)</f>
        <v>694.06</v>
      </c>
      <c r="G1366" s="1">
        <f ca="1">IFERROR(__xludf.DUMMYFUNCTION("""COMPUTED_VALUE"""),174.92)</f>
        <v>174.92</v>
      </c>
      <c r="H1366" s="1">
        <f ca="1">IFERROR(__xludf.DUMMYFUNCTION("""COMPUTED_VALUE"""),308.58)</f>
        <v>308.58</v>
      </c>
      <c r="I1366" s="1">
        <f ca="1">IFERROR(__xludf.DUMMYFUNCTION("""COMPUTED_VALUE"""),129.96)</f>
        <v>129.96</v>
      </c>
      <c r="J1366" s="1">
        <f ca="1">IFERROR(__xludf.DUMMYFUNCTION("""COMPUTED_VALUE"""),1014.94)</f>
        <v>1014.94</v>
      </c>
      <c r="K1366" s="1">
        <f ca="1">IFERROR(__xludf.DUMMYFUNCTION("""COMPUTED_VALUE"""),246.93)</f>
        <v>246.93</v>
      </c>
      <c r="L1366" s="1">
        <f ca="1">IFERROR(__xludf.DUMMYFUNCTION("""COMPUTED_VALUE"""),416.92)</f>
        <v>416.92</v>
      </c>
      <c r="M1366" s="1">
        <f ca="1">IFERROR(__xludf.DUMMYFUNCTION("""COMPUTED_VALUE"""),1241.47)</f>
        <v>1241.47</v>
      </c>
      <c r="N1366" s="1">
        <f ca="1">IFERROR(__xludf.DUMMYFUNCTION("""COMPUTED_VALUE"""),266.74)</f>
        <v>266.74</v>
      </c>
      <c r="O1366" s="1">
        <f ca="1">IFERROR(__xludf.DUMMYFUNCTION("""COMPUTED_VALUE"""),370.22)</f>
        <v>370.22</v>
      </c>
      <c r="P1366" s="1">
        <f ca="1">IFERROR(__xludf.DUMMYFUNCTION("""COMPUTED_VALUE"""),155.03)</f>
        <v>155.03</v>
      </c>
      <c r="Q1366" s="1">
        <f ca="1">IFERROR(__xludf.DUMMYFUNCTION("""COMPUTED_VALUE"""),303.22)</f>
        <v>303.22000000000003</v>
      </c>
      <c r="R1366" s="1">
        <f ca="1">IFERROR(__xludf.DUMMYFUNCTION("""COMPUTED_VALUE"""),104.27)</f>
        <v>104.27</v>
      </c>
      <c r="S1366" s="1">
        <f ca="1">IFERROR(__xludf.DUMMYFUNCTION("""COMPUTED_VALUE"""),72.16)</f>
        <v>72.16</v>
      </c>
      <c r="T1366" s="1">
        <f ca="1">IFERROR(__xludf.DUMMYFUNCTION("""COMPUTED_VALUE"""),97.45)</f>
        <v>97.45</v>
      </c>
      <c r="U1366" s="1">
        <f ca="1">IFERROR(__xludf.DUMMYFUNCTION("""COMPUTED_VALUE"""),61.91)</f>
        <v>61.91</v>
      </c>
      <c r="V1366" s="1">
        <f ca="1">IFERROR(__xludf.DUMMYFUNCTION("""COMPUTED_VALUE"""),353.35)</f>
        <v>353.35</v>
      </c>
      <c r="W1366" s="1">
        <f ca="1">IFERROR(__xludf.DUMMYFUNCTION("""COMPUTED_VALUE"""),481.69)</f>
        <v>481.69</v>
      </c>
      <c r="X1366" s="1">
        <f ca="1">IFERROR(__xludf.DUMMYFUNCTION("""COMPUTED_VALUE"""),753.02)</f>
        <v>753.02</v>
      </c>
      <c r="Y1366" s="1">
        <f ca="1">IFERROR(__xludf.DUMMYFUNCTION("""COMPUTED_VALUE"""),205.18)</f>
        <v>205.18</v>
      </c>
      <c r="Z1366" s="1">
        <f ca="1">IFERROR(__xludf.DUMMYFUNCTION("""COMPUTED_VALUE"""),613.52)</f>
        <v>613.52</v>
      </c>
      <c r="AA1366" s="1">
        <f ca="1">IFERROR(__xludf.DUMMYFUNCTION("""COMPUTED_VALUE"""),23.35)</f>
        <v>23.35</v>
      </c>
      <c r="AB1366" s="1">
        <f ca="1">IFERROR(__xludf.DUMMYFUNCTION("""COMPUTED_VALUE"""),90.67)</f>
        <v>90.67</v>
      </c>
      <c r="AC1366" s="1">
        <f ca="1">IFERROR(__xludf.DUMMYFUNCTION("""COMPUTED_VALUE"""),121.73)</f>
        <v>121.73</v>
      </c>
    </row>
    <row r="1367" spans="1:29" x14ac:dyDescent="0.25">
      <c r="A1367" s="2">
        <f ca="1">IFERROR(__xludf.DUMMYFUNCTION("""COMPUTED_VALUE"""),45817.6666666666)</f>
        <v>45817.666666666599</v>
      </c>
      <c r="B1367" s="1">
        <f ca="1">IFERROR(__xludf.DUMMYFUNCTION("""COMPUTED_VALUE"""),201.45)</f>
        <v>201.45</v>
      </c>
      <c r="C1367" s="1">
        <f ca="1">IFERROR(__xludf.DUMMYFUNCTION("""COMPUTED_VALUE"""),472.75)</f>
        <v>472.75</v>
      </c>
      <c r="D1367" s="1">
        <f ca="1">IFERROR(__xludf.DUMMYFUNCTION("""COMPUTED_VALUE"""),216.98)</f>
        <v>216.98</v>
      </c>
      <c r="E1367" s="1">
        <f ca="1">IFERROR(__xludf.DUMMYFUNCTION("""COMPUTED_VALUE"""),142.63)</f>
        <v>142.63</v>
      </c>
      <c r="F1367" s="1">
        <f ca="1">IFERROR(__xludf.DUMMYFUNCTION("""COMPUTED_VALUE"""),702.4)</f>
        <v>702.4</v>
      </c>
      <c r="G1367" s="1">
        <f ca="1">IFERROR(__xludf.DUMMYFUNCTION("""COMPUTED_VALUE"""),177.63)</f>
        <v>177.63</v>
      </c>
      <c r="H1367" s="1">
        <f ca="1">IFERROR(__xludf.DUMMYFUNCTION("""COMPUTED_VALUE"""),326.09)</f>
        <v>326.08999999999997</v>
      </c>
      <c r="I1367" s="1">
        <f ca="1">IFERROR(__xludf.DUMMYFUNCTION("""COMPUTED_VALUE"""),131.83)</f>
        <v>131.83000000000001</v>
      </c>
      <c r="J1367" s="1">
        <f ca="1">IFERROR(__xludf.DUMMYFUNCTION("""COMPUTED_VALUE"""),1006.18)</f>
        <v>1006.18</v>
      </c>
      <c r="K1367" s="1">
        <f ca="1">IFERROR(__xludf.DUMMYFUNCTION("""COMPUTED_VALUE"""),244.28)</f>
        <v>244.28</v>
      </c>
      <c r="L1367" s="1">
        <f ca="1">IFERROR(__xludf.DUMMYFUNCTION("""COMPUTED_VALUE"""),416.26)</f>
        <v>416.26</v>
      </c>
      <c r="M1367" s="1">
        <f ca="1">IFERROR(__xludf.DUMMYFUNCTION("""COMPUTED_VALUE"""),1224.46)</f>
        <v>1224.46</v>
      </c>
      <c r="N1367" s="1">
        <f ca="1">IFERROR(__xludf.DUMMYFUNCTION("""COMPUTED_VALUE"""),268.6)</f>
        <v>268.60000000000002</v>
      </c>
      <c r="O1367" s="1">
        <f ca="1">IFERROR(__xludf.DUMMYFUNCTION("""COMPUTED_VALUE"""),366.66)</f>
        <v>366.66</v>
      </c>
      <c r="P1367" s="1">
        <f ca="1">IFERROR(__xludf.DUMMYFUNCTION("""COMPUTED_VALUE"""),155.23)</f>
        <v>155.22999999999999</v>
      </c>
      <c r="Q1367" s="1">
        <f ca="1">IFERROR(__xludf.DUMMYFUNCTION("""COMPUTED_VALUE"""),303.19)</f>
        <v>303.19</v>
      </c>
      <c r="R1367" s="1">
        <f ca="1">IFERROR(__xludf.DUMMYFUNCTION("""COMPUTED_VALUE"""),104.97)</f>
        <v>104.97</v>
      </c>
      <c r="S1367" s="1">
        <f ca="1">IFERROR(__xludf.DUMMYFUNCTION("""COMPUTED_VALUE"""),71.9)</f>
        <v>71.900000000000006</v>
      </c>
      <c r="T1367" s="1">
        <f ca="1">IFERROR(__xludf.DUMMYFUNCTION("""COMPUTED_VALUE"""),97.32)</f>
        <v>97.32</v>
      </c>
      <c r="U1367" s="1">
        <f ca="1">IFERROR(__xludf.DUMMYFUNCTION("""COMPUTED_VALUE"""),63.87)</f>
        <v>63.87</v>
      </c>
      <c r="V1367" s="1">
        <f ca="1">IFERROR(__xludf.DUMMYFUNCTION("""COMPUTED_VALUE"""),358.07)</f>
        <v>358.07</v>
      </c>
      <c r="W1367" s="1">
        <f ca="1">IFERROR(__xludf.DUMMYFUNCTION("""COMPUTED_VALUE"""),480.83)</f>
        <v>480.83</v>
      </c>
      <c r="X1367" s="1">
        <f ca="1">IFERROR(__xludf.DUMMYFUNCTION("""COMPUTED_VALUE"""),770.2)</f>
        <v>770.2</v>
      </c>
      <c r="Y1367" s="1">
        <f ca="1">IFERROR(__xludf.DUMMYFUNCTION("""COMPUTED_VALUE"""),207)</f>
        <v>207</v>
      </c>
      <c r="Z1367" s="1">
        <f ca="1">IFERROR(__xludf.DUMMYFUNCTION("""COMPUTED_VALUE"""),614.87)</f>
        <v>614.87</v>
      </c>
      <c r="AA1367" s="1">
        <f ca="1">IFERROR(__xludf.DUMMYFUNCTION("""COMPUTED_VALUE"""),23.97)</f>
        <v>23.97</v>
      </c>
      <c r="AB1367" s="1">
        <f ca="1">IFERROR(__xludf.DUMMYFUNCTION("""COMPUTED_VALUE"""),91.43)</f>
        <v>91.43</v>
      </c>
      <c r="AC1367" s="1">
        <f ca="1">IFERROR(__xludf.DUMMYFUNCTION("""COMPUTED_VALUE"""),123.24)</f>
        <v>123.24</v>
      </c>
    </row>
    <row r="1368" spans="1:29" x14ac:dyDescent="0.25">
      <c r="A1368" s="2">
        <f ca="1">IFERROR(__xludf.DUMMYFUNCTION("""COMPUTED_VALUE"""),45818.6666666666)</f>
        <v>45818.666666666599</v>
      </c>
      <c r="B1368" s="1">
        <f ca="1">IFERROR(__xludf.DUMMYFUNCTION("""COMPUTED_VALUE"""),202.67)</f>
        <v>202.67</v>
      </c>
      <c r="C1368" s="1">
        <f ca="1">IFERROR(__xludf.DUMMYFUNCTION("""COMPUTED_VALUE"""),470.92)</f>
        <v>470.92</v>
      </c>
      <c r="D1368" s="1">
        <f ca="1">IFERROR(__xludf.DUMMYFUNCTION("""COMPUTED_VALUE"""),217.61)</f>
        <v>217.61</v>
      </c>
      <c r="E1368" s="1">
        <f ca="1">IFERROR(__xludf.DUMMYFUNCTION("""COMPUTED_VALUE"""),143.96)</f>
        <v>143.96</v>
      </c>
      <c r="F1368" s="1">
        <f ca="1">IFERROR(__xludf.DUMMYFUNCTION("""COMPUTED_VALUE"""),694.14)</f>
        <v>694.14</v>
      </c>
      <c r="G1368" s="1">
        <f ca="1">IFERROR(__xludf.DUMMYFUNCTION("""COMPUTED_VALUE"""),180.01)</f>
        <v>180.01</v>
      </c>
      <c r="H1368" s="1">
        <f ca="1">IFERROR(__xludf.DUMMYFUNCTION("""COMPUTED_VALUE"""),326.43)</f>
        <v>326.43</v>
      </c>
      <c r="I1368" s="1">
        <f ca="1">IFERROR(__xludf.DUMMYFUNCTION("""COMPUTED_VALUE"""),129.9)</f>
        <v>129.9</v>
      </c>
      <c r="J1368" s="1">
        <f ca="1">IFERROR(__xludf.DUMMYFUNCTION("""COMPUTED_VALUE"""),1007.27)</f>
        <v>1007.27</v>
      </c>
      <c r="K1368" s="1">
        <f ca="1">IFERROR(__xludf.DUMMYFUNCTION("""COMPUTED_VALUE"""),244.63)</f>
        <v>244.63</v>
      </c>
      <c r="L1368" s="1">
        <f ca="1">IFERROR(__xludf.DUMMYFUNCTION("""COMPUTED_VALUE"""),416.06)</f>
        <v>416.06</v>
      </c>
      <c r="M1368" s="1">
        <f ca="1">IFERROR(__xludf.DUMMYFUNCTION("""COMPUTED_VALUE"""),1203.62)</f>
        <v>1203.6199999999999</v>
      </c>
      <c r="N1368" s="1">
        <f ca="1">IFERROR(__xludf.DUMMYFUNCTION("""COMPUTED_VALUE"""),268.15)</f>
        <v>268.14999999999998</v>
      </c>
      <c r="O1368" s="1">
        <f ca="1">IFERROR(__xludf.DUMMYFUNCTION("""COMPUTED_VALUE"""),370.7)</f>
        <v>370.7</v>
      </c>
      <c r="P1368" s="1">
        <f ca="1">IFERROR(__xludf.DUMMYFUNCTION("""COMPUTED_VALUE"""),156.45)</f>
        <v>156.44999999999999</v>
      </c>
      <c r="Q1368" s="1">
        <f ca="1">IFERROR(__xludf.DUMMYFUNCTION("""COMPUTED_VALUE"""),303.79)</f>
        <v>303.79000000000002</v>
      </c>
      <c r="R1368" s="1">
        <f ca="1">IFERROR(__xludf.DUMMYFUNCTION("""COMPUTED_VALUE"""),107.22)</f>
        <v>107.22</v>
      </c>
      <c r="S1368" s="1">
        <f ca="1">IFERROR(__xludf.DUMMYFUNCTION("""COMPUTED_VALUE"""),72.81)</f>
        <v>72.81</v>
      </c>
      <c r="T1368" s="1">
        <f ca="1">IFERROR(__xludf.DUMMYFUNCTION("""COMPUTED_VALUE"""),95.8)</f>
        <v>95.8</v>
      </c>
      <c r="U1368" s="1">
        <f ca="1">IFERROR(__xludf.DUMMYFUNCTION("""COMPUTED_VALUE"""),63.11)</f>
        <v>63.11</v>
      </c>
      <c r="V1368" s="1">
        <f ca="1">IFERROR(__xludf.DUMMYFUNCTION("""COMPUTED_VALUE"""),358.57)</f>
        <v>358.57</v>
      </c>
      <c r="W1368" s="1">
        <f ca="1">IFERROR(__xludf.DUMMYFUNCTION("""COMPUTED_VALUE"""),476.9)</f>
        <v>476.9</v>
      </c>
      <c r="X1368" s="1">
        <f ca="1">IFERROR(__xludf.DUMMYFUNCTION("""COMPUTED_VALUE"""),784.97)</f>
        <v>784.97</v>
      </c>
      <c r="Y1368" s="1">
        <f ca="1">IFERROR(__xludf.DUMMYFUNCTION("""COMPUTED_VALUE"""),212.46)</f>
        <v>212.46</v>
      </c>
      <c r="Z1368" s="1">
        <f ca="1">IFERROR(__xludf.DUMMYFUNCTION("""COMPUTED_VALUE"""),624.17)</f>
        <v>624.16999999999996</v>
      </c>
      <c r="AA1368" s="1">
        <f ca="1">IFERROR(__xludf.DUMMYFUNCTION("""COMPUTED_VALUE"""),24.3)</f>
        <v>24.3</v>
      </c>
      <c r="AB1368" s="1">
        <f ca="1">IFERROR(__xludf.DUMMYFUNCTION("""COMPUTED_VALUE"""),95.39)</f>
        <v>95.39</v>
      </c>
      <c r="AC1368" s="1">
        <f ca="1">IFERROR(__xludf.DUMMYFUNCTION("""COMPUTED_VALUE"""),121.14)</f>
        <v>121.14</v>
      </c>
    </row>
    <row r="1369" spans="1:29" x14ac:dyDescent="0.25">
      <c r="A1369" s="2">
        <f ca="1">IFERROR(__xludf.DUMMYFUNCTION("""COMPUTED_VALUE"""),45819.6666666666)</f>
        <v>45819.666666666599</v>
      </c>
      <c r="B1369" s="1">
        <f ca="1">IFERROR(__xludf.DUMMYFUNCTION("""COMPUTED_VALUE"""),198.78)</f>
        <v>198.78</v>
      </c>
      <c r="C1369" s="1">
        <f ca="1">IFERROR(__xludf.DUMMYFUNCTION("""COMPUTED_VALUE"""),472.62)</f>
        <v>472.62</v>
      </c>
      <c r="D1369" s="1">
        <f ca="1">IFERROR(__xludf.DUMMYFUNCTION("""COMPUTED_VALUE"""),213.2)</f>
        <v>213.2</v>
      </c>
      <c r="E1369" s="1">
        <f ca="1">IFERROR(__xludf.DUMMYFUNCTION("""COMPUTED_VALUE"""),142.83)</f>
        <v>142.83000000000001</v>
      </c>
      <c r="F1369" s="1">
        <f ca="1">IFERROR(__xludf.DUMMYFUNCTION("""COMPUTED_VALUE"""),693.36)</f>
        <v>693.36</v>
      </c>
      <c r="G1369" s="1">
        <f ca="1">IFERROR(__xludf.DUMMYFUNCTION("""COMPUTED_VALUE"""),178.79)</f>
        <v>178.79</v>
      </c>
      <c r="H1369" s="1">
        <f ca="1">IFERROR(__xludf.DUMMYFUNCTION("""COMPUTED_VALUE"""),319.11)</f>
        <v>319.11</v>
      </c>
      <c r="I1369" s="1">
        <f ca="1">IFERROR(__xludf.DUMMYFUNCTION("""COMPUTED_VALUE"""),132.3)</f>
        <v>132.30000000000001</v>
      </c>
      <c r="J1369" s="1">
        <f ca="1">IFERROR(__xludf.DUMMYFUNCTION("""COMPUTED_VALUE"""),996.78)</f>
        <v>996.78</v>
      </c>
      <c r="K1369" s="1">
        <f ca="1">IFERROR(__xludf.DUMMYFUNCTION("""COMPUTED_VALUE"""),252.91)</f>
        <v>252.91</v>
      </c>
      <c r="L1369" s="1">
        <f ca="1">IFERROR(__xludf.DUMMYFUNCTION("""COMPUTED_VALUE"""),412.84)</f>
        <v>412.84</v>
      </c>
      <c r="M1369" s="1">
        <f ca="1">IFERROR(__xludf.DUMMYFUNCTION("""COMPUTED_VALUE"""),1219.88)</f>
        <v>1219.8800000000001</v>
      </c>
      <c r="N1369" s="1">
        <f ca="1">IFERROR(__xludf.DUMMYFUNCTION("""COMPUTED_VALUE"""),268.24)</f>
        <v>268.24</v>
      </c>
      <c r="O1369" s="1">
        <f ca="1">IFERROR(__xludf.DUMMYFUNCTION("""COMPUTED_VALUE"""),373.31)</f>
        <v>373.31</v>
      </c>
      <c r="P1369" s="1">
        <f ca="1">IFERROR(__xludf.DUMMYFUNCTION("""COMPUTED_VALUE"""),155.26)</f>
        <v>155.26</v>
      </c>
      <c r="Q1369" s="1">
        <f ca="1">IFERROR(__xludf.DUMMYFUNCTION("""COMPUTED_VALUE"""),310.56)</f>
        <v>310.56</v>
      </c>
      <c r="R1369" s="1">
        <f ca="1">IFERROR(__xludf.DUMMYFUNCTION("""COMPUTED_VALUE"""),109.31)</f>
        <v>109.31</v>
      </c>
      <c r="S1369" s="1">
        <f ca="1">IFERROR(__xludf.DUMMYFUNCTION("""COMPUTED_VALUE"""),73)</f>
        <v>73</v>
      </c>
      <c r="T1369" s="1">
        <f ca="1">IFERROR(__xludf.DUMMYFUNCTION("""COMPUTED_VALUE"""),94.83)</f>
        <v>94.83</v>
      </c>
      <c r="U1369" s="1">
        <f ca="1">IFERROR(__xludf.DUMMYFUNCTION("""COMPUTED_VALUE"""),62.8)</f>
        <v>62.8</v>
      </c>
      <c r="V1369" s="1">
        <f ca="1">IFERROR(__xludf.DUMMYFUNCTION("""COMPUTED_VALUE"""),363.14)</f>
        <v>363.14</v>
      </c>
      <c r="W1369" s="1">
        <f ca="1">IFERROR(__xludf.DUMMYFUNCTION("""COMPUTED_VALUE"""),456.6)</f>
        <v>456.6</v>
      </c>
      <c r="X1369" s="1">
        <f ca="1">IFERROR(__xludf.DUMMYFUNCTION("""COMPUTED_VALUE"""),784.09)</f>
        <v>784.09</v>
      </c>
      <c r="Y1369" s="1">
        <f ca="1">IFERROR(__xludf.DUMMYFUNCTION("""COMPUTED_VALUE"""),214.1)</f>
        <v>214.1</v>
      </c>
      <c r="Z1369" s="1">
        <f ca="1">IFERROR(__xludf.DUMMYFUNCTION("""COMPUTED_VALUE"""),625.11)</f>
        <v>625.11</v>
      </c>
      <c r="AA1369" s="1">
        <f ca="1">IFERROR(__xludf.DUMMYFUNCTION("""COMPUTED_VALUE"""),24.48)</f>
        <v>24.48</v>
      </c>
      <c r="AB1369" s="1">
        <f ca="1">IFERROR(__xludf.DUMMYFUNCTION("""COMPUTED_VALUE"""),94.32)</f>
        <v>94.32</v>
      </c>
      <c r="AC1369" s="1">
        <f ca="1">IFERROR(__xludf.DUMMYFUNCTION("""COMPUTED_VALUE"""),118.5)</f>
        <v>118.5</v>
      </c>
    </row>
    <row r="1370" spans="1:29" x14ac:dyDescent="0.25">
      <c r="A1370" s="2">
        <f ca="1">IFERROR(__xludf.DUMMYFUNCTION("""COMPUTED_VALUE"""),45820.6666666666)</f>
        <v>45820.666666666599</v>
      </c>
      <c r="B1370" s="1">
        <f ca="1">IFERROR(__xludf.DUMMYFUNCTION("""COMPUTED_VALUE"""),199.2)</f>
        <v>199.2</v>
      </c>
      <c r="C1370" s="1">
        <f ca="1">IFERROR(__xludf.DUMMYFUNCTION("""COMPUTED_VALUE"""),478.87)</f>
        <v>478.87</v>
      </c>
      <c r="D1370" s="1">
        <f ca="1">IFERROR(__xludf.DUMMYFUNCTION("""COMPUTED_VALUE"""),213.24)</f>
        <v>213.24</v>
      </c>
      <c r="E1370" s="1">
        <f ca="1">IFERROR(__xludf.DUMMYFUNCTION("""COMPUTED_VALUE"""),145)</f>
        <v>145</v>
      </c>
      <c r="F1370" s="1">
        <f ca="1">IFERROR(__xludf.DUMMYFUNCTION("""COMPUTED_VALUE"""),682.87)</f>
        <v>682.87</v>
      </c>
      <c r="G1370" s="1">
        <f ca="1">IFERROR(__xludf.DUMMYFUNCTION("""COMPUTED_VALUE"""),176.97)</f>
        <v>176.97</v>
      </c>
      <c r="H1370" s="1">
        <f ca="1">IFERROR(__xludf.DUMMYFUNCTION("""COMPUTED_VALUE"""),325.31)</f>
        <v>325.31</v>
      </c>
      <c r="I1370" s="1">
        <f ca="1">IFERROR(__xludf.DUMMYFUNCTION("""COMPUTED_VALUE"""),130.85)</f>
        <v>130.85</v>
      </c>
      <c r="J1370" s="1">
        <f ca="1">IFERROR(__xludf.DUMMYFUNCTION("""COMPUTED_VALUE"""),1002.71)</f>
        <v>1002.71</v>
      </c>
      <c r="K1370" s="1">
        <f ca="1">IFERROR(__xludf.DUMMYFUNCTION("""COMPUTED_VALUE"""),256.07)</f>
        <v>256.07</v>
      </c>
      <c r="L1370" s="1">
        <f ca="1">IFERROR(__xludf.DUMMYFUNCTION("""COMPUTED_VALUE"""),413.68)</f>
        <v>413.68</v>
      </c>
      <c r="M1370" s="1">
        <f ca="1">IFERROR(__xludf.DUMMYFUNCTION("""COMPUTED_VALUE"""),1215.03)</f>
        <v>1215.03</v>
      </c>
      <c r="N1370" s="1">
        <f ca="1">IFERROR(__xludf.DUMMYFUNCTION("""COMPUTED_VALUE"""),264.95)</f>
        <v>264.95</v>
      </c>
      <c r="O1370" s="1">
        <f ca="1">IFERROR(__xludf.DUMMYFUNCTION("""COMPUTED_VALUE"""),371.4)</f>
        <v>371.4</v>
      </c>
      <c r="P1370" s="1">
        <f ca="1">IFERROR(__xludf.DUMMYFUNCTION("""COMPUTED_VALUE"""),156.66)</f>
        <v>156.66</v>
      </c>
      <c r="Q1370" s="1">
        <f ca="1">IFERROR(__xludf.DUMMYFUNCTION("""COMPUTED_VALUE"""),318.5)</f>
        <v>318.5</v>
      </c>
      <c r="R1370" s="1">
        <f ca="1">IFERROR(__xludf.DUMMYFUNCTION("""COMPUTED_VALUE"""),109.73)</f>
        <v>109.73</v>
      </c>
      <c r="S1370" s="1">
        <f ca="1">IFERROR(__xludf.DUMMYFUNCTION("""COMPUTED_VALUE"""),73.84)</f>
        <v>73.84</v>
      </c>
      <c r="T1370" s="1">
        <f ca="1">IFERROR(__xludf.DUMMYFUNCTION("""COMPUTED_VALUE"""),94.44)</f>
        <v>94.44</v>
      </c>
      <c r="U1370" s="1">
        <f ca="1">IFERROR(__xludf.DUMMYFUNCTION("""COMPUTED_VALUE"""),60.53)</f>
        <v>60.53</v>
      </c>
      <c r="V1370" s="1">
        <f ca="1">IFERROR(__xludf.DUMMYFUNCTION("""COMPUTED_VALUE"""),360.96)</f>
        <v>360.96</v>
      </c>
      <c r="W1370" s="1">
        <f ca="1">IFERROR(__xludf.DUMMYFUNCTION("""COMPUTED_VALUE"""),469.27)</f>
        <v>469.27</v>
      </c>
      <c r="X1370" s="1">
        <f ca="1">IFERROR(__xludf.DUMMYFUNCTION("""COMPUTED_VALUE"""),786.21)</f>
        <v>786.21</v>
      </c>
      <c r="Y1370" s="1">
        <f ca="1">IFERROR(__xludf.DUMMYFUNCTION("""COMPUTED_VALUE"""),215.43)</f>
        <v>215.43</v>
      </c>
      <c r="Z1370" s="1">
        <f ca="1">IFERROR(__xludf.DUMMYFUNCTION("""COMPUTED_VALUE"""),613.54)</f>
        <v>613.54</v>
      </c>
      <c r="AA1370" s="1">
        <f ca="1">IFERROR(__xludf.DUMMYFUNCTION("""COMPUTED_VALUE"""),24.84)</f>
        <v>24.84</v>
      </c>
      <c r="AB1370" s="1">
        <f ca="1">IFERROR(__xludf.DUMMYFUNCTION("""COMPUTED_VALUE"""),93.26)</f>
        <v>93.26</v>
      </c>
      <c r="AC1370" s="1">
        <f ca="1">IFERROR(__xludf.DUMMYFUNCTION("""COMPUTED_VALUE"""),116.16)</f>
        <v>116.16</v>
      </c>
    </row>
    <row r="1371" spans="1:29" x14ac:dyDescent="0.25">
      <c r="A1371" s="2">
        <f ca="1">IFERROR(__xludf.DUMMYFUNCTION("""COMPUTED_VALUE"""),45821.6666666666)</f>
        <v>45821.666666666599</v>
      </c>
      <c r="B1371" s="1">
        <f ca="1">IFERROR(__xludf.DUMMYFUNCTION("""COMPUTED_VALUE"""),196.45)</f>
        <v>196.45</v>
      </c>
      <c r="C1371" s="1">
        <f ca="1">IFERROR(__xludf.DUMMYFUNCTION("""COMPUTED_VALUE"""),474.96)</f>
        <v>474.96</v>
      </c>
      <c r="D1371" s="1">
        <f ca="1">IFERROR(__xludf.DUMMYFUNCTION("""COMPUTED_VALUE"""),212.1)</f>
        <v>212.1</v>
      </c>
      <c r="E1371" s="1">
        <f ca="1">IFERROR(__xludf.DUMMYFUNCTION("""COMPUTED_VALUE"""),141.97)</f>
        <v>141.97</v>
      </c>
      <c r="F1371" s="1">
        <f ca="1">IFERROR(__xludf.DUMMYFUNCTION("""COMPUTED_VALUE"""),702.12)</f>
        <v>702.12</v>
      </c>
      <c r="G1371" s="1">
        <f ca="1">IFERROR(__xludf.DUMMYFUNCTION("""COMPUTED_VALUE"""),175.88)</f>
        <v>175.88</v>
      </c>
      <c r="H1371" s="1">
        <f ca="1">IFERROR(__xludf.DUMMYFUNCTION("""COMPUTED_VALUE"""),329.13)</f>
        <v>329.13</v>
      </c>
      <c r="I1371" s="1">
        <f ca="1">IFERROR(__xludf.DUMMYFUNCTION("""COMPUTED_VALUE"""),131.41)</f>
        <v>131.41</v>
      </c>
      <c r="J1371" s="1">
        <f ca="1">IFERROR(__xludf.DUMMYFUNCTION("""COMPUTED_VALUE"""),990.21)</f>
        <v>990.21</v>
      </c>
      <c r="K1371" s="1">
        <f ca="1">IFERROR(__xludf.DUMMYFUNCTION("""COMPUTED_VALUE"""),248.7)</f>
        <v>248.7</v>
      </c>
      <c r="L1371" s="1">
        <f ca="1">IFERROR(__xludf.DUMMYFUNCTION("""COMPUTED_VALUE"""),391.68)</f>
        <v>391.68</v>
      </c>
      <c r="M1371" s="1">
        <f ca="1">IFERROR(__xludf.DUMMYFUNCTION("""COMPUTED_VALUE"""),1212.15)</f>
        <v>1212.1500000000001</v>
      </c>
      <c r="N1371" s="1">
        <f ca="1">IFERROR(__xludf.DUMMYFUNCTION("""COMPUTED_VALUE"""),270.36)</f>
        <v>270.36</v>
      </c>
      <c r="O1371" s="1">
        <f ca="1">IFERROR(__xludf.DUMMYFUNCTION("""COMPUTED_VALUE"""),352.85)</f>
        <v>352.85</v>
      </c>
      <c r="P1371" s="1">
        <f ca="1">IFERROR(__xludf.DUMMYFUNCTION("""COMPUTED_VALUE"""),157.1)</f>
        <v>157.1</v>
      </c>
      <c r="Q1371" s="1">
        <f ca="1">IFERROR(__xludf.DUMMYFUNCTION("""COMPUTED_VALUE"""),313.53)</f>
        <v>313.52999999999997</v>
      </c>
      <c r="R1371" s="1">
        <f ca="1">IFERROR(__xludf.DUMMYFUNCTION("""COMPUTED_VALUE"""),112.12)</f>
        <v>112.12</v>
      </c>
      <c r="S1371" s="1">
        <f ca="1">IFERROR(__xludf.DUMMYFUNCTION("""COMPUTED_VALUE"""),74.78)</f>
        <v>74.78</v>
      </c>
      <c r="T1371" s="1">
        <f ca="1">IFERROR(__xludf.DUMMYFUNCTION("""COMPUTED_VALUE"""),94.29)</f>
        <v>94.29</v>
      </c>
      <c r="U1371" s="1">
        <f ca="1">IFERROR(__xludf.DUMMYFUNCTION("""COMPUTED_VALUE"""),61.9)</f>
        <v>61.9</v>
      </c>
      <c r="V1371" s="1">
        <f ca="1">IFERROR(__xludf.DUMMYFUNCTION("""COMPUTED_VALUE"""),357.05)</f>
        <v>357.05</v>
      </c>
      <c r="W1371" s="1">
        <f ca="1">IFERROR(__xludf.DUMMYFUNCTION("""COMPUTED_VALUE"""),486.45)</f>
        <v>486.45</v>
      </c>
      <c r="X1371" s="1">
        <f ca="1">IFERROR(__xludf.DUMMYFUNCTION("""COMPUTED_VALUE"""),761)</f>
        <v>761</v>
      </c>
      <c r="Y1371" s="1">
        <f ca="1">IFERROR(__xludf.DUMMYFUNCTION("""COMPUTED_VALUE"""),211.1)</f>
        <v>211.1</v>
      </c>
      <c r="Z1371" s="1">
        <f ca="1">IFERROR(__xludf.DUMMYFUNCTION("""COMPUTED_VALUE"""),627.85)</f>
        <v>627.85</v>
      </c>
      <c r="AA1371" s="1">
        <f ca="1">IFERROR(__xludf.DUMMYFUNCTION("""COMPUTED_VALUE"""),24.54)</f>
        <v>24.54</v>
      </c>
      <c r="AB1371" s="1">
        <f ca="1">IFERROR(__xludf.DUMMYFUNCTION("""COMPUTED_VALUE"""),93.48)</f>
        <v>93.48</v>
      </c>
      <c r="AC1371" s="1">
        <f ca="1">IFERROR(__xludf.DUMMYFUNCTION("""COMPUTED_VALUE"""),126.39)</f>
        <v>126.39</v>
      </c>
    </row>
    <row r="1372" spans="1:29" x14ac:dyDescent="0.25">
      <c r="A1372" s="2">
        <f ca="1">IFERROR(__xludf.DUMMYFUNCTION("""COMPUTED_VALUE"""),45824.6666666666)</f>
        <v>45824.666666666599</v>
      </c>
      <c r="B1372" s="1">
        <f ca="1">IFERROR(__xludf.DUMMYFUNCTION("""COMPUTED_VALUE"""),198.42)</f>
        <v>198.42</v>
      </c>
      <c r="C1372" s="1">
        <f ca="1">IFERROR(__xludf.DUMMYFUNCTION("""COMPUTED_VALUE"""),479.14)</f>
        <v>479.14</v>
      </c>
      <c r="D1372" s="1">
        <f ca="1">IFERROR(__xludf.DUMMYFUNCTION("""COMPUTED_VALUE"""),216.1)</f>
        <v>216.1</v>
      </c>
      <c r="E1372" s="1">
        <f ca="1">IFERROR(__xludf.DUMMYFUNCTION("""COMPUTED_VALUE"""),144.69)</f>
        <v>144.69</v>
      </c>
      <c r="F1372" s="1">
        <f ca="1">IFERROR(__xludf.DUMMYFUNCTION("""COMPUTED_VALUE"""),697.23)</f>
        <v>697.23</v>
      </c>
      <c r="G1372" s="1">
        <f ca="1">IFERROR(__xludf.DUMMYFUNCTION("""COMPUTED_VALUE"""),177.94)</f>
        <v>177.94</v>
      </c>
      <c r="H1372" s="1">
        <f ca="1">IFERROR(__xludf.DUMMYFUNCTION("""COMPUTED_VALUE"""),316.35)</f>
        <v>316.35000000000002</v>
      </c>
      <c r="I1372" s="1">
        <f ca="1">IFERROR(__xludf.DUMMYFUNCTION("""COMPUTED_VALUE"""),129.29)</f>
        <v>129.29</v>
      </c>
      <c r="J1372" s="1">
        <f ca="1">IFERROR(__xludf.DUMMYFUNCTION("""COMPUTED_VALUE"""),984.36)</f>
        <v>984.36</v>
      </c>
      <c r="K1372" s="1">
        <f ca="1">IFERROR(__xludf.DUMMYFUNCTION("""COMPUTED_VALUE"""),252.1)</f>
        <v>252.1</v>
      </c>
      <c r="L1372" s="1">
        <f ca="1">IFERROR(__xludf.DUMMYFUNCTION("""COMPUTED_VALUE"""),401.73)</f>
        <v>401.73</v>
      </c>
      <c r="M1372" s="1">
        <f ca="1">IFERROR(__xludf.DUMMYFUNCTION("""COMPUTED_VALUE"""),1225.35)</f>
        <v>1225.3499999999999</v>
      </c>
      <c r="N1372" s="1">
        <f ca="1">IFERROR(__xludf.DUMMYFUNCTION("""COMPUTED_VALUE"""),269.52)</f>
        <v>269.52</v>
      </c>
      <c r="O1372" s="1">
        <f ca="1">IFERROR(__xludf.DUMMYFUNCTION("""COMPUTED_VALUE"""),355.48)</f>
        <v>355.48</v>
      </c>
      <c r="P1372" s="1">
        <f ca="1">IFERROR(__xludf.DUMMYFUNCTION("""COMPUTED_VALUE"""),155.22)</f>
        <v>155.22</v>
      </c>
      <c r="Q1372" s="1">
        <f ca="1">IFERROR(__xludf.DUMMYFUNCTION("""COMPUTED_VALUE"""),307.66)</f>
        <v>307.66000000000003</v>
      </c>
      <c r="R1372" s="1">
        <f ca="1">IFERROR(__xludf.DUMMYFUNCTION("""COMPUTED_VALUE"""),112.48)</f>
        <v>112.48</v>
      </c>
      <c r="S1372" s="1">
        <f ca="1">IFERROR(__xludf.DUMMYFUNCTION("""COMPUTED_VALUE"""),73.78)</f>
        <v>73.78</v>
      </c>
      <c r="T1372" s="1">
        <f ca="1">IFERROR(__xludf.DUMMYFUNCTION("""COMPUTED_VALUE"""),94.25)</f>
        <v>94.25</v>
      </c>
      <c r="U1372" s="1">
        <f ca="1">IFERROR(__xludf.DUMMYFUNCTION("""COMPUTED_VALUE"""),60)</f>
        <v>60</v>
      </c>
      <c r="V1372" s="1">
        <f ca="1">IFERROR(__xludf.DUMMYFUNCTION("""COMPUTED_VALUE"""),362.44)</f>
        <v>362.44</v>
      </c>
      <c r="W1372" s="1">
        <f ca="1">IFERROR(__xludf.DUMMYFUNCTION("""COMPUTED_VALUE"""),467.06)</f>
        <v>467.06</v>
      </c>
      <c r="X1372" s="1">
        <f ca="1">IFERROR(__xludf.DUMMYFUNCTION("""COMPUTED_VALUE"""),775.23)</f>
        <v>775.23</v>
      </c>
      <c r="Y1372" s="1">
        <f ca="1">IFERROR(__xludf.DUMMYFUNCTION("""COMPUTED_VALUE"""),215.68)</f>
        <v>215.68</v>
      </c>
      <c r="Z1372" s="1">
        <f ca="1">IFERROR(__xludf.DUMMYFUNCTION("""COMPUTED_VALUE"""),624.64)</f>
        <v>624.64</v>
      </c>
      <c r="AA1372" s="1">
        <f ca="1">IFERROR(__xludf.DUMMYFUNCTION("""COMPUTED_VALUE"""),24.4)</f>
        <v>24.4</v>
      </c>
      <c r="AB1372" s="1">
        <f ca="1">IFERROR(__xludf.DUMMYFUNCTION("""COMPUTED_VALUE"""),91.59)</f>
        <v>91.59</v>
      </c>
      <c r="AC1372" s="1">
        <f ca="1">IFERROR(__xludf.DUMMYFUNCTION("""COMPUTED_VALUE"""),127.1)</f>
        <v>127.1</v>
      </c>
    </row>
    <row r="1373" spans="1:29" x14ac:dyDescent="0.25">
      <c r="A1373" s="2">
        <f ca="1">IFERROR(__xludf.DUMMYFUNCTION("""COMPUTED_VALUE"""),45825.6666666666)</f>
        <v>45825.666666666599</v>
      </c>
      <c r="B1373" s="1">
        <f ca="1">IFERROR(__xludf.DUMMYFUNCTION("""COMPUTED_VALUE"""),195.64)</f>
        <v>195.64</v>
      </c>
      <c r="C1373" s="1">
        <f ca="1">IFERROR(__xludf.DUMMYFUNCTION("""COMPUTED_VALUE"""),478.04)</f>
        <v>478.04</v>
      </c>
      <c r="D1373" s="1">
        <f ca="1">IFERROR(__xludf.DUMMYFUNCTION("""COMPUTED_VALUE"""),214.82)</f>
        <v>214.82</v>
      </c>
      <c r="E1373" s="1">
        <f ca="1">IFERROR(__xludf.DUMMYFUNCTION("""COMPUTED_VALUE"""),144.12)</f>
        <v>144.12</v>
      </c>
      <c r="F1373" s="1">
        <f ca="1">IFERROR(__xludf.DUMMYFUNCTION("""COMPUTED_VALUE"""),695.77)</f>
        <v>695.77</v>
      </c>
      <c r="G1373" s="1">
        <f ca="1">IFERROR(__xludf.DUMMYFUNCTION("""COMPUTED_VALUE"""),177.23)</f>
        <v>177.23</v>
      </c>
      <c r="H1373" s="1">
        <f ca="1">IFERROR(__xludf.DUMMYFUNCTION("""COMPUTED_VALUE"""),322.05)</f>
        <v>322.05</v>
      </c>
      <c r="I1373" s="1">
        <f ca="1">IFERROR(__xludf.DUMMYFUNCTION("""COMPUTED_VALUE"""),129.07)</f>
        <v>129.07</v>
      </c>
      <c r="J1373" s="1">
        <f ca="1">IFERROR(__xludf.DUMMYFUNCTION("""COMPUTED_VALUE"""),977.72)</f>
        <v>977.72</v>
      </c>
      <c r="K1373" s="1">
        <f ca="1">IFERROR(__xludf.DUMMYFUNCTION("""COMPUTED_VALUE"""),249.37)</f>
        <v>249.37</v>
      </c>
      <c r="L1373" s="1">
        <f ca="1">IFERROR(__xludf.DUMMYFUNCTION("""COMPUTED_VALUE"""),382.68)</f>
        <v>382.68</v>
      </c>
      <c r="M1373" s="1">
        <f ca="1">IFERROR(__xludf.DUMMYFUNCTION("""COMPUTED_VALUE"""),1220.67)</f>
        <v>1220.67</v>
      </c>
      <c r="N1373" s="1">
        <f ca="1">IFERROR(__xludf.DUMMYFUNCTION("""COMPUTED_VALUE"""),273.96)</f>
        <v>273.95999999999998</v>
      </c>
      <c r="O1373" s="1">
        <f ca="1">IFERROR(__xludf.DUMMYFUNCTION("""COMPUTED_VALUE"""),357.84)</f>
        <v>357.84</v>
      </c>
      <c r="P1373" s="1">
        <f ca="1">IFERROR(__xludf.DUMMYFUNCTION("""COMPUTED_VALUE"""),152.38)</f>
        <v>152.38</v>
      </c>
      <c r="Q1373" s="1">
        <f ca="1">IFERROR(__xludf.DUMMYFUNCTION("""COMPUTED_VALUE"""),308.87)</f>
        <v>308.87</v>
      </c>
      <c r="R1373" s="1">
        <f ca="1">IFERROR(__xludf.DUMMYFUNCTION("""COMPUTED_VALUE"""),114)</f>
        <v>114</v>
      </c>
      <c r="S1373" s="1">
        <f ca="1">IFERROR(__xludf.DUMMYFUNCTION("""COMPUTED_VALUE"""),71.86)</f>
        <v>71.86</v>
      </c>
      <c r="T1373" s="1">
        <f ca="1">IFERROR(__xludf.DUMMYFUNCTION("""COMPUTED_VALUE"""),95.09)</f>
        <v>95.09</v>
      </c>
      <c r="U1373" s="1">
        <f ca="1">IFERROR(__xludf.DUMMYFUNCTION("""COMPUTED_VALUE"""),59.51)</f>
        <v>59.51</v>
      </c>
      <c r="V1373" s="1">
        <f ca="1">IFERROR(__xludf.DUMMYFUNCTION("""COMPUTED_VALUE"""),357.68)</f>
        <v>357.68</v>
      </c>
      <c r="W1373" s="1">
        <f ca="1">IFERROR(__xludf.DUMMYFUNCTION("""COMPUTED_VALUE"""),479.34)</f>
        <v>479.34</v>
      </c>
      <c r="X1373" s="1">
        <f ca="1">IFERROR(__xludf.DUMMYFUNCTION("""COMPUTED_VALUE"""),759.86)</f>
        <v>759.86</v>
      </c>
      <c r="Y1373" s="1">
        <f ca="1">IFERROR(__xludf.DUMMYFUNCTION("""COMPUTED_VALUE"""),213.9)</f>
        <v>213.9</v>
      </c>
      <c r="Z1373" s="1">
        <f ca="1">IFERROR(__xludf.DUMMYFUNCTION("""COMPUTED_VALUE"""),635.24)</f>
        <v>635.24</v>
      </c>
      <c r="AA1373" s="1">
        <f ca="1">IFERROR(__xludf.DUMMYFUNCTION("""COMPUTED_VALUE"""),24)</f>
        <v>24</v>
      </c>
      <c r="AB1373" s="1">
        <f ca="1">IFERROR(__xludf.DUMMYFUNCTION("""COMPUTED_VALUE"""),92.28)</f>
        <v>92.28</v>
      </c>
      <c r="AC1373" s="1">
        <f ca="1">IFERROR(__xludf.DUMMYFUNCTION("""COMPUTED_VALUE"""),126.79)</f>
        <v>126.79</v>
      </c>
    </row>
    <row r="1374" spans="1:29" x14ac:dyDescent="0.25">
      <c r="A1374" s="2">
        <f ca="1">IFERROR(__xludf.DUMMYFUNCTION("""COMPUTED_VALUE"""),45826.6666666666)</f>
        <v>45826.666666666599</v>
      </c>
      <c r="B1374" s="1">
        <f ca="1">IFERROR(__xludf.DUMMYFUNCTION("""COMPUTED_VALUE"""),196.58)</f>
        <v>196.58</v>
      </c>
      <c r="C1374" s="1">
        <f ca="1">IFERROR(__xludf.DUMMYFUNCTION("""COMPUTED_VALUE"""),480.24)</f>
        <v>480.24</v>
      </c>
      <c r="D1374" s="1">
        <f ca="1">IFERROR(__xludf.DUMMYFUNCTION("""COMPUTED_VALUE"""),212.52)</f>
        <v>212.52</v>
      </c>
      <c r="E1374" s="1">
        <f ca="1">IFERROR(__xludf.DUMMYFUNCTION("""COMPUTED_VALUE"""),145.48)</f>
        <v>145.47999999999999</v>
      </c>
      <c r="F1374" s="1">
        <f ca="1">IFERROR(__xludf.DUMMYFUNCTION("""COMPUTED_VALUE"""),682.35)</f>
        <v>682.35</v>
      </c>
      <c r="G1374" s="1">
        <f ca="1">IFERROR(__xludf.DUMMYFUNCTION("""COMPUTED_VALUE"""),173.98)</f>
        <v>173.98</v>
      </c>
      <c r="H1374" s="1">
        <f ca="1">IFERROR(__xludf.DUMMYFUNCTION("""COMPUTED_VALUE"""),322.16)</f>
        <v>322.16000000000003</v>
      </c>
      <c r="I1374" s="1">
        <f ca="1">IFERROR(__xludf.DUMMYFUNCTION("""COMPUTED_VALUE"""),129.07)</f>
        <v>129.07</v>
      </c>
      <c r="J1374" s="1">
        <f ca="1">IFERROR(__xludf.DUMMYFUNCTION("""COMPUTED_VALUE"""),974.9)</f>
        <v>974.9</v>
      </c>
      <c r="K1374" s="1">
        <f ca="1">IFERROR(__xludf.DUMMYFUNCTION("""COMPUTED_VALUE"""),251.26)</f>
        <v>251.26</v>
      </c>
      <c r="L1374" s="1">
        <f ca="1">IFERROR(__xludf.DUMMYFUNCTION("""COMPUTED_VALUE"""),378.04)</f>
        <v>378.04</v>
      </c>
      <c r="M1374" s="1">
        <f ca="1">IFERROR(__xludf.DUMMYFUNCTION("""COMPUTED_VALUE"""),1222.29)</f>
        <v>1222.29</v>
      </c>
      <c r="N1374" s="1">
        <f ca="1">IFERROR(__xludf.DUMMYFUNCTION("""COMPUTED_VALUE"""),275)</f>
        <v>275</v>
      </c>
      <c r="O1374" s="1">
        <f ca="1">IFERROR(__xludf.DUMMYFUNCTION("""COMPUTED_VALUE"""),340.38)</f>
        <v>340.38</v>
      </c>
      <c r="P1374" s="1">
        <f ca="1">IFERROR(__xludf.DUMMYFUNCTION("""COMPUTED_VALUE"""),150.73)</f>
        <v>150.72999999999999</v>
      </c>
      <c r="Q1374" s="1">
        <f ca="1">IFERROR(__xludf.DUMMYFUNCTION("""COMPUTED_VALUE"""),307.2)</f>
        <v>307.2</v>
      </c>
      <c r="R1374" s="1">
        <f ca="1">IFERROR(__xludf.DUMMYFUNCTION("""COMPUTED_VALUE"""),113.19)</f>
        <v>113.19</v>
      </c>
      <c r="S1374" s="1">
        <f ca="1">IFERROR(__xludf.DUMMYFUNCTION("""COMPUTED_VALUE"""),71.57)</f>
        <v>71.569999999999993</v>
      </c>
      <c r="T1374" s="1">
        <f ca="1">IFERROR(__xludf.DUMMYFUNCTION("""COMPUTED_VALUE"""),96.12)</f>
        <v>96.12</v>
      </c>
      <c r="U1374" s="1">
        <f ca="1">IFERROR(__xludf.DUMMYFUNCTION("""COMPUTED_VALUE"""),59.79)</f>
        <v>59.79</v>
      </c>
      <c r="V1374" s="1">
        <f ca="1">IFERROR(__xludf.DUMMYFUNCTION("""COMPUTED_VALUE"""),359.8)</f>
        <v>359.8</v>
      </c>
      <c r="W1374" s="1">
        <f ca="1">IFERROR(__xludf.DUMMYFUNCTION("""COMPUTED_VALUE"""),468.6)</f>
        <v>468.6</v>
      </c>
      <c r="X1374" s="1">
        <f ca="1">IFERROR(__xludf.DUMMYFUNCTION("""COMPUTED_VALUE"""),761.64)</f>
        <v>761.64</v>
      </c>
      <c r="Y1374" s="1">
        <f ca="1">IFERROR(__xludf.DUMMYFUNCTION("""COMPUTED_VALUE"""),213.5)</f>
        <v>213.5</v>
      </c>
      <c r="Z1374" s="1">
        <f ca="1">IFERROR(__xludf.DUMMYFUNCTION("""COMPUTED_VALUE"""),640.8)</f>
        <v>640.79999999999995</v>
      </c>
      <c r="AA1374" s="1">
        <f ca="1">IFERROR(__xludf.DUMMYFUNCTION("""COMPUTED_VALUE"""),23.88)</f>
        <v>23.88</v>
      </c>
      <c r="AB1374" s="1">
        <f ca="1">IFERROR(__xludf.DUMMYFUNCTION("""COMPUTED_VALUE"""),93.12)</f>
        <v>93.12</v>
      </c>
      <c r="AC1374" s="1">
        <f ca="1">IFERROR(__xludf.DUMMYFUNCTION("""COMPUTED_VALUE"""),128.24)</f>
        <v>128.24</v>
      </c>
    </row>
    <row r="1375" spans="1:29" x14ac:dyDescent="0.25">
      <c r="A1375" s="2">
        <f ca="1">IFERROR(__xludf.DUMMYFUNCTION("""COMPUTED_VALUE"""),45828.6666666666)</f>
        <v>45828.666666666599</v>
      </c>
      <c r="B1375" s="1">
        <f ca="1">IFERROR(__xludf.DUMMYFUNCTION("""COMPUTED_VALUE"""),201)</f>
        <v>201</v>
      </c>
      <c r="C1375" s="1">
        <f ca="1">IFERROR(__xludf.DUMMYFUNCTION("""COMPUTED_VALUE"""),477.4)</f>
        <v>477.4</v>
      </c>
      <c r="D1375" s="1">
        <f ca="1">IFERROR(__xludf.DUMMYFUNCTION("""COMPUTED_VALUE"""),209.69)</f>
        <v>209.69</v>
      </c>
      <c r="E1375" s="1">
        <f ca="1">IFERROR(__xludf.DUMMYFUNCTION("""COMPUTED_VALUE"""),143.85)</f>
        <v>143.85</v>
      </c>
      <c r="F1375" s="1">
        <f ca="1">IFERROR(__xludf.DUMMYFUNCTION("""COMPUTED_VALUE"""),698.53)</f>
        <v>698.53</v>
      </c>
      <c r="G1375" s="1">
        <f ca="1">IFERROR(__xludf.DUMMYFUNCTION("""COMPUTED_VALUE"""),167.73)</f>
        <v>167.73</v>
      </c>
      <c r="H1375" s="1">
        <f ca="1">IFERROR(__xludf.DUMMYFUNCTION("""COMPUTED_VALUE"""),348.68)</f>
        <v>348.68</v>
      </c>
      <c r="I1375" s="1">
        <f ca="1">IFERROR(__xludf.DUMMYFUNCTION("""COMPUTED_VALUE"""),129.09)</f>
        <v>129.09</v>
      </c>
      <c r="J1375" s="1">
        <f ca="1">IFERROR(__xludf.DUMMYFUNCTION("""COMPUTED_VALUE"""),980.29)</f>
        <v>980.29</v>
      </c>
      <c r="K1375" s="1">
        <f ca="1">IFERROR(__xludf.DUMMYFUNCTION("""COMPUTED_VALUE"""),249.99)</f>
        <v>249.99</v>
      </c>
      <c r="L1375" s="1">
        <f ca="1">IFERROR(__xludf.DUMMYFUNCTION("""COMPUTED_VALUE"""),376.92)</f>
        <v>376.92</v>
      </c>
      <c r="M1375" s="1">
        <f ca="1">IFERROR(__xludf.DUMMYFUNCTION("""COMPUTED_VALUE"""),1231.41)</f>
        <v>1231.4100000000001</v>
      </c>
      <c r="N1375" s="1">
        <f ca="1">IFERROR(__xludf.DUMMYFUNCTION("""COMPUTED_VALUE"""),278.27)</f>
        <v>278.27</v>
      </c>
      <c r="O1375" s="1">
        <f ca="1">IFERROR(__xludf.DUMMYFUNCTION("""COMPUTED_VALUE"""),338.57)</f>
        <v>338.57</v>
      </c>
      <c r="P1375" s="1">
        <f ca="1">IFERROR(__xludf.DUMMYFUNCTION("""COMPUTED_VALUE"""),149.79)</f>
        <v>149.79</v>
      </c>
      <c r="Q1375" s="1">
        <f ca="1">IFERROR(__xludf.DUMMYFUNCTION("""COMPUTED_VALUE"""),302.01)</f>
        <v>302.01</v>
      </c>
      <c r="R1375" s="1">
        <f ca="1">IFERROR(__xludf.DUMMYFUNCTION("""COMPUTED_VALUE"""),114.7)</f>
        <v>114.7</v>
      </c>
      <c r="S1375" s="1">
        <f ca="1">IFERROR(__xludf.DUMMYFUNCTION("""COMPUTED_VALUE"""),71.53)</f>
        <v>71.53</v>
      </c>
      <c r="T1375" s="1">
        <f ca="1">IFERROR(__xludf.DUMMYFUNCTION("""COMPUTED_VALUE"""),97.87)</f>
        <v>97.87</v>
      </c>
      <c r="U1375" s="1">
        <f ca="1">IFERROR(__xludf.DUMMYFUNCTION("""COMPUTED_VALUE"""),60.78)</f>
        <v>60.78</v>
      </c>
      <c r="V1375" s="1">
        <f ca="1">IFERROR(__xludf.DUMMYFUNCTION("""COMPUTED_VALUE"""),360.52)</f>
        <v>360.52</v>
      </c>
      <c r="W1375" s="1">
        <f ca="1">IFERROR(__xludf.DUMMYFUNCTION("""COMPUTED_VALUE"""),470.56)</f>
        <v>470.56</v>
      </c>
      <c r="X1375" s="1">
        <f ca="1">IFERROR(__xludf.DUMMYFUNCTION("""COMPUTED_VALUE"""),756.53)</f>
        <v>756.53</v>
      </c>
      <c r="Y1375" s="1">
        <f ca="1">IFERROR(__xludf.DUMMYFUNCTION("""COMPUTED_VALUE"""),209.51)</f>
        <v>209.51</v>
      </c>
      <c r="Z1375" s="1">
        <f ca="1">IFERROR(__xludf.DUMMYFUNCTION("""COMPUTED_VALUE"""),646.88)</f>
        <v>646.88</v>
      </c>
      <c r="AA1375" s="1">
        <f ca="1">IFERROR(__xludf.DUMMYFUNCTION("""COMPUTED_VALUE"""),23.97)</f>
        <v>23.97</v>
      </c>
      <c r="AB1375" s="1">
        <f ca="1">IFERROR(__xludf.DUMMYFUNCTION("""COMPUTED_VALUE"""),92.34)</f>
        <v>92.34</v>
      </c>
      <c r="AC1375" s="1">
        <f ca="1">IFERROR(__xludf.DUMMYFUNCTION("""COMPUTED_VALUE"""),129.58)</f>
        <v>129.58000000000001</v>
      </c>
    </row>
    <row r="1376" spans="1:29" x14ac:dyDescent="0.25">
      <c r="A1376" s="2">
        <f ca="1">IFERROR(__xludf.DUMMYFUNCTION("""COMPUTED_VALUE"""),45831.6666666666)</f>
        <v>45831.666666666599</v>
      </c>
      <c r="B1376" s="1">
        <f ca="1">IFERROR(__xludf.DUMMYFUNCTION("""COMPUTED_VALUE"""),201.5)</f>
        <v>201.5</v>
      </c>
      <c r="C1376" s="1">
        <f ca="1">IFERROR(__xludf.DUMMYFUNCTION("""COMPUTED_VALUE"""),486)</f>
        <v>486</v>
      </c>
      <c r="D1376" s="1">
        <f ca="1">IFERROR(__xludf.DUMMYFUNCTION("""COMPUTED_VALUE"""),208.47)</f>
        <v>208.47</v>
      </c>
      <c r="E1376" s="1">
        <f ca="1">IFERROR(__xludf.DUMMYFUNCTION("""COMPUTED_VALUE"""),144.17)</f>
        <v>144.16999999999999</v>
      </c>
      <c r="F1376" s="1">
        <f ca="1">IFERROR(__xludf.DUMMYFUNCTION("""COMPUTED_VALUE"""),712.2)</f>
        <v>712.2</v>
      </c>
      <c r="G1376" s="1">
        <f ca="1">IFERROR(__xludf.DUMMYFUNCTION("""COMPUTED_VALUE"""),166.01)</f>
        <v>166.01</v>
      </c>
      <c r="H1376" s="1">
        <f ca="1">IFERROR(__xludf.DUMMYFUNCTION("""COMPUTED_VALUE"""),340.47)</f>
        <v>340.47</v>
      </c>
      <c r="I1376" s="1">
        <f ca="1">IFERROR(__xludf.DUMMYFUNCTION("""COMPUTED_VALUE"""),131.05)</f>
        <v>131.05000000000001</v>
      </c>
      <c r="J1376" s="1">
        <f ca="1">IFERROR(__xludf.DUMMYFUNCTION("""COMPUTED_VALUE"""),1004.48)</f>
        <v>1004.48</v>
      </c>
      <c r="K1376" s="1">
        <f ca="1">IFERROR(__xludf.DUMMYFUNCTION("""COMPUTED_VALUE"""),253.77)</f>
        <v>253.77</v>
      </c>
      <c r="L1376" s="1">
        <f ca="1">IFERROR(__xludf.DUMMYFUNCTION("""COMPUTED_VALUE"""),380.12)</f>
        <v>380.12</v>
      </c>
      <c r="M1376" s="1">
        <f ca="1">IFERROR(__xludf.DUMMYFUNCTION("""COMPUTED_VALUE"""),1253.54)</f>
        <v>1253.54</v>
      </c>
      <c r="N1376" s="1">
        <f ca="1">IFERROR(__xludf.DUMMYFUNCTION("""COMPUTED_VALUE"""),281.26)</f>
        <v>281.26</v>
      </c>
      <c r="O1376" s="1">
        <f ca="1">IFERROR(__xludf.DUMMYFUNCTION("""COMPUTED_VALUE"""),343.75)</f>
        <v>343.75</v>
      </c>
      <c r="P1376" s="1">
        <f ca="1">IFERROR(__xludf.DUMMYFUNCTION("""COMPUTED_VALUE"""),151.32)</f>
        <v>151.32</v>
      </c>
      <c r="Q1376" s="1">
        <f ca="1">IFERROR(__xludf.DUMMYFUNCTION("""COMPUTED_VALUE"""),300.68)</f>
        <v>300.68</v>
      </c>
      <c r="R1376" s="1">
        <f ca="1">IFERROR(__xludf.DUMMYFUNCTION("""COMPUTED_VALUE"""),111.74)</f>
        <v>111.74</v>
      </c>
      <c r="S1376" s="1">
        <f ca="1">IFERROR(__xludf.DUMMYFUNCTION("""COMPUTED_VALUE"""),70.73)</f>
        <v>70.73</v>
      </c>
      <c r="T1376" s="1">
        <f ca="1">IFERROR(__xludf.DUMMYFUNCTION("""COMPUTED_VALUE"""),98)</f>
        <v>98</v>
      </c>
      <c r="U1376" s="1">
        <f ca="1">IFERROR(__xludf.DUMMYFUNCTION("""COMPUTED_VALUE"""),61.42)</f>
        <v>61.42</v>
      </c>
      <c r="V1376" s="1">
        <f ca="1">IFERROR(__xludf.DUMMYFUNCTION("""COMPUTED_VALUE"""),366.23)</f>
        <v>366.23</v>
      </c>
      <c r="W1376" s="1">
        <f ca="1">IFERROR(__xludf.DUMMYFUNCTION("""COMPUTED_VALUE"""),472.46)</f>
        <v>472.46</v>
      </c>
      <c r="X1376" s="1">
        <f ca="1">IFERROR(__xludf.DUMMYFUNCTION("""COMPUTED_VALUE"""),779.72)</f>
        <v>779.72</v>
      </c>
      <c r="Y1376" s="1">
        <f ca="1">IFERROR(__xludf.DUMMYFUNCTION("""COMPUTED_VALUE"""),210.32)</f>
        <v>210.32</v>
      </c>
      <c r="Z1376" s="1">
        <f ca="1">IFERROR(__xludf.DUMMYFUNCTION("""COMPUTED_VALUE"""),662.11)</f>
        <v>662.11</v>
      </c>
      <c r="AA1376" s="1">
        <f ca="1">IFERROR(__xludf.DUMMYFUNCTION("""COMPUTED_VALUE"""),24.03)</f>
        <v>24.03</v>
      </c>
      <c r="AB1376" s="1">
        <f ca="1">IFERROR(__xludf.DUMMYFUNCTION("""COMPUTED_VALUE"""),91.5)</f>
        <v>91.5</v>
      </c>
      <c r="AC1376" s="1">
        <f ca="1">IFERROR(__xludf.DUMMYFUNCTION("""COMPUTED_VALUE"""),138.43)</f>
        <v>138.43</v>
      </c>
    </row>
    <row r="1377" spans="1:29" x14ac:dyDescent="0.25">
      <c r="A1377" s="2">
        <f ca="1">IFERROR(__xludf.DUMMYFUNCTION("""COMPUTED_VALUE"""),45832.6666666666)</f>
        <v>45832.666666666599</v>
      </c>
      <c r="B1377" s="1">
        <f ca="1">IFERROR(__xludf.DUMMYFUNCTION("""COMPUTED_VALUE"""),200.3)</f>
        <v>200.3</v>
      </c>
      <c r="C1377" s="1">
        <f ca="1">IFERROR(__xludf.DUMMYFUNCTION("""COMPUTED_VALUE"""),490.11)</f>
        <v>490.11</v>
      </c>
      <c r="D1377" s="1">
        <f ca="1">IFERROR(__xludf.DUMMYFUNCTION("""COMPUTED_VALUE"""),212.77)</f>
        <v>212.77</v>
      </c>
      <c r="E1377" s="1">
        <f ca="1">IFERROR(__xludf.DUMMYFUNCTION("""COMPUTED_VALUE"""),147.9)</f>
        <v>147.9</v>
      </c>
      <c r="F1377" s="1">
        <f ca="1">IFERROR(__xludf.DUMMYFUNCTION("""COMPUTED_VALUE"""),708.68)</f>
        <v>708.68</v>
      </c>
      <c r="G1377" s="1">
        <f ca="1">IFERROR(__xludf.DUMMYFUNCTION("""COMPUTED_VALUE"""),167.74)</f>
        <v>167.74</v>
      </c>
      <c r="H1377" s="1">
        <f ca="1">IFERROR(__xludf.DUMMYFUNCTION("""COMPUTED_VALUE"""),327.55)</f>
        <v>327.55</v>
      </c>
      <c r="I1377" s="1">
        <f ca="1">IFERROR(__xludf.DUMMYFUNCTION("""COMPUTED_VALUE"""),128.02)</f>
        <v>128.02000000000001</v>
      </c>
      <c r="J1377" s="1">
        <f ca="1">IFERROR(__xludf.DUMMYFUNCTION("""COMPUTED_VALUE"""),1001.92)</f>
        <v>1001.92</v>
      </c>
      <c r="K1377" s="1">
        <f ca="1">IFERROR(__xludf.DUMMYFUNCTION("""COMPUTED_VALUE"""),263.77)</f>
        <v>263.77</v>
      </c>
      <c r="L1377" s="1">
        <f ca="1">IFERROR(__xludf.DUMMYFUNCTION("""COMPUTED_VALUE"""),382.34)</f>
        <v>382.34</v>
      </c>
      <c r="M1377" s="1">
        <f ca="1">IFERROR(__xludf.DUMMYFUNCTION("""COMPUTED_VALUE"""),1279.11)</f>
        <v>1279.1099999999999</v>
      </c>
      <c r="N1377" s="1">
        <f ca="1">IFERROR(__xludf.DUMMYFUNCTION("""COMPUTED_VALUE"""),284.06)</f>
        <v>284.06</v>
      </c>
      <c r="O1377" s="1">
        <f ca="1">IFERROR(__xludf.DUMMYFUNCTION("""COMPUTED_VALUE"""),351.63)</f>
        <v>351.63</v>
      </c>
      <c r="P1377" s="1">
        <f ca="1">IFERROR(__xludf.DUMMYFUNCTION("""COMPUTED_VALUE"""),152.19)</f>
        <v>152.19</v>
      </c>
      <c r="Q1377" s="1">
        <f ca="1">IFERROR(__xludf.DUMMYFUNCTION("""COMPUTED_VALUE"""),305.62)</f>
        <v>305.62</v>
      </c>
      <c r="R1377" s="1">
        <f ca="1">IFERROR(__xludf.DUMMYFUNCTION("""COMPUTED_VALUE"""),108.34)</f>
        <v>108.34</v>
      </c>
      <c r="S1377" s="1">
        <f ca="1">IFERROR(__xludf.DUMMYFUNCTION("""COMPUTED_VALUE"""),71.4)</f>
        <v>71.400000000000006</v>
      </c>
      <c r="T1377" s="1">
        <f ca="1">IFERROR(__xludf.DUMMYFUNCTION("""COMPUTED_VALUE"""),97.26)</f>
        <v>97.26</v>
      </c>
      <c r="U1377" s="1">
        <f ca="1">IFERROR(__xludf.DUMMYFUNCTION("""COMPUTED_VALUE"""),60.83)</f>
        <v>60.83</v>
      </c>
      <c r="V1377" s="1">
        <f ca="1">IFERROR(__xludf.DUMMYFUNCTION("""COMPUTED_VALUE"""),373.02)</f>
        <v>373.02</v>
      </c>
      <c r="W1377" s="1">
        <f ca="1">IFERROR(__xludf.DUMMYFUNCTION("""COMPUTED_VALUE"""),460.2)</f>
        <v>460.2</v>
      </c>
      <c r="X1377" s="1">
        <f ca="1">IFERROR(__xludf.DUMMYFUNCTION("""COMPUTED_VALUE"""),813.36)</f>
        <v>813.36</v>
      </c>
      <c r="Y1377" s="1">
        <f ca="1">IFERROR(__xludf.DUMMYFUNCTION("""COMPUTED_VALUE"""),220.09)</f>
        <v>220.09</v>
      </c>
      <c r="Z1377" s="1">
        <f ca="1">IFERROR(__xludf.DUMMYFUNCTION("""COMPUTED_VALUE"""),669.87)</f>
        <v>669.87</v>
      </c>
      <c r="AA1377" s="1">
        <f ca="1">IFERROR(__xludf.DUMMYFUNCTION("""COMPUTED_VALUE"""),24.31)</f>
        <v>24.31</v>
      </c>
      <c r="AB1377" s="1">
        <f ca="1">IFERROR(__xludf.DUMMYFUNCTION("""COMPUTED_VALUE"""),91.1)</f>
        <v>91.1</v>
      </c>
      <c r="AC1377" s="1">
        <f ca="1">IFERROR(__xludf.DUMMYFUNCTION("""COMPUTED_VALUE"""),143.4)</f>
        <v>143.4</v>
      </c>
    </row>
    <row r="1378" spans="1:29" x14ac:dyDescent="0.25">
      <c r="A1378" s="2">
        <f ca="1">IFERROR(__xludf.DUMMYFUNCTION("""COMPUTED_VALUE"""),45833.6666666666)</f>
        <v>45833.666666666599</v>
      </c>
      <c r="B1378" s="1">
        <f ca="1">IFERROR(__xludf.DUMMYFUNCTION("""COMPUTED_VALUE"""),201.56)</f>
        <v>201.56</v>
      </c>
      <c r="C1378" s="1">
        <f ca="1">IFERROR(__xludf.DUMMYFUNCTION("""COMPUTED_VALUE"""),492.27)</f>
        <v>492.27</v>
      </c>
      <c r="D1378" s="1">
        <f ca="1">IFERROR(__xludf.DUMMYFUNCTION("""COMPUTED_VALUE"""),211.99)</f>
        <v>211.99</v>
      </c>
      <c r="E1378" s="1">
        <f ca="1">IFERROR(__xludf.DUMMYFUNCTION("""COMPUTED_VALUE"""),154.31)</f>
        <v>154.31</v>
      </c>
      <c r="F1378" s="1">
        <f ca="1">IFERROR(__xludf.DUMMYFUNCTION("""COMPUTED_VALUE"""),726.09)</f>
        <v>726.09</v>
      </c>
      <c r="G1378" s="1">
        <f ca="1">IFERROR(__xludf.DUMMYFUNCTION("""COMPUTED_VALUE"""),171.49)</f>
        <v>171.49</v>
      </c>
      <c r="H1378" s="1">
        <f ca="1">IFERROR(__xludf.DUMMYFUNCTION("""COMPUTED_VALUE"""),325.78)</f>
        <v>325.77999999999997</v>
      </c>
      <c r="I1378" s="1">
        <f ca="1">IFERROR(__xludf.DUMMYFUNCTION("""COMPUTED_VALUE"""),128.22)</f>
        <v>128.22</v>
      </c>
      <c r="J1378" s="1">
        <f ca="1">IFERROR(__xludf.DUMMYFUNCTION("""COMPUTED_VALUE"""),986.54)</f>
        <v>986.54</v>
      </c>
      <c r="K1378" s="1">
        <f ca="1">IFERROR(__xludf.DUMMYFUNCTION("""COMPUTED_VALUE"""),264.65)</f>
        <v>264.64999999999998</v>
      </c>
      <c r="L1378" s="1">
        <f ca="1">IFERROR(__xludf.DUMMYFUNCTION("""COMPUTED_VALUE"""),387.55)</f>
        <v>387.55</v>
      </c>
      <c r="M1378" s="1">
        <f ca="1">IFERROR(__xludf.DUMMYFUNCTION("""COMPUTED_VALUE"""),1275.25)</f>
        <v>1275.25</v>
      </c>
      <c r="N1378" s="1">
        <f ca="1">IFERROR(__xludf.DUMMYFUNCTION("""COMPUTED_VALUE"""),288.75)</f>
        <v>288.75</v>
      </c>
      <c r="O1378" s="1">
        <f ca="1">IFERROR(__xludf.DUMMYFUNCTION("""COMPUTED_VALUE"""),345.26)</f>
        <v>345.26</v>
      </c>
      <c r="P1378" s="1">
        <f ca="1">IFERROR(__xludf.DUMMYFUNCTION("""COMPUTED_VALUE"""),152.28)</f>
        <v>152.28</v>
      </c>
      <c r="Q1378" s="1">
        <f ca="1">IFERROR(__xludf.DUMMYFUNCTION("""COMPUTED_VALUE"""),302.02)</f>
        <v>302.02</v>
      </c>
      <c r="R1378" s="1">
        <f ca="1">IFERROR(__xludf.DUMMYFUNCTION("""COMPUTED_VALUE"""),108.37)</f>
        <v>108.37</v>
      </c>
      <c r="S1378" s="1">
        <f ca="1">IFERROR(__xludf.DUMMYFUNCTION("""COMPUTED_VALUE"""),70.34)</f>
        <v>70.34</v>
      </c>
      <c r="T1378" s="1">
        <f ca="1">IFERROR(__xludf.DUMMYFUNCTION("""COMPUTED_VALUE"""),96.02)</f>
        <v>96.02</v>
      </c>
      <c r="U1378" s="1">
        <f ca="1">IFERROR(__xludf.DUMMYFUNCTION("""COMPUTED_VALUE"""),62.54)</f>
        <v>62.54</v>
      </c>
      <c r="V1378" s="1">
        <f ca="1">IFERROR(__xludf.DUMMYFUNCTION("""COMPUTED_VALUE"""),371.58)</f>
        <v>371.58</v>
      </c>
      <c r="W1378" s="1">
        <f ca="1">IFERROR(__xludf.DUMMYFUNCTION("""COMPUTED_VALUE"""),458.39)</f>
        <v>458.39</v>
      </c>
      <c r="X1378" s="1">
        <f ca="1">IFERROR(__xludf.DUMMYFUNCTION("""COMPUTED_VALUE"""),815.24)</f>
        <v>815.24</v>
      </c>
      <c r="Y1378" s="1">
        <f ca="1">IFERROR(__xludf.DUMMYFUNCTION("""COMPUTED_VALUE"""),222.74)</f>
        <v>222.74</v>
      </c>
      <c r="Z1378" s="1">
        <f ca="1">IFERROR(__xludf.DUMMYFUNCTION("""COMPUTED_VALUE"""),687.16)</f>
        <v>687.16</v>
      </c>
      <c r="AA1378" s="1">
        <f ca="1">IFERROR(__xludf.DUMMYFUNCTION("""COMPUTED_VALUE"""),24.26)</f>
        <v>24.26</v>
      </c>
      <c r="AB1378" s="1">
        <f ca="1">IFERROR(__xludf.DUMMYFUNCTION("""COMPUTED_VALUE"""),91.84)</f>
        <v>91.84</v>
      </c>
      <c r="AC1378" s="1">
        <f ca="1">IFERROR(__xludf.DUMMYFUNCTION("""COMPUTED_VALUE"""),143.68)</f>
        <v>143.68</v>
      </c>
    </row>
    <row r="1379" spans="1:29" x14ac:dyDescent="0.25">
      <c r="A1379" s="2">
        <f ca="1">IFERROR(__xludf.DUMMYFUNCTION("""COMPUTED_VALUE"""),45834.6666666666)</f>
        <v>45834.666666666599</v>
      </c>
      <c r="B1379" s="1">
        <f ca="1">IFERROR(__xludf.DUMMYFUNCTION("""COMPUTED_VALUE"""),201)</f>
        <v>201</v>
      </c>
      <c r="C1379" s="1">
        <f ca="1">IFERROR(__xludf.DUMMYFUNCTION("""COMPUTED_VALUE"""),497.45)</f>
        <v>497.45</v>
      </c>
      <c r="D1379" s="1">
        <f ca="1">IFERROR(__xludf.DUMMYFUNCTION("""COMPUTED_VALUE"""),217.12)</f>
        <v>217.12</v>
      </c>
      <c r="E1379" s="1">
        <f ca="1">IFERROR(__xludf.DUMMYFUNCTION("""COMPUTED_VALUE"""),155.02)</f>
        <v>155.02000000000001</v>
      </c>
      <c r="F1379" s="1">
        <f ca="1">IFERROR(__xludf.DUMMYFUNCTION("""COMPUTED_VALUE"""),733.63)</f>
        <v>733.63</v>
      </c>
      <c r="G1379" s="1">
        <f ca="1">IFERROR(__xludf.DUMMYFUNCTION("""COMPUTED_VALUE"""),174.43)</f>
        <v>174.43</v>
      </c>
      <c r="H1379" s="1">
        <f ca="1">IFERROR(__xludf.DUMMYFUNCTION("""COMPUTED_VALUE"""),323.63)</f>
        <v>323.63</v>
      </c>
      <c r="I1379" s="1">
        <f ca="1">IFERROR(__xludf.DUMMYFUNCTION("""COMPUTED_VALUE"""),131.04)</f>
        <v>131.04</v>
      </c>
      <c r="J1379" s="1">
        <f ca="1">IFERROR(__xludf.DUMMYFUNCTION("""COMPUTED_VALUE"""),982.91)</f>
        <v>982.91</v>
      </c>
      <c r="K1379" s="1">
        <f ca="1">IFERROR(__xludf.DUMMYFUNCTION("""COMPUTED_VALUE"""),270.17)</f>
        <v>270.17</v>
      </c>
      <c r="L1379" s="1">
        <f ca="1">IFERROR(__xludf.DUMMYFUNCTION("""COMPUTED_VALUE"""),384.95)</f>
        <v>384.95</v>
      </c>
      <c r="M1379" s="1">
        <f ca="1">IFERROR(__xludf.DUMMYFUNCTION("""COMPUTED_VALUE"""),1306.67)</f>
        <v>1306.67</v>
      </c>
      <c r="N1379" s="1">
        <f ca="1">IFERROR(__xludf.DUMMYFUNCTION("""COMPUTED_VALUE"""),287.11)</f>
        <v>287.11</v>
      </c>
      <c r="O1379" s="1">
        <f ca="1">IFERROR(__xludf.DUMMYFUNCTION("""COMPUTED_VALUE"""),346.03)</f>
        <v>346.03</v>
      </c>
      <c r="P1379" s="1">
        <f ca="1">IFERROR(__xludf.DUMMYFUNCTION("""COMPUTED_VALUE"""),152.01)</f>
        <v>152.01</v>
      </c>
      <c r="Q1379" s="1">
        <f ca="1">IFERROR(__xludf.DUMMYFUNCTION("""COMPUTED_VALUE"""),302.62)</f>
        <v>302.62</v>
      </c>
      <c r="R1379" s="1">
        <f ca="1">IFERROR(__xludf.DUMMYFUNCTION("""COMPUTED_VALUE"""),109.99)</f>
        <v>109.99</v>
      </c>
      <c r="S1379" s="1">
        <f ca="1">IFERROR(__xludf.DUMMYFUNCTION("""COMPUTED_VALUE"""),70.99)</f>
        <v>70.989999999999995</v>
      </c>
      <c r="T1379" s="1">
        <f ca="1">IFERROR(__xludf.DUMMYFUNCTION("""COMPUTED_VALUE"""),97.27)</f>
        <v>97.27</v>
      </c>
      <c r="U1379" s="1">
        <f ca="1">IFERROR(__xludf.DUMMYFUNCTION("""COMPUTED_VALUE"""),72.04)</f>
        <v>72.040000000000006</v>
      </c>
      <c r="V1379" s="1">
        <f ca="1">IFERROR(__xludf.DUMMYFUNCTION("""COMPUTED_VALUE"""),381.88)</f>
        <v>381.88</v>
      </c>
      <c r="W1379" s="1">
        <f ca="1">IFERROR(__xludf.DUMMYFUNCTION("""COMPUTED_VALUE"""),457.9)</f>
        <v>457.9</v>
      </c>
      <c r="X1379" s="1">
        <f ca="1">IFERROR(__xludf.DUMMYFUNCTION("""COMPUTED_VALUE"""),798.09)</f>
        <v>798.09</v>
      </c>
      <c r="Y1379" s="1">
        <f ca="1">IFERROR(__xludf.DUMMYFUNCTION("""COMPUTED_VALUE"""),224.01)</f>
        <v>224.01</v>
      </c>
      <c r="Z1379" s="1">
        <f ca="1">IFERROR(__xludf.DUMMYFUNCTION("""COMPUTED_VALUE"""),690.81)</f>
        <v>690.81</v>
      </c>
      <c r="AA1379" s="1">
        <f ca="1">IFERROR(__xludf.DUMMYFUNCTION("""COMPUTED_VALUE"""),24.24)</f>
        <v>24.24</v>
      </c>
      <c r="AB1379" s="1">
        <f ca="1">IFERROR(__xludf.DUMMYFUNCTION("""COMPUTED_VALUE"""),92.11)</f>
        <v>92.11</v>
      </c>
      <c r="AC1379" s="1">
        <f ca="1">IFERROR(__xludf.DUMMYFUNCTION("""COMPUTED_VALUE"""),143.81)</f>
        <v>143.81</v>
      </c>
    </row>
    <row r="1380" spans="1:29" x14ac:dyDescent="0.25">
      <c r="A1380" s="2">
        <f ca="1">IFERROR(__xludf.DUMMYFUNCTION("""COMPUTED_VALUE"""),45835.6666666666)</f>
        <v>45835.666666666599</v>
      </c>
      <c r="B1380" s="1">
        <f ca="1">IFERROR(__xludf.DUMMYFUNCTION("""COMPUTED_VALUE"""),201.08)</f>
        <v>201.08</v>
      </c>
      <c r="C1380" s="1">
        <f ca="1">IFERROR(__xludf.DUMMYFUNCTION("""COMPUTED_VALUE"""),495.94)</f>
        <v>495.94</v>
      </c>
      <c r="D1380" s="1">
        <f ca="1">IFERROR(__xludf.DUMMYFUNCTION("""COMPUTED_VALUE"""),223.3)</f>
        <v>223.3</v>
      </c>
      <c r="E1380" s="1">
        <f ca="1">IFERROR(__xludf.DUMMYFUNCTION("""COMPUTED_VALUE"""),157.75)</f>
        <v>157.75</v>
      </c>
      <c r="F1380" s="1">
        <f ca="1">IFERROR(__xludf.DUMMYFUNCTION("""COMPUTED_VALUE"""),738.09)</f>
        <v>738.09</v>
      </c>
      <c r="G1380" s="1">
        <f ca="1">IFERROR(__xludf.DUMMYFUNCTION("""COMPUTED_VALUE"""),178.27)</f>
        <v>178.27</v>
      </c>
      <c r="H1380" s="1">
        <f ca="1">IFERROR(__xludf.DUMMYFUNCTION("""COMPUTED_VALUE"""),317.66)</f>
        <v>317.66000000000003</v>
      </c>
      <c r="I1380" s="1">
        <f ca="1">IFERROR(__xludf.DUMMYFUNCTION("""COMPUTED_VALUE"""),132.04)</f>
        <v>132.04</v>
      </c>
      <c r="J1380" s="1">
        <f ca="1">IFERROR(__xludf.DUMMYFUNCTION("""COMPUTED_VALUE"""),985.14)</f>
        <v>985.14</v>
      </c>
      <c r="K1380" s="1">
        <f ca="1">IFERROR(__xludf.DUMMYFUNCTION("""COMPUTED_VALUE"""),269.35)</f>
        <v>269.35000000000002</v>
      </c>
      <c r="L1380" s="1">
        <f ca="1">IFERROR(__xludf.DUMMYFUNCTION("""COMPUTED_VALUE"""),385.83)</f>
        <v>385.83</v>
      </c>
      <c r="M1380" s="1">
        <f ca="1">IFERROR(__xludf.DUMMYFUNCTION("""COMPUTED_VALUE"""),1323.12)</f>
        <v>1323.12</v>
      </c>
      <c r="N1380" s="1">
        <f ca="1">IFERROR(__xludf.DUMMYFUNCTION("""COMPUTED_VALUE"""),289.91)</f>
        <v>289.91000000000003</v>
      </c>
      <c r="O1380" s="1">
        <f ca="1">IFERROR(__xludf.DUMMYFUNCTION("""COMPUTED_VALUE"""),348.61)</f>
        <v>348.61</v>
      </c>
      <c r="P1380" s="1">
        <f ca="1">IFERROR(__xludf.DUMMYFUNCTION("""COMPUTED_VALUE"""),152.41)</f>
        <v>152.41</v>
      </c>
      <c r="Q1380" s="1">
        <f ca="1">IFERROR(__xludf.DUMMYFUNCTION("""COMPUTED_VALUE"""),309.11)</f>
        <v>309.11</v>
      </c>
      <c r="R1380" s="1">
        <f ca="1">IFERROR(__xludf.DUMMYFUNCTION("""COMPUTED_VALUE"""),109.38)</f>
        <v>109.38</v>
      </c>
      <c r="S1380" s="1">
        <f ca="1">IFERROR(__xludf.DUMMYFUNCTION("""COMPUTED_VALUE"""),70.89)</f>
        <v>70.89</v>
      </c>
      <c r="T1380" s="1">
        <f ca="1">IFERROR(__xludf.DUMMYFUNCTION("""COMPUTED_VALUE"""),97.78)</f>
        <v>97.78</v>
      </c>
      <c r="U1380" s="1">
        <f ca="1">IFERROR(__xludf.DUMMYFUNCTION("""COMPUTED_VALUE"""),71.04)</f>
        <v>71.040000000000006</v>
      </c>
      <c r="V1380" s="1">
        <f ca="1">IFERROR(__xludf.DUMMYFUNCTION("""COMPUTED_VALUE"""),384.71)</f>
        <v>384.71</v>
      </c>
      <c r="W1380" s="1">
        <f ca="1">IFERROR(__xludf.DUMMYFUNCTION("""COMPUTED_VALUE"""),458.59)</f>
        <v>458.59</v>
      </c>
      <c r="X1380" s="1">
        <f ca="1">IFERROR(__xludf.DUMMYFUNCTION("""COMPUTED_VALUE"""),795.95)</f>
        <v>795.95</v>
      </c>
      <c r="Y1380" s="1">
        <f ca="1">IFERROR(__xludf.DUMMYFUNCTION("""COMPUTED_VALUE"""),228.57)</f>
        <v>228.57</v>
      </c>
      <c r="Z1380" s="1">
        <f ca="1">IFERROR(__xludf.DUMMYFUNCTION("""COMPUTED_VALUE"""),707.75)</f>
        <v>707.75</v>
      </c>
      <c r="AA1380" s="1">
        <f ca="1">IFERROR(__xludf.DUMMYFUNCTION("""COMPUTED_VALUE"""),24.19)</f>
        <v>24.19</v>
      </c>
      <c r="AB1380" s="1">
        <f ca="1">IFERROR(__xludf.DUMMYFUNCTION("""COMPUTED_VALUE"""),91.63)</f>
        <v>91.63</v>
      </c>
      <c r="AC1380" s="1">
        <f ca="1">IFERROR(__xludf.DUMMYFUNCTION("""COMPUTED_VALUE"""),141.9)</f>
        <v>141.9</v>
      </c>
    </row>
    <row r="1381" spans="1:29" x14ac:dyDescent="0.25">
      <c r="A1381" s="2">
        <f ca="1">IFERROR(__xludf.DUMMYFUNCTION("""COMPUTED_VALUE"""),45838.6666666666)</f>
        <v>45838.666666666599</v>
      </c>
      <c r="B1381" s="1">
        <f ca="1">IFERROR(__xludf.DUMMYFUNCTION("""COMPUTED_VALUE"""),205.17)</f>
        <v>205.17</v>
      </c>
      <c r="C1381" s="1">
        <f ca="1">IFERROR(__xludf.DUMMYFUNCTION("""COMPUTED_VALUE"""),497.41)</f>
        <v>497.41</v>
      </c>
      <c r="D1381" s="1">
        <f ca="1">IFERROR(__xludf.DUMMYFUNCTION("""COMPUTED_VALUE"""),219.39)</f>
        <v>219.39</v>
      </c>
      <c r="E1381" s="1">
        <f ca="1">IFERROR(__xludf.DUMMYFUNCTION("""COMPUTED_VALUE"""),157.99)</f>
        <v>157.99</v>
      </c>
      <c r="F1381" s="1">
        <f ca="1">IFERROR(__xludf.DUMMYFUNCTION("""COMPUTED_VALUE"""),719.22)</f>
        <v>719.22</v>
      </c>
      <c r="G1381" s="1">
        <f ca="1">IFERROR(__xludf.DUMMYFUNCTION("""COMPUTED_VALUE"""),177.39)</f>
        <v>177.39</v>
      </c>
      <c r="H1381" s="1">
        <f ca="1">IFERROR(__xludf.DUMMYFUNCTION("""COMPUTED_VALUE"""),300.71)</f>
        <v>300.70999999999998</v>
      </c>
      <c r="I1381" s="1">
        <f ca="1">IFERROR(__xludf.DUMMYFUNCTION("""COMPUTED_VALUE"""),135.26)</f>
        <v>135.26</v>
      </c>
      <c r="J1381" s="1">
        <f ca="1">IFERROR(__xludf.DUMMYFUNCTION("""COMPUTED_VALUE"""),989.94)</f>
        <v>989.94</v>
      </c>
      <c r="K1381" s="1">
        <f ca="1">IFERROR(__xludf.DUMMYFUNCTION("""COMPUTED_VALUE"""),275.65)</f>
        <v>275.64999999999998</v>
      </c>
      <c r="L1381" s="1">
        <f ca="1">IFERROR(__xludf.DUMMYFUNCTION("""COMPUTED_VALUE"""),386.88)</f>
        <v>386.88</v>
      </c>
      <c r="M1381" s="1">
        <f ca="1">IFERROR(__xludf.DUMMYFUNCTION("""COMPUTED_VALUE"""),1339.13)</f>
        <v>1339.13</v>
      </c>
      <c r="N1381" s="1">
        <f ca="1">IFERROR(__xludf.DUMMYFUNCTION("""COMPUTED_VALUE"""),290.41)</f>
        <v>290.41000000000003</v>
      </c>
      <c r="O1381" s="1">
        <f ca="1">IFERROR(__xludf.DUMMYFUNCTION("""COMPUTED_VALUE"""),355.05)</f>
        <v>355.05</v>
      </c>
      <c r="P1381" s="1">
        <f ca="1">IFERROR(__xludf.DUMMYFUNCTION("""COMPUTED_VALUE"""),152.75)</f>
        <v>152.75</v>
      </c>
      <c r="Q1381" s="1">
        <f ca="1">IFERROR(__xludf.DUMMYFUNCTION("""COMPUTED_VALUE"""),311.97)</f>
        <v>311.97000000000003</v>
      </c>
      <c r="R1381" s="1">
        <f ca="1">IFERROR(__xludf.DUMMYFUNCTION("""COMPUTED_VALUE"""),107.8)</f>
        <v>107.8</v>
      </c>
      <c r="S1381" s="1">
        <f ca="1">IFERROR(__xludf.DUMMYFUNCTION("""COMPUTED_VALUE"""),69.42)</f>
        <v>69.42</v>
      </c>
      <c r="T1381" s="1">
        <f ca="1">IFERROR(__xludf.DUMMYFUNCTION("""COMPUTED_VALUE"""),98.24)</f>
        <v>98.24</v>
      </c>
      <c r="U1381" s="1">
        <f ca="1">IFERROR(__xludf.DUMMYFUNCTION("""COMPUTED_VALUE"""),73.41)</f>
        <v>73.41</v>
      </c>
      <c r="V1381" s="1">
        <f ca="1">IFERROR(__xludf.DUMMYFUNCTION("""COMPUTED_VALUE"""),388.21)</f>
        <v>388.21</v>
      </c>
      <c r="W1381" s="1">
        <f ca="1">IFERROR(__xludf.DUMMYFUNCTION("""COMPUTED_VALUE"""),463.14)</f>
        <v>463.14</v>
      </c>
      <c r="X1381" s="1">
        <f ca="1">IFERROR(__xludf.DUMMYFUNCTION("""COMPUTED_VALUE"""),801.39)</f>
        <v>801.39</v>
      </c>
      <c r="Y1381" s="1">
        <f ca="1">IFERROR(__xludf.DUMMYFUNCTION("""COMPUTED_VALUE"""),226.49)</f>
        <v>226.49</v>
      </c>
      <c r="Z1381" s="1">
        <f ca="1">IFERROR(__xludf.DUMMYFUNCTION("""COMPUTED_VALUE"""),706.46)</f>
        <v>706.46</v>
      </c>
      <c r="AA1381" s="1">
        <f ca="1">IFERROR(__xludf.DUMMYFUNCTION("""COMPUTED_VALUE"""),24.24)</f>
        <v>24.24</v>
      </c>
      <c r="AB1381" s="1">
        <f ca="1">IFERROR(__xludf.DUMMYFUNCTION("""COMPUTED_VALUE"""),94.92)</f>
        <v>94.92</v>
      </c>
      <c r="AC1381" s="1">
        <f ca="1">IFERROR(__xludf.DUMMYFUNCTION("""COMPUTED_VALUE"""),136.11)</f>
        <v>136.11000000000001</v>
      </c>
    </row>
    <row r="1382" spans="1:29" x14ac:dyDescent="0.25">
      <c r="A1382" s="2">
        <f ca="1">IFERROR(__xludf.DUMMYFUNCTION("""COMPUTED_VALUE"""),45839.6666666666)</f>
        <v>45839.666666666599</v>
      </c>
      <c r="B1382" s="1">
        <f ca="1">IFERROR(__xludf.DUMMYFUNCTION("""COMPUTED_VALUE"""),207.82)</f>
        <v>207.82</v>
      </c>
      <c r="C1382" s="1">
        <f ca="1">IFERROR(__xludf.DUMMYFUNCTION("""COMPUTED_VALUE"""),492.05)</f>
        <v>492.05</v>
      </c>
      <c r="D1382" s="1">
        <f ca="1">IFERROR(__xludf.DUMMYFUNCTION("""COMPUTED_VALUE"""),220.46)</f>
        <v>220.46</v>
      </c>
      <c r="E1382" s="1">
        <f ca="1">IFERROR(__xludf.DUMMYFUNCTION("""COMPUTED_VALUE"""),153.3)</f>
        <v>153.30000000000001</v>
      </c>
      <c r="F1382" s="1">
        <f ca="1">IFERROR(__xludf.DUMMYFUNCTION("""COMPUTED_VALUE"""),713.57)</f>
        <v>713.57</v>
      </c>
      <c r="G1382" s="1">
        <f ca="1">IFERROR(__xludf.DUMMYFUNCTION("""COMPUTED_VALUE"""),176.91)</f>
        <v>176.91</v>
      </c>
      <c r="H1382" s="1">
        <f ca="1">IFERROR(__xludf.DUMMYFUNCTION("""COMPUTED_VALUE"""),315.65)</f>
        <v>315.64999999999998</v>
      </c>
      <c r="I1382" s="1">
        <f ca="1">IFERROR(__xludf.DUMMYFUNCTION("""COMPUTED_VALUE"""),136.48)</f>
        <v>136.47999999999999</v>
      </c>
      <c r="J1382" s="1">
        <f ca="1">IFERROR(__xludf.DUMMYFUNCTION("""COMPUTED_VALUE"""),985.96)</f>
        <v>985.96</v>
      </c>
      <c r="K1382" s="1">
        <f ca="1">IFERROR(__xludf.DUMMYFUNCTION("""COMPUTED_VALUE"""),264.74)</f>
        <v>264.74</v>
      </c>
      <c r="L1382" s="1">
        <f ca="1">IFERROR(__xludf.DUMMYFUNCTION("""COMPUTED_VALUE"""),392.1)</f>
        <v>392.1</v>
      </c>
      <c r="M1382" s="1">
        <f ca="1">IFERROR(__xludf.DUMMYFUNCTION("""COMPUTED_VALUE"""),1293.6)</f>
        <v>1293.5999999999999</v>
      </c>
      <c r="N1382" s="1">
        <f ca="1">IFERROR(__xludf.DUMMYFUNCTION("""COMPUTED_VALUE"""),292)</f>
        <v>292</v>
      </c>
      <c r="O1382" s="1">
        <f ca="1">IFERROR(__xludf.DUMMYFUNCTION("""COMPUTED_VALUE"""),355.47)</f>
        <v>355.47</v>
      </c>
      <c r="P1382" s="1">
        <f ca="1">IFERROR(__xludf.DUMMYFUNCTION("""COMPUTED_VALUE"""),155.92)</f>
        <v>155.91999999999999</v>
      </c>
      <c r="Q1382" s="1">
        <f ca="1">IFERROR(__xludf.DUMMYFUNCTION("""COMPUTED_VALUE"""),326.14)</f>
        <v>326.14</v>
      </c>
      <c r="R1382" s="1">
        <f ca="1">IFERROR(__xludf.DUMMYFUNCTION("""COMPUTED_VALUE"""),109.24)</f>
        <v>109.24</v>
      </c>
      <c r="S1382" s="1">
        <f ca="1">IFERROR(__xludf.DUMMYFUNCTION("""COMPUTED_VALUE"""),73.06)</f>
        <v>73.06</v>
      </c>
      <c r="T1382" s="1">
        <f ca="1">IFERROR(__xludf.DUMMYFUNCTION("""COMPUTED_VALUE"""),97.61)</f>
        <v>97.61</v>
      </c>
      <c r="U1382" s="1">
        <f ca="1">IFERROR(__xludf.DUMMYFUNCTION("""COMPUTED_VALUE"""),76.39)</f>
        <v>76.39</v>
      </c>
      <c r="V1382" s="1">
        <f ca="1">IFERROR(__xludf.DUMMYFUNCTION("""COMPUTED_VALUE"""),390.92)</f>
        <v>390.92</v>
      </c>
      <c r="W1382" s="1">
        <f ca="1">IFERROR(__xludf.DUMMYFUNCTION("""COMPUTED_VALUE"""),465.94)</f>
        <v>465.94</v>
      </c>
      <c r="X1382" s="1">
        <f ca="1">IFERROR(__xludf.DUMMYFUNCTION("""COMPUTED_VALUE"""),790.47)</f>
        <v>790.47</v>
      </c>
      <c r="Y1382" s="1">
        <f ca="1">IFERROR(__xludf.DUMMYFUNCTION("""COMPUTED_VALUE"""),224.68)</f>
        <v>224.68</v>
      </c>
      <c r="Z1382" s="1">
        <f ca="1">IFERROR(__xludf.DUMMYFUNCTION("""COMPUTED_VALUE"""),715.89)</f>
        <v>715.89</v>
      </c>
      <c r="AA1382" s="1">
        <f ca="1">IFERROR(__xludf.DUMMYFUNCTION("""COMPUTED_VALUE"""),25.04)</f>
        <v>25.04</v>
      </c>
      <c r="AB1382" s="1">
        <f ca="1">IFERROR(__xludf.DUMMYFUNCTION("""COMPUTED_VALUE"""),94.18)</f>
        <v>94.18</v>
      </c>
      <c r="AC1382" s="1">
        <f ca="1">IFERROR(__xludf.DUMMYFUNCTION("""COMPUTED_VALUE"""),138.52)</f>
        <v>138.52000000000001</v>
      </c>
    </row>
    <row r="1383" spans="1:29" x14ac:dyDescent="0.25">
      <c r="A1383" s="2">
        <f ca="1">IFERROR(__xludf.DUMMYFUNCTION("""COMPUTED_VALUE"""),45840.6666666666)</f>
        <v>45840.666666666599</v>
      </c>
      <c r="B1383" s="1">
        <f ca="1">IFERROR(__xludf.DUMMYFUNCTION("""COMPUTED_VALUE"""),212.44)</f>
        <v>212.44</v>
      </c>
      <c r="C1383" s="1">
        <f ca="1">IFERROR(__xludf.DUMMYFUNCTION("""COMPUTED_VALUE"""),491.09)</f>
        <v>491.09</v>
      </c>
      <c r="D1383" s="1">
        <f ca="1">IFERROR(__xludf.DUMMYFUNCTION("""COMPUTED_VALUE"""),219.92)</f>
        <v>219.92</v>
      </c>
      <c r="E1383" s="1">
        <f ca="1">IFERROR(__xludf.DUMMYFUNCTION("""COMPUTED_VALUE"""),157.25)</f>
        <v>157.25</v>
      </c>
      <c r="F1383" s="1">
        <f ca="1">IFERROR(__xludf.DUMMYFUNCTION("""COMPUTED_VALUE"""),719.01)</f>
        <v>719.01</v>
      </c>
      <c r="G1383" s="1">
        <f ca="1">IFERROR(__xludf.DUMMYFUNCTION("""COMPUTED_VALUE"""),179.76)</f>
        <v>179.76</v>
      </c>
      <c r="H1383" s="1">
        <f ca="1">IFERROR(__xludf.DUMMYFUNCTION("""COMPUTED_VALUE"""),315.35)</f>
        <v>315.35000000000002</v>
      </c>
      <c r="I1383" s="1">
        <f ca="1">IFERROR(__xludf.DUMMYFUNCTION("""COMPUTED_VALUE"""),135.38)</f>
        <v>135.38</v>
      </c>
      <c r="J1383" s="1">
        <f ca="1">IFERROR(__xludf.DUMMYFUNCTION("""COMPUTED_VALUE"""),982.36)</f>
        <v>982.36</v>
      </c>
      <c r="K1383" s="1">
        <f ca="1">IFERROR(__xludf.DUMMYFUNCTION("""COMPUTED_VALUE"""),269.9)</f>
        <v>269.89999999999998</v>
      </c>
      <c r="L1383" s="1">
        <f ca="1">IFERROR(__xludf.DUMMYFUNCTION("""COMPUTED_VALUE"""),378.47)</f>
        <v>378.47</v>
      </c>
      <c r="M1383" s="1">
        <f ca="1">IFERROR(__xludf.DUMMYFUNCTION("""COMPUTED_VALUE"""),1284.86)</f>
        <v>1284.8599999999999</v>
      </c>
      <c r="N1383" s="1">
        <f ca="1">IFERROR(__xludf.DUMMYFUNCTION("""COMPUTED_VALUE"""),296)</f>
        <v>296</v>
      </c>
      <c r="O1383" s="1">
        <f ca="1">IFERROR(__xludf.DUMMYFUNCTION("""COMPUTED_VALUE"""),354.22)</f>
        <v>354.22</v>
      </c>
      <c r="P1383" s="1">
        <f ca="1">IFERROR(__xludf.DUMMYFUNCTION("""COMPUTED_VALUE"""),155.56)</f>
        <v>155.56</v>
      </c>
      <c r="Q1383" s="1">
        <f ca="1">IFERROR(__xludf.DUMMYFUNCTION("""COMPUTED_VALUE"""),307.56)</f>
        <v>307.56</v>
      </c>
      <c r="R1383" s="1">
        <f ca="1">IFERROR(__xludf.DUMMYFUNCTION("""COMPUTED_VALUE"""),111.05)</f>
        <v>111.05</v>
      </c>
      <c r="S1383" s="1">
        <f ca="1">IFERROR(__xludf.DUMMYFUNCTION("""COMPUTED_VALUE"""),73.02)</f>
        <v>73.02</v>
      </c>
      <c r="T1383" s="1">
        <f ca="1">IFERROR(__xludf.DUMMYFUNCTION("""COMPUTED_VALUE"""),98.36)</f>
        <v>98.36</v>
      </c>
      <c r="U1383" s="1">
        <f ca="1">IFERROR(__xludf.DUMMYFUNCTION("""COMPUTED_VALUE"""),76.39)</f>
        <v>76.39</v>
      </c>
      <c r="V1383" s="1">
        <f ca="1">IFERROR(__xludf.DUMMYFUNCTION("""COMPUTED_VALUE"""),398.43)</f>
        <v>398.43</v>
      </c>
      <c r="W1383" s="1">
        <f ca="1">IFERROR(__xludf.DUMMYFUNCTION("""COMPUTED_VALUE"""),462.55)</f>
        <v>462.55</v>
      </c>
      <c r="X1383" s="1">
        <f ca="1">IFERROR(__xludf.DUMMYFUNCTION("""COMPUTED_VALUE"""),799.59)</f>
        <v>799.59</v>
      </c>
      <c r="Y1383" s="1">
        <f ca="1">IFERROR(__xludf.DUMMYFUNCTION("""COMPUTED_VALUE"""),233.6)</f>
        <v>233.6</v>
      </c>
      <c r="Z1383" s="1">
        <f ca="1">IFERROR(__xludf.DUMMYFUNCTION("""COMPUTED_VALUE"""),723.68)</f>
        <v>723.68</v>
      </c>
      <c r="AA1383" s="1">
        <f ca="1">IFERROR(__xludf.DUMMYFUNCTION("""COMPUTED_VALUE"""),25.32)</f>
        <v>25.32</v>
      </c>
      <c r="AB1383" s="1">
        <f ca="1">IFERROR(__xludf.DUMMYFUNCTION("""COMPUTED_VALUE"""),94.44)</f>
        <v>94.44</v>
      </c>
      <c r="AC1383" s="1">
        <f ca="1">IFERROR(__xludf.DUMMYFUNCTION("""COMPUTED_VALUE"""),137.91)</f>
        <v>137.91</v>
      </c>
    </row>
    <row r="1384" spans="1:29" x14ac:dyDescent="0.25">
      <c r="A1384" s="2">
        <f ca="1">IFERROR(__xludf.DUMMYFUNCTION("""COMPUTED_VALUE"""),45841.5451388888)</f>
        <v>45841.545138888803</v>
      </c>
      <c r="B1384" s="1">
        <f ca="1">IFERROR(__xludf.DUMMYFUNCTION("""COMPUTED_VALUE"""),213.55)</f>
        <v>213.55</v>
      </c>
      <c r="C1384" s="1">
        <f ca="1">IFERROR(__xludf.DUMMYFUNCTION("""COMPUTED_VALUE"""),498.84)</f>
        <v>498.84</v>
      </c>
      <c r="D1384" s="1">
        <f ca="1">IFERROR(__xludf.DUMMYFUNCTION("""COMPUTED_VALUE"""),223.41)</f>
        <v>223.41</v>
      </c>
      <c r="E1384" s="1">
        <f ca="1">IFERROR(__xludf.DUMMYFUNCTION("""COMPUTED_VALUE"""),159.34)</f>
        <v>159.34</v>
      </c>
      <c r="F1384" s="1">
        <f ca="1">IFERROR(__xludf.DUMMYFUNCTION("""COMPUTED_VALUE"""),718.35)</f>
        <v>718.35</v>
      </c>
      <c r="G1384" s="1">
        <f ca="1">IFERROR(__xludf.DUMMYFUNCTION("""COMPUTED_VALUE"""),180.55)</f>
        <v>180.55</v>
      </c>
      <c r="H1384" s="1">
        <f ca="1">IFERROR(__xludf.DUMMYFUNCTION("""COMPUTED_VALUE"""),293.94)</f>
        <v>293.94</v>
      </c>
      <c r="I1384" s="1">
        <f ca="1">IFERROR(__xludf.DUMMYFUNCTION("""COMPUTED_VALUE"""),134.45)</f>
        <v>134.44999999999999</v>
      </c>
      <c r="J1384" s="1">
        <f ca="1">IFERROR(__xludf.DUMMYFUNCTION("""COMPUTED_VALUE"""),987.02)</f>
        <v>987.02</v>
      </c>
      <c r="K1384" s="1">
        <f ca="1">IFERROR(__xludf.DUMMYFUNCTION("""COMPUTED_VALUE"""),275.18)</f>
        <v>275.18</v>
      </c>
      <c r="L1384" s="1">
        <f ca="1">IFERROR(__xludf.DUMMYFUNCTION("""COMPUTED_VALUE"""),379.31)</f>
        <v>379.31</v>
      </c>
      <c r="M1384" s="1">
        <f ca="1">IFERROR(__xludf.DUMMYFUNCTION("""COMPUTED_VALUE"""),1297.18)</f>
        <v>1297.18</v>
      </c>
      <c r="N1384" s="1">
        <f ca="1">IFERROR(__xludf.DUMMYFUNCTION("""COMPUTED_VALUE"""),291.97)</f>
        <v>291.97000000000003</v>
      </c>
      <c r="O1384" s="1">
        <f ca="1">IFERROR(__xludf.DUMMYFUNCTION("""COMPUTED_VALUE"""),358.86)</f>
        <v>358.86</v>
      </c>
      <c r="P1384" s="1">
        <f ca="1">IFERROR(__xludf.DUMMYFUNCTION("""COMPUTED_VALUE"""),156.01)</f>
        <v>156.01</v>
      </c>
      <c r="Q1384" s="1">
        <f ca="1">IFERROR(__xludf.DUMMYFUNCTION("""COMPUTED_VALUE"""),308.55)</f>
        <v>308.55</v>
      </c>
      <c r="R1384" s="1">
        <f ca="1">IFERROR(__xludf.DUMMYFUNCTION("""COMPUTED_VALUE"""),112.2)</f>
        <v>112.2</v>
      </c>
      <c r="S1384" s="1">
        <f ca="1">IFERROR(__xludf.DUMMYFUNCTION("""COMPUTED_VALUE"""),73.88)</f>
        <v>73.88</v>
      </c>
      <c r="T1384" s="1">
        <f ca="1">IFERROR(__xludf.DUMMYFUNCTION("""COMPUTED_VALUE"""),99.35)</f>
        <v>99.35</v>
      </c>
      <c r="U1384" s="1">
        <f ca="1">IFERROR(__xludf.DUMMYFUNCTION("""COMPUTED_VALUE"""),76.53)</f>
        <v>76.53</v>
      </c>
      <c r="V1384" s="1">
        <f ca="1">IFERROR(__xludf.DUMMYFUNCTION("""COMPUTED_VALUE"""),397.86)</f>
        <v>397.86</v>
      </c>
      <c r="W1384" s="1">
        <f ca="1">IFERROR(__xludf.DUMMYFUNCTION("""COMPUTED_VALUE"""),462.52)</f>
        <v>462.52</v>
      </c>
      <c r="X1384" s="1">
        <f ca="1">IFERROR(__xludf.DUMMYFUNCTION("""COMPUTED_VALUE"""),794.5)</f>
        <v>794.5</v>
      </c>
      <c r="Y1384" s="1">
        <f ca="1">IFERROR(__xludf.DUMMYFUNCTION("""COMPUTED_VALUE"""),234.8)</f>
        <v>234.8</v>
      </c>
      <c r="Z1384" s="1">
        <f ca="1">IFERROR(__xludf.DUMMYFUNCTION("""COMPUTED_VALUE"""),710.93)</f>
        <v>710.93</v>
      </c>
      <c r="AA1384" s="1">
        <f ca="1">IFERROR(__xludf.DUMMYFUNCTION("""COMPUTED_VALUE"""),25.38)</f>
        <v>25.38</v>
      </c>
      <c r="AB1384" s="1">
        <f ca="1">IFERROR(__xludf.DUMMYFUNCTION("""COMPUTED_VALUE"""),93.64)</f>
        <v>93.64</v>
      </c>
      <c r="AC1384" s="1">
        <f ca="1">IFERROR(__xludf.DUMMYFUNCTION("""COMPUTED_VALUE"""),134.8)</f>
        <v>134.80000000000001</v>
      </c>
    </row>
    <row r="1385" spans="1:29" x14ac:dyDescent="0.25">
      <c r="A1385" s="2">
        <f ca="1">IFERROR(__xludf.DUMMYFUNCTION("""COMPUTED_VALUE"""),45845.6666666666)</f>
        <v>45845.666666666599</v>
      </c>
      <c r="B1385" s="1">
        <f ca="1">IFERROR(__xludf.DUMMYFUNCTION("""COMPUTED_VALUE"""),209.95)</f>
        <v>209.95</v>
      </c>
      <c r="C1385" s="1">
        <f ca="1">IFERROR(__xludf.DUMMYFUNCTION("""COMPUTED_VALUE"""),497.72)</f>
        <v>497.72</v>
      </c>
      <c r="D1385" s="1">
        <f ca="1">IFERROR(__xludf.DUMMYFUNCTION("""COMPUTED_VALUE"""),223.47)</f>
        <v>223.47</v>
      </c>
      <c r="E1385" s="1">
        <f ca="1">IFERROR(__xludf.DUMMYFUNCTION("""COMPUTED_VALUE"""),158.24)</f>
        <v>158.24</v>
      </c>
      <c r="F1385" s="1">
        <f ca="1">IFERROR(__xludf.DUMMYFUNCTION("""COMPUTED_VALUE"""),720.67)</f>
        <v>720.67</v>
      </c>
      <c r="G1385" s="1">
        <f ca="1">IFERROR(__xludf.DUMMYFUNCTION("""COMPUTED_VALUE"""),177.56)</f>
        <v>177.56</v>
      </c>
      <c r="H1385" s="1">
        <f ca="1">IFERROR(__xludf.DUMMYFUNCTION("""COMPUTED_VALUE"""),297.81)</f>
        <v>297.81</v>
      </c>
      <c r="I1385" s="1">
        <f ca="1">IFERROR(__xludf.DUMMYFUNCTION("""COMPUTED_VALUE"""),135.04)</f>
        <v>135.04</v>
      </c>
      <c r="J1385" s="1">
        <f ca="1">IFERROR(__xludf.DUMMYFUNCTION("""COMPUTED_VALUE"""),992.18)</f>
        <v>992.18</v>
      </c>
      <c r="K1385" s="1">
        <f ca="1">IFERROR(__xludf.DUMMYFUNCTION("""COMPUTED_VALUE"""),274.18)</f>
        <v>274.18</v>
      </c>
      <c r="L1385" s="1">
        <f ca="1">IFERROR(__xludf.DUMMYFUNCTION("""COMPUTED_VALUE"""),376.93)</f>
        <v>376.93</v>
      </c>
      <c r="M1385" s="1">
        <f ca="1">IFERROR(__xludf.DUMMYFUNCTION("""COMPUTED_VALUE"""),1289.62)</f>
        <v>1289.6199999999999</v>
      </c>
      <c r="N1385" s="1">
        <f ca="1">IFERROR(__xludf.DUMMYFUNCTION("""COMPUTED_VALUE"""),282.78)</f>
        <v>282.77999999999997</v>
      </c>
      <c r="O1385" s="1">
        <f ca="1">IFERROR(__xludf.DUMMYFUNCTION("""COMPUTED_VALUE"""),356.64)</f>
        <v>356.64</v>
      </c>
      <c r="P1385" s="1">
        <f ca="1">IFERROR(__xludf.DUMMYFUNCTION("""COMPUTED_VALUE"""),155.27)</f>
        <v>155.27000000000001</v>
      </c>
      <c r="Q1385" s="1">
        <f ca="1">IFERROR(__xludf.DUMMYFUNCTION("""COMPUTED_VALUE"""),303.71)</f>
        <v>303.70999999999998</v>
      </c>
      <c r="R1385" s="1">
        <f ca="1">IFERROR(__xludf.DUMMYFUNCTION("""COMPUTED_VALUE"""),111.11)</f>
        <v>111.11</v>
      </c>
      <c r="S1385" s="1">
        <f ca="1">IFERROR(__xludf.DUMMYFUNCTION("""COMPUTED_VALUE"""),74.75)</f>
        <v>74.75</v>
      </c>
      <c r="T1385" s="1">
        <f ca="1">IFERROR(__xludf.DUMMYFUNCTION("""COMPUTED_VALUE"""),97.09)</f>
        <v>97.09</v>
      </c>
      <c r="U1385" s="1">
        <f ca="1">IFERROR(__xludf.DUMMYFUNCTION("""COMPUTED_VALUE"""),73.92)</f>
        <v>73.92</v>
      </c>
      <c r="V1385" s="1">
        <f ca="1">IFERROR(__xludf.DUMMYFUNCTION("""COMPUTED_VALUE"""),391.51)</f>
        <v>391.51</v>
      </c>
      <c r="W1385" s="1">
        <f ca="1">IFERROR(__xludf.DUMMYFUNCTION("""COMPUTED_VALUE"""),469.06)</f>
        <v>469.06</v>
      </c>
      <c r="X1385" s="1">
        <f ca="1">IFERROR(__xludf.DUMMYFUNCTION("""COMPUTED_VALUE"""),785.09)</f>
        <v>785.09</v>
      </c>
      <c r="Y1385" s="1">
        <f ca="1">IFERROR(__xludf.DUMMYFUNCTION("""COMPUTED_VALUE"""),229.17)</f>
        <v>229.17</v>
      </c>
      <c r="Z1385" s="1">
        <f ca="1">IFERROR(__xludf.DUMMYFUNCTION("""COMPUTED_VALUE"""),697.28)</f>
        <v>697.28</v>
      </c>
      <c r="AA1385" s="1">
        <f ca="1">IFERROR(__xludf.DUMMYFUNCTION("""COMPUTED_VALUE"""),25.24)</f>
        <v>25.24</v>
      </c>
      <c r="AB1385" s="1">
        <f ca="1">IFERROR(__xludf.DUMMYFUNCTION("""COMPUTED_VALUE"""),94.94)</f>
        <v>94.94</v>
      </c>
      <c r="AC1385" s="1">
        <f ca="1">IFERROR(__xludf.DUMMYFUNCTION("""COMPUTED_VALUE"""),137.82)</f>
        <v>137.82</v>
      </c>
    </row>
    <row r="1386" spans="1:29" x14ac:dyDescent="0.25">
      <c r="A1386" s="2">
        <f ca="1">IFERROR(__xludf.DUMMYFUNCTION("""COMPUTED_VALUE"""),45846.6666666666)</f>
        <v>45846.666666666599</v>
      </c>
      <c r="B1386" s="1">
        <f ca="1">IFERROR(__xludf.DUMMYFUNCTION("""COMPUTED_VALUE"""),210.01)</f>
        <v>210.01</v>
      </c>
      <c r="C1386" s="1">
        <f ca="1">IFERROR(__xludf.DUMMYFUNCTION("""COMPUTED_VALUE"""),496.62)</f>
        <v>496.62</v>
      </c>
      <c r="D1386" s="1">
        <f ca="1">IFERROR(__xludf.DUMMYFUNCTION("""COMPUTED_VALUE"""),219.36)</f>
        <v>219.36</v>
      </c>
      <c r="E1386" s="1">
        <f ca="1">IFERROR(__xludf.DUMMYFUNCTION("""COMPUTED_VALUE"""),160)</f>
        <v>160</v>
      </c>
      <c r="F1386" s="1">
        <f ca="1">IFERROR(__xludf.DUMMYFUNCTION("""COMPUTED_VALUE"""),732.78)</f>
        <v>732.78</v>
      </c>
      <c r="G1386" s="1">
        <f ca="1">IFERROR(__xludf.DUMMYFUNCTION("""COMPUTED_VALUE"""),175.16)</f>
        <v>175.16</v>
      </c>
      <c r="H1386" s="1">
        <f ca="1">IFERROR(__xludf.DUMMYFUNCTION("""COMPUTED_VALUE"""),295.88)</f>
        <v>295.88</v>
      </c>
      <c r="I1386" s="1">
        <f ca="1">IFERROR(__xludf.DUMMYFUNCTION("""COMPUTED_VALUE"""),134.48)</f>
        <v>134.47999999999999</v>
      </c>
      <c r="J1386" s="1">
        <f ca="1">IFERROR(__xludf.DUMMYFUNCTION("""COMPUTED_VALUE"""),985.84)</f>
        <v>985.84</v>
      </c>
      <c r="K1386" s="1">
        <f ca="1">IFERROR(__xludf.DUMMYFUNCTION("""COMPUTED_VALUE"""),271.8)</f>
        <v>271.8</v>
      </c>
      <c r="L1386" s="1">
        <f ca="1">IFERROR(__xludf.DUMMYFUNCTION("""COMPUTED_VALUE"""),382.24)</f>
        <v>382.24</v>
      </c>
      <c r="M1386" s="1">
        <f ca="1">IFERROR(__xludf.DUMMYFUNCTION("""COMPUTED_VALUE"""),1275.31)</f>
        <v>1275.31</v>
      </c>
      <c r="N1386" s="1">
        <f ca="1">IFERROR(__xludf.DUMMYFUNCTION("""COMPUTED_VALUE"""),283.16)</f>
        <v>283.16000000000003</v>
      </c>
      <c r="O1386" s="1">
        <f ca="1">IFERROR(__xludf.DUMMYFUNCTION("""COMPUTED_VALUE"""),354.55)</f>
        <v>354.55</v>
      </c>
      <c r="P1386" s="1">
        <f ca="1">IFERROR(__xludf.DUMMYFUNCTION("""COMPUTED_VALUE"""),155.79)</f>
        <v>155.79</v>
      </c>
      <c r="Q1386" s="1">
        <f ca="1">IFERROR(__xludf.DUMMYFUNCTION("""COMPUTED_VALUE"""),307.7)</f>
        <v>307.7</v>
      </c>
      <c r="R1386" s="1">
        <f ca="1">IFERROR(__xludf.DUMMYFUNCTION("""COMPUTED_VALUE"""),114.19)</f>
        <v>114.19</v>
      </c>
      <c r="S1386" s="1">
        <f ca="1">IFERROR(__xludf.DUMMYFUNCTION("""COMPUTED_VALUE"""),72.46)</f>
        <v>72.459999999999994</v>
      </c>
      <c r="T1386" s="1">
        <f ca="1">IFERROR(__xludf.DUMMYFUNCTION("""COMPUTED_VALUE"""),96.81)</f>
        <v>96.81</v>
      </c>
      <c r="U1386" s="1">
        <f ca="1">IFERROR(__xludf.DUMMYFUNCTION("""COMPUTED_VALUE"""),73.56)</f>
        <v>73.56</v>
      </c>
      <c r="V1386" s="1">
        <f ca="1">IFERROR(__xludf.DUMMYFUNCTION("""COMPUTED_VALUE"""),394.29)</f>
        <v>394.29</v>
      </c>
      <c r="W1386" s="1">
        <f ca="1">IFERROR(__xludf.DUMMYFUNCTION("""COMPUTED_VALUE"""),463.01)</f>
        <v>463.01</v>
      </c>
      <c r="X1386" s="1">
        <f ca="1">IFERROR(__xludf.DUMMYFUNCTION("""COMPUTED_VALUE"""),794.1)</f>
        <v>794.1</v>
      </c>
      <c r="Y1386" s="1">
        <f ca="1">IFERROR(__xludf.DUMMYFUNCTION("""COMPUTED_VALUE"""),227.86)</f>
        <v>227.86</v>
      </c>
      <c r="Z1386" s="1">
        <f ca="1">IFERROR(__xludf.DUMMYFUNCTION("""COMPUTED_VALUE"""),696.56)</f>
        <v>696.56</v>
      </c>
      <c r="AA1386" s="1">
        <f ca="1">IFERROR(__xludf.DUMMYFUNCTION("""COMPUTED_VALUE"""),25.62)</f>
        <v>25.62</v>
      </c>
      <c r="AB1386" s="1">
        <f ca="1">IFERROR(__xludf.DUMMYFUNCTION("""COMPUTED_VALUE"""),95.25)</f>
        <v>95.25</v>
      </c>
      <c r="AC1386" s="1">
        <f ca="1">IFERROR(__xludf.DUMMYFUNCTION("""COMPUTED_VALUE"""),138.41)</f>
        <v>138.41</v>
      </c>
    </row>
    <row r="1387" spans="1:29" x14ac:dyDescent="0.25">
      <c r="A1387" s="2">
        <f ca="1">IFERROR(__xludf.DUMMYFUNCTION("""COMPUTED_VALUE"""),45847.6666666666)</f>
        <v>45847.666666666599</v>
      </c>
      <c r="B1387" s="1">
        <f ca="1">IFERROR(__xludf.DUMMYFUNCTION("""COMPUTED_VALUE"""),211.14)</f>
        <v>211.14</v>
      </c>
      <c r="C1387" s="1">
        <f ca="1">IFERROR(__xludf.DUMMYFUNCTION("""COMPUTED_VALUE"""),503.51)</f>
        <v>503.51</v>
      </c>
      <c r="D1387" s="1">
        <f ca="1">IFERROR(__xludf.DUMMYFUNCTION("""COMPUTED_VALUE"""),222.54)</f>
        <v>222.54</v>
      </c>
      <c r="E1387" s="1">
        <f ca="1">IFERROR(__xludf.DUMMYFUNCTION("""COMPUTED_VALUE"""),162.88)</f>
        <v>162.88</v>
      </c>
      <c r="F1387" s="1">
        <f ca="1">IFERROR(__xludf.DUMMYFUNCTION("""COMPUTED_VALUE"""),727.24)</f>
        <v>727.24</v>
      </c>
      <c r="G1387" s="1">
        <f ca="1">IFERROR(__xludf.DUMMYFUNCTION("""COMPUTED_VALUE"""),177.66)</f>
        <v>177.66</v>
      </c>
      <c r="H1387" s="1">
        <f ca="1">IFERROR(__xludf.DUMMYFUNCTION("""COMPUTED_VALUE"""),309.87)</f>
        <v>309.87</v>
      </c>
      <c r="I1387" s="1">
        <f ca="1">IFERROR(__xludf.DUMMYFUNCTION("""COMPUTED_VALUE"""),136.08)</f>
        <v>136.08000000000001</v>
      </c>
      <c r="J1387" s="1">
        <f ca="1">IFERROR(__xludf.DUMMYFUNCTION("""COMPUTED_VALUE"""),982.09)</f>
        <v>982.09</v>
      </c>
      <c r="K1387" s="1">
        <f ca="1">IFERROR(__xludf.DUMMYFUNCTION("""COMPUTED_VALUE"""),277.9)</f>
        <v>277.89999999999998</v>
      </c>
      <c r="L1387" s="1">
        <f ca="1">IFERROR(__xludf.DUMMYFUNCTION("""COMPUTED_VALUE"""),373.38)</f>
        <v>373.38</v>
      </c>
      <c r="M1387" s="1">
        <f ca="1">IFERROR(__xludf.DUMMYFUNCTION("""COMPUTED_VALUE"""),1288.28)</f>
        <v>1288.28</v>
      </c>
      <c r="N1387" s="1">
        <f ca="1">IFERROR(__xludf.DUMMYFUNCTION("""COMPUTED_VALUE"""),288.19)</f>
        <v>288.19</v>
      </c>
      <c r="O1387" s="1">
        <f ca="1">IFERROR(__xludf.DUMMYFUNCTION("""COMPUTED_VALUE"""),357.76)</f>
        <v>357.76</v>
      </c>
      <c r="P1387" s="1">
        <f ca="1">IFERROR(__xludf.DUMMYFUNCTION("""COMPUTED_VALUE"""),156.28)</f>
        <v>156.28</v>
      </c>
      <c r="Q1387" s="1">
        <f ca="1">IFERROR(__xludf.DUMMYFUNCTION("""COMPUTED_VALUE"""),302.91)</f>
        <v>302.91000000000003</v>
      </c>
      <c r="R1387" s="1">
        <f ca="1">IFERROR(__xludf.DUMMYFUNCTION("""COMPUTED_VALUE"""),113.8)</f>
        <v>113.8</v>
      </c>
      <c r="S1387" s="1">
        <f ca="1">IFERROR(__xludf.DUMMYFUNCTION("""COMPUTED_VALUE"""),73.65)</f>
        <v>73.650000000000006</v>
      </c>
      <c r="T1387" s="1">
        <f ca="1">IFERROR(__xludf.DUMMYFUNCTION("""COMPUTED_VALUE"""),94.86)</f>
        <v>94.86</v>
      </c>
      <c r="U1387" s="1">
        <f ca="1">IFERROR(__xludf.DUMMYFUNCTION("""COMPUTED_VALUE"""),74.62)</f>
        <v>74.62</v>
      </c>
      <c r="V1387" s="1">
        <f ca="1">IFERROR(__xludf.DUMMYFUNCTION("""COMPUTED_VALUE"""),402.18)</f>
        <v>402.18</v>
      </c>
      <c r="W1387" s="1">
        <f ca="1">IFERROR(__xludf.DUMMYFUNCTION("""COMPUTED_VALUE"""),463.06)</f>
        <v>463.06</v>
      </c>
      <c r="X1387" s="1">
        <f ca="1">IFERROR(__xludf.DUMMYFUNCTION("""COMPUTED_VALUE"""),799.83)</f>
        <v>799.83</v>
      </c>
      <c r="Y1387" s="1">
        <f ca="1">IFERROR(__xludf.DUMMYFUNCTION("""COMPUTED_VALUE"""),231.84)</f>
        <v>231.84</v>
      </c>
      <c r="Z1387" s="1">
        <f ca="1">IFERROR(__xludf.DUMMYFUNCTION("""COMPUTED_VALUE"""),709.12)</f>
        <v>709.12</v>
      </c>
      <c r="AA1387" s="1">
        <f ca="1">IFERROR(__xludf.DUMMYFUNCTION("""COMPUTED_VALUE"""),25.56)</f>
        <v>25.56</v>
      </c>
      <c r="AB1387" s="1">
        <f ca="1">IFERROR(__xludf.DUMMYFUNCTION("""COMPUTED_VALUE"""),95.15)</f>
        <v>95.15</v>
      </c>
      <c r="AC1387" s="1">
        <f ca="1">IFERROR(__xludf.DUMMYFUNCTION("""COMPUTED_VALUE"""),144.16)</f>
        <v>144.16</v>
      </c>
    </row>
    <row r="1388" spans="1:29" x14ac:dyDescent="0.25">
      <c r="A1388" s="2">
        <f ca="1">IFERROR(__xludf.DUMMYFUNCTION("""COMPUTED_VALUE"""),45848.6666666666)</f>
        <v>45848.666666666599</v>
      </c>
      <c r="B1388" s="1">
        <f ca="1">IFERROR(__xludf.DUMMYFUNCTION("""COMPUTED_VALUE"""),212.41)</f>
        <v>212.41</v>
      </c>
      <c r="C1388" s="1">
        <f ca="1">IFERROR(__xludf.DUMMYFUNCTION("""COMPUTED_VALUE"""),501.48)</f>
        <v>501.48</v>
      </c>
      <c r="D1388" s="1">
        <f ca="1">IFERROR(__xludf.DUMMYFUNCTION("""COMPUTED_VALUE"""),222.26)</f>
        <v>222.26</v>
      </c>
      <c r="E1388" s="1">
        <f ca="1">IFERROR(__xludf.DUMMYFUNCTION("""COMPUTED_VALUE"""),164.1)</f>
        <v>164.1</v>
      </c>
      <c r="F1388" s="1">
        <f ca="1">IFERROR(__xludf.DUMMYFUNCTION("""COMPUTED_VALUE"""),717.51)</f>
        <v>717.51</v>
      </c>
      <c r="G1388" s="1">
        <f ca="1">IFERROR(__xludf.DUMMYFUNCTION("""COMPUTED_VALUE"""),178.7)</f>
        <v>178.7</v>
      </c>
      <c r="H1388" s="1">
        <f ca="1">IFERROR(__xludf.DUMMYFUNCTION("""COMPUTED_VALUE"""),313.51)</f>
        <v>313.51</v>
      </c>
      <c r="I1388" s="1">
        <f ca="1">IFERROR(__xludf.DUMMYFUNCTION("""COMPUTED_VALUE"""),135.26)</f>
        <v>135.26</v>
      </c>
      <c r="J1388" s="1">
        <f ca="1">IFERROR(__xludf.DUMMYFUNCTION("""COMPUTED_VALUE"""),970.17)</f>
        <v>970.17</v>
      </c>
      <c r="K1388" s="1">
        <f ca="1">IFERROR(__xludf.DUMMYFUNCTION("""COMPUTED_VALUE"""),275.4)</f>
        <v>275.39999999999998</v>
      </c>
      <c r="L1388" s="1">
        <f ca="1">IFERROR(__xludf.DUMMYFUNCTION("""COMPUTED_VALUE"""),371.43)</f>
        <v>371.43</v>
      </c>
      <c r="M1388" s="1">
        <f ca="1">IFERROR(__xludf.DUMMYFUNCTION("""COMPUTED_VALUE"""),1250.59)</f>
        <v>1250.5899999999999</v>
      </c>
      <c r="N1388" s="1">
        <f ca="1">IFERROR(__xludf.DUMMYFUNCTION("""COMPUTED_VALUE"""),286.86)</f>
        <v>286.86</v>
      </c>
      <c r="O1388" s="1">
        <f ca="1">IFERROR(__xludf.DUMMYFUNCTION("""COMPUTED_VALUE"""),355.88)</f>
        <v>355.88</v>
      </c>
      <c r="P1388" s="1">
        <f ca="1">IFERROR(__xludf.DUMMYFUNCTION("""COMPUTED_VALUE"""),157.69)</f>
        <v>157.69</v>
      </c>
      <c r="Q1388" s="1">
        <f ca="1">IFERROR(__xludf.DUMMYFUNCTION("""COMPUTED_VALUE"""),299.51)</f>
        <v>299.51</v>
      </c>
      <c r="R1388" s="1">
        <f ca="1">IFERROR(__xludf.DUMMYFUNCTION("""COMPUTED_VALUE"""),114.93)</f>
        <v>114.93</v>
      </c>
      <c r="S1388" s="1">
        <f ca="1">IFERROR(__xludf.DUMMYFUNCTION("""COMPUTED_VALUE"""),74.64)</f>
        <v>74.64</v>
      </c>
      <c r="T1388" s="1">
        <f ca="1">IFERROR(__xludf.DUMMYFUNCTION("""COMPUTED_VALUE"""),94.4)</f>
        <v>94.4</v>
      </c>
      <c r="U1388" s="1">
        <f ca="1">IFERROR(__xludf.DUMMYFUNCTION("""COMPUTED_VALUE"""),72.63)</f>
        <v>72.63</v>
      </c>
      <c r="V1388" s="1">
        <f ca="1">IFERROR(__xludf.DUMMYFUNCTION("""COMPUTED_VALUE"""),408.33)</f>
        <v>408.33</v>
      </c>
      <c r="W1388" s="1">
        <f ca="1">IFERROR(__xludf.DUMMYFUNCTION("""COMPUTED_VALUE"""),464.31)</f>
        <v>464.31</v>
      </c>
      <c r="X1388" s="1">
        <f ca="1">IFERROR(__xludf.DUMMYFUNCTION("""COMPUTED_VALUE"""),802.09)</f>
        <v>802.09</v>
      </c>
      <c r="Y1388" s="1">
        <f ca="1">IFERROR(__xludf.DUMMYFUNCTION("""COMPUTED_VALUE"""),229.76)</f>
        <v>229.76</v>
      </c>
      <c r="Z1388" s="1">
        <f ca="1">IFERROR(__xludf.DUMMYFUNCTION("""COMPUTED_VALUE"""),704.95)</f>
        <v>704.95</v>
      </c>
      <c r="AA1388" s="1">
        <f ca="1">IFERROR(__xludf.DUMMYFUNCTION("""COMPUTED_VALUE"""),25.78)</f>
        <v>25.78</v>
      </c>
      <c r="AB1388" s="1">
        <f ca="1">IFERROR(__xludf.DUMMYFUNCTION("""COMPUTED_VALUE"""),94.94)</f>
        <v>94.94</v>
      </c>
      <c r="AC1388" s="1">
        <f ca="1">IFERROR(__xludf.DUMMYFUNCTION("""COMPUTED_VALUE"""),146.42)</f>
        <v>146.41999999999999</v>
      </c>
    </row>
    <row r="1389" spans="1:29" x14ac:dyDescent="0.25">
      <c r="A1389" s="2">
        <f ca="1">IFERROR(__xludf.DUMMYFUNCTION("""COMPUTED_VALUE"""),45849.6666666666)</f>
        <v>45849.666666666599</v>
      </c>
      <c r="B1389" s="1">
        <f ca="1">IFERROR(__xludf.DUMMYFUNCTION("""COMPUTED_VALUE"""),211.16)</f>
        <v>211.16</v>
      </c>
      <c r="C1389" s="1">
        <f ca="1">IFERROR(__xludf.DUMMYFUNCTION("""COMPUTED_VALUE"""),503.32)</f>
        <v>503.32</v>
      </c>
      <c r="D1389" s="1">
        <f ca="1">IFERROR(__xludf.DUMMYFUNCTION("""COMPUTED_VALUE"""),225.02)</f>
        <v>225.02</v>
      </c>
      <c r="E1389" s="1">
        <f ca="1">IFERROR(__xludf.DUMMYFUNCTION("""COMPUTED_VALUE"""),164.92)</f>
        <v>164.92</v>
      </c>
      <c r="F1389" s="1">
        <f ca="1">IFERROR(__xludf.DUMMYFUNCTION("""COMPUTED_VALUE"""),720.92)</f>
        <v>720.92</v>
      </c>
      <c r="G1389" s="1">
        <f ca="1">IFERROR(__xludf.DUMMYFUNCTION("""COMPUTED_VALUE"""),181.31)</f>
        <v>181.31</v>
      </c>
      <c r="H1389" s="1">
        <f ca="1">IFERROR(__xludf.DUMMYFUNCTION("""COMPUTED_VALUE"""),316.9)</f>
        <v>316.89999999999998</v>
      </c>
      <c r="I1389" s="1">
        <f ca="1">IFERROR(__xludf.DUMMYFUNCTION("""COMPUTED_VALUE"""),135.57)</f>
        <v>135.57</v>
      </c>
      <c r="J1389" s="1">
        <f ca="1">IFERROR(__xludf.DUMMYFUNCTION("""COMPUTED_VALUE"""),970.33)</f>
        <v>970.33</v>
      </c>
      <c r="K1389" s="1">
        <f ca="1">IFERROR(__xludf.DUMMYFUNCTION("""COMPUTED_VALUE"""),274.38)</f>
        <v>274.38</v>
      </c>
      <c r="L1389" s="1">
        <f ca="1">IFERROR(__xludf.DUMMYFUNCTION("""COMPUTED_VALUE"""),363.35)</f>
        <v>363.35</v>
      </c>
      <c r="M1389" s="1">
        <f ca="1">IFERROR(__xludf.DUMMYFUNCTION("""COMPUTED_VALUE"""),1245.11)</f>
        <v>1245.1099999999999</v>
      </c>
      <c r="N1389" s="1">
        <f ca="1">IFERROR(__xludf.DUMMYFUNCTION("""COMPUTED_VALUE"""),288.7)</f>
        <v>288.7</v>
      </c>
      <c r="O1389" s="1">
        <f ca="1">IFERROR(__xludf.DUMMYFUNCTION("""COMPUTED_VALUE"""),347.93)</f>
        <v>347.93</v>
      </c>
      <c r="P1389" s="1">
        <f ca="1">IFERROR(__xludf.DUMMYFUNCTION("""COMPUTED_VALUE"""),156.9)</f>
        <v>156.9</v>
      </c>
      <c r="Q1389" s="1">
        <f ca="1">IFERROR(__xludf.DUMMYFUNCTION("""COMPUTED_VALUE"""),304.1)</f>
        <v>304.10000000000002</v>
      </c>
      <c r="R1389" s="1">
        <f ca="1">IFERROR(__xludf.DUMMYFUNCTION("""COMPUTED_VALUE"""),115.43)</f>
        <v>115.43</v>
      </c>
      <c r="S1389" s="1">
        <f ca="1">IFERROR(__xludf.DUMMYFUNCTION("""COMPUTED_VALUE"""),74.4)</f>
        <v>74.400000000000006</v>
      </c>
      <c r="T1389" s="1">
        <f ca="1">IFERROR(__xludf.DUMMYFUNCTION("""COMPUTED_VALUE"""),95.78)</f>
        <v>95.78</v>
      </c>
      <c r="U1389" s="1">
        <f ca="1">IFERROR(__xludf.DUMMYFUNCTION("""COMPUTED_VALUE"""),72.25)</f>
        <v>72.25</v>
      </c>
      <c r="V1389" s="1">
        <f ca="1">IFERROR(__xludf.DUMMYFUNCTION("""COMPUTED_VALUE"""),405.92)</f>
        <v>405.92</v>
      </c>
      <c r="W1389" s="1">
        <f ca="1">IFERROR(__xludf.DUMMYFUNCTION("""COMPUTED_VALUE"""),467.51)</f>
        <v>467.51</v>
      </c>
      <c r="X1389" s="1">
        <f ca="1">IFERROR(__xludf.DUMMYFUNCTION("""COMPUTED_VALUE"""),801.93)</f>
        <v>801.93</v>
      </c>
      <c r="Y1389" s="1">
        <f ca="1">IFERROR(__xludf.DUMMYFUNCTION("""COMPUTED_VALUE"""),230.4)</f>
        <v>230.4</v>
      </c>
      <c r="Z1389" s="1">
        <f ca="1">IFERROR(__xludf.DUMMYFUNCTION("""COMPUTED_VALUE"""),713.3)</f>
        <v>713.3</v>
      </c>
      <c r="AA1389" s="1">
        <f ca="1">IFERROR(__xludf.DUMMYFUNCTION("""COMPUTED_VALUE"""),25.65)</f>
        <v>25.65</v>
      </c>
      <c r="AB1389" s="1">
        <f ca="1">IFERROR(__xludf.DUMMYFUNCTION("""COMPUTED_VALUE"""),93.42)</f>
        <v>93.42</v>
      </c>
      <c r="AC1389" s="1">
        <f ca="1">IFERROR(__xludf.DUMMYFUNCTION("""COMPUTED_VALUE"""),146.24)</f>
        <v>146.24</v>
      </c>
    </row>
    <row r="1390" spans="1:29" x14ac:dyDescent="0.25">
      <c r="A1390" s="2">
        <f ca="1">IFERROR(__xludf.DUMMYFUNCTION("""COMPUTED_VALUE"""),45852.6666666666)</f>
        <v>45852.666666666599</v>
      </c>
      <c r="B1390" s="1">
        <f ca="1">IFERROR(__xludf.DUMMYFUNCTION("""COMPUTED_VALUE"""),208.62)</f>
        <v>208.62</v>
      </c>
      <c r="C1390" s="1">
        <f ca="1">IFERROR(__xludf.DUMMYFUNCTION("""COMPUTED_VALUE"""),503.02)</f>
        <v>503.02</v>
      </c>
      <c r="D1390" s="1">
        <f ca="1">IFERROR(__xludf.DUMMYFUNCTION("""COMPUTED_VALUE"""),225.69)</f>
        <v>225.69</v>
      </c>
      <c r="E1390" s="1">
        <f ca="1">IFERROR(__xludf.DUMMYFUNCTION("""COMPUTED_VALUE"""),164.07)</f>
        <v>164.07</v>
      </c>
      <c r="F1390" s="1">
        <f ca="1">IFERROR(__xludf.DUMMYFUNCTION("""COMPUTED_VALUE"""),710.39)</f>
        <v>710.39</v>
      </c>
      <c r="G1390" s="1">
        <f ca="1">IFERROR(__xludf.DUMMYFUNCTION("""COMPUTED_VALUE"""),182.81)</f>
        <v>182.81</v>
      </c>
      <c r="H1390" s="1">
        <f ca="1">IFERROR(__xludf.DUMMYFUNCTION("""COMPUTED_VALUE"""),310.78)</f>
        <v>310.77999999999997</v>
      </c>
      <c r="I1390" s="1">
        <f ca="1">IFERROR(__xludf.DUMMYFUNCTION("""COMPUTED_VALUE"""),133.81)</f>
        <v>133.81</v>
      </c>
      <c r="J1390" s="1">
        <f ca="1">IFERROR(__xludf.DUMMYFUNCTION("""COMPUTED_VALUE"""),980.91)</f>
        <v>980.91</v>
      </c>
      <c r="K1390" s="1">
        <f ca="1">IFERROR(__xludf.DUMMYFUNCTION("""COMPUTED_VALUE"""),275.6)</f>
        <v>275.60000000000002</v>
      </c>
      <c r="L1390" s="1">
        <f ca="1">IFERROR(__xludf.DUMMYFUNCTION("""COMPUTED_VALUE"""),366.99)</f>
        <v>366.99</v>
      </c>
      <c r="M1390" s="1">
        <f ca="1">IFERROR(__xludf.DUMMYFUNCTION("""COMPUTED_VALUE"""),1261.95)</f>
        <v>1261.95</v>
      </c>
      <c r="N1390" s="1">
        <f ca="1">IFERROR(__xludf.DUMMYFUNCTION("""COMPUTED_VALUE"""),286.55)</f>
        <v>286.55</v>
      </c>
      <c r="O1390" s="1">
        <f ca="1">IFERROR(__xludf.DUMMYFUNCTION("""COMPUTED_VALUE"""),350.5)</f>
        <v>350.5</v>
      </c>
      <c r="P1390" s="1">
        <f ca="1">IFERROR(__xludf.DUMMYFUNCTION("""COMPUTED_VALUE"""),156.82)</f>
        <v>156.82</v>
      </c>
      <c r="Q1390" s="1">
        <f ca="1">IFERROR(__xludf.DUMMYFUNCTION("""COMPUTED_VALUE"""),300.58)</f>
        <v>300.58</v>
      </c>
      <c r="R1390" s="1">
        <f ca="1">IFERROR(__xludf.DUMMYFUNCTION("""COMPUTED_VALUE"""),113.92)</f>
        <v>113.92</v>
      </c>
      <c r="S1390" s="1">
        <f ca="1">IFERROR(__xludf.DUMMYFUNCTION("""COMPUTED_VALUE"""),75.04)</f>
        <v>75.040000000000006</v>
      </c>
      <c r="T1390" s="1">
        <f ca="1">IFERROR(__xludf.DUMMYFUNCTION("""COMPUTED_VALUE"""),95.39)</f>
        <v>95.39</v>
      </c>
      <c r="U1390" s="1">
        <f ca="1">IFERROR(__xludf.DUMMYFUNCTION("""COMPUTED_VALUE"""),71.99)</f>
        <v>71.989999999999995</v>
      </c>
      <c r="V1390" s="1">
        <f ca="1">IFERROR(__xludf.DUMMYFUNCTION("""COMPUTED_VALUE"""),405.77)</f>
        <v>405.77</v>
      </c>
      <c r="W1390" s="1">
        <f ca="1">IFERROR(__xludf.DUMMYFUNCTION("""COMPUTED_VALUE"""),473.57)</f>
        <v>473.57</v>
      </c>
      <c r="X1390" s="1">
        <f ca="1">IFERROR(__xludf.DUMMYFUNCTION("""COMPUTED_VALUE"""),806.73)</f>
        <v>806.73</v>
      </c>
      <c r="Y1390" s="1">
        <f ca="1">IFERROR(__xludf.DUMMYFUNCTION("""COMPUTED_VALUE"""),228.67)</f>
        <v>228.67</v>
      </c>
      <c r="Z1390" s="1">
        <f ca="1">IFERROR(__xludf.DUMMYFUNCTION("""COMPUTED_VALUE"""),702.51)</f>
        <v>702.51</v>
      </c>
      <c r="AA1390" s="1">
        <f ca="1">IFERROR(__xludf.DUMMYFUNCTION("""COMPUTED_VALUE"""),25.35)</f>
        <v>25.35</v>
      </c>
      <c r="AB1390" s="1">
        <f ca="1">IFERROR(__xludf.DUMMYFUNCTION("""COMPUTED_VALUE"""),92.48)</f>
        <v>92.48</v>
      </c>
      <c r="AC1390" s="1">
        <f ca="1">IFERROR(__xludf.DUMMYFUNCTION("""COMPUTED_VALUE"""),155.61)</f>
        <v>155.61000000000001</v>
      </c>
    </row>
    <row r="1391" spans="1:29" x14ac:dyDescent="0.25">
      <c r="A1391" s="2">
        <f ca="1">IFERROR(__xludf.DUMMYFUNCTION("""COMPUTED_VALUE"""),45853.6666666666)</f>
        <v>45853.666666666599</v>
      </c>
      <c r="B1391" s="1">
        <f ca="1">IFERROR(__xludf.DUMMYFUNCTION("""COMPUTED_VALUE"""),209.11)</f>
        <v>209.11</v>
      </c>
      <c r="C1391" s="1">
        <f ca="1">IFERROR(__xludf.DUMMYFUNCTION("""COMPUTED_VALUE"""),505.82)</f>
        <v>505.82</v>
      </c>
      <c r="D1391" s="1">
        <f ca="1">IFERROR(__xludf.DUMMYFUNCTION("""COMPUTED_VALUE"""),226.35)</f>
        <v>226.35</v>
      </c>
      <c r="E1391" s="1">
        <f ca="1">IFERROR(__xludf.DUMMYFUNCTION("""COMPUTED_VALUE"""),170.7)</f>
        <v>170.7</v>
      </c>
      <c r="F1391" s="1">
        <f ca="1">IFERROR(__xludf.DUMMYFUNCTION("""COMPUTED_VALUE"""),702.91)</f>
        <v>702.91</v>
      </c>
      <c r="G1391" s="1">
        <f ca="1">IFERROR(__xludf.DUMMYFUNCTION("""COMPUTED_VALUE"""),183.1)</f>
        <v>183.1</v>
      </c>
      <c r="H1391" s="1">
        <f ca="1">IFERROR(__xludf.DUMMYFUNCTION("""COMPUTED_VALUE"""),321.67)</f>
        <v>321.67</v>
      </c>
      <c r="I1391" s="1">
        <f ca="1">IFERROR(__xludf.DUMMYFUNCTION("""COMPUTED_VALUE"""),135.35)</f>
        <v>135.35</v>
      </c>
      <c r="J1391" s="1">
        <f ca="1">IFERROR(__xludf.DUMMYFUNCTION("""COMPUTED_VALUE"""),967.68)</f>
        <v>967.68</v>
      </c>
      <c r="K1391" s="1">
        <f ca="1">IFERROR(__xludf.DUMMYFUNCTION("""COMPUTED_VALUE"""),280.94)</f>
        <v>280.94</v>
      </c>
      <c r="L1391" s="1">
        <f ca="1">IFERROR(__xludf.DUMMYFUNCTION("""COMPUTED_VALUE"""),364.18)</f>
        <v>364.18</v>
      </c>
      <c r="M1391" s="1">
        <f ca="1">IFERROR(__xludf.DUMMYFUNCTION("""COMPUTED_VALUE"""),1260.27)</f>
        <v>1260.27</v>
      </c>
      <c r="N1391" s="1">
        <f ca="1">IFERROR(__xludf.DUMMYFUNCTION("""COMPUTED_VALUE"""),285.82)</f>
        <v>285.82</v>
      </c>
      <c r="O1391" s="1">
        <f ca="1">IFERROR(__xludf.DUMMYFUNCTION("""COMPUTED_VALUE"""),347.02)</f>
        <v>347.02</v>
      </c>
      <c r="P1391" s="1">
        <f ca="1">IFERROR(__xludf.DUMMYFUNCTION("""COMPUTED_VALUE"""),155.17)</f>
        <v>155.16999999999999</v>
      </c>
      <c r="Q1391" s="1">
        <f ca="1">IFERROR(__xludf.DUMMYFUNCTION("""COMPUTED_VALUE"""),291.71)</f>
        <v>291.70999999999998</v>
      </c>
      <c r="R1391" s="1">
        <f ca="1">IFERROR(__xludf.DUMMYFUNCTION("""COMPUTED_VALUE"""),112.91)</f>
        <v>112.91</v>
      </c>
      <c r="S1391" s="1">
        <f ca="1">IFERROR(__xludf.DUMMYFUNCTION("""COMPUTED_VALUE"""),74.7)</f>
        <v>74.7</v>
      </c>
      <c r="T1391" s="1">
        <f ca="1">IFERROR(__xludf.DUMMYFUNCTION("""COMPUTED_VALUE"""),95.15)</f>
        <v>95.15</v>
      </c>
      <c r="U1391" s="1">
        <f ca="1">IFERROR(__xludf.DUMMYFUNCTION("""COMPUTED_VALUE"""),72.1)</f>
        <v>72.099999999999994</v>
      </c>
      <c r="V1391" s="1">
        <f ca="1">IFERROR(__xludf.DUMMYFUNCTION("""COMPUTED_VALUE"""),404.64)</f>
        <v>404.64</v>
      </c>
      <c r="W1391" s="1">
        <f ca="1">IFERROR(__xludf.DUMMYFUNCTION("""COMPUTED_VALUE"""),470.12)</f>
        <v>470.12</v>
      </c>
      <c r="X1391" s="1">
        <f ca="1">IFERROR(__xludf.DUMMYFUNCTION("""COMPUTED_VALUE"""),823.02)</f>
        <v>823.02</v>
      </c>
      <c r="Y1391" s="1">
        <f ca="1">IFERROR(__xludf.DUMMYFUNCTION("""COMPUTED_VALUE"""),236.95)</f>
        <v>236.95</v>
      </c>
      <c r="Z1391" s="1">
        <f ca="1">IFERROR(__xludf.DUMMYFUNCTION("""COMPUTED_VALUE"""),708.82)</f>
        <v>708.82</v>
      </c>
      <c r="AA1391" s="1">
        <f ca="1">IFERROR(__xludf.DUMMYFUNCTION("""COMPUTED_VALUE"""),24.61)</f>
        <v>24.61</v>
      </c>
      <c r="AB1391" s="1">
        <f ca="1">IFERROR(__xludf.DUMMYFUNCTION("""COMPUTED_VALUE"""),92.51)</f>
        <v>92.51</v>
      </c>
      <c r="AC1391" s="1">
        <f ca="1">IFERROR(__xludf.DUMMYFUNCTION("""COMPUTED_VALUE"""),160.08)</f>
        <v>160.08000000000001</v>
      </c>
    </row>
    <row r="1392" spans="1:29" x14ac:dyDescent="0.25">
      <c r="A1392" s="2">
        <f ca="1">IFERROR(__xludf.DUMMYFUNCTION("""COMPUTED_VALUE"""),45854.6666666666)</f>
        <v>45854.666666666599</v>
      </c>
      <c r="B1392" s="1">
        <f ca="1">IFERROR(__xludf.DUMMYFUNCTION("""COMPUTED_VALUE"""),210.16)</f>
        <v>210.16</v>
      </c>
      <c r="C1392" s="1">
        <f ca="1">IFERROR(__xludf.DUMMYFUNCTION("""COMPUTED_VALUE"""),505.62)</f>
        <v>505.62</v>
      </c>
      <c r="D1392" s="1">
        <f ca="1">IFERROR(__xludf.DUMMYFUNCTION("""COMPUTED_VALUE"""),223.19)</f>
        <v>223.19</v>
      </c>
      <c r="E1392" s="1">
        <f ca="1">IFERROR(__xludf.DUMMYFUNCTION("""COMPUTED_VALUE"""),171.37)</f>
        <v>171.37</v>
      </c>
      <c r="F1392" s="1">
        <f ca="1">IFERROR(__xludf.DUMMYFUNCTION("""COMPUTED_VALUE"""),701.41)</f>
        <v>701.41</v>
      </c>
      <c r="G1392" s="1">
        <f ca="1">IFERROR(__xludf.DUMMYFUNCTION("""COMPUTED_VALUE"""),183.77)</f>
        <v>183.77</v>
      </c>
      <c r="H1392" s="1">
        <f ca="1">IFERROR(__xludf.DUMMYFUNCTION("""COMPUTED_VALUE"""),319.41)</f>
        <v>319.41000000000003</v>
      </c>
      <c r="I1392" s="1">
        <f ca="1">IFERROR(__xludf.DUMMYFUNCTION("""COMPUTED_VALUE"""),145.44)</f>
        <v>145.44</v>
      </c>
      <c r="J1392" s="1">
        <f ca="1">IFERROR(__xludf.DUMMYFUNCTION("""COMPUTED_VALUE"""),951.37)</f>
        <v>951.37</v>
      </c>
      <c r="K1392" s="1">
        <f ca="1">IFERROR(__xludf.DUMMYFUNCTION("""COMPUTED_VALUE"""),280.81)</f>
        <v>280.81</v>
      </c>
      <c r="L1392" s="1">
        <f ca="1">IFERROR(__xludf.DUMMYFUNCTION("""COMPUTED_VALUE"""),361.77)</f>
        <v>361.77</v>
      </c>
      <c r="M1392" s="1">
        <f ca="1">IFERROR(__xludf.DUMMYFUNCTION("""COMPUTED_VALUE"""),1250.31)</f>
        <v>1250.31</v>
      </c>
      <c r="N1392" s="1">
        <f ca="1">IFERROR(__xludf.DUMMYFUNCTION("""COMPUTED_VALUE"""),289.9)</f>
        <v>289.89999999999998</v>
      </c>
      <c r="O1392" s="1">
        <f ca="1">IFERROR(__xludf.DUMMYFUNCTION("""COMPUTED_VALUE"""),349.9)</f>
        <v>349.9</v>
      </c>
      <c r="P1392" s="1">
        <f ca="1">IFERROR(__xludf.DUMMYFUNCTION("""COMPUTED_VALUE"""),164.78)</f>
        <v>164.78</v>
      </c>
      <c r="Q1392" s="1">
        <f ca="1">IFERROR(__xludf.DUMMYFUNCTION("""COMPUTED_VALUE"""),292.49)</f>
        <v>292.49</v>
      </c>
      <c r="R1392" s="1">
        <f ca="1">IFERROR(__xludf.DUMMYFUNCTION("""COMPUTED_VALUE"""),112.23)</f>
        <v>112.23</v>
      </c>
      <c r="S1392" s="1">
        <f ca="1">IFERROR(__xludf.DUMMYFUNCTION("""COMPUTED_VALUE"""),74.77)</f>
        <v>74.77</v>
      </c>
      <c r="T1392" s="1">
        <f ca="1">IFERROR(__xludf.DUMMYFUNCTION("""COMPUTED_VALUE"""),95.09)</f>
        <v>95.09</v>
      </c>
      <c r="U1392" s="1">
        <f ca="1">IFERROR(__xludf.DUMMYFUNCTION("""COMPUTED_VALUE"""),72.98)</f>
        <v>72.98</v>
      </c>
      <c r="V1392" s="1">
        <f ca="1">IFERROR(__xludf.DUMMYFUNCTION("""COMPUTED_VALUE"""),412.88)</f>
        <v>412.88</v>
      </c>
      <c r="W1392" s="1">
        <f ca="1">IFERROR(__xludf.DUMMYFUNCTION("""COMPUTED_VALUE"""),471.47)</f>
        <v>471.47</v>
      </c>
      <c r="X1392" s="1">
        <f ca="1">IFERROR(__xludf.DUMMYFUNCTION("""COMPUTED_VALUE"""),754.45)</f>
        <v>754.45</v>
      </c>
      <c r="Y1392" s="1">
        <f ca="1">IFERROR(__xludf.DUMMYFUNCTION("""COMPUTED_VALUE"""),237.56)</f>
        <v>237.56</v>
      </c>
      <c r="Z1392" s="1">
        <f ca="1">IFERROR(__xludf.DUMMYFUNCTION("""COMPUTED_VALUE"""),705.84)</f>
        <v>705.84</v>
      </c>
      <c r="AA1392" s="1">
        <f ca="1">IFERROR(__xludf.DUMMYFUNCTION("""COMPUTED_VALUE"""),24.61)</f>
        <v>24.61</v>
      </c>
      <c r="AB1392" s="1">
        <f ca="1">IFERROR(__xludf.DUMMYFUNCTION("""COMPUTED_VALUE"""),93.19)</f>
        <v>93.19</v>
      </c>
      <c r="AC1392" s="1">
        <f ca="1">IFERROR(__xludf.DUMMYFUNCTION("""COMPUTED_VALUE"""),160.41)</f>
        <v>160.41</v>
      </c>
    </row>
    <row r="1393" spans="1:29" x14ac:dyDescent="0.25">
      <c r="A1393" s="2">
        <f ca="1">IFERROR(__xludf.DUMMYFUNCTION("""COMPUTED_VALUE"""),45855.6666666666)</f>
        <v>45855.666666666599</v>
      </c>
      <c r="B1393" s="1">
        <f ca="1">IFERROR(__xludf.DUMMYFUNCTION("""COMPUTED_VALUE"""),210.02)</f>
        <v>210.02</v>
      </c>
      <c r="C1393" s="1">
        <f ca="1">IFERROR(__xludf.DUMMYFUNCTION("""COMPUTED_VALUE"""),511.7)</f>
        <v>511.7</v>
      </c>
      <c r="D1393" s="1">
        <f ca="1">IFERROR(__xludf.DUMMYFUNCTION("""COMPUTED_VALUE"""),223.88)</f>
        <v>223.88</v>
      </c>
      <c r="E1393" s="1">
        <f ca="1">IFERROR(__xludf.DUMMYFUNCTION("""COMPUTED_VALUE"""),173)</f>
        <v>173</v>
      </c>
      <c r="F1393" s="1">
        <f ca="1">IFERROR(__xludf.DUMMYFUNCTION("""COMPUTED_VALUE"""),704.28)</f>
        <v>704.28</v>
      </c>
      <c r="G1393" s="1">
        <f ca="1">IFERROR(__xludf.DUMMYFUNCTION("""COMPUTED_VALUE"""),184.7)</f>
        <v>184.7</v>
      </c>
      <c r="H1393" s="1">
        <f ca="1">IFERROR(__xludf.DUMMYFUNCTION("""COMPUTED_VALUE"""),329.65)</f>
        <v>329.65</v>
      </c>
      <c r="I1393" s="1">
        <f ca="1">IFERROR(__xludf.DUMMYFUNCTION("""COMPUTED_VALUE"""),143.24)</f>
        <v>143.24</v>
      </c>
      <c r="J1393" s="1">
        <f ca="1">IFERROR(__xludf.DUMMYFUNCTION("""COMPUTED_VALUE"""),953.91)</f>
        <v>953.91</v>
      </c>
      <c r="K1393" s="1">
        <f ca="1">IFERROR(__xludf.DUMMYFUNCTION("""COMPUTED_VALUE"""),286.45)</f>
        <v>286.45</v>
      </c>
      <c r="L1393" s="1">
        <f ca="1">IFERROR(__xludf.DUMMYFUNCTION("""COMPUTED_VALUE"""),366.45)</f>
        <v>366.45</v>
      </c>
      <c r="M1393" s="1">
        <f ca="1">IFERROR(__xludf.DUMMYFUNCTION("""COMPUTED_VALUE"""),1274.17)</f>
        <v>1274.17</v>
      </c>
      <c r="N1393" s="1">
        <f ca="1">IFERROR(__xludf.DUMMYFUNCTION("""COMPUTED_VALUE"""),291.27)</f>
        <v>291.27</v>
      </c>
      <c r="O1393" s="1">
        <f ca="1">IFERROR(__xludf.DUMMYFUNCTION("""COMPUTED_VALUE"""),349.81)</f>
        <v>349.81</v>
      </c>
      <c r="P1393" s="1">
        <f ca="1">IFERROR(__xludf.DUMMYFUNCTION("""COMPUTED_VALUE"""),162.98)</f>
        <v>162.97999999999999</v>
      </c>
      <c r="Q1393" s="1">
        <f ca="1">IFERROR(__xludf.DUMMYFUNCTION("""COMPUTED_VALUE"""),288.07)</f>
        <v>288.07</v>
      </c>
      <c r="R1393" s="1">
        <f ca="1">IFERROR(__xludf.DUMMYFUNCTION("""COMPUTED_VALUE"""),111.66)</f>
        <v>111.66</v>
      </c>
      <c r="S1393" s="1">
        <f ca="1">IFERROR(__xludf.DUMMYFUNCTION("""COMPUTED_VALUE"""),75.18)</f>
        <v>75.180000000000007</v>
      </c>
      <c r="T1393" s="1">
        <f ca="1">IFERROR(__xludf.DUMMYFUNCTION("""COMPUTED_VALUE"""),95.05)</f>
        <v>95.05</v>
      </c>
      <c r="U1393" s="1">
        <f ca="1">IFERROR(__xludf.DUMMYFUNCTION("""COMPUTED_VALUE"""),72.47)</f>
        <v>72.47</v>
      </c>
      <c r="V1393" s="1">
        <f ca="1">IFERROR(__xludf.DUMMYFUNCTION("""COMPUTED_VALUE"""),418.07)</f>
        <v>418.07</v>
      </c>
      <c r="W1393" s="1">
        <f ca="1">IFERROR(__xludf.DUMMYFUNCTION("""COMPUTED_VALUE"""),469.2)</f>
        <v>469.2</v>
      </c>
      <c r="X1393" s="1">
        <f ca="1">IFERROR(__xludf.DUMMYFUNCTION("""COMPUTED_VALUE"""),744.91)</f>
        <v>744.91</v>
      </c>
      <c r="Y1393" s="1">
        <f ca="1">IFERROR(__xludf.DUMMYFUNCTION("""COMPUTED_VALUE"""),245.6)</f>
        <v>245.6</v>
      </c>
      <c r="Z1393" s="1">
        <f ca="1">IFERROR(__xludf.DUMMYFUNCTION("""COMPUTED_VALUE"""),708.26)</f>
        <v>708.26</v>
      </c>
      <c r="AA1393" s="1">
        <f ca="1">IFERROR(__xludf.DUMMYFUNCTION("""COMPUTED_VALUE"""),24.58)</f>
        <v>24.58</v>
      </c>
      <c r="AB1393" s="1">
        <f ca="1">IFERROR(__xludf.DUMMYFUNCTION("""COMPUTED_VALUE"""),93.8)</f>
        <v>93.8</v>
      </c>
      <c r="AC1393" s="1">
        <f ca="1">IFERROR(__xludf.DUMMYFUNCTION("""COMPUTED_VALUE"""),156.99)</f>
        <v>156.99</v>
      </c>
    </row>
    <row r="1394" spans="1:29" x14ac:dyDescent="0.25">
      <c r="A1394" s="2">
        <f ca="1">IFERROR(__xludf.DUMMYFUNCTION("""COMPUTED_VALUE"""),45856.6666666666)</f>
        <v>45856.666666666599</v>
      </c>
      <c r="B1394" s="1">
        <f ca="1">IFERROR(__xludf.DUMMYFUNCTION("""COMPUTED_VALUE"""),211.18)</f>
        <v>211.18</v>
      </c>
      <c r="C1394" s="1">
        <f ca="1">IFERROR(__xludf.DUMMYFUNCTION("""COMPUTED_VALUE"""),510.05)</f>
        <v>510.05</v>
      </c>
      <c r="D1394" s="1">
        <f ca="1">IFERROR(__xludf.DUMMYFUNCTION("""COMPUTED_VALUE"""),226.13)</f>
        <v>226.13</v>
      </c>
      <c r="E1394" s="1">
        <f ca="1">IFERROR(__xludf.DUMMYFUNCTION("""COMPUTED_VALUE"""),172.41)</f>
        <v>172.41</v>
      </c>
      <c r="F1394" s="1">
        <f ca="1">IFERROR(__xludf.DUMMYFUNCTION("""COMPUTED_VALUE"""),712.97)</f>
        <v>712.97</v>
      </c>
      <c r="G1394" s="1">
        <f ca="1">IFERROR(__xludf.DUMMYFUNCTION("""COMPUTED_VALUE"""),185.94)</f>
        <v>185.94</v>
      </c>
      <c r="H1394" s="1">
        <f ca="1">IFERROR(__xludf.DUMMYFUNCTION("""COMPUTED_VALUE"""),328.49)</f>
        <v>328.49</v>
      </c>
      <c r="I1394" s="1">
        <f ca="1">IFERROR(__xludf.DUMMYFUNCTION("""COMPUTED_VALUE"""),141.7)</f>
        <v>141.69999999999999</v>
      </c>
      <c r="J1394" s="1">
        <f ca="1">IFERROR(__xludf.DUMMYFUNCTION("""COMPUTED_VALUE"""),950.95)</f>
        <v>950.95</v>
      </c>
      <c r="K1394" s="1">
        <f ca="1">IFERROR(__xludf.DUMMYFUNCTION("""COMPUTED_VALUE"""),283.34)</f>
        <v>283.33999999999997</v>
      </c>
      <c r="L1394" s="1">
        <f ca="1">IFERROR(__xludf.DUMMYFUNCTION("""COMPUTED_VALUE"""),365.79)</f>
        <v>365.79</v>
      </c>
      <c r="M1394" s="1">
        <f ca="1">IFERROR(__xludf.DUMMYFUNCTION("""COMPUTED_VALUE"""),1209.24)</f>
        <v>1209.24</v>
      </c>
      <c r="N1394" s="1">
        <f ca="1">IFERROR(__xludf.DUMMYFUNCTION("""COMPUTED_VALUE"""),290.97)</f>
        <v>290.97000000000003</v>
      </c>
      <c r="O1394" s="1">
        <f ca="1">IFERROR(__xludf.DUMMYFUNCTION("""COMPUTED_VALUE"""),349.05)</f>
        <v>349.05</v>
      </c>
      <c r="P1394" s="1">
        <f ca="1">IFERROR(__xludf.DUMMYFUNCTION("""COMPUTED_VALUE"""),163.7)</f>
        <v>163.69999999999999</v>
      </c>
      <c r="Q1394" s="1">
        <f ca="1">IFERROR(__xludf.DUMMYFUNCTION("""COMPUTED_VALUE"""),282.65)</f>
        <v>282.64999999999998</v>
      </c>
      <c r="R1394" s="1">
        <f ca="1">IFERROR(__xludf.DUMMYFUNCTION("""COMPUTED_VALUE"""),107.77)</f>
        <v>107.77</v>
      </c>
      <c r="S1394" s="1">
        <f ca="1">IFERROR(__xludf.DUMMYFUNCTION("""COMPUTED_VALUE"""),75.95)</f>
        <v>75.95</v>
      </c>
      <c r="T1394" s="1">
        <f ca="1">IFERROR(__xludf.DUMMYFUNCTION("""COMPUTED_VALUE"""),95.67)</f>
        <v>95.67</v>
      </c>
      <c r="U1394" s="1">
        <f ca="1">IFERROR(__xludf.DUMMYFUNCTION("""COMPUTED_VALUE"""),74.02)</f>
        <v>74.02</v>
      </c>
      <c r="V1394" s="1">
        <f ca="1">IFERROR(__xludf.DUMMYFUNCTION("""COMPUTED_VALUE"""),413.71)</f>
        <v>413.71</v>
      </c>
      <c r="W1394" s="1">
        <f ca="1">IFERROR(__xludf.DUMMYFUNCTION("""COMPUTED_VALUE"""),463.96)</f>
        <v>463.96</v>
      </c>
      <c r="X1394" s="1">
        <f ca="1">IFERROR(__xludf.DUMMYFUNCTION("""COMPUTED_VALUE"""),734.58)</f>
        <v>734.58</v>
      </c>
      <c r="Y1394" s="1">
        <f ca="1">IFERROR(__xludf.DUMMYFUNCTION("""COMPUTED_VALUE"""),240.4)</f>
        <v>240.4</v>
      </c>
      <c r="Z1394" s="1">
        <f ca="1">IFERROR(__xludf.DUMMYFUNCTION("""COMPUTED_VALUE"""),706)</f>
        <v>706</v>
      </c>
      <c r="AA1394" s="1">
        <f ca="1">IFERROR(__xludf.DUMMYFUNCTION("""COMPUTED_VALUE"""),24.47)</f>
        <v>24.47</v>
      </c>
      <c r="AB1394" s="1">
        <f ca="1">IFERROR(__xludf.DUMMYFUNCTION("""COMPUTED_VALUE"""),92.66)</f>
        <v>92.66</v>
      </c>
      <c r="AC1394" s="1">
        <f ca="1">IFERROR(__xludf.DUMMYFUNCTION("""COMPUTED_VALUE"""),157)</f>
        <v>157</v>
      </c>
    </row>
    <row r="1395" spans="1:29" x14ac:dyDescent="0.25">
      <c r="A1395" s="2">
        <f ca="1">IFERROR(__xludf.DUMMYFUNCTION("""COMPUTED_VALUE"""),45859.6666666666)</f>
        <v>45859.666666666599</v>
      </c>
      <c r="B1395" s="1">
        <f ca="1">IFERROR(__xludf.DUMMYFUNCTION("""COMPUTED_VALUE"""),212.48)</f>
        <v>212.48</v>
      </c>
      <c r="C1395" s="1">
        <f ca="1">IFERROR(__xludf.DUMMYFUNCTION("""COMPUTED_VALUE"""),510.06)</f>
        <v>510.06</v>
      </c>
      <c r="D1395" s="1">
        <f ca="1">IFERROR(__xludf.DUMMYFUNCTION("""COMPUTED_VALUE"""),229.3)</f>
        <v>229.3</v>
      </c>
      <c r="E1395" s="1">
        <f ca="1">IFERROR(__xludf.DUMMYFUNCTION("""COMPUTED_VALUE"""),171.38)</f>
        <v>171.38</v>
      </c>
      <c r="F1395" s="1">
        <f ca="1">IFERROR(__xludf.DUMMYFUNCTION("""COMPUTED_VALUE"""),704.81)</f>
        <v>704.81</v>
      </c>
      <c r="G1395" s="1">
        <f ca="1">IFERROR(__xludf.DUMMYFUNCTION("""COMPUTED_VALUE"""),191.15)</f>
        <v>191.15</v>
      </c>
      <c r="H1395" s="1">
        <f ca="1">IFERROR(__xludf.DUMMYFUNCTION("""COMPUTED_VALUE"""),332.11)</f>
        <v>332.11</v>
      </c>
      <c r="I1395" s="1">
        <f ca="1">IFERROR(__xludf.DUMMYFUNCTION("""COMPUTED_VALUE"""),146.04)</f>
        <v>146.04</v>
      </c>
      <c r="J1395" s="1">
        <f ca="1">IFERROR(__xludf.DUMMYFUNCTION("""COMPUTED_VALUE"""),947.56)</f>
        <v>947.56</v>
      </c>
      <c r="K1395" s="1">
        <f ca="1">IFERROR(__xludf.DUMMYFUNCTION("""COMPUTED_VALUE"""),288.21)</f>
        <v>288.20999999999998</v>
      </c>
      <c r="L1395" s="1">
        <f ca="1">IFERROR(__xludf.DUMMYFUNCTION("""COMPUTED_VALUE"""),367.68)</f>
        <v>367.68</v>
      </c>
      <c r="M1395" s="1">
        <f ca="1">IFERROR(__xludf.DUMMYFUNCTION("""COMPUTED_VALUE"""),1233.27)</f>
        <v>1233.27</v>
      </c>
      <c r="N1395" s="1">
        <f ca="1">IFERROR(__xludf.DUMMYFUNCTION("""COMPUTED_VALUE"""),291.43)</f>
        <v>291.43</v>
      </c>
      <c r="O1395" s="1">
        <f ca="1">IFERROR(__xludf.DUMMYFUNCTION("""COMPUTED_VALUE"""),350.94)</f>
        <v>350.94</v>
      </c>
      <c r="P1395" s="1">
        <f ca="1">IFERROR(__xludf.DUMMYFUNCTION("""COMPUTED_VALUE"""),164.36)</f>
        <v>164.36</v>
      </c>
      <c r="Q1395" s="1">
        <f ca="1">IFERROR(__xludf.DUMMYFUNCTION("""COMPUTED_VALUE"""),282.14)</f>
        <v>282.14</v>
      </c>
      <c r="R1395" s="1">
        <f ca="1">IFERROR(__xludf.DUMMYFUNCTION("""COMPUTED_VALUE"""),108.05)</f>
        <v>108.05</v>
      </c>
      <c r="S1395" s="1">
        <f ca="1">IFERROR(__xludf.DUMMYFUNCTION("""COMPUTED_VALUE"""),76.17)</f>
        <v>76.17</v>
      </c>
      <c r="T1395" s="1">
        <f ca="1">IFERROR(__xludf.DUMMYFUNCTION("""COMPUTED_VALUE"""),95.85)</f>
        <v>95.85</v>
      </c>
      <c r="U1395" s="1">
        <f ca="1">IFERROR(__xludf.DUMMYFUNCTION("""COMPUTED_VALUE"""),75.39)</f>
        <v>75.39</v>
      </c>
      <c r="V1395" s="1">
        <f ca="1">IFERROR(__xludf.DUMMYFUNCTION("""COMPUTED_VALUE"""),410.07)</f>
        <v>410.07</v>
      </c>
      <c r="W1395" s="1">
        <f ca="1">IFERROR(__xludf.DUMMYFUNCTION("""COMPUTED_VALUE"""),460.53)</f>
        <v>460.53</v>
      </c>
      <c r="X1395" s="1">
        <f ca="1">IFERROR(__xludf.DUMMYFUNCTION("""COMPUTED_VALUE"""),719.68)</f>
        <v>719.68</v>
      </c>
      <c r="Y1395" s="1">
        <f ca="1">IFERROR(__xludf.DUMMYFUNCTION("""COMPUTED_VALUE"""),238.85)</f>
        <v>238.85</v>
      </c>
      <c r="Z1395" s="1">
        <f ca="1">IFERROR(__xludf.DUMMYFUNCTION("""COMPUTED_VALUE"""),700.41)</f>
        <v>700.41</v>
      </c>
      <c r="AA1395" s="1">
        <f ca="1">IFERROR(__xludf.DUMMYFUNCTION("""COMPUTED_VALUE"""),24.26)</f>
        <v>24.26</v>
      </c>
      <c r="AB1395" s="1">
        <f ca="1">IFERROR(__xludf.DUMMYFUNCTION("""COMPUTED_VALUE"""),96.94)</f>
        <v>96.94</v>
      </c>
      <c r="AC1395" s="1">
        <f ca="1">IFERROR(__xludf.DUMMYFUNCTION("""COMPUTED_VALUE"""),154.72)</f>
        <v>154.72</v>
      </c>
    </row>
    <row r="1396" spans="1:29" x14ac:dyDescent="0.25">
      <c r="A1396" s="2">
        <f ca="1">IFERROR(__xludf.DUMMYFUNCTION("""COMPUTED_VALUE"""),45860.6666666666)</f>
        <v>45860.666666666599</v>
      </c>
      <c r="B1396" s="1">
        <f ca="1">IFERROR(__xludf.DUMMYFUNCTION("""COMPUTED_VALUE"""),214.4)</f>
        <v>214.4</v>
      </c>
      <c r="C1396" s="1">
        <f ca="1">IFERROR(__xludf.DUMMYFUNCTION("""COMPUTED_VALUE"""),505.27)</f>
        <v>505.27</v>
      </c>
      <c r="D1396" s="1">
        <f ca="1">IFERROR(__xludf.DUMMYFUNCTION("""COMPUTED_VALUE"""),227.47)</f>
        <v>227.47</v>
      </c>
      <c r="E1396" s="1">
        <f ca="1">IFERROR(__xludf.DUMMYFUNCTION("""COMPUTED_VALUE"""),167.03)</f>
        <v>167.03</v>
      </c>
      <c r="F1396" s="1">
        <f ca="1">IFERROR(__xludf.DUMMYFUNCTION("""COMPUTED_VALUE"""),713.58)</f>
        <v>713.58</v>
      </c>
      <c r="G1396" s="1">
        <f ca="1">IFERROR(__xludf.DUMMYFUNCTION("""COMPUTED_VALUE"""),192.11)</f>
        <v>192.11</v>
      </c>
      <c r="H1396" s="1">
        <f ca="1">IFERROR(__xludf.DUMMYFUNCTION("""COMPUTED_VALUE"""),332.56)</f>
        <v>332.56</v>
      </c>
      <c r="I1396" s="1">
        <f ca="1">IFERROR(__xludf.DUMMYFUNCTION("""COMPUTED_VALUE"""),145.66)</f>
        <v>145.66</v>
      </c>
      <c r="J1396" s="1">
        <f ca="1">IFERROR(__xludf.DUMMYFUNCTION("""COMPUTED_VALUE"""),941.61)</f>
        <v>941.61</v>
      </c>
      <c r="K1396" s="1">
        <f ca="1">IFERROR(__xludf.DUMMYFUNCTION("""COMPUTED_VALUE"""),278.59)</f>
        <v>278.58999999999997</v>
      </c>
      <c r="L1396" s="1">
        <f ca="1">IFERROR(__xludf.DUMMYFUNCTION("""COMPUTED_VALUE"""),372.87)</f>
        <v>372.87</v>
      </c>
      <c r="M1396" s="1">
        <f ca="1">IFERROR(__xludf.DUMMYFUNCTION("""COMPUTED_VALUE"""),1190.08)</f>
        <v>1190.08</v>
      </c>
      <c r="N1396" s="1">
        <f ca="1">IFERROR(__xludf.DUMMYFUNCTION("""COMPUTED_VALUE"""),296.76)</f>
        <v>296.76</v>
      </c>
      <c r="O1396" s="1">
        <f ca="1">IFERROR(__xludf.DUMMYFUNCTION("""COMPUTED_VALUE"""),351.86)</f>
        <v>351.86</v>
      </c>
      <c r="P1396" s="1">
        <f ca="1">IFERROR(__xludf.DUMMYFUNCTION("""COMPUTED_VALUE"""),167.93)</f>
        <v>167.93</v>
      </c>
      <c r="Q1396" s="1">
        <f ca="1">IFERROR(__xludf.DUMMYFUNCTION("""COMPUTED_VALUE"""),285.13)</f>
        <v>285.13</v>
      </c>
      <c r="R1396" s="1">
        <f ca="1">IFERROR(__xludf.DUMMYFUNCTION("""COMPUTED_VALUE"""),108.54)</f>
        <v>108.54</v>
      </c>
      <c r="S1396" s="1">
        <f ca="1">IFERROR(__xludf.DUMMYFUNCTION("""COMPUTED_VALUE"""),77.54)</f>
        <v>77.540000000000006</v>
      </c>
      <c r="T1396" s="1">
        <f ca="1">IFERROR(__xludf.DUMMYFUNCTION("""COMPUTED_VALUE"""),95.68)</f>
        <v>95.68</v>
      </c>
      <c r="U1396" s="1">
        <f ca="1">IFERROR(__xludf.DUMMYFUNCTION("""COMPUTED_VALUE"""),76.75)</f>
        <v>76.75</v>
      </c>
      <c r="V1396" s="1">
        <f ca="1">IFERROR(__xludf.DUMMYFUNCTION("""COMPUTED_VALUE"""),417.19)</f>
        <v>417.19</v>
      </c>
      <c r="W1396" s="1">
        <f ca="1">IFERROR(__xludf.DUMMYFUNCTION("""COMPUTED_VALUE"""),410.74)</f>
        <v>410.74</v>
      </c>
      <c r="X1396" s="1">
        <f ca="1">IFERROR(__xludf.DUMMYFUNCTION("""COMPUTED_VALUE"""),705.48)</f>
        <v>705.48</v>
      </c>
      <c r="Y1396" s="1">
        <f ca="1">IFERROR(__xludf.DUMMYFUNCTION("""COMPUTED_VALUE"""),234.6)</f>
        <v>234.6</v>
      </c>
      <c r="Z1396" s="1">
        <f ca="1">IFERROR(__xludf.DUMMYFUNCTION("""COMPUTED_VALUE"""),717.52)</f>
        <v>717.52</v>
      </c>
      <c r="AA1396" s="1">
        <f ca="1">IFERROR(__xludf.DUMMYFUNCTION("""COMPUTED_VALUE"""),25.14)</f>
        <v>25.14</v>
      </c>
      <c r="AB1396" s="1">
        <f ca="1">IFERROR(__xludf.DUMMYFUNCTION("""COMPUTED_VALUE"""),95.92)</f>
        <v>95.92</v>
      </c>
      <c r="AC1396" s="1">
        <f ca="1">IFERROR(__xludf.DUMMYFUNCTION("""COMPUTED_VALUE"""),158.65)</f>
        <v>158.65</v>
      </c>
    </row>
    <row r="1397" spans="1:29" x14ac:dyDescent="0.25">
      <c r="A1397" s="2">
        <f ca="1">IFERROR(__xludf.DUMMYFUNCTION("""COMPUTED_VALUE"""),45861.6666666666)</f>
        <v>45861.666666666599</v>
      </c>
      <c r="B1397" s="1">
        <f ca="1">IFERROR(__xludf.DUMMYFUNCTION("""COMPUTED_VALUE"""),214.15)</f>
        <v>214.15</v>
      </c>
      <c r="C1397" s="1">
        <f ca="1">IFERROR(__xludf.DUMMYFUNCTION("""COMPUTED_VALUE"""),505.87)</f>
        <v>505.87</v>
      </c>
      <c r="D1397" s="1">
        <f ca="1">IFERROR(__xludf.DUMMYFUNCTION("""COMPUTED_VALUE"""),228.29)</f>
        <v>228.29</v>
      </c>
      <c r="E1397" s="1">
        <f ca="1">IFERROR(__xludf.DUMMYFUNCTION("""COMPUTED_VALUE"""),170.78)</f>
        <v>170.78</v>
      </c>
      <c r="F1397" s="1">
        <f ca="1">IFERROR(__xludf.DUMMYFUNCTION("""COMPUTED_VALUE"""),714.8)</f>
        <v>714.8</v>
      </c>
      <c r="G1397" s="1">
        <f ca="1">IFERROR(__xludf.DUMMYFUNCTION("""COMPUTED_VALUE"""),191.51)</f>
        <v>191.51</v>
      </c>
      <c r="H1397" s="1">
        <f ca="1">IFERROR(__xludf.DUMMYFUNCTION("""COMPUTED_VALUE"""),305.3)</f>
        <v>305.3</v>
      </c>
      <c r="I1397" s="1">
        <f ca="1">IFERROR(__xludf.DUMMYFUNCTION("""COMPUTED_VALUE"""),144.51)</f>
        <v>144.51</v>
      </c>
      <c r="J1397" s="1">
        <f ca="1">IFERROR(__xludf.DUMMYFUNCTION("""COMPUTED_VALUE"""),941.19)</f>
        <v>941.19</v>
      </c>
      <c r="K1397" s="1">
        <f ca="1">IFERROR(__xludf.DUMMYFUNCTION("""COMPUTED_VALUE"""),283.69)</f>
        <v>283.69</v>
      </c>
      <c r="L1397" s="1">
        <f ca="1">IFERROR(__xludf.DUMMYFUNCTION("""COMPUTED_VALUE"""),372.46)</f>
        <v>372.46</v>
      </c>
      <c r="M1397" s="1">
        <f ca="1">IFERROR(__xludf.DUMMYFUNCTION("""COMPUTED_VALUE"""),1176.78)</f>
        <v>1176.78</v>
      </c>
      <c r="N1397" s="1">
        <f ca="1">IFERROR(__xludf.DUMMYFUNCTION("""COMPUTED_VALUE"""),296.55)</f>
        <v>296.55</v>
      </c>
      <c r="O1397" s="1">
        <f ca="1">IFERROR(__xludf.DUMMYFUNCTION("""COMPUTED_VALUE"""),355.29)</f>
        <v>355.29</v>
      </c>
      <c r="P1397" s="1">
        <f ca="1">IFERROR(__xludf.DUMMYFUNCTION("""COMPUTED_VALUE"""),169.1)</f>
        <v>169.1</v>
      </c>
      <c r="Q1397" s="1">
        <f ca="1">IFERROR(__xludf.DUMMYFUNCTION("""COMPUTED_VALUE"""),292.51)</f>
        <v>292.51</v>
      </c>
      <c r="R1397" s="1">
        <f ca="1">IFERROR(__xludf.DUMMYFUNCTION("""COMPUTED_VALUE"""),109.93)</f>
        <v>109.93</v>
      </c>
      <c r="S1397" s="1">
        <f ca="1">IFERROR(__xludf.DUMMYFUNCTION("""COMPUTED_VALUE"""),72.82)</f>
        <v>72.819999999999993</v>
      </c>
      <c r="T1397" s="1">
        <f ca="1">IFERROR(__xludf.DUMMYFUNCTION("""COMPUTED_VALUE"""),96.6)</f>
        <v>96.6</v>
      </c>
      <c r="U1397" s="1">
        <f ca="1">IFERROR(__xludf.DUMMYFUNCTION("""COMPUTED_VALUE"""),75.42)</f>
        <v>75.42</v>
      </c>
      <c r="V1397" s="1">
        <f ca="1">IFERROR(__xludf.DUMMYFUNCTION("""COMPUTED_VALUE"""),427.59)</f>
        <v>427.59</v>
      </c>
      <c r="W1397" s="1">
        <f ca="1">IFERROR(__xludf.DUMMYFUNCTION("""COMPUTED_VALUE"""),419.39)</f>
        <v>419.39</v>
      </c>
      <c r="X1397" s="1">
        <f ca="1">IFERROR(__xludf.DUMMYFUNCTION("""COMPUTED_VALUE"""),716.93)</f>
        <v>716.93</v>
      </c>
      <c r="Y1397" s="1">
        <f ca="1">IFERROR(__xludf.DUMMYFUNCTION("""COMPUTED_VALUE"""),240.33)</f>
        <v>240.33</v>
      </c>
      <c r="Z1397" s="1">
        <f ca="1">IFERROR(__xludf.DUMMYFUNCTION("""COMPUTED_VALUE"""),719.18)</f>
        <v>719.18</v>
      </c>
      <c r="AA1397" s="1">
        <f ca="1">IFERROR(__xludf.DUMMYFUNCTION("""COMPUTED_VALUE"""),25.36)</f>
        <v>25.36</v>
      </c>
      <c r="AB1397" s="1">
        <f ca="1">IFERROR(__xludf.DUMMYFUNCTION("""COMPUTED_VALUE"""),93.7)</f>
        <v>93.7</v>
      </c>
      <c r="AC1397" s="1">
        <f ca="1">IFERROR(__xludf.DUMMYFUNCTION("""COMPUTED_VALUE"""),162.12)</f>
        <v>162.12</v>
      </c>
    </row>
    <row r="1398" spans="1:29" x14ac:dyDescent="0.25">
      <c r="A1398" s="2">
        <f ca="1">IFERROR(__xludf.DUMMYFUNCTION("""COMPUTED_VALUE"""),45862.6666666666)</f>
        <v>45862.666666666599</v>
      </c>
      <c r="B1398" s="1">
        <f ca="1">IFERROR(__xludf.DUMMYFUNCTION("""COMPUTED_VALUE"""),213.76)</f>
        <v>213.76</v>
      </c>
      <c r="C1398" s="1">
        <f ca="1">IFERROR(__xludf.DUMMYFUNCTION("""COMPUTED_VALUE"""),510.88)</f>
        <v>510.88</v>
      </c>
      <c r="D1398" s="1">
        <f ca="1">IFERROR(__xludf.DUMMYFUNCTION("""COMPUTED_VALUE"""),232.23)</f>
        <v>232.23</v>
      </c>
      <c r="E1398" s="1">
        <f ca="1">IFERROR(__xludf.DUMMYFUNCTION("""COMPUTED_VALUE"""),173.74)</f>
        <v>173.74</v>
      </c>
      <c r="F1398" s="1">
        <f ca="1">IFERROR(__xludf.DUMMYFUNCTION("""COMPUTED_VALUE"""),712.68)</f>
        <v>712.68</v>
      </c>
      <c r="G1398" s="1">
        <f ca="1">IFERROR(__xludf.DUMMYFUNCTION("""COMPUTED_VALUE"""),193.2)</f>
        <v>193.2</v>
      </c>
      <c r="H1398" s="1">
        <f ca="1">IFERROR(__xludf.DUMMYFUNCTION("""COMPUTED_VALUE"""),316.06)</f>
        <v>316.06</v>
      </c>
      <c r="I1398" s="1">
        <f ca="1">IFERROR(__xludf.DUMMYFUNCTION("""COMPUTED_VALUE"""),143.45)</f>
        <v>143.44999999999999</v>
      </c>
      <c r="J1398" s="1">
        <f ca="1">IFERROR(__xludf.DUMMYFUNCTION("""COMPUTED_VALUE"""),933.8)</f>
        <v>933.8</v>
      </c>
      <c r="K1398" s="1">
        <f ca="1">IFERROR(__xludf.DUMMYFUNCTION("""COMPUTED_VALUE"""),288.71)</f>
        <v>288.70999999999998</v>
      </c>
      <c r="L1398" s="1">
        <f ca="1">IFERROR(__xludf.DUMMYFUNCTION("""COMPUTED_VALUE"""),371.69)</f>
        <v>371.69</v>
      </c>
      <c r="M1398" s="1">
        <f ca="1">IFERROR(__xludf.DUMMYFUNCTION("""COMPUTED_VALUE"""),1180.76)</f>
        <v>1180.76</v>
      </c>
      <c r="N1398" s="1">
        <f ca="1">IFERROR(__xludf.DUMMYFUNCTION("""COMPUTED_VALUE"""),298.62)</f>
        <v>298.62</v>
      </c>
      <c r="O1398" s="1">
        <f ca="1">IFERROR(__xludf.DUMMYFUNCTION("""COMPUTED_VALUE"""),353.97)</f>
        <v>353.97</v>
      </c>
      <c r="P1398" s="1">
        <f ca="1">IFERROR(__xludf.DUMMYFUNCTION("""COMPUTED_VALUE"""),169.56)</f>
        <v>169.56</v>
      </c>
      <c r="Q1398" s="1">
        <f ca="1">IFERROR(__xludf.DUMMYFUNCTION("""COMPUTED_VALUE"""),278.58)</f>
        <v>278.58</v>
      </c>
      <c r="R1398" s="1">
        <f ca="1">IFERROR(__xludf.DUMMYFUNCTION("""COMPUTED_VALUE"""),110.79)</f>
        <v>110.79</v>
      </c>
      <c r="S1398" s="1">
        <f ca="1">IFERROR(__xludf.DUMMYFUNCTION("""COMPUTED_VALUE"""),71.97)</f>
        <v>71.97</v>
      </c>
      <c r="T1398" s="1">
        <f ca="1">IFERROR(__xludf.DUMMYFUNCTION("""COMPUTED_VALUE"""),97.47)</f>
        <v>97.47</v>
      </c>
      <c r="U1398" s="1">
        <f ca="1">IFERROR(__xludf.DUMMYFUNCTION("""COMPUTED_VALUE"""),76.27)</f>
        <v>76.27</v>
      </c>
      <c r="V1398" s="1">
        <f ca="1">IFERROR(__xludf.DUMMYFUNCTION("""COMPUTED_VALUE"""),429.52)</f>
        <v>429.52</v>
      </c>
      <c r="W1398" s="1">
        <f ca="1">IFERROR(__xludf.DUMMYFUNCTION("""COMPUTED_VALUE"""),420.55)</f>
        <v>420.55</v>
      </c>
      <c r="X1398" s="1">
        <f ca="1">IFERROR(__xludf.DUMMYFUNCTION("""COMPUTED_VALUE"""),725.08)</f>
        <v>725.08</v>
      </c>
      <c r="Y1398" s="1">
        <f ca="1">IFERROR(__xludf.DUMMYFUNCTION("""COMPUTED_VALUE"""),241.6)</f>
        <v>241.6</v>
      </c>
      <c r="Z1398" s="1">
        <f ca="1">IFERROR(__xludf.DUMMYFUNCTION("""COMPUTED_VALUE"""),728.98)</f>
        <v>728.98</v>
      </c>
      <c r="AA1398" s="1">
        <f ca="1">IFERROR(__xludf.DUMMYFUNCTION("""COMPUTED_VALUE"""),25.35)</f>
        <v>25.35</v>
      </c>
      <c r="AB1398" s="1">
        <f ca="1">IFERROR(__xludf.DUMMYFUNCTION("""COMPUTED_VALUE"""),94.42)</f>
        <v>94.42</v>
      </c>
      <c r="AC1398" s="1">
        <f ca="1">IFERROR(__xludf.DUMMYFUNCTION("""COMPUTED_VALUE"""),166.47)</f>
        <v>166.47</v>
      </c>
    </row>
    <row r="1399" spans="1:29" x14ac:dyDescent="0.25">
      <c r="A1399" s="2">
        <f ca="1">IFERROR(__xludf.DUMMYFUNCTION("""COMPUTED_VALUE"""),45863.6666666666)</f>
        <v>45863.666666666599</v>
      </c>
      <c r="B1399" s="1">
        <f ca="1">IFERROR(__xludf.DUMMYFUNCTION("""COMPUTED_VALUE"""),213.88)</f>
        <v>213.88</v>
      </c>
      <c r="C1399" s="1">
        <f ca="1">IFERROR(__xludf.DUMMYFUNCTION("""COMPUTED_VALUE"""),513.71)</f>
        <v>513.71</v>
      </c>
      <c r="D1399" s="1">
        <f ca="1">IFERROR(__xludf.DUMMYFUNCTION("""COMPUTED_VALUE"""),231.44)</f>
        <v>231.44</v>
      </c>
      <c r="E1399" s="1">
        <f ca="1">IFERROR(__xludf.DUMMYFUNCTION("""COMPUTED_VALUE"""),173.5)</f>
        <v>173.5</v>
      </c>
      <c r="F1399" s="1">
        <f ca="1">IFERROR(__xludf.DUMMYFUNCTION("""COMPUTED_VALUE"""),717.63)</f>
        <v>717.63</v>
      </c>
      <c r="G1399" s="1">
        <f ca="1">IFERROR(__xludf.DUMMYFUNCTION("""COMPUTED_VALUE"""),194.08)</f>
        <v>194.08</v>
      </c>
      <c r="H1399" s="1">
        <f ca="1">IFERROR(__xludf.DUMMYFUNCTION("""COMPUTED_VALUE"""),325.59)</f>
        <v>325.58999999999997</v>
      </c>
      <c r="I1399" s="1">
        <f ca="1">IFERROR(__xludf.DUMMYFUNCTION("""COMPUTED_VALUE"""),141.57)</f>
        <v>141.57</v>
      </c>
      <c r="J1399" s="1">
        <f ca="1">IFERROR(__xludf.DUMMYFUNCTION("""COMPUTED_VALUE"""),935.48)</f>
        <v>935.48</v>
      </c>
      <c r="K1399" s="1">
        <f ca="1">IFERROR(__xludf.DUMMYFUNCTION("""COMPUTED_VALUE"""),290.18)</f>
        <v>290.18</v>
      </c>
      <c r="L1399" s="1">
        <f ca="1">IFERROR(__xludf.DUMMYFUNCTION("""COMPUTED_VALUE"""),370.74)</f>
        <v>370.74</v>
      </c>
      <c r="M1399" s="1">
        <f ca="1">IFERROR(__xludf.DUMMYFUNCTION("""COMPUTED_VALUE"""),1180.49)</f>
        <v>1180.49</v>
      </c>
      <c r="N1399" s="1">
        <f ca="1">IFERROR(__xludf.DUMMYFUNCTION("""COMPUTED_VALUE"""),298.28)</f>
        <v>298.27999999999997</v>
      </c>
      <c r="O1399" s="1">
        <f ca="1">IFERROR(__xludf.DUMMYFUNCTION("""COMPUTED_VALUE"""),357.04)</f>
        <v>357.04</v>
      </c>
      <c r="P1399" s="1">
        <f ca="1">IFERROR(__xludf.DUMMYFUNCTION("""COMPUTED_VALUE"""),168.3)</f>
        <v>168.3</v>
      </c>
      <c r="Q1399" s="1">
        <f ca="1">IFERROR(__xludf.DUMMYFUNCTION("""COMPUTED_VALUE"""),281.06)</f>
        <v>281.06</v>
      </c>
      <c r="R1399" s="1">
        <f ca="1">IFERROR(__xludf.DUMMYFUNCTION("""COMPUTED_VALUE"""),110.4)</f>
        <v>110.4</v>
      </c>
      <c r="S1399" s="1">
        <f ca="1">IFERROR(__xludf.DUMMYFUNCTION("""COMPUTED_VALUE"""),71.85)</f>
        <v>71.849999999999994</v>
      </c>
      <c r="T1399" s="1">
        <f ca="1">IFERROR(__xludf.DUMMYFUNCTION("""COMPUTED_VALUE"""),97.61)</f>
        <v>97.61</v>
      </c>
      <c r="U1399" s="1">
        <f ca="1">IFERROR(__xludf.DUMMYFUNCTION("""COMPUTED_VALUE"""),79.24)</f>
        <v>79.239999999999995</v>
      </c>
      <c r="V1399" s="1">
        <f ca="1">IFERROR(__xludf.DUMMYFUNCTION("""COMPUTED_VALUE"""),433.75)</f>
        <v>433.75</v>
      </c>
      <c r="W1399" s="1">
        <f ca="1">IFERROR(__xludf.DUMMYFUNCTION("""COMPUTED_VALUE"""),421.17)</f>
        <v>421.17</v>
      </c>
      <c r="X1399" s="1">
        <f ca="1">IFERROR(__xludf.DUMMYFUNCTION("""COMPUTED_VALUE"""),711.25)</f>
        <v>711.25</v>
      </c>
      <c r="Y1399" s="1">
        <f ca="1">IFERROR(__xludf.DUMMYFUNCTION("""COMPUTED_VALUE"""),245.6)</f>
        <v>245.6</v>
      </c>
      <c r="Z1399" s="1">
        <f ca="1">IFERROR(__xludf.DUMMYFUNCTION("""COMPUTED_VALUE"""),723.65)</f>
        <v>723.65</v>
      </c>
      <c r="AA1399" s="1">
        <f ca="1">IFERROR(__xludf.DUMMYFUNCTION("""COMPUTED_VALUE"""),24.79)</f>
        <v>24.79</v>
      </c>
      <c r="AB1399" s="1">
        <f ca="1">IFERROR(__xludf.DUMMYFUNCTION("""COMPUTED_VALUE"""),93.67)</f>
        <v>93.67</v>
      </c>
      <c r="AC1399" s="1">
        <f ca="1">IFERROR(__xludf.DUMMYFUNCTION("""COMPUTED_VALUE"""),173.66)</f>
        <v>173.66</v>
      </c>
    </row>
    <row r="1400" spans="1:29" x14ac:dyDescent="0.25">
      <c r="A1400" s="2">
        <f ca="1">IFERROR(__xludf.DUMMYFUNCTION("""COMPUTED_VALUE"""),45866.6666666666)</f>
        <v>45866.666666666599</v>
      </c>
      <c r="B1400" s="1">
        <f ca="1">IFERROR(__xludf.DUMMYFUNCTION("""COMPUTED_VALUE"""),214.05)</f>
        <v>214.05</v>
      </c>
      <c r="C1400" s="1">
        <f ca="1">IFERROR(__xludf.DUMMYFUNCTION("""COMPUTED_VALUE"""),512.5)</f>
        <v>512.5</v>
      </c>
      <c r="D1400" s="1">
        <f ca="1">IFERROR(__xludf.DUMMYFUNCTION("""COMPUTED_VALUE"""),232.79)</f>
        <v>232.79</v>
      </c>
      <c r="E1400" s="1">
        <f ca="1">IFERROR(__xludf.DUMMYFUNCTION("""COMPUTED_VALUE"""),176.75)</f>
        <v>176.75</v>
      </c>
      <c r="F1400" s="1">
        <f ca="1">IFERROR(__xludf.DUMMYFUNCTION("""COMPUTED_VALUE"""),700)</f>
        <v>700</v>
      </c>
      <c r="G1400" s="1">
        <f ca="1">IFERROR(__xludf.DUMMYFUNCTION("""COMPUTED_VALUE"""),193.42)</f>
        <v>193.42</v>
      </c>
      <c r="H1400" s="1">
        <f ca="1">IFERROR(__xludf.DUMMYFUNCTION("""COMPUTED_VALUE"""),321.2)</f>
        <v>321.2</v>
      </c>
      <c r="I1400" s="1">
        <f ca="1">IFERROR(__xludf.DUMMYFUNCTION("""COMPUTED_VALUE"""),143.89)</f>
        <v>143.88999999999999</v>
      </c>
      <c r="J1400" s="1">
        <f ca="1">IFERROR(__xludf.DUMMYFUNCTION("""COMPUTED_VALUE"""),933.99)</f>
        <v>933.99</v>
      </c>
      <c r="K1400" s="1">
        <f ca="1">IFERROR(__xludf.DUMMYFUNCTION("""COMPUTED_VALUE"""),294.3)</f>
        <v>294.3</v>
      </c>
      <c r="L1400" s="1">
        <f ca="1">IFERROR(__xludf.DUMMYFUNCTION("""COMPUTED_VALUE"""),369.47)</f>
        <v>369.47</v>
      </c>
      <c r="M1400" s="1">
        <f ca="1">IFERROR(__xludf.DUMMYFUNCTION("""COMPUTED_VALUE"""),1174.6)</f>
        <v>1174.5999999999999</v>
      </c>
      <c r="N1400" s="1">
        <f ca="1">IFERROR(__xludf.DUMMYFUNCTION("""COMPUTED_VALUE"""),297.04)</f>
        <v>297.04000000000002</v>
      </c>
      <c r="O1400" s="1">
        <f ca="1">IFERROR(__xludf.DUMMYFUNCTION("""COMPUTED_VALUE"""),355.47)</f>
        <v>355.47</v>
      </c>
      <c r="P1400" s="1">
        <f ca="1">IFERROR(__xludf.DUMMYFUNCTION("""COMPUTED_VALUE"""),166.22)</f>
        <v>166.22</v>
      </c>
      <c r="Q1400" s="1">
        <f ca="1">IFERROR(__xludf.DUMMYFUNCTION("""COMPUTED_VALUE"""),282.12)</f>
        <v>282.12</v>
      </c>
      <c r="R1400" s="1">
        <f ca="1">IFERROR(__xludf.DUMMYFUNCTION("""COMPUTED_VALUE"""),111.44)</f>
        <v>111.44</v>
      </c>
      <c r="S1400" s="1">
        <f ca="1">IFERROR(__xludf.DUMMYFUNCTION("""COMPUTED_VALUE"""),71.34)</f>
        <v>71.34</v>
      </c>
      <c r="T1400" s="1">
        <f ca="1">IFERROR(__xludf.DUMMYFUNCTION("""COMPUTED_VALUE"""),98.33)</f>
        <v>98.33</v>
      </c>
      <c r="U1400" s="1">
        <f ca="1">IFERROR(__xludf.DUMMYFUNCTION("""COMPUTED_VALUE"""),78.33)</f>
        <v>78.33</v>
      </c>
      <c r="V1400" s="1">
        <f ca="1">IFERROR(__xludf.DUMMYFUNCTION("""COMPUTED_VALUE"""),432.94)</f>
        <v>432.94</v>
      </c>
      <c r="W1400" s="1">
        <f ca="1">IFERROR(__xludf.DUMMYFUNCTION("""COMPUTED_VALUE"""),421.34)</f>
        <v>421.34</v>
      </c>
      <c r="X1400" s="1">
        <f ca="1">IFERROR(__xludf.DUMMYFUNCTION("""COMPUTED_VALUE"""),729.99)</f>
        <v>729.99</v>
      </c>
      <c r="Y1400" s="1">
        <f ca="1">IFERROR(__xludf.DUMMYFUNCTION("""COMPUTED_VALUE"""),242.75)</f>
        <v>242.75</v>
      </c>
      <c r="Z1400" s="1">
        <f ca="1">IFERROR(__xludf.DUMMYFUNCTION("""COMPUTED_VALUE"""),731.98)</f>
        <v>731.98</v>
      </c>
      <c r="AA1400" s="1">
        <f ca="1">IFERROR(__xludf.DUMMYFUNCTION("""COMPUTED_VALUE"""),24.31)</f>
        <v>24.31</v>
      </c>
      <c r="AB1400" s="1">
        <f ca="1">IFERROR(__xludf.DUMMYFUNCTION("""COMPUTED_VALUE"""),92.96)</f>
        <v>92.96</v>
      </c>
      <c r="AC1400" s="1">
        <f ca="1">IFERROR(__xludf.DUMMYFUNCTION("""COMPUTED_VALUE"""),177.44)</f>
        <v>177.44</v>
      </c>
    </row>
    <row r="1401" spans="1:29" x14ac:dyDescent="0.25">
      <c r="A1401" s="2">
        <f ca="1">IFERROR(__xludf.DUMMYFUNCTION("""COMPUTED_VALUE"""),45867.6666666666)</f>
        <v>45867.666666666599</v>
      </c>
      <c r="B1401" s="1">
        <f ca="1">IFERROR(__xludf.DUMMYFUNCTION("""COMPUTED_VALUE"""),211.27)</f>
        <v>211.27</v>
      </c>
      <c r="C1401" s="1">
        <f ca="1">IFERROR(__xludf.DUMMYFUNCTION("""COMPUTED_VALUE"""),512.57)</f>
        <v>512.57000000000005</v>
      </c>
      <c r="D1401" s="1">
        <f ca="1">IFERROR(__xludf.DUMMYFUNCTION("""COMPUTED_VALUE"""),231.01)</f>
        <v>231.01</v>
      </c>
      <c r="E1401" s="1">
        <f ca="1">IFERROR(__xludf.DUMMYFUNCTION("""COMPUTED_VALUE"""),175.51)</f>
        <v>175.51</v>
      </c>
      <c r="F1401" s="1">
        <f ca="1">IFERROR(__xludf.DUMMYFUNCTION("""COMPUTED_VALUE"""),695.21)</f>
        <v>695.21</v>
      </c>
      <c r="G1401" s="1">
        <f ca="1">IFERROR(__xludf.DUMMYFUNCTION("""COMPUTED_VALUE"""),196.43)</f>
        <v>196.43</v>
      </c>
      <c r="H1401" s="1">
        <f ca="1">IFERROR(__xludf.DUMMYFUNCTION("""COMPUTED_VALUE"""),319.04)</f>
        <v>319.04000000000002</v>
      </c>
      <c r="I1401" s="1">
        <f ca="1">IFERROR(__xludf.DUMMYFUNCTION("""COMPUTED_VALUE"""),142.86)</f>
        <v>142.86000000000001</v>
      </c>
      <c r="J1401" s="1">
        <f ca="1">IFERROR(__xludf.DUMMYFUNCTION("""COMPUTED_VALUE"""),934.57)</f>
        <v>934.57</v>
      </c>
      <c r="K1401" s="1">
        <f ca="1">IFERROR(__xludf.DUMMYFUNCTION("""COMPUTED_VALUE"""),297.42)</f>
        <v>297.42</v>
      </c>
      <c r="L1401" s="1">
        <f ca="1">IFERROR(__xludf.DUMMYFUNCTION("""COMPUTED_VALUE"""),370.7)</f>
        <v>370.7</v>
      </c>
      <c r="M1401" s="1">
        <f ca="1">IFERROR(__xludf.DUMMYFUNCTION("""COMPUTED_VALUE"""),1168.74)</f>
        <v>1168.74</v>
      </c>
      <c r="N1401" s="1">
        <f ca="1">IFERROR(__xludf.DUMMYFUNCTION("""COMPUTED_VALUE"""),299.63)</f>
        <v>299.63</v>
      </c>
      <c r="O1401" s="1">
        <f ca="1">IFERROR(__xludf.DUMMYFUNCTION("""COMPUTED_VALUE"""),351.29)</f>
        <v>351.29</v>
      </c>
      <c r="P1401" s="1">
        <f ca="1">IFERROR(__xludf.DUMMYFUNCTION("""COMPUTED_VALUE"""),168.11)</f>
        <v>168.11</v>
      </c>
      <c r="Q1401" s="1">
        <f ca="1">IFERROR(__xludf.DUMMYFUNCTION("""COMPUTED_VALUE"""),261.07)</f>
        <v>261.07</v>
      </c>
      <c r="R1401" s="1">
        <f ca="1">IFERROR(__xludf.DUMMYFUNCTION("""COMPUTED_VALUE"""),112.88)</f>
        <v>112.88</v>
      </c>
      <c r="S1401" s="1">
        <f ca="1">IFERROR(__xludf.DUMMYFUNCTION("""COMPUTED_VALUE"""),71.95)</f>
        <v>71.95</v>
      </c>
      <c r="T1401" s="1">
        <f ca="1">IFERROR(__xludf.DUMMYFUNCTION("""COMPUTED_VALUE"""),97.59)</f>
        <v>97.59</v>
      </c>
      <c r="U1401" s="1">
        <f ca="1">IFERROR(__xludf.DUMMYFUNCTION("""COMPUTED_VALUE"""),76.68)</f>
        <v>76.680000000000007</v>
      </c>
      <c r="V1401" s="1">
        <f ca="1">IFERROR(__xludf.DUMMYFUNCTION("""COMPUTED_VALUE"""),430.05)</f>
        <v>430.05</v>
      </c>
      <c r="W1401" s="1">
        <f ca="1">IFERROR(__xludf.DUMMYFUNCTION("""COMPUTED_VALUE"""),420.13)</f>
        <v>420.13</v>
      </c>
      <c r="X1401" s="1">
        <f ca="1">IFERROR(__xludf.DUMMYFUNCTION("""COMPUTED_VALUE"""),718.49)</f>
        <v>718.49</v>
      </c>
      <c r="Y1401" s="1">
        <f ca="1">IFERROR(__xludf.DUMMYFUNCTION("""COMPUTED_VALUE"""),241.33)</f>
        <v>241.33</v>
      </c>
      <c r="Z1401" s="1">
        <f ca="1">IFERROR(__xludf.DUMMYFUNCTION("""COMPUTED_VALUE"""),730.75)</f>
        <v>730.75</v>
      </c>
      <c r="AA1401" s="1">
        <f ca="1">IFERROR(__xludf.DUMMYFUNCTION("""COMPUTED_VALUE"""),24.3)</f>
        <v>24.3</v>
      </c>
      <c r="AB1401" s="1">
        <f ca="1">IFERROR(__xludf.DUMMYFUNCTION("""COMPUTED_VALUE"""),92.76)</f>
        <v>92.76</v>
      </c>
      <c r="AC1401" s="1">
        <f ca="1">IFERROR(__xludf.DUMMYFUNCTION("""COMPUTED_VALUE"""),179.51)</f>
        <v>179.51</v>
      </c>
    </row>
    <row r="1402" spans="1:29" x14ac:dyDescent="0.25">
      <c r="A1402" s="2">
        <f ca="1">IFERROR(__xludf.DUMMYFUNCTION("""COMPUTED_VALUE"""),45868.6666666666)</f>
        <v>45868.666666666599</v>
      </c>
      <c r="B1402" s="1">
        <f ca="1">IFERROR(__xludf.DUMMYFUNCTION("""COMPUTED_VALUE"""),209.05)</f>
        <v>209.05</v>
      </c>
      <c r="C1402" s="1">
        <f ca="1">IFERROR(__xludf.DUMMYFUNCTION("""COMPUTED_VALUE"""),513.24)</f>
        <v>513.24</v>
      </c>
      <c r="D1402" s="1">
        <f ca="1">IFERROR(__xludf.DUMMYFUNCTION("""COMPUTED_VALUE"""),230.19)</f>
        <v>230.19</v>
      </c>
      <c r="E1402" s="1">
        <f ca="1">IFERROR(__xludf.DUMMYFUNCTION("""COMPUTED_VALUE"""),179.27)</f>
        <v>179.27</v>
      </c>
      <c r="F1402" s="1">
        <f ca="1">IFERROR(__xludf.DUMMYFUNCTION("""COMPUTED_VALUE"""),773.44)</f>
        <v>773.44</v>
      </c>
      <c r="G1402" s="1">
        <f ca="1">IFERROR(__xludf.DUMMYFUNCTION("""COMPUTED_VALUE"""),197.44)</f>
        <v>197.44</v>
      </c>
      <c r="H1402" s="1">
        <f ca="1">IFERROR(__xludf.DUMMYFUNCTION("""COMPUTED_VALUE"""),308.27)</f>
        <v>308.27</v>
      </c>
      <c r="I1402" s="1">
        <f ca="1">IFERROR(__xludf.DUMMYFUNCTION("""COMPUTED_VALUE"""),137.92)</f>
        <v>137.91999999999999</v>
      </c>
      <c r="J1402" s="1">
        <f ca="1">IFERROR(__xludf.DUMMYFUNCTION("""COMPUTED_VALUE"""),927.51)</f>
        <v>927.51</v>
      </c>
      <c r="K1402" s="1">
        <f ca="1">IFERROR(__xludf.DUMMYFUNCTION("""COMPUTED_VALUE"""),302.62)</f>
        <v>302.62</v>
      </c>
      <c r="L1402" s="1">
        <f ca="1">IFERROR(__xludf.DUMMYFUNCTION("""COMPUTED_VALUE"""),364)</f>
        <v>364</v>
      </c>
      <c r="M1402" s="1">
        <f ca="1">IFERROR(__xludf.DUMMYFUNCTION("""COMPUTED_VALUE"""),1184.2)</f>
        <v>1184.2</v>
      </c>
      <c r="N1402" s="1">
        <f ca="1">IFERROR(__xludf.DUMMYFUNCTION("""COMPUTED_VALUE"""),296.24)</f>
        <v>296.24</v>
      </c>
      <c r="O1402" s="1">
        <f ca="1">IFERROR(__xludf.DUMMYFUNCTION("""COMPUTED_VALUE"""),350.91)</f>
        <v>350.91</v>
      </c>
      <c r="P1402" s="1">
        <f ca="1">IFERROR(__xludf.DUMMYFUNCTION("""COMPUTED_VALUE"""),167.26)</f>
        <v>167.26</v>
      </c>
      <c r="Q1402" s="1">
        <f ca="1">IFERROR(__xludf.DUMMYFUNCTION("""COMPUTED_VALUE"""),266.04)</f>
        <v>266.04000000000002</v>
      </c>
      <c r="R1402" s="1">
        <f ca="1">IFERROR(__xludf.DUMMYFUNCTION("""COMPUTED_VALUE"""),111.9)</f>
        <v>111.9</v>
      </c>
      <c r="S1402" s="1">
        <f ca="1">IFERROR(__xludf.DUMMYFUNCTION("""COMPUTED_VALUE"""),70.99)</f>
        <v>70.989999999999995</v>
      </c>
      <c r="T1402" s="1">
        <f ca="1">IFERROR(__xludf.DUMMYFUNCTION("""COMPUTED_VALUE"""),97.98)</f>
        <v>97.98</v>
      </c>
      <c r="U1402" s="1">
        <f ca="1">IFERROR(__xludf.DUMMYFUNCTION("""COMPUTED_VALUE"""),74.69)</f>
        <v>74.69</v>
      </c>
      <c r="V1402" s="1">
        <f ca="1">IFERROR(__xludf.DUMMYFUNCTION("""COMPUTED_VALUE"""),434.12)</f>
        <v>434.12</v>
      </c>
      <c r="W1402" s="1">
        <f ca="1">IFERROR(__xludf.DUMMYFUNCTION("""COMPUTED_VALUE"""),418.68)</f>
        <v>418.68</v>
      </c>
      <c r="X1402" s="1">
        <f ca="1">IFERROR(__xludf.DUMMYFUNCTION("""COMPUTED_VALUE"""),721.45)</f>
        <v>721.45</v>
      </c>
      <c r="Y1402" s="1">
        <f ca="1">IFERROR(__xludf.DUMMYFUNCTION("""COMPUTED_VALUE"""),242.91)</f>
        <v>242.91</v>
      </c>
      <c r="Z1402" s="1">
        <f ca="1">IFERROR(__xludf.DUMMYFUNCTION("""COMPUTED_VALUE"""),723.59)</f>
        <v>723.59</v>
      </c>
      <c r="AA1402" s="1">
        <f ca="1">IFERROR(__xludf.DUMMYFUNCTION("""COMPUTED_VALUE"""),23.81)</f>
        <v>23.81</v>
      </c>
      <c r="AB1402" s="1">
        <f ca="1">IFERROR(__xludf.DUMMYFUNCTION("""COMPUTED_VALUE"""),89.16)</f>
        <v>89.16</v>
      </c>
      <c r="AC1402" s="1">
        <f ca="1">IFERROR(__xludf.DUMMYFUNCTION("""COMPUTED_VALUE"""),176.31)</f>
        <v>176.31</v>
      </c>
    </row>
    <row r="1403" spans="1:29" x14ac:dyDescent="0.25">
      <c r="A1403" s="2">
        <f ca="1">IFERROR(__xludf.DUMMYFUNCTION("""COMPUTED_VALUE"""),45869.6666666666)</f>
        <v>45869.666666666599</v>
      </c>
      <c r="B1403" s="1">
        <f ca="1">IFERROR(__xludf.DUMMYFUNCTION("""COMPUTED_VALUE"""),207.57)</f>
        <v>207.57</v>
      </c>
      <c r="C1403" s="1">
        <f ca="1">IFERROR(__xludf.DUMMYFUNCTION("""COMPUTED_VALUE"""),533.5)</f>
        <v>533.5</v>
      </c>
      <c r="D1403" s="1">
        <f ca="1">IFERROR(__xludf.DUMMYFUNCTION("""COMPUTED_VALUE"""),234.11)</f>
        <v>234.11</v>
      </c>
      <c r="E1403" s="1">
        <f ca="1">IFERROR(__xludf.DUMMYFUNCTION("""COMPUTED_VALUE"""),177.87)</f>
        <v>177.87</v>
      </c>
      <c r="F1403" s="1">
        <f ca="1">IFERROR(__xludf.DUMMYFUNCTION("""COMPUTED_VALUE"""),750.01)</f>
        <v>750.01</v>
      </c>
      <c r="G1403" s="1">
        <f ca="1">IFERROR(__xludf.DUMMYFUNCTION("""COMPUTED_VALUE"""),192.86)</f>
        <v>192.86</v>
      </c>
      <c r="H1403" s="1">
        <f ca="1">IFERROR(__xludf.DUMMYFUNCTION("""COMPUTED_VALUE"""),302.63)</f>
        <v>302.63</v>
      </c>
      <c r="I1403" s="1">
        <f ca="1">IFERROR(__xludf.DUMMYFUNCTION("""COMPUTED_VALUE"""),139.28)</f>
        <v>139.28</v>
      </c>
      <c r="J1403" s="1">
        <f ca="1">IFERROR(__xludf.DUMMYFUNCTION("""COMPUTED_VALUE"""),939.64)</f>
        <v>939.64</v>
      </c>
      <c r="K1403" s="1">
        <f ca="1">IFERROR(__xludf.DUMMYFUNCTION("""COMPUTED_VALUE"""),293.7)</f>
        <v>293.7</v>
      </c>
      <c r="L1403" s="1">
        <f ca="1">IFERROR(__xludf.DUMMYFUNCTION("""COMPUTED_VALUE"""),357.69)</f>
        <v>357.69</v>
      </c>
      <c r="M1403" s="1">
        <f ca="1">IFERROR(__xludf.DUMMYFUNCTION("""COMPUTED_VALUE"""),1159.4)</f>
        <v>1159.4000000000001</v>
      </c>
      <c r="N1403" s="1">
        <f ca="1">IFERROR(__xludf.DUMMYFUNCTION("""COMPUTED_VALUE"""),289.37)</f>
        <v>289.37</v>
      </c>
      <c r="O1403" s="1">
        <f ca="1">IFERROR(__xludf.DUMMYFUNCTION("""COMPUTED_VALUE"""),345.47)</f>
        <v>345.47</v>
      </c>
      <c r="P1403" s="1">
        <f ca="1">IFERROR(__xludf.DUMMYFUNCTION("""COMPUTED_VALUE"""),164.74)</f>
        <v>164.74</v>
      </c>
      <c r="Q1403" s="1">
        <f ca="1">IFERROR(__xludf.DUMMYFUNCTION("""COMPUTED_VALUE"""),249.56)</f>
        <v>249.56</v>
      </c>
      <c r="R1403" s="1">
        <f ca="1">IFERROR(__xludf.DUMMYFUNCTION("""COMPUTED_VALUE"""),111.64)</f>
        <v>111.64</v>
      </c>
      <c r="S1403" s="1">
        <f ca="1">IFERROR(__xludf.DUMMYFUNCTION("""COMPUTED_VALUE"""),71.06)</f>
        <v>71.06</v>
      </c>
      <c r="T1403" s="1">
        <f ca="1">IFERROR(__xludf.DUMMYFUNCTION("""COMPUTED_VALUE"""),98.49)</f>
        <v>98.49</v>
      </c>
      <c r="U1403" s="1">
        <f ca="1">IFERROR(__xludf.DUMMYFUNCTION("""COMPUTED_VALUE"""),74.62)</f>
        <v>74.62</v>
      </c>
      <c r="V1403" s="1">
        <f ca="1">IFERROR(__xludf.DUMMYFUNCTION("""COMPUTED_VALUE"""),438.02)</f>
        <v>438.02</v>
      </c>
      <c r="W1403" s="1">
        <f ca="1">IFERROR(__xludf.DUMMYFUNCTION("""COMPUTED_VALUE"""),420.98)</f>
        <v>420.98</v>
      </c>
      <c r="X1403" s="1">
        <f ca="1">IFERROR(__xludf.DUMMYFUNCTION("""COMPUTED_VALUE"""),694.71)</f>
        <v>694.71</v>
      </c>
      <c r="Y1403" s="1">
        <f ca="1">IFERROR(__xludf.DUMMYFUNCTION("""COMPUTED_VALUE"""),241.62)</f>
        <v>241.62</v>
      </c>
      <c r="Z1403" s="1">
        <f ca="1">IFERROR(__xludf.DUMMYFUNCTION("""COMPUTED_VALUE"""),709.57)</f>
        <v>709.57</v>
      </c>
      <c r="AA1403" s="1">
        <f ca="1">IFERROR(__xludf.DUMMYFUNCTION("""COMPUTED_VALUE"""),23.29)</f>
        <v>23.29</v>
      </c>
      <c r="AB1403" s="1">
        <f ca="1">IFERROR(__xludf.DUMMYFUNCTION("""COMPUTED_VALUE"""),86.86)</f>
        <v>86.86</v>
      </c>
      <c r="AC1403" s="1">
        <f ca="1">IFERROR(__xludf.DUMMYFUNCTION("""COMPUTED_VALUE"""),171.7)</f>
        <v>171.7</v>
      </c>
    </row>
    <row r="1404" spans="1:29" x14ac:dyDescent="0.25">
      <c r="A1404" s="2">
        <f ca="1">IFERROR(__xludf.DUMMYFUNCTION("""COMPUTED_VALUE"""),45870.6666666666)</f>
        <v>45870.666666666599</v>
      </c>
      <c r="B1404" s="1">
        <f ca="1">IFERROR(__xludf.DUMMYFUNCTION("""COMPUTED_VALUE"""),202.38)</f>
        <v>202.38</v>
      </c>
      <c r="C1404" s="1">
        <f ca="1">IFERROR(__xludf.DUMMYFUNCTION("""COMPUTED_VALUE"""),524.11)</f>
        <v>524.11</v>
      </c>
      <c r="D1404" s="1">
        <f ca="1">IFERROR(__xludf.DUMMYFUNCTION("""COMPUTED_VALUE"""),214.75)</f>
        <v>214.75</v>
      </c>
      <c r="E1404" s="1">
        <f ca="1">IFERROR(__xludf.DUMMYFUNCTION("""COMPUTED_VALUE"""),173.72)</f>
        <v>173.72</v>
      </c>
      <c r="F1404" s="1">
        <f ca="1">IFERROR(__xludf.DUMMYFUNCTION("""COMPUTED_VALUE"""),776.37)</f>
        <v>776.37</v>
      </c>
      <c r="G1404" s="1">
        <f ca="1">IFERROR(__xludf.DUMMYFUNCTION("""COMPUTED_VALUE"""),189.95)</f>
        <v>189.95</v>
      </c>
      <c r="H1404" s="1">
        <f ca="1">IFERROR(__xludf.DUMMYFUNCTION("""COMPUTED_VALUE"""),309.26)</f>
        <v>309.26</v>
      </c>
      <c r="I1404" s="1">
        <f ca="1">IFERROR(__xludf.DUMMYFUNCTION("""COMPUTED_VALUE"""),139.56)</f>
        <v>139.56</v>
      </c>
      <c r="J1404" s="1">
        <f ca="1">IFERROR(__xludf.DUMMYFUNCTION("""COMPUTED_VALUE"""),952.52)</f>
        <v>952.52</v>
      </c>
      <c r="K1404" s="1">
        <f ca="1">IFERROR(__xludf.DUMMYFUNCTION("""COMPUTED_VALUE"""),288.64)</f>
        <v>288.64</v>
      </c>
      <c r="L1404" s="1">
        <f ca="1">IFERROR(__xludf.DUMMYFUNCTION("""COMPUTED_VALUE"""),347.8)</f>
        <v>347.8</v>
      </c>
      <c r="M1404" s="1">
        <f ca="1">IFERROR(__xludf.DUMMYFUNCTION("""COMPUTED_VALUE"""),1158.6)</f>
        <v>1158.5999999999999</v>
      </c>
      <c r="N1404" s="1">
        <f ca="1">IFERROR(__xludf.DUMMYFUNCTION("""COMPUTED_VALUE"""),294.26)</f>
        <v>294.26</v>
      </c>
      <c r="O1404" s="1">
        <f ca="1">IFERROR(__xludf.DUMMYFUNCTION("""COMPUTED_VALUE"""),339.35)</f>
        <v>339.35</v>
      </c>
      <c r="P1404" s="1">
        <f ca="1">IFERROR(__xludf.DUMMYFUNCTION("""COMPUTED_VALUE"""),167.33)</f>
        <v>167.33</v>
      </c>
      <c r="Q1404" s="1">
        <f ca="1">IFERROR(__xludf.DUMMYFUNCTION("""COMPUTED_VALUE"""),237.77)</f>
        <v>237.77</v>
      </c>
      <c r="R1404" s="1">
        <f ca="1">IFERROR(__xludf.DUMMYFUNCTION("""COMPUTED_VALUE"""),109.64)</f>
        <v>109.64</v>
      </c>
      <c r="S1404" s="1">
        <f ca="1">IFERROR(__xludf.DUMMYFUNCTION("""COMPUTED_VALUE"""),70.4)</f>
        <v>70.400000000000006</v>
      </c>
      <c r="T1404" s="1">
        <f ca="1">IFERROR(__xludf.DUMMYFUNCTION("""COMPUTED_VALUE"""),99.59)</f>
        <v>99.59</v>
      </c>
      <c r="U1404" s="1">
        <f ca="1">IFERROR(__xludf.DUMMYFUNCTION("""COMPUTED_VALUE"""),74.82)</f>
        <v>74.819999999999993</v>
      </c>
      <c r="V1404" s="1">
        <f ca="1">IFERROR(__xludf.DUMMYFUNCTION("""COMPUTED_VALUE"""),428.69)</f>
        <v>428.69</v>
      </c>
      <c r="W1404" s="1">
        <f ca="1">IFERROR(__xludf.DUMMYFUNCTION("""COMPUTED_VALUE"""),421.01)</f>
        <v>421.01</v>
      </c>
      <c r="X1404" s="1">
        <f ca="1">IFERROR(__xludf.DUMMYFUNCTION("""COMPUTED_VALUE"""),689.82)</f>
        <v>689.82</v>
      </c>
      <c r="Y1404" s="1">
        <f ca="1">IFERROR(__xludf.DUMMYFUNCTION("""COMPUTED_VALUE"""),235.21)</f>
        <v>235.21</v>
      </c>
      <c r="Z1404" s="1">
        <f ca="1">IFERROR(__xludf.DUMMYFUNCTION("""COMPUTED_VALUE"""),726.03)</f>
        <v>726.03</v>
      </c>
      <c r="AA1404" s="1">
        <f ca="1">IFERROR(__xludf.DUMMYFUNCTION("""COMPUTED_VALUE"""),23.49)</f>
        <v>23.49</v>
      </c>
      <c r="AB1404" s="1">
        <f ca="1">IFERROR(__xludf.DUMMYFUNCTION("""COMPUTED_VALUE"""),89.78)</f>
        <v>89.78</v>
      </c>
      <c r="AC1404" s="1">
        <f ca="1">IFERROR(__xludf.DUMMYFUNCTION("""COMPUTED_VALUE"""),176.78)</f>
        <v>176.78</v>
      </c>
    </row>
    <row r="1405" spans="1:29" x14ac:dyDescent="0.25">
      <c r="A1405" s="2">
        <f ca="1">IFERROR(__xludf.DUMMYFUNCTION("""COMPUTED_VALUE"""),45873.6666666666)</f>
        <v>45873.666666666599</v>
      </c>
      <c r="B1405" s="1">
        <f ca="1">IFERROR(__xludf.DUMMYFUNCTION("""COMPUTED_VALUE"""),203.35)</f>
        <v>203.35</v>
      </c>
      <c r="C1405" s="1">
        <f ca="1">IFERROR(__xludf.DUMMYFUNCTION("""COMPUTED_VALUE"""),535.64)</f>
        <v>535.64</v>
      </c>
      <c r="D1405" s="1">
        <f ca="1">IFERROR(__xludf.DUMMYFUNCTION("""COMPUTED_VALUE"""),211.65)</f>
        <v>211.65</v>
      </c>
      <c r="E1405" s="1">
        <f ca="1">IFERROR(__xludf.DUMMYFUNCTION("""COMPUTED_VALUE"""),180)</f>
        <v>180</v>
      </c>
      <c r="F1405" s="1">
        <f ca="1">IFERROR(__xludf.DUMMYFUNCTION("""COMPUTED_VALUE"""),763.46)</f>
        <v>763.46</v>
      </c>
      <c r="G1405" s="1">
        <f ca="1">IFERROR(__xludf.DUMMYFUNCTION("""COMPUTED_VALUE"""),195.75)</f>
        <v>195.75</v>
      </c>
      <c r="H1405" s="1">
        <f ca="1">IFERROR(__xludf.DUMMYFUNCTION("""COMPUTED_VALUE"""),308.72)</f>
        <v>308.72000000000003</v>
      </c>
      <c r="I1405" s="1">
        <f ca="1">IFERROR(__xludf.DUMMYFUNCTION("""COMPUTED_VALUE"""),139.45)</f>
        <v>139.44999999999999</v>
      </c>
      <c r="J1405" s="1">
        <f ca="1">IFERROR(__xludf.DUMMYFUNCTION("""COMPUTED_VALUE"""),955.37)</f>
        <v>955.37</v>
      </c>
      <c r="K1405" s="1">
        <f ca="1">IFERROR(__xludf.DUMMYFUNCTION("""COMPUTED_VALUE"""),297.72)</f>
        <v>297.72000000000003</v>
      </c>
      <c r="L1405" s="1">
        <f ca="1">IFERROR(__xludf.DUMMYFUNCTION("""COMPUTED_VALUE"""),338.85)</f>
        <v>338.85</v>
      </c>
      <c r="M1405" s="1">
        <f ca="1">IFERROR(__xludf.DUMMYFUNCTION("""COMPUTED_VALUE"""),1170.99)</f>
        <v>1170.99</v>
      </c>
      <c r="N1405" s="1">
        <f ca="1">IFERROR(__xludf.DUMMYFUNCTION("""COMPUTED_VALUE"""),291.37)</f>
        <v>291.37</v>
      </c>
      <c r="O1405" s="1">
        <f ca="1">IFERROR(__xludf.DUMMYFUNCTION("""COMPUTED_VALUE"""),342.15)</f>
        <v>342.15</v>
      </c>
      <c r="P1405" s="1">
        <f ca="1">IFERROR(__xludf.DUMMYFUNCTION("""COMPUTED_VALUE"""),171.04)</f>
        <v>171.04</v>
      </c>
      <c r="Q1405" s="1">
        <f ca="1">IFERROR(__xludf.DUMMYFUNCTION("""COMPUTED_VALUE"""),240.98)</f>
        <v>240.98</v>
      </c>
      <c r="R1405" s="1">
        <f ca="1">IFERROR(__xludf.DUMMYFUNCTION("""COMPUTED_VALUE"""),107.37)</f>
        <v>107.37</v>
      </c>
      <c r="S1405" s="1">
        <f ca="1">IFERROR(__xludf.DUMMYFUNCTION("""COMPUTED_VALUE"""),70.53)</f>
        <v>70.53</v>
      </c>
      <c r="T1405" s="1">
        <f ca="1">IFERROR(__xludf.DUMMYFUNCTION("""COMPUTED_VALUE"""),99.31)</f>
        <v>99.31</v>
      </c>
      <c r="U1405" s="1">
        <f ca="1">IFERROR(__xludf.DUMMYFUNCTION("""COMPUTED_VALUE"""),74.38)</f>
        <v>74.38</v>
      </c>
      <c r="V1405" s="1">
        <f ca="1">IFERROR(__xludf.DUMMYFUNCTION("""COMPUTED_VALUE"""),433.7)</f>
        <v>433.7</v>
      </c>
      <c r="W1405" s="1">
        <f ca="1">IFERROR(__xludf.DUMMYFUNCTION("""COMPUTED_VALUE"""),423.7)</f>
        <v>423.7</v>
      </c>
      <c r="X1405" s="1">
        <f ca="1">IFERROR(__xludf.DUMMYFUNCTION("""COMPUTED_VALUE"""),699.36)</f>
        <v>699.36</v>
      </c>
      <c r="Y1405" s="1">
        <f ca="1">IFERROR(__xludf.DUMMYFUNCTION("""COMPUTED_VALUE"""),239)</f>
        <v>239</v>
      </c>
      <c r="Z1405" s="1">
        <f ca="1">IFERROR(__xludf.DUMMYFUNCTION("""COMPUTED_VALUE"""),720.91)</f>
        <v>720.91</v>
      </c>
      <c r="AA1405" s="1">
        <f ca="1">IFERROR(__xludf.DUMMYFUNCTION("""COMPUTED_VALUE"""),23.53)</f>
        <v>23.53</v>
      </c>
      <c r="AB1405" s="1">
        <f ca="1">IFERROR(__xludf.DUMMYFUNCTION("""COMPUTED_VALUE"""),90.2)</f>
        <v>90.2</v>
      </c>
      <c r="AC1405" s="1">
        <f ca="1">IFERROR(__xludf.DUMMYFUNCTION("""COMPUTED_VALUE"""),174.31)</f>
        <v>174.31</v>
      </c>
    </row>
    <row r="1406" spans="1:29" x14ac:dyDescent="0.25">
      <c r="A1406" s="2">
        <f ca="1">IFERROR(__xludf.DUMMYFUNCTION("""COMPUTED_VALUE"""),45874.6666666666)</f>
        <v>45874.666666666599</v>
      </c>
      <c r="B1406" s="1">
        <f ca="1">IFERROR(__xludf.DUMMYFUNCTION("""COMPUTED_VALUE"""),202.92)</f>
        <v>202.92</v>
      </c>
      <c r="C1406" s="1">
        <f ca="1">IFERROR(__xludf.DUMMYFUNCTION("""COMPUTED_VALUE"""),527.75)</f>
        <v>527.75</v>
      </c>
      <c r="D1406" s="1">
        <f ca="1">IFERROR(__xludf.DUMMYFUNCTION("""COMPUTED_VALUE"""),213.75)</f>
        <v>213.75</v>
      </c>
      <c r="E1406" s="1">
        <f ca="1">IFERROR(__xludf.DUMMYFUNCTION("""COMPUTED_VALUE"""),178.26)</f>
        <v>178.26</v>
      </c>
      <c r="F1406" s="1">
        <f ca="1">IFERROR(__xludf.DUMMYFUNCTION("""COMPUTED_VALUE"""),771.99)</f>
        <v>771.99</v>
      </c>
      <c r="G1406" s="1">
        <f ca="1">IFERROR(__xludf.DUMMYFUNCTION("""COMPUTED_VALUE"""),195.32)</f>
        <v>195.32</v>
      </c>
      <c r="H1406" s="1">
        <f ca="1">IFERROR(__xludf.DUMMYFUNCTION("""COMPUTED_VALUE"""),319.91)</f>
        <v>319.91000000000003</v>
      </c>
      <c r="I1406" s="1">
        <f ca="1">IFERROR(__xludf.DUMMYFUNCTION("""COMPUTED_VALUE"""),140.8)</f>
        <v>140.80000000000001</v>
      </c>
      <c r="J1406" s="1">
        <f ca="1">IFERROR(__xludf.DUMMYFUNCTION("""COMPUTED_VALUE"""),943.63)</f>
        <v>943.63</v>
      </c>
      <c r="K1406" s="1">
        <f ca="1">IFERROR(__xludf.DUMMYFUNCTION("""COMPUTED_VALUE"""),292.93)</f>
        <v>292.93</v>
      </c>
      <c r="L1406" s="1">
        <f ca="1">IFERROR(__xludf.DUMMYFUNCTION("""COMPUTED_VALUE"""),338.74)</f>
        <v>338.74</v>
      </c>
      <c r="M1406" s="1">
        <f ca="1">IFERROR(__xludf.DUMMYFUNCTION("""COMPUTED_VALUE"""),1147.87)</f>
        <v>1147.8699999999999</v>
      </c>
      <c r="N1406" s="1">
        <f ca="1">IFERROR(__xludf.DUMMYFUNCTION("""COMPUTED_VALUE"""),291.35)</f>
        <v>291.35000000000002</v>
      </c>
      <c r="O1406" s="1">
        <f ca="1">IFERROR(__xludf.DUMMYFUNCTION("""COMPUTED_VALUE"""),337.43)</f>
        <v>337.43</v>
      </c>
      <c r="P1406" s="1">
        <f ca="1">IFERROR(__xludf.DUMMYFUNCTION("""COMPUTED_VALUE"""),170.74)</f>
        <v>170.74</v>
      </c>
      <c r="Q1406" s="1">
        <f ca="1">IFERROR(__xludf.DUMMYFUNCTION("""COMPUTED_VALUE"""),251)</f>
        <v>251</v>
      </c>
      <c r="R1406" s="1">
        <f ca="1">IFERROR(__xludf.DUMMYFUNCTION("""COMPUTED_VALUE"""),107.24)</f>
        <v>107.24</v>
      </c>
      <c r="S1406" s="1">
        <f ca="1">IFERROR(__xludf.DUMMYFUNCTION("""COMPUTED_VALUE"""),71.18)</f>
        <v>71.180000000000007</v>
      </c>
      <c r="T1406" s="1">
        <f ca="1">IFERROR(__xludf.DUMMYFUNCTION("""COMPUTED_VALUE"""),103.36)</f>
        <v>103.36</v>
      </c>
      <c r="U1406" s="1">
        <f ca="1">IFERROR(__xludf.DUMMYFUNCTION("""COMPUTED_VALUE"""),75.48)</f>
        <v>75.48</v>
      </c>
      <c r="V1406" s="1">
        <f ca="1">IFERROR(__xludf.DUMMYFUNCTION("""COMPUTED_VALUE"""),434.23)</f>
        <v>434.23</v>
      </c>
      <c r="W1406" s="1">
        <f ca="1">IFERROR(__xludf.DUMMYFUNCTION("""COMPUTED_VALUE"""),428.24)</f>
        <v>428.24</v>
      </c>
      <c r="X1406" s="1">
        <f ca="1">IFERROR(__xludf.DUMMYFUNCTION("""COMPUTED_VALUE"""),689.63)</f>
        <v>689.63</v>
      </c>
      <c r="Y1406" s="1">
        <f ca="1">IFERROR(__xludf.DUMMYFUNCTION("""COMPUTED_VALUE"""),232.47)</f>
        <v>232.47</v>
      </c>
      <c r="Z1406" s="1">
        <f ca="1">IFERROR(__xludf.DUMMYFUNCTION("""COMPUTED_VALUE"""),724.74)</f>
        <v>724.74</v>
      </c>
      <c r="AA1406" s="1">
        <f ca="1">IFERROR(__xludf.DUMMYFUNCTION("""COMPUTED_VALUE"""),24.75)</f>
        <v>24.75</v>
      </c>
      <c r="AB1406" s="1">
        <f ca="1">IFERROR(__xludf.DUMMYFUNCTION("""COMPUTED_VALUE"""),88.99)</f>
        <v>88.99</v>
      </c>
      <c r="AC1406" s="1">
        <f ca="1">IFERROR(__xludf.DUMMYFUNCTION("""COMPUTED_VALUE"""),163.12)</f>
        <v>163.12</v>
      </c>
    </row>
    <row r="1407" spans="1:29" x14ac:dyDescent="0.25">
      <c r="A1407" s="2">
        <f ca="1">IFERROR(__xludf.DUMMYFUNCTION("""COMPUTED_VALUE"""),45875.6666666666)</f>
        <v>45875.666666666599</v>
      </c>
      <c r="B1407" s="1">
        <f ca="1">IFERROR(__xludf.DUMMYFUNCTION("""COMPUTED_VALUE"""),213.25)</f>
        <v>213.25</v>
      </c>
      <c r="C1407" s="1">
        <f ca="1">IFERROR(__xludf.DUMMYFUNCTION("""COMPUTED_VALUE"""),524.94)</f>
        <v>524.94000000000005</v>
      </c>
      <c r="D1407" s="1">
        <f ca="1">IFERROR(__xludf.DUMMYFUNCTION("""COMPUTED_VALUE"""),222.31)</f>
        <v>222.31</v>
      </c>
      <c r="E1407" s="1">
        <f ca="1">IFERROR(__xludf.DUMMYFUNCTION("""COMPUTED_VALUE"""),179.42)</f>
        <v>179.42</v>
      </c>
      <c r="F1407" s="1">
        <f ca="1">IFERROR(__xludf.DUMMYFUNCTION("""COMPUTED_VALUE"""),761.83)</f>
        <v>761.83</v>
      </c>
      <c r="G1407" s="1">
        <f ca="1">IFERROR(__xludf.DUMMYFUNCTION("""COMPUTED_VALUE"""),196.92)</f>
        <v>196.92</v>
      </c>
      <c r="H1407" s="1">
        <f ca="1">IFERROR(__xludf.DUMMYFUNCTION("""COMPUTED_VALUE"""),322.27)</f>
        <v>322.27</v>
      </c>
      <c r="I1407" s="1">
        <f ca="1">IFERROR(__xludf.DUMMYFUNCTION("""COMPUTED_VALUE"""),143.92)</f>
        <v>143.91999999999999</v>
      </c>
      <c r="J1407" s="1">
        <f ca="1">IFERROR(__xludf.DUMMYFUNCTION("""COMPUTED_VALUE"""),968.56)</f>
        <v>968.56</v>
      </c>
      <c r="K1407" s="1">
        <f ca="1">IFERROR(__xludf.DUMMYFUNCTION("""COMPUTED_VALUE"""),301.67)</f>
        <v>301.67</v>
      </c>
      <c r="L1407" s="1">
        <f ca="1">IFERROR(__xludf.DUMMYFUNCTION("""COMPUTED_VALUE"""),345.62)</f>
        <v>345.62</v>
      </c>
      <c r="M1407" s="1">
        <f ca="1">IFERROR(__xludf.DUMMYFUNCTION("""COMPUTED_VALUE"""),1178.48)</f>
        <v>1178.48</v>
      </c>
      <c r="N1407" s="1">
        <f ca="1">IFERROR(__xludf.DUMMYFUNCTION("""COMPUTED_VALUE"""),286.94)</f>
        <v>286.94</v>
      </c>
      <c r="O1407" s="1">
        <f ca="1">IFERROR(__xludf.DUMMYFUNCTION("""COMPUTED_VALUE"""),339.74)</f>
        <v>339.74</v>
      </c>
      <c r="P1407" s="1">
        <f ca="1">IFERROR(__xludf.DUMMYFUNCTION("""COMPUTED_VALUE"""),170.59)</f>
        <v>170.59</v>
      </c>
      <c r="Q1407" s="1">
        <f ca="1">IFERROR(__xludf.DUMMYFUNCTION("""COMPUTED_VALUE"""),245.78)</f>
        <v>245.78</v>
      </c>
      <c r="R1407" s="1">
        <f ca="1">IFERROR(__xludf.DUMMYFUNCTION("""COMPUTED_VALUE"""),106.51)</f>
        <v>106.51</v>
      </c>
      <c r="S1407" s="1">
        <f ca="1">IFERROR(__xludf.DUMMYFUNCTION("""COMPUTED_VALUE"""),70.54)</f>
        <v>70.540000000000006</v>
      </c>
      <c r="T1407" s="1">
        <f ca="1">IFERROR(__xludf.DUMMYFUNCTION("""COMPUTED_VALUE"""),103.12)</f>
        <v>103.12</v>
      </c>
      <c r="U1407" s="1">
        <f ca="1">IFERROR(__xludf.DUMMYFUNCTION("""COMPUTED_VALUE"""),74.35)</f>
        <v>74.349999999999994</v>
      </c>
      <c r="V1407" s="1">
        <f ca="1">IFERROR(__xludf.DUMMYFUNCTION("""COMPUTED_VALUE"""),427.72)</f>
        <v>427.72</v>
      </c>
      <c r="W1407" s="1">
        <f ca="1">IFERROR(__xludf.DUMMYFUNCTION("""COMPUTED_VALUE"""),434.85)</f>
        <v>434.85</v>
      </c>
      <c r="X1407" s="1">
        <f ca="1">IFERROR(__xludf.DUMMYFUNCTION("""COMPUTED_VALUE"""),690.96)</f>
        <v>690.96</v>
      </c>
      <c r="Y1407" s="1">
        <f ca="1">IFERROR(__xludf.DUMMYFUNCTION("""COMPUTED_VALUE"""),231.37)</f>
        <v>231.37</v>
      </c>
      <c r="Z1407" s="1">
        <f ca="1">IFERROR(__xludf.DUMMYFUNCTION("""COMPUTED_VALUE"""),719.74)</f>
        <v>719.74</v>
      </c>
      <c r="AA1407" s="1">
        <f ca="1">IFERROR(__xludf.DUMMYFUNCTION("""COMPUTED_VALUE"""),23.93)</f>
        <v>23.93</v>
      </c>
      <c r="AB1407" s="1">
        <f ca="1">IFERROR(__xludf.DUMMYFUNCTION("""COMPUTED_VALUE"""),91.02)</f>
        <v>91.02</v>
      </c>
      <c r="AC1407" s="1">
        <f ca="1">IFERROR(__xludf.DUMMYFUNCTION("""COMPUTED_VALUE"""),172.4)</f>
        <v>172.4</v>
      </c>
    </row>
    <row r="1408" spans="1:29" x14ac:dyDescent="0.25">
      <c r="A1408" s="2">
        <f ca="1">IFERROR(__xludf.DUMMYFUNCTION("""COMPUTED_VALUE"""),45876.6666666666)</f>
        <v>45876.666666666599</v>
      </c>
      <c r="B1408" s="1">
        <f ca="1">IFERROR(__xludf.DUMMYFUNCTION("""COMPUTED_VALUE"""),220.03)</f>
        <v>220.03</v>
      </c>
      <c r="C1408" s="1">
        <f ca="1">IFERROR(__xludf.DUMMYFUNCTION("""COMPUTED_VALUE"""),520.84)</f>
        <v>520.84</v>
      </c>
      <c r="D1408" s="1">
        <f ca="1">IFERROR(__xludf.DUMMYFUNCTION("""COMPUTED_VALUE"""),223.13)</f>
        <v>223.13</v>
      </c>
      <c r="E1408" s="1">
        <f ca="1">IFERROR(__xludf.DUMMYFUNCTION("""COMPUTED_VALUE"""),180.77)</f>
        <v>180.77</v>
      </c>
      <c r="F1408" s="1">
        <f ca="1">IFERROR(__xludf.DUMMYFUNCTION("""COMPUTED_VALUE"""),769.3)</f>
        <v>769.3</v>
      </c>
      <c r="G1408" s="1">
        <f ca="1">IFERROR(__xludf.DUMMYFUNCTION("""COMPUTED_VALUE"""),197.28)</f>
        <v>197.28</v>
      </c>
      <c r="H1408" s="1">
        <f ca="1">IFERROR(__xludf.DUMMYFUNCTION("""COMPUTED_VALUE"""),329.65)</f>
        <v>329.65</v>
      </c>
      <c r="I1408" s="1">
        <f ca="1">IFERROR(__xludf.DUMMYFUNCTION("""COMPUTED_VALUE"""),145.21)</f>
        <v>145.21</v>
      </c>
      <c r="J1408" s="1">
        <f ca="1">IFERROR(__xludf.DUMMYFUNCTION("""COMPUTED_VALUE"""),977.45)</f>
        <v>977.45</v>
      </c>
      <c r="K1408" s="1">
        <f ca="1">IFERROR(__xludf.DUMMYFUNCTION("""COMPUTED_VALUE"""),303.76)</f>
        <v>303.76</v>
      </c>
      <c r="L1408" s="1">
        <f ca="1">IFERROR(__xludf.DUMMYFUNCTION("""COMPUTED_VALUE"""),338.27)</f>
        <v>338.27</v>
      </c>
      <c r="M1408" s="1">
        <f ca="1">IFERROR(__xludf.DUMMYFUNCTION("""COMPUTED_VALUE"""),1180.37)</f>
        <v>1180.3699999999999</v>
      </c>
      <c r="N1408" s="1">
        <f ca="1">IFERROR(__xludf.DUMMYFUNCTION("""COMPUTED_VALUE"""),288.76)</f>
        <v>288.76</v>
      </c>
      <c r="O1408" s="1">
        <f ca="1">IFERROR(__xludf.DUMMYFUNCTION("""COMPUTED_VALUE"""),332.09)</f>
        <v>332.09</v>
      </c>
      <c r="P1408" s="1">
        <f ca="1">IFERROR(__xludf.DUMMYFUNCTION("""COMPUTED_VALUE"""),171.53)</f>
        <v>171.53</v>
      </c>
      <c r="Q1408" s="1">
        <f ca="1">IFERROR(__xludf.DUMMYFUNCTION("""COMPUTED_VALUE"""),244.67)</f>
        <v>244.67</v>
      </c>
      <c r="R1408" s="1">
        <f ca="1">IFERROR(__xludf.DUMMYFUNCTION("""COMPUTED_VALUE"""),105.95)</f>
        <v>105.95</v>
      </c>
      <c r="S1408" s="1">
        <f ca="1">IFERROR(__xludf.DUMMYFUNCTION("""COMPUTED_VALUE"""),72.58)</f>
        <v>72.58</v>
      </c>
      <c r="T1408" s="1">
        <f ca="1">IFERROR(__xludf.DUMMYFUNCTION("""COMPUTED_VALUE"""),103.73)</f>
        <v>103.73</v>
      </c>
      <c r="U1408" s="1">
        <f ca="1">IFERROR(__xludf.DUMMYFUNCTION("""COMPUTED_VALUE"""),74.19)</f>
        <v>74.19</v>
      </c>
      <c r="V1408" s="1">
        <f ca="1">IFERROR(__xludf.DUMMYFUNCTION("""COMPUTED_VALUE"""),417.12)</f>
        <v>417.12</v>
      </c>
      <c r="W1408" s="1">
        <f ca="1">IFERROR(__xludf.DUMMYFUNCTION("""COMPUTED_VALUE"""),430.75)</f>
        <v>430.75</v>
      </c>
      <c r="X1408" s="1">
        <f ca="1">IFERROR(__xludf.DUMMYFUNCTION("""COMPUTED_VALUE"""),713.12)</f>
        <v>713.12</v>
      </c>
      <c r="Y1408" s="1">
        <f ca="1">IFERROR(__xludf.DUMMYFUNCTION("""COMPUTED_VALUE"""),242.62)</f>
        <v>242.62</v>
      </c>
      <c r="Z1408" s="1">
        <f ca="1">IFERROR(__xludf.DUMMYFUNCTION("""COMPUTED_VALUE"""),721.27)</f>
        <v>721.27</v>
      </c>
      <c r="AA1408" s="1">
        <f ca="1">IFERROR(__xludf.DUMMYFUNCTION("""COMPUTED_VALUE"""),24.23)</f>
        <v>24.23</v>
      </c>
      <c r="AB1408" s="1">
        <f ca="1">IFERROR(__xludf.DUMMYFUNCTION("""COMPUTED_VALUE"""),92.12)</f>
        <v>92.12</v>
      </c>
      <c r="AC1408" s="1">
        <f ca="1">IFERROR(__xludf.DUMMYFUNCTION("""COMPUTED_VALUE"""),172.76)</f>
        <v>172.76</v>
      </c>
    </row>
    <row r="1409" spans="1:29" x14ac:dyDescent="0.25">
      <c r="A1409" s="2">
        <f ca="1">IFERROR(__xludf.DUMMYFUNCTION("""COMPUTED_VALUE"""),45877.6666666666)</f>
        <v>45877.666666666599</v>
      </c>
      <c r="B1409" s="1">
        <f ca="1">IFERROR(__xludf.DUMMYFUNCTION("""COMPUTED_VALUE"""),229.35)</f>
        <v>229.35</v>
      </c>
      <c r="C1409" s="1">
        <f ca="1">IFERROR(__xludf.DUMMYFUNCTION("""COMPUTED_VALUE"""),522.04)</f>
        <v>522.04</v>
      </c>
      <c r="D1409" s="1">
        <f ca="1">IFERROR(__xludf.DUMMYFUNCTION("""COMPUTED_VALUE"""),222.69)</f>
        <v>222.69</v>
      </c>
      <c r="E1409" s="1">
        <f ca="1">IFERROR(__xludf.DUMMYFUNCTION("""COMPUTED_VALUE"""),182.7)</f>
        <v>182.7</v>
      </c>
      <c r="F1409" s="1">
        <f ca="1">IFERROR(__xludf.DUMMYFUNCTION("""COMPUTED_VALUE"""),765.87)</f>
        <v>765.87</v>
      </c>
      <c r="G1409" s="1">
        <f ca="1">IFERROR(__xludf.DUMMYFUNCTION("""COMPUTED_VALUE"""),202.09)</f>
        <v>202.09</v>
      </c>
      <c r="H1409" s="1">
        <f ca="1">IFERROR(__xludf.DUMMYFUNCTION("""COMPUTED_VALUE"""),339.03)</f>
        <v>339.03</v>
      </c>
      <c r="I1409" s="1">
        <f ca="1">IFERROR(__xludf.DUMMYFUNCTION("""COMPUTED_VALUE"""),144.87)</f>
        <v>144.87</v>
      </c>
      <c r="J1409" s="1">
        <f ca="1">IFERROR(__xludf.DUMMYFUNCTION("""COMPUTED_VALUE"""),980.98)</f>
        <v>980.98</v>
      </c>
      <c r="K1409" s="1">
        <f ca="1">IFERROR(__xludf.DUMMYFUNCTION("""COMPUTED_VALUE"""),304.97)</f>
        <v>304.97000000000003</v>
      </c>
      <c r="L1409" s="1">
        <f ca="1">IFERROR(__xludf.DUMMYFUNCTION("""COMPUTED_VALUE"""),341.05)</f>
        <v>341.05</v>
      </c>
      <c r="M1409" s="1">
        <f ca="1">IFERROR(__xludf.DUMMYFUNCTION("""COMPUTED_VALUE"""),1211.64)</f>
        <v>1211.6400000000001</v>
      </c>
      <c r="N1409" s="1">
        <f ca="1">IFERROR(__xludf.DUMMYFUNCTION("""COMPUTED_VALUE"""),289.56)</f>
        <v>289.56</v>
      </c>
      <c r="O1409" s="1">
        <f ca="1">IFERROR(__xludf.DUMMYFUNCTION("""COMPUTED_VALUE"""),336.78)</f>
        <v>336.78</v>
      </c>
      <c r="P1409" s="1">
        <f ca="1">IFERROR(__xludf.DUMMYFUNCTION("""COMPUTED_VALUE"""),173.33)</f>
        <v>173.33</v>
      </c>
      <c r="Q1409" s="1">
        <f ca="1">IFERROR(__xludf.DUMMYFUNCTION("""COMPUTED_VALUE"""),250.89)</f>
        <v>250.89</v>
      </c>
      <c r="R1409" s="1">
        <f ca="1">IFERROR(__xludf.DUMMYFUNCTION("""COMPUTED_VALUE"""),106.8)</f>
        <v>106.8</v>
      </c>
      <c r="S1409" s="1">
        <f ca="1">IFERROR(__xludf.DUMMYFUNCTION("""COMPUTED_VALUE"""),72.41)</f>
        <v>72.41</v>
      </c>
      <c r="T1409" s="1">
        <f ca="1">IFERROR(__xludf.DUMMYFUNCTION("""COMPUTED_VALUE"""),103.93)</f>
        <v>103.93</v>
      </c>
      <c r="U1409" s="1">
        <f ca="1">IFERROR(__xludf.DUMMYFUNCTION("""COMPUTED_VALUE"""),74.02)</f>
        <v>74.02</v>
      </c>
      <c r="V1409" s="1">
        <f ca="1">IFERROR(__xludf.DUMMYFUNCTION("""COMPUTED_VALUE"""),416.52)</f>
        <v>416.52</v>
      </c>
      <c r="W1409" s="1">
        <f ca="1">IFERROR(__xludf.DUMMYFUNCTION("""COMPUTED_VALUE"""),425.63)</f>
        <v>425.63</v>
      </c>
      <c r="X1409" s="1">
        <f ca="1">IFERROR(__xludf.DUMMYFUNCTION("""COMPUTED_VALUE"""),722.32)</f>
        <v>722.32</v>
      </c>
      <c r="Y1409" s="1">
        <f ca="1">IFERROR(__xludf.DUMMYFUNCTION("""COMPUTED_VALUE"""),241.83)</f>
        <v>241.83</v>
      </c>
      <c r="Z1409" s="1">
        <f ca="1">IFERROR(__xludf.DUMMYFUNCTION("""COMPUTED_VALUE"""),719.24)</f>
        <v>719.24</v>
      </c>
      <c r="AA1409" s="1">
        <f ca="1">IFERROR(__xludf.DUMMYFUNCTION("""COMPUTED_VALUE"""),24.58)</f>
        <v>24.58</v>
      </c>
      <c r="AB1409" s="1">
        <f ca="1">IFERROR(__xludf.DUMMYFUNCTION("""COMPUTED_VALUE"""),91.74)</f>
        <v>91.74</v>
      </c>
      <c r="AC1409" s="1">
        <f ca="1">IFERROR(__xludf.DUMMYFUNCTION("""COMPUTED_VALUE"""),172.28)</f>
        <v>172.28</v>
      </c>
    </row>
    <row r="1410" spans="1:29" x14ac:dyDescent="0.25">
      <c r="A1410" s="2">
        <f ca="1">IFERROR(__xludf.DUMMYFUNCTION("""COMPUTED_VALUE"""),45880.6666666666)</f>
        <v>45880.666666666599</v>
      </c>
      <c r="B1410" s="1">
        <f ca="1">IFERROR(__xludf.DUMMYFUNCTION("""COMPUTED_VALUE"""),227.18)</f>
        <v>227.18</v>
      </c>
      <c r="C1410" s="1">
        <f ca="1">IFERROR(__xludf.DUMMYFUNCTION("""COMPUTED_VALUE"""),521.77)</f>
        <v>521.77</v>
      </c>
      <c r="D1410" s="1">
        <f ca="1">IFERROR(__xludf.DUMMYFUNCTION("""COMPUTED_VALUE"""),221.3)</f>
        <v>221.3</v>
      </c>
      <c r="E1410" s="1">
        <f ca="1">IFERROR(__xludf.DUMMYFUNCTION("""COMPUTED_VALUE"""),182.06)</f>
        <v>182.06</v>
      </c>
      <c r="F1410" s="1">
        <f ca="1">IFERROR(__xludf.DUMMYFUNCTION("""COMPUTED_VALUE"""),790)</f>
        <v>790</v>
      </c>
      <c r="G1410" s="1">
        <f ca="1">IFERROR(__xludf.DUMMYFUNCTION("""COMPUTED_VALUE"""),201.63)</f>
        <v>201.63</v>
      </c>
      <c r="H1410" s="1">
        <f ca="1">IFERROR(__xludf.DUMMYFUNCTION("""COMPUTED_VALUE"""),340.84)</f>
        <v>340.84</v>
      </c>
      <c r="I1410" s="1">
        <f ca="1">IFERROR(__xludf.DUMMYFUNCTION("""COMPUTED_VALUE"""),146.87)</f>
        <v>146.87</v>
      </c>
      <c r="J1410" s="1">
        <f ca="1">IFERROR(__xludf.DUMMYFUNCTION("""COMPUTED_VALUE"""),988.74)</f>
        <v>988.74</v>
      </c>
      <c r="K1410" s="1">
        <f ca="1">IFERROR(__xludf.DUMMYFUNCTION("""COMPUTED_VALUE"""),303.9)</f>
        <v>303.89999999999998</v>
      </c>
      <c r="L1410" s="1">
        <f ca="1">IFERROR(__xludf.DUMMYFUNCTION("""COMPUTED_VALUE"""),333.65)</f>
        <v>333.65</v>
      </c>
      <c r="M1410" s="1">
        <f ca="1">IFERROR(__xludf.DUMMYFUNCTION("""COMPUTED_VALUE"""),1218.31)</f>
        <v>1218.31</v>
      </c>
      <c r="N1410" s="1">
        <f ca="1">IFERROR(__xludf.DUMMYFUNCTION("""COMPUTED_VALUE"""),292.85)</f>
        <v>292.85000000000002</v>
      </c>
      <c r="O1410" s="1">
        <f ca="1">IFERROR(__xludf.DUMMYFUNCTION("""COMPUTED_VALUE"""),335.9)</f>
        <v>335.9</v>
      </c>
      <c r="P1410" s="1">
        <f ca="1">IFERROR(__xludf.DUMMYFUNCTION("""COMPUTED_VALUE"""),173.82)</f>
        <v>173.82</v>
      </c>
      <c r="Q1410" s="1">
        <f ca="1">IFERROR(__xludf.DUMMYFUNCTION("""COMPUTED_VALUE"""),252.37)</f>
        <v>252.37</v>
      </c>
      <c r="R1410" s="1">
        <f ca="1">IFERROR(__xludf.DUMMYFUNCTION("""COMPUTED_VALUE"""),105.83)</f>
        <v>105.83</v>
      </c>
      <c r="S1410" s="1">
        <f ca="1">IFERROR(__xludf.DUMMYFUNCTION("""COMPUTED_VALUE"""),72.45)</f>
        <v>72.45</v>
      </c>
      <c r="T1410" s="1">
        <f ca="1">IFERROR(__xludf.DUMMYFUNCTION("""COMPUTED_VALUE"""),103.62)</f>
        <v>103.62</v>
      </c>
      <c r="U1410" s="1">
        <f ca="1">IFERROR(__xludf.DUMMYFUNCTION("""COMPUTED_VALUE"""),74.9)</f>
        <v>74.900000000000006</v>
      </c>
      <c r="V1410" s="1">
        <f ca="1">IFERROR(__xludf.DUMMYFUNCTION("""COMPUTED_VALUE"""),408.54)</f>
        <v>408.54</v>
      </c>
      <c r="W1410" s="1">
        <f ca="1">IFERROR(__xludf.DUMMYFUNCTION("""COMPUTED_VALUE"""),426.26)</f>
        <v>426.26</v>
      </c>
      <c r="X1410" s="1">
        <f ca="1">IFERROR(__xludf.DUMMYFUNCTION("""COMPUTED_VALUE"""),721.31)</f>
        <v>721.31</v>
      </c>
      <c r="Y1410" s="1">
        <f ca="1">IFERROR(__xludf.DUMMYFUNCTION("""COMPUTED_VALUE"""),242.09)</f>
        <v>242.09</v>
      </c>
      <c r="Z1410" s="1">
        <f ca="1">IFERROR(__xludf.DUMMYFUNCTION("""COMPUTED_VALUE"""),743.38)</f>
        <v>743.38</v>
      </c>
      <c r="AA1410" s="1">
        <f ca="1">IFERROR(__xludf.DUMMYFUNCTION("""COMPUTED_VALUE"""),24.58)</f>
        <v>24.58</v>
      </c>
      <c r="AB1410" s="1">
        <f ca="1">IFERROR(__xludf.DUMMYFUNCTION("""COMPUTED_VALUE"""),93.37)</f>
        <v>93.37</v>
      </c>
      <c r="AC1410" s="1">
        <f ca="1">IFERROR(__xludf.DUMMYFUNCTION("""COMPUTED_VALUE"""),174.95)</f>
        <v>174.95</v>
      </c>
    </row>
    <row r="1411" spans="1:29" x14ac:dyDescent="0.25">
      <c r="A1411" s="2">
        <f ca="1">IFERROR(__xludf.DUMMYFUNCTION("""COMPUTED_VALUE"""),45881.6666666666)</f>
        <v>45881.666666666599</v>
      </c>
      <c r="B1411" s="1">
        <f ca="1">IFERROR(__xludf.DUMMYFUNCTION("""COMPUTED_VALUE"""),229.65)</f>
        <v>229.65</v>
      </c>
      <c r="C1411" s="1">
        <f ca="1">IFERROR(__xludf.DUMMYFUNCTION("""COMPUTED_VALUE"""),529.24)</f>
        <v>529.24</v>
      </c>
      <c r="D1411" s="1">
        <f ca="1">IFERROR(__xludf.DUMMYFUNCTION("""COMPUTED_VALUE"""),221.47)</f>
        <v>221.47</v>
      </c>
      <c r="E1411" s="1">
        <f ca="1">IFERROR(__xludf.DUMMYFUNCTION("""COMPUTED_VALUE"""),183.16)</f>
        <v>183.16</v>
      </c>
      <c r="F1411" s="1">
        <f ca="1">IFERROR(__xludf.DUMMYFUNCTION("""COMPUTED_VALUE"""),780.08)</f>
        <v>780.08</v>
      </c>
      <c r="G1411" s="1">
        <f ca="1">IFERROR(__xludf.DUMMYFUNCTION("""COMPUTED_VALUE"""),204.16)</f>
        <v>204.16</v>
      </c>
      <c r="H1411" s="1">
        <f ca="1">IFERROR(__xludf.DUMMYFUNCTION("""COMPUTED_VALUE"""),339.38)</f>
        <v>339.38</v>
      </c>
      <c r="I1411" s="1">
        <f ca="1">IFERROR(__xludf.DUMMYFUNCTION("""COMPUTED_VALUE"""),149.35)</f>
        <v>149.35</v>
      </c>
      <c r="J1411" s="1">
        <f ca="1">IFERROR(__xludf.DUMMYFUNCTION("""COMPUTED_VALUE"""),991.25)</f>
        <v>991.25</v>
      </c>
      <c r="K1411" s="1">
        <f ca="1">IFERROR(__xludf.DUMMYFUNCTION("""COMPUTED_VALUE"""),312.83)</f>
        <v>312.83</v>
      </c>
      <c r="L1411" s="1">
        <f ca="1">IFERROR(__xludf.DUMMYFUNCTION("""COMPUTED_VALUE"""),338.43)</f>
        <v>338.43</v>
      </c>
      <c r="M1411" s="1">
        <f ca="1">IFERROR(__xludf.DUMMYFUNCTION("""COMPUTED_VALUE"""),1225.28)</f>
        <v>1225.28</v>
      </c>
      <c r="N1411" s="1">
        <f ca="1">IFERROR(__xludf.DUMMYFUNCTION("""COMPUTED_VALUE"""),290.53)</f>
        <v>290.52999999999997</v>
      </c>
      <c r="O1411" s="1">
        <f ca="1">IFERROR(__xludf.DUMMYFUNCTION("""COMPUTED_VALUE"""),336.74)</f>
        <v>336.74</v>
      </c>
      <c r="P1411" s="1">
        <f ca="1">IFERROR(__xludf.DUMMYFUNCTION("""COMPUTED_VALUE"""),172.78)</f>
        <v>172.78</v>
      </c>
      <c r="Q1411" s="1">
        <f ca="1">IFERROR(__xludf.DUMMYFUNCTION("""COMPUTED_VALUE"""),261.57)</f>
        <v>261.57</v>
      </c>
      <c r="R1411" s="1">
        <f ca="1">IFERROR(__xludf.DUMMYFUNCTION("""COMPUTED_VALUE"""),106.13)</f>
        <v>106.13</v>
      </c>
      <c r="S1411" s="1">
        <f ca="1">IFERROR(__xludf.DUMMYFUNCTION("""COMPUTED_VALUE"""),71.86)</f>
        <v>71.86</v>
      </c>
      <c r="T1411" s="1">
        <f ca="1">IFERROR(__xludf.DUMMYFUNCTION("""COMPUTED_VALUE"""),100.99)</f>
        <v>100.99</v>
      </c>
      <c r="U1411" s="1">
        <f ca="1">IFERROR(__xludf.DUMMYFUNCTION("""COMPUTED_VALUE"""),77.2)</f>
        <v>77.2</v>
      </c>
      <c r="V1411" s="1">
        <f ca="1">IFERROR(__xludf.DUMMYFUNCTION("""COMPUTED_VALUE"""),412.71)</f>
        <v>412.71</v>
      </c>
      <c r="W1411" s="1">
        <f ca="1">IFERROR(__xludf.DUMMYFUNCTION("""COMPUTED_VALUE"""),431.56)</f>
        <v>431.56</v>
      </c>
      <c r="X1411" s="1">
        <f ca="1">IFERROR(__xludf.DUMMYFUNCTION("""COMPUTED_VALUE"""),741.79)</f>
        <v>741.79</v>
      </c>
      <c r="Y1411" s="1">
        <f ca="1">IFERROR(__xludf.DUMMYFUNCTION("""COMPUTED_VALUE"""),244.29)</f>
        <v>244.29</v>
      </c>
      <c r="Z1411" s="1">
        <f ca="1">IFERROR(__xludf.DUMMYFUNCTION("""COMPUTED_VALUE"""),744.69)</f>
        <v>744.69</v>
      </c>
      <c r="AA1411" s="1">
        <f ca="1">IFERROR(__xludf.DUMMYFUNCTION("""COMPUTED_VALUE"""),24.65)</f>
        <v>24.65</v>
      </c>
      <c r="AB1411" s="1">
        <f ca="1">IFERROR(__xludf.DUMMYFUNCTION("""COMPUTED_VALUE"""),94.18)</f>
        <v>94.18</v>
      </c>
      <c r="AC1411" s="1">
        <f ca="1">IFERROR(__xludf.DUMMYFUNCTION("""COMPUTED_VALUE"""),184.42)</f>
        <v>184.42</v>
      </c>
    </row>
    <row r="1412" spans="1:29" x14ac:dyDescent="0.25">
      <c r="A1412" s="2">
        <f ca="1">IFERROR(__xludf.DUMMYFUNCTION("""COMPUTED_VALUE"""),45882.6666666666)</f>
        <v>45882.666666666599</v>
      </c>
      <c r="B1412" s="1">
        <f ca="1">IFERROR(__xludf.DUMMYFUNCTION("""COMPUTED_VALUE"""),233.33)</f>
        <v>233.33</v>
      </c>
      <c r="C1412" s="1">
        <f ca="1">IFERROR(__xludf.DUMMYFUNCTION("""COMPUTED_VALUE"""),520.58)</f>
        <v>520.58000000000004</v>
      </c>
      <c r="D1412" s="1">
        <f ca="1">IFERROR(__xludf.DUMMYFUNCTION("""COMPUTED_VALUE"""),224.56)</f>
        <v>224.56</v>
      </c>
      <c r="E1412" s="1">
        <f ca="1">IFERROR(__xludf.DUMMYFUNCTION("""COMPUTED_VALUE"""),181.59)</f>
        <v>181.59</v>
      </c>
      <c r="F1412" s="1">
        <f ca="1">IFERROR(__xludf.DUMMYFUNCTION("""COMPUTED_VALUE"""),782.13)</f>
        <v>782.13</v>
      </c>
      <c r="G1412" s="1">
        <f ca="1">IFERROR(__xludf.DUMMYFUNCTION("""COMPUTED_VALUE"""),203.03)</f>
        <v>203.03</v>
      </c>
      <c r="H1412" s="1">
        <f ca="1">IFERROR(__xludf.DUMMYFUNCTION("""COMPUTED_VALUE"""),335.58)</f>
        <v>335.58</v>
      </c>
      <c r="I1412" s="1">
        <f ca="1">IFERROR(__xludf.DUMMYFUNCTION("""COMPUTED_VALUE"""),148.62)</f>
        <v>148.62</v>
      </c>
      <c r="J1412" s="1">
        <f ca="1">IFERROR(__xludf.DUMMYFUNCTION("""COMPUTED_VALUE"""),978.85)</f>
        <v>978.85</v>
      </c>
      <c r="K1412" s="1">
        <f ca="1">IFERROR(__xludf.DUMMYFUNCTION("""COMPUTED_VALUE"""),309.09)</f>
        <v>309.08999999999997</v>
      </c>
      <c r="L1412" s="1">
        <f ca="1">IFERROR(__xludf.DUMMYFUNCTION("""COMPUTED_VALUE"""),351.07)</f>
        <v>351.07</v>
      </c>
      <c r="M1412" s="1">
        <f ca="1">IFERROR(__xludf.DUMMYFUNCTION("""COMPUTED_VALUE"""),1204.44)</f>
        <v>1204.44</v>
      </c>
      <c r="N1412" s="1">
        <f ca="1">IFERROR(__xludf.DUMMYFUNCTION("""COMPUTED_VALUE"""),294.16)</f>
        <v>294.16000000000003</v>
      </c>
      <c r="O1412" s="1">
        <f ca="1">IFERROR(__xludf.DUMMYFUNCTION("""COMPUTED_VALUE"""),342.55)</f>
        <v>342.55</v>
      </c>
      <c r="P1412" s="1">
        <f ca="1">IFERROR(__xludf.DUMMYFUNCTION("""COMPUTED_VALUE"""),174.42)</f>
        <v>174.42</v>
      </c>
      <c r="Q1412" s="1">
        <f ca="1">IFERROR(__xludf.DUMMYFUNCTION("""COMPUTED_VALUE"""),271.81)</f>
        <v>271.81</v>
      </c>
      <c r="R1412" s="1">
        <f ca="1">IFERROR(__xludf.DUMMYFUNCTION("""COMPUTED_VALUE"""),107.6)</f>
        <v>107.6</v>
      </c>
      <c r="S1412" s="1">
        <f ca="1">IFERROR(__xludf.DUMMYFUNCTION("""COMPUTED_VALUE"""),72.3)</f>
        <v>72.3</v>
      </c>
      <c r="T1412" s="1">
        <f ca="1">IFERROR(__xludf.DUMMYFUNCTION("""COMPUTED_VALUE"""),100.85)</f>
        <v>100.85</v>
      </c>
      <c r="U1412" s="1">
        <f ca="1">IFERROR(__xludf.DUMMYFUNCTION("""COMPUTED_VALUE"""),76.39)</f>
        <v>76.39</v>
      </c>
      <c r="V1412" s="1">
        <f ca="1">IFERROR(__xludf.DUMMYFUNCTION("""COMPUTED_VALUE"""),413.7)</f>
        <v>413.7</v>
      </c>
      <c r="W1412" s="1">
        <f ca="1">IFERROR(__xludf.DUMMYFUNCTION("""COMPUTED_VALUE"""),442.57)</f>
        <v>442.57</v>
      </c>
      <c r="X1412" s="1">
        <f ca="1">IFERROR(__xludf.DUMMYFUNCTION("""COMPUTED_VALUE"""),755.57)</f>
        <v>755.57</v>
      </c>
      <c r="Y1412" s="1">
        <f ca="1">IFERROR(__xludf.DUMMYFUNCTION("""COMPUTED_VALUE"""),241.44)</f>
        <v>241.44</v>
      </c>
      <c r="Z1412" s="1">
        <f ca="1">IFERROR(__xludf.DUMMYFUNCTION("""COMPUTED_VALUE"""),747.2)</f>
        <v>747.2</v>
      </c>
      <c r="AA1412" s="1">
        <f ca="1">IFERROR(__xludf.DUMMYFUNCTION("""COMPUTED_VALUE"""),25.16)</f>
        <v>25.16</v>
      </c>
      <c r="AB1412" s="1">
        <f ca="1">IFERROR(__xludf.DUMMYFUNCTION("""COMPUTED_VALUE"""),93.06)</f>
        <v>93.06</v>
      </c>
      <c r="AC1412" s="1">
        <f ca="1">IFERROR(__xludf.DUMMYFUNCTION("""COMPUTED_VALUE"""),180.95)</f>
        <v>180.95</v>
      </c>
    </row>
    <row r="1413" spans="1:29" x14ac:dyDescent="0.25">
      <c r="A1413" s="2">
        <f ca="1">IFERROR(__xludf.DUMMYFUNCTION("""COMPUTED_VALUE"""),45883.6666666666)</f>
        <v>45883.666666666599</v>
      </c>
      <c r="B1413" s="1">
        <f ca="1">IFERROR(__xludf.DUMMYFUNCTION("""COMPUTED_VALUE"""),232.78)</f>
        <v>232.78</v>
      </c>
      <c r="C1413" s="1">
        <f ca="1">IFERROR(__xludf.DUMMYFUNCTION("""COMPUTED_VALUE"""),522.48)</f>
        <v>522.48</v>
      </c>
      <c r="D1413" s="1">
        <f ca="1">IFERROR(__xludf.DUMMYFUNCTION("""COMPUTED_VALUE"""),230.98)</f>
        <v>230.98</v>
      </c>
      <c r="E1413" s="1">
        <f ca="1">IFERROR(__xludf.DUMMYFUNCTION("""COMPUTED_VALUE"""),182.02)</f>
        <v>182.02</v>
      </c>
      <c r="F1413" s="1">
        <f ca="1">IFERROR(__xludf.DUMMYFUNCTION("""COMPUTED_VALUE"""),785.23)</f>
        <v>785.23</v>
      </c>
      <c r="G1413" s="1">
        <f ca="1">IFERROR(__xludf.DUMMYFUNCTION("""COMPUTED_VALUE"""),203.82)</f>
        <v>203.82</v>
      </c>
      <c r="H1413" s="1">
        <f ca="1">IFERROR(__xludf.DUMMYFUNCTION("""COMPUTED_VALUE"""),330.56)</f>
        <v>330.56</v>
      </c>
      <c r="I1413" s="1">
        <f ca="1">IFERROR(__xludf.DUMMYFUNCTION("""COMPUTED_VALUE"""),150.4)</f>
        <v>150.4</v>
      </c>
      <c r="J1413" s="1">
        <f ca="1">IFERROR(__xludf.DUMMYFUNCTION("""COMPUTED_VALUE"""),975.39)</f>
        <v>975.39</v>
      </c>
      <c r="K1413" s="1">
        <f ca="1">IFERROR(__xludf.DUMMYFUNCTION("""COMPUTED_VALUE"""),311.23)</f>
        <v>311.23</v>
      </c>
      <c r="L1413" s="1">
        <f ca="1">IFERROR(__xludf.DUMMYFUNCTION("""COMPUTED_VALUE"""),348.58)</f>
        <v>348.58</v>
      </c>
      <c r="M1413" s="1">
        <f ca="1">IFERROR(__xludf.DUMMYFUNCTION("""COMPUTED_VALUE"""),1230.56)</f>
        <v>1230.56</v>
      </c>
      <c r="N1413" s="1">
        <f ca="1">IFERROR(__xludf.DUMMYFUNCTION("""COMPUTED_VALUE"""),290.49)</f>
        <v>290.49</v>
      </c>
      <c r="O1413" s="1">
        <f ca="1">IFERROR(__xludf.DUMMYFUNCTION("""COMPUTED_VALUE"""),345.49)</f>
        <v>345.49</v>
      </c>
      <c r="P1413" s="1">
        <f ca="1">IFERROR(__xludf.DUMMYFUNCTION("""COMPUTED_VALUE"""),174.72)</f>
        <v>174.72</v>
      </c>
      <c r="Q1413" s="1">
        <f ca="1">IFERROR(__xludf.DUMMYFUNCTION("""COMPUTED_VALUE"""),271.49)</f>
        <v>271.49</v>
      </c>
      <c r="R1413" s="1">
        <f ca="1">IFERROR(__xludf.DUMMYFUNCTION("""COMPUTED_VALUE"""),107.38)</f>
        <v>107.38</v>
      </c>
      <c r="S1413" s="1">
        <f ca="1">IFERROR(__xludf.DUMMYFUNCTION("""COMPUTED_VALUE"""),72.24)</f>
        <v>72.239999999999995</v>
      </c>
      <c r="T1413" s="1">
        <f ca="1">IFERROR(__xludf.DUMMYFUNCTION("""COMPUTED_VALUE"""),100)</f>
        <v>100</v>
      </c>
      <c r="U1413" s="1">
        <f ca="1">IFERROR(__xludf.DUMMYFUNCTION("""COMPUTED_VALUE"""),76.97)</f>
        <v>76.97</v>
      </c>
      <c r="V1413" s="1">
        <f ca="1">IFERROR(__xludf.DUMMYFUNCTION("""COMPUTED_VALUE"""),417.5)</f>
        <v>417.5</v>
      </c>
      <c r="W1413" s="1">
        <f ca="1">IFERROR(__xludf.DUMMYFUNCTION("""COMPUTED_VALUE"""),437.32)</f>
        <v>437.32</v>
      </c>
      <c r="X1413" s="1">
        <f ca="1">IFERROR(__xludf.DUMMYFUNCTION("""COMPUTED_VALUE"""),755.21)</f>
        <v>755.21</v>
      </c>
      <c r="Y1413" s="1">
        <f ca="1">IFERROR(__xludf.DUMMYFUNCTION("""COMPUTED_VALUE"""),241)</f>
        <v>241</v>
      </c>
      <c r="Z1413" s="1">
        <f ca="1">IFERROR(__xludf.DUMMYFUNCTION("""COMPUTED_VALUE"""),730.72)</f>
        <v>730.72</v>
      </c>
      <c r="AA1413" s="1">
        <f ca="1">IFERROR(__xludf.DUMMYFUNCTION("""COMPUTED_VALUE"""),25.11)</f>
        <v>25.11</v>
      </c>
      <c r="AB1413" s="1">
        <f ca="1">IFERROR(__xludf.DUMMYFUNCTION("""COMPUTED_VALUE"""),90.6)</f>
        <v>90.6</v>
      </c>
      <c r="AC1413" s="1">
        <f ca="1">IFERROR(__xludf.DUMMYFUNCTION("""COMPUTED_VALUE"""),177.51)</f>
        <v>177.51</v>
      </c>
    </row>
    <row r="1414" spans="1:29" x14ac:dyDescent="0.25">
      <c r="A1414" s="2">
        <f ca="1">IFERROR(__xludf.DUMMYFUNCTION("""COMPUTED_VALUE"""),45884.6666666666)</f>
        <v>45884.666666666599</v>
      </c>
      <c r="B1414" s="1">
        <f ca="1">IFERROR(__xludf.DUMMYFUNCTION("""COMPUTED_VALUE"""),231.59)</f>
        <v>231.59</v>
      </c>
      <c r="C1414" s="1">
        <f ca="1">IFERROR(__xludf.DUMMYFUNCTION("""COMPUTED_VALUE"""),520.17)</f>
        <v>520.16999999999996</v>
      </c>
      <c r="D1414" s="1">
        <f ca="1">IFERROR(__xludf.DUMMYFUNCTION("""COMPUTED_VALUE"""),231.03)</f>
        <v>231.03</v>
      </c>
      <c r="E1414" s="1">
        <f ca="1">IFERROR(__xludf.DUMMYFUNCTION("""COMPUTED_VALUE"""),180.45)</f>
        <v>180.45</v>
      </c>
      <c r="F1414" s="1">
        <f ca="1">IFERROR(__xludf.DUMMYFUNCTION("""COMPUTED_VALUE"""),767.37)</f>
        <v>767.37</v>
      </c>
      <c r="G1414" s="1">
        <f ca="1">IFERROR(__xludf.DUMMYFUNCTION("""COMPUTED_VALUE"""),204.91)</f>
        <v>204.91</v>
      </c>
      <c r="H1414" s="1">
        <f ca="1">IFERROR(__xludf.DUMMYFUNCTION("""COMPUTED_VALUE"""),335.16)</f>
        <v>335.16</v>
      </c>
      <c r="I1414" s="1">
        <f ca="1">IFERROR(__xludf.DUMMYFUNCTION("""COMPUTED_VALUE"""),149.55)</f>
        <v>149.55000000000001</v>
      </c>
      <c r="J1414" s="1">
        <f ca="1">IFERROR(__xludf.DUMMYFUNCTION("""COMPUTED_VALUE"""),972.04)</f>
        <v>972.04</v>
      </c>
      <c r="K1414" s="1">
        <f ca="1">IFERROR(__xludf.DUMMYFUNCTION("""COMPUTED_VALUE"""),306.34)</f>
        <v>306.33999999999997</v>
      </c>
      <c r="L1414" s="1">
        <f ca="1">IFERROR(__xludf.DUMMYFUNCTION("""COMPUTED_VALUE"""),354.85)</f>
        <v>354.85</v>
      </c>
      <c r="M1414" s="1">
        <f ca="1">IFERROR(__xludf.DUMMYFUNCTION("""COMPUTED_VALUE"""),1238.95)</f>
        <v>1238.95</v>
      </c>
      <c r="N1414" s="1">
        <f ca="1">IFERROR(__xludf.DUMMYFUNCTION("""COMPUTED_VALUE"""),291.53)</f>
        <v>291.52999999999997</v>
      </c>
      <c r="O1414" s="1">
        <f ca="1">IFERROR(__xludf.DUMMYFUNCTION("""COMPUTED_VALUE"""),344.47)</f>
        <v>344.47</v>
      </c>
      <c r="P1414" s="1">
        <f ca="1">IFERROR(__xludf.DUMMYFUNCTION("""COMPUTED_VALUE"""),176.64)</f>
        <v>176.64</v>
      </c>
      <c r="Q1414" s="1">
        <f ca="1">IFERROR(__xludf.DUMMYFUNCTION("""COMPUTED_VALUE"""),304.01)</f>
        <v>304.01</v>
      </c>
      <c r="R1414" s="1">
        <f ca="1">IFERROR(__xludf.DUMMYFUNCTION("""COMPUTED_VALUE"""),106.49)</f>
        <v>106.49</v>
      </c>
      <c r="S1414" s="1">
        <f ca="1">IFERROR(__xludf.DUMMYFUNCTION("""COMPUTED_VALUE"""),75.41)</f>
        <v>75.41</v>
      </c>
      <c r="T1414" s="1">
        <f ca="1">IFERROR(__xludf.DUMMYFUNCTION("""COMPUTED_VALUE"""),100.7)</f>
        <v>100.7</v>
      </c>
      <c r="U1414" s="1">
        <f ca="1">IFERROR(__xludf.DUMMYFUNCTION("""COMPUTED_VALUE"""),77.43)</f>
        <v>77.430000000000007</v>
      </c>
      <c r="V1414" s="1">
        <f ca="1">IFERROR(__xludf.DUMMYFUNCTION("""COMPUTED_VALUE"""),407.79)</f>
        <v>407.79</v>
      </c>
      <c r="W1414" s="1">
        <f ca="1">IFERROR(__xludf.DUMMYFUNCTION("""COMPUTED_VALUE"""),437.56)</f>
        <v>437.56</v>
      </c>
      <c r="X1414" s="1">
        <f ca="1">IFERROR(__xludf.DUMMYFUNCTION("""COMPUTED_VALUE"""),742.16)</f>
        <v>742.16</v>
      </c>
      <c r="Y1414" s="1">
        <f ca="1">IFERROR(__xludf.DUMMYFUNCTION("""COMPUTED_VALUE"""),238.88)</f>
        <v>238.88</v>
      </c>
      <c r="Z1414" s="1">
        <f ca="1">IFERROR(__xludf.DUMMYFUNCTION("""COMPUTED_VALUE"""),730.96)</f>
        <v>730.96</v>
      </c>
      <c r="AA1414" s="1">
        <f ca="1">IFERROR(__xludf.DUMMYFUNCTION("""COMPUTED_VALUE"""),25.14)</f>
        <v>25.14</v>
      </c>
      <c r="AB1414" s="1">
        <f ca="1">IFERROR(__xludf.DUMMYFUNCTION("""COMPUTED_VALUE"""),92.54)</f>
        <v>92.54</v>
      </c>
      <c r="AC1414" s="1">
        <f ca="1">IFERROR(__xludf.DUMMYFUNCTION("""COMPUTED_VALUE"""),176.14)</f>
        <v>176.14</v>
      </c>
    </row>
    <row r="1415" spans="1:29" x14ac:dyDescent="0.25">
      <c r="A1415" s="2">
        <f ca="1">IFERROR(__xludf.DUMMYFUNCTION("""COMPUTED_VALUE"""),45887.6666666666)</f>
        <v>45887.666666666599</v>
      </c>
      <c r="B1415" s="1">
        <f ca="1">IFERROR(__xludf.DUMMYFUNCTION("""COMPUTED_VALUE"""),230.89)</f>
        <v>230.89</v>
      </c>
      <c r="C1415" s="1">
        <f ca="1">IFERROR(__xludf.DUMMYFUNCTION("""COMPUTED_VALUE"""),517.1)</f>
        <v>517.1</v>
      </c>
      <c r="D1415" s="1">
        <f ca="1">IFERROR(__xludf.DUMMYFUNCTION("""COMPUTED_VALUE"""),231.49)</f>
        <v>231.49</v>
      </c>
      <c r="E1415" s="1">
        <f ca="1">IFERROR(__xludf.DUMMYFUNCTION("""COMPUTED_VALUE"""),182.01)</f>
        <v>182.01</v>
      </c>
      <c r="F1415" s="1">
        <f ca="1">IFERROR(__xludf.DUMMYFUNCTION("""COMPUTED_VALUE"""),751.48)</f>
        <v>751.48</v>
      </c>
      <c r="G1415" s="1">
        <f ca="1">IFERROR(__xludf.DUMMYFUNCTION("""COMPUTED_VALUE"""),204.29)</f>
        <v>204.29</v>
      </c>
      <c r="H1415" s="1">
        <f ca="1">IFERROR(__xludf.DUMMYFUNCTION("""COMPUTED_VALUE"""),329.31)</f>
        <v>329.31</v>
      </c>
      <c r="I1415" s="1">
        <f ca="1">IFERROR(__xludf.DUMMYFUNCTION("""COMPUTED_VALUE"""),152.16)</f>
        <v>152.16</v>
      </c>
      <c r="J1415" s="1">
        <f ca="1">IFERROR(__xludf.DUMMYFUNCTION("""COMPUTED_VALUE"""),979.35)</f>
        <v>979.35</v>
      </c>
      <c r="K1415" s="1">
        <f ca="1">IFERROR(__xludf.DUMMYFUNCTION("""COMPUTED_VALUE"""),305.76)</f>
        <v>305.76</v>
      </c>
      <c r="L1415" s="1">
        <f ca="1">IFERROR(__xludf.DUMMYFUNCTION("""COMPUTED_VALUE"""),357.24)</f>
        <v>357.24</v>
      </c>
      <c r="M1415" s="1">
        <f ca="1">IFERROR(__xludf.DUMMYFUNCTION("""COMPUTED_VALUE"""),1245.09)</f>
        <v>1245.0899999999999</v>
      </c>
      <c r="N1415" s="1">
        <f ca="1">IFERROR(__xludf.DUMMYFUNCTION("""COMPUTED_VALUE"""),290.66)</f>
        <v>290.66000000000003</v>
      </c>
      <c r="O1415" s="1">
        <f ca="1">IFERROR(__xludf.DUMMYFUNCTION("""COMPUTED_VALUE"""),342.74)</f>
        <v>342.74</v>
      </c>
      <c r="P1415" s="1">
        <f ca="1">IFERROR(__xludf.DUMMYFUNCTION("""COMPUTED_VALUE"""),176.25)</f>
        <v>176.25</v>
      </c>
      <c r="Q1415" s="1">
        <f ca="1">IFERROR(__xludf.DUMMYFUNCTION("""COMPUTED_VALUE"""),308.49)</f>
        <v>308.49</v>
      </c>
      <c r="R1415" s="1">
        <f ca="1">IFERROR(__xludf.DUMMYFUNCTION("""COMPUTED_VALUE"""),106.72)</f>
        <v>106.72</v>
      </c>
      <c r="S1415" s="1">
        <f ca="1">IFERROR(__xludf.DUMMYFUNCTION("""COMPUTED_VALUE"""),75.72)</f>
        <v>75.72</v>
      </c>
      <c r="T1415" s="1">
        <f ca="1">IFERROR(__xludf.DUMMYFUNCTION("""COMPUTED_VALUE"""),101.29)</f>
        <v>101.29</v>
      </c>
      <c r="U1415" s="1">
        <f ca="1">IFERROR(__xludf.DUMMYFUNCTION("""COMPUTED_VALUE"""),76.88)</f>
        <v>76.88</v>
      </c>
      <c r="V1415" s="1">
        <f ca="1">IFERROR(__xludf.DUMMYFUNCTION("""COMPUTED_VALUE"""),412.64)</f>
        <v>412.64</v>
      </c>
      <c r="W1415" s="1">
        <f ca="1">IFERROR(__xludf.DUMMYFUNCTION("""COMPUTED_VALUE"""),440.64)</f>
        <v>440.64</v>
      </c>
      <c r="X1415" s="1">
        <f ca="1">IFERROR(__xludf.DUMMYFUNCTION("""COMPUTED_VALUE"""),747.55)</f>
        <v>747.55</v>
      </c>
      <c r="Y1415" s="1">
        <f ca="1">IFERROR(__xludf.DUMMYFUNCTION("""COMPUTED_VALUE"""),241.41)</f>
        <v>241.41</v>
      </c>
      <c r="Z1415" s="1">
        <f ca="1">IFERROR(__xludf.DUMMYFUNCTION("""COMPUTED_VALUE"""),721.38)</f>
        <v>721.38</v>
      </c>
      <c r="AA1415" s="1">
        <f ca="1">IFERROR(__xludf.DUMMYFUNCTION("""COMPUTED_VALUE"""),25.07)</f>
        <v>25.07</v>
      </c>
      <c r="AB1415" s="1">
        <f ca="1">IFERROR(__xludf.DUMMYFUNCTION("""COMPUTED_VALUE"""),90.93)</f>
        <v>90.93</v>
      </c>
      <c r="AC1415" s="1">
        <f ca="1">IFERROR(__xludf.DUMMYFUNCTION("""COMPUTED_VALUE"""),166.55)</f>
        <v>166.55</v>
      </c>
    </row>
    <row r="1416" spans="1:29" x14ac:dyDescent="0.25">
      <c r="A1416" s="2">
        <f ca="1">IFERROR(__xludf.DUMMYFUNCTION("""COMPUTED_VALUE"""),45888.6666666666)</f>
        <v>45888.666666666599</v>
      </c>
      <c r="B1416" s="1">
        <f ca="1">IFERROR(__xludf.DUMMYFUNCTION("""COMPUTED_VALUE"""),230.56)</f>
        <v>230.56</v>
      </c>
      <c r="C1416" s="1">
        <f ca="1">IFERROR(__xludf.DUMMYFUNCTION("""COMPUTED_VALUE"""),509.77)</f>
        <v>509.77</v>
      </c>
      <c r="D1416" s="1">
        <f ca="1">IFERROR(__xludf.DUMMYFUNCTION("""COMPUTED_VALUE"""),228.01)</f>
        <v>228.01</v>
      </c>
      <c r="E1416" s="1">
        <f ca="1">IFERROR(__xludf.DUMMYFUNCTION("""COMPUTED_VALUE"""),175.64)</f>
        <v>175.64</v>
      </c>
      <c r="F1416" s="1">
        <f ca="1">IFERROR(__xludf.DUMMYFUNCTION("""COMPUTED_VALUE"""),747.72)</f>
        <v>747.72</v>
      </c>
      <c r="G1416" s="1">
        <f ca="1">IFERROR(__xludf.DUMMYFUNCTION("""COMPUTED_VALUE"""),202.49)</f>
        <v>202.49</v>
      </c>
      <c r="H1416" s="1">
        <f ca="1">IFERROR(__xludf.DUMMYFUNCTION("""COMPUTED_VALUE"""),323.9)</f>
        <v>323.89999999999998</v>
      </c>
      <c r="I1416" s="1">
        <f ca="1">IFERROR(__xludf.DUMMYFUNCTION("""COMPUTED_VALUE"""),150.73)</f>
        <v>150.72999999999999</v>
      </c>
      <c r="J1416" s="1">
        <f ca="1">IFERROR(__xludf.DUMMYFUNCTION("""COMPUTED_VALUE"""),980.85)</f>
        <v>980.85</v>
      </c>
      <c r="K1416" s="1">
        <f ca="1">IFERROR(__xludf.DUMMYFUNCTION("""COMPUTED_VALUE"""),294.91)</f>
        <v>294.91000000000003</v>
      </c>
      <c r="L1416" s="1">
        <f ca="1">IFERROR(__xludf.DUMMYFUNCTION("""COMPUTED_VALUE"""),361.03)</f>
        <v>361.03</v>
      </c>
      <c r="M1416" s="1">
        <f ca="1">IFERROR(__xludf.DUMMYFUNCTION("""COMPUTED_VALUE"""),1214.15)</f>
        <v>1214.1500000000001</v>
      </c>
      <c r="N1416" s="1">
        <f ca="1">IFERROR(__xludf.DUMMYFUNCTION("""COMPUTED_VALUE"""),292.24)</f>
        <v>292.24</v>
      </c>
      <c r="O1416" s="1">
        <f ca="1">IFERROR(__xludf.DUMMYFUNCTION("""COMPUTED_VALUE"""),342.45)</f>
        <v>342.45</v>
      </c>
      <c r="P1416" s="1">
        <f ca="1">IFERROR(__xludf.DUMMYFUNCTION("""COMPUTED_VALUE"""),177.8)</f>
        <v>177.8</v>
      </c>
      <c r="Q1416" s="1">
        <f ca="1">IFERROR(__xludf.DUMMYFUNCTION("""COMPUTED_VALUE"""),304.24)</f>
        <v>304.24</v>
      </c>
      <c r="R1416" s="1">
        <f ca="1">IFERROR(__xludf.DUMMYFUNCTION("""COMPUTED_VALUE"""),107.42)</f>
        <v>107.42</v>
      </c>
      <c r="S1416" s="1">
        <f ca="1">IFERROR(__xludf.DUMMYFUNCTION("""COMPUTED_VALUE"""),76.51)</f>
        <v>76.510000000000005</v>
      </c>
      <c r="T1416" s="1">
        <f ca="1">IFERROR(__xludf.DUMMYFUNCTION("""COMPUTED_VALUE"""),102.57)</f>
        <v>102.57</v>
      </c>
      <c r="U1416" s="1">
        <f ca="1">IFERROR(__xludf.DUMMYFUNCTION("""COMPUTED_VALUE"""),76.26)</f>
        <v>76.260000000000005</v>
      </c>
      <c r="V1416" s="1">
        <f ca="1">IFERROR(__xludf.DUMMYFUNCTION("""COMPUTED_VALUE"""),416.09)</f>
        <v>416.09</v>
      </c>
      <c r="W1416" s="1">
        <f ca="1">IFERROR(__xludf.DUMMYFUNCTION("""COMPUTED_VALUE"""),441.1)</f>
        <v>441.1</v>
      </c>
      <c r="X1416" s="1">
        <f ca="1">IFERROR(__xludf.DUMMYFUNCTION("""COMPUTED_VALUE"""),743.61)</f>
        <v>743.61</v>
      </c>
      <c r="Y1416" s="1">
        <f ca="1">IFERROR(__xludf.DUMMYFUNCTION("""COMPUTED_VALUE"""),232.7)</f>
        <v>232.7</v>
      </c>
      <c r="Z1416" s="1">
        <f ca="1">IFERROR(__xludf.DUMMYFUNCTION("""COMPUTED_VALUE"""),720.68)</f>
        <v>720.68</v>
      </c>
      <c r="AA1416" s="1">
        <f ca="1">IFERROR(__xludf.DUMMYFUNCTION("""COMPUTED_VALUE"""),25.32)</f>
        <v>25.32</v>
      </c>
      <c r="AB1416" s="1">
        <f ca="1">IFERROR(__xludf.DUMMYFUNCTION("""COMPUTED_VALUE"""),89.51)</f>
        <v>89.51</v>
      </c>
      <c r="AC1416" s="1">
        <f ca="1">IFERROR(__xludf.DUMMYFUNCTION("""COMPUTED_VALUE"""),165.2)</f>
        <v>165.2</v>
      </c>
    </row>
    <row r="1417" spans="1:29" x14ac:dyDescent="0.25">
      <c r="A1417" s="2">
        <f ca="1">IFERROR(__xludf.DUMMYFUNCTION("""COMPUTED_VALUE"""),45889.6666666666)</f>
        <v>45889.666666666599</v>
      </c>
      <c r="B1417" s="1">
        <f ca="1">IFERROR(__xludf.DUMMYFUNCTION("""COMPUTED_VALUE"""),226.01)</f>
        <v>226.01</v>
      </c>
      <c r="C1417" s="1">
        <f ca="1">IFERROR(__xludf.DUMMYFUNCTION("""COMPUTED_VALUE"""),505.72)</f>
        <v>505.72</v>
      </c>
      <c r="D1417" s="1">
        <f ca="1">IFERROR(__xludf.DUMMYFUNCTION("""COMPUTED_VALUE"""),223.81)</f>
        <v>223.81</v>
      </c>
      <c r="E1417" s="1">
        <f ca="1">IFERROR(__xludf.DUMMYFUNCTION("""COMPUTED_VALUE"""),175.4)</f>
        <v>175.4</v>
      </c>
      <c r="F1417" s="1">
        <f ca="1">IFERROR(__xludf.DUMMYFUNCTION("""COMPUTED_VALUE"""),739.1)</f>
        <v>739.1</v>
      </c>
      <c r="G1417" s="1">
        <f ca="1">IFERROR(__xludf.DUMMYFUNCTION("""COMPUTED_VALUE"""),200.19)</f>
        <v>200.19</v>
      </c>
      <c r="H1417" s="1">
        <f ca="1">IFERROR(__xludf.DUMMYFUNCTION("""COMPUTED_VALUE"""),320.11)</f>
        <v>320.11</v>
      </c>
      <c r="I1417" s="1">
        <f ca="1">IFERROR(__xludf.DUMMYFUNCTION("""COMPUTED_VALUE"""),148.98)</f>
        <v>148.97999999999999</v>
      </c>
      <c r="J1417" s="1">
        <f ca="1">IFERROR(__xludf.DUMMYFUNCTION("""COMPUTED_VALUE"""),994.57)</f>
        <v>994.57</v>
      </c>
      <c r="K1417" s="1">
        <f ca="1">IFERROR(__xludf.DUMMYFUNCTION("""COMPUTED_VALUE"""),291.17)</f>
        <v>291.17</v>
      </c>
      <c r="L1417" s="1">
        <f ca="1">IFERROR(__xludf.DUMMYFUNCTION("""COMPUTED_VALUE"""),353.43)</f>
        <v>353.43</v>
      </c>
      <c r="M1417" s="1">
        <f ca="1">IFERROR(__xludf.DUMMYFUNCTION("""COMPUTED_VALUE"""),1213.86)</f>
        <v>1213.8599999999999</v>
      </c>
      <c r="N1417" s="1">
        <f ca="1">IFERROR(__xludf.DUMMYFUNCTION("""COMPUTED_VALUE"""),291.47)</f>
        <v>291.47000000000003</v>
      </c>
      <c r="O1417" s="1">
        <f ca="1">IFERROR(__xludf.DUMMYFUNCTION("""COMPUTED_VALUE"""),343.93)</f>
        <v>343.93</v>
      </c>
      <c r="P1417" s="1">
        <f ca="1">IFERROR(__xludf.DUMMYFUNCTION("""COMPUTED_VALUE"""),178.84)</f>
        <v>178.84</v>
      </c>
      <c r="Q1417" s="1">
        <f ca="1">IFERROR(__xludf.DUMMYFUNCTION("""COMPUTED_VALUE"""),299.84)</f>
        <v>299.83999999999997</v>
      </c>
      <c r="R1417" s="1">
        <f ca="1">IFERROR(__xludf.DUMMYFUNCTION("""COMPUTED_VALUE"""),108.53)</f>
        <v>108.53</v>
      </c>
      <c r="S1417" s="1">
        <f ca="1">IFERROR(__xludf.DUMMYFUNCTION("""COMPUTED_VALUE"""),76.18)</f>
        <v>76.180000000000007</v>
      </c>
      <c r="T1417" s="1">
        <f ca="1">IFERROR(__xludf.DUMMYFUNCTION("""COMPUTED_VALUE"""),97.96)</f>
        <v>97.96</v>
      </c>
      <c r="U1417" s="1">
        <f ca="1">IFERROR(__xludf.DUMMYFUNCTION("""COMPUTED_VALUE"""),76.18)</f>
        <v>76.180000000000007</v>
      </c>
      <c r="V1417" s="1">
        <f ca="1">IFERROR(__xludf.DUMMYFUNCTION("""COMPUTED_VALUE"""),420.59)</f>
        <v>420.59</v>
      </c>
      <c r="W1417" s="1">
        <f ca="1">IFERROR(__xludf.DUMMYFUNCTION("""COMPUTED_VALUE"""),446)</f>
        <v>446</v>
      </c>
      <c r="X1417" s="1">
        <f ca="1">IFERROR(__xludf.DUMMYFUNCTION("""COMPUTED_VALUE"""),749.49)</f>
        <v>749.49</v>
      </c>
      <c r="Y1417" s="1">
        <f ca="1">IFERROR(__xludf.DUMMYFUNCTION("""COMPUTED_VALUE"""),228.6)</f>
        <v>228.6</v>
      </c>
      <c r="Z1417" s="1">
        <f ca="1">IFERROR(__xludf.DUMMYFUNCTION("""COMPUTED_VALUE"""),715.95)</f>
        <v>715.95</v>
      </c>
      <c r="AA1417" s="1">
        <f ca="1">IFERROR(__xludf.DUMMYFUNCTION("""COMPUTED_VALUE"""),25.38)</f>
        <v>25.38</v>
      </c>
      <c r="AB1417" s="1">
        <f ca="1">IFERROR(__xludf.DUMMYFUNCTION("""COMPUTED_VALUE"""),88.56)</f>
        <v>88.56</v>
      </c>
      <c r="AC1417" s="1">
        <f ca="1">IFERROR(__xludf.DUMMYFUNCTION("""COMPUTED_VALUE"""),163.71)</f>
        <v>163.71</v>
      </c>
    </row>
    <row r="1418" spans="1:29" x14ac:dyDescent="0.25">
      <c r="A1418" s="2">
        <f ca="1">IFERROR(__xludf.DUMMYFUNCTION("""COMPUTED_VALUE"""),45890.6666666666)</f>
        <v>45890.666666666599</v>
      </c>
      <c r="B1418" s="1">
        <f ca="1">IFERROR(__xludf.DUMMYFUNCTION("""COMPUTED_VALUE"""),224.9)</f>
        <v>224.9</v>
      </c>
      <c r="C1418" s="1">
        <f ca="1">IFERROR(__xludf.DUMMYFUNCTION("""COMPUTED_VALUE"""),504.24)</f>
        <v>504.24</v>
      </c>
      <c r="D1418" s="1">
        <f ca="1">IFERROR(__xludf.DUMMYFUNCTION("""COMPUTED_VALUE"""),221.95)</f>
        <v>221.95</v>
      </c>
      <c r="E1418" s="1">
        <f ca="1">IFERROR(__xludf.DUMMYFUNCTION("""COMPUTED_VALUE"""),174.98)</f>
        <v>174.98</v>
      </c>
      <c r="F1418" s="1">
        <f ca="1">IFERROR(__xludf.DUMMYFUNCTION("""COMPUTED_VALUE"""),754.79)</f>
        <v>754.79</v>
      </c>
      <c r="G1418" s="1">
        <f ca="1">IFERROR(__xludf.DUMMYFUNCTION("""COMPUTED_VALUE"""),200.62)</f>
        <v>200.62</v>
      </c>
      <c r="H1418" s="1">
        <f ca="1">IFERROR(__xludf.DUMMYFUNCTION("""COMPUTED_VALUE"""),340.01)</f>
        <v>340.01</v>
      </c>
      <c r="I1418" s="1">
        <f ca="1">IFERROR(__xludf.DUMMYFUNCTION("""COMPUTED_VALUE"""),149.64)</f>
        <v>149.63999999999999</v>
      </c>
      <c r="J1418" s="1">
        <f ca="1">IFERROR(__xludf.DUMMYFUNCTION("""COMPUTED_VALUE"""),969.68)</f>
        <v>969.68</v>
      </c>
      <c r="K1418" s="1">
        <f ca="1">IFERROR(__xludf.DUMMYFUNCTION("""COMPUTED_VALUE"""),289.6)</f>
        <v>289.60000000000002</v>
      </c>
      <c r="L1418" s="1">
        <f ca="1">IFERROR(__xludf.DUMMYFUNCTION("""COMPUTED_VALUE"""),353.43)</f>
        <v>353.43</v>
      </c>
      <c r="M1418" s="1">
        <f ca="1">IFERROR(__xludf.DUMMYFUNCTION("""COMPUTED_VALUE"""),1206.21)</f>
        <v>1206.21</v>
      </c>
      <c r="N1418" s="1">
        <f ca="1">IFERROR(__xludf.DUMMYFUNCTION("""COMPUTED_VALUE"""),296.24)</f>
        <v>296.24</v>
      </c>
      <c r="O1418" s="1">
        <f ca="1">IFERROR(__xludf.DUMMYFUNCTION("""COMPUTED_VALUE"""),343.69)</f>
        <v>343.69</v>
      </c>
      <c r="P1418" s="1">
        <f ca="1">IFERROR(__xludf.DUMMYFUNCTION("""COMPUTED_VALUE"""),178.93)</f>
        <v>178.93</v>
      </c>
      <c r="Q1418" s="1">
        <f ca="1">IFERROR(__xludf.DUMMYFUNCTION("""COMPUTED_VALUE"""),303.35)</f>
        <v>303.35000000000002</v>
      </c>
      <c r="R1418" s="1">
        <f ca="1">IFERROR(__xludf.DUMMYFUNCTION("""COMPUTED_VALUE"""),109.23)</f>
        <v>109.23</v>
      </c>
      <c r="S1418" s="1">
        <f ca="1">IFERROR(__xludf.DUMMYFUNCTION("""COMPUTED_VALUE"""),76.08)</f>
        <v>76.08</v>
      </c>
      <c r="T1418" s="1">
        <f ca="1">IFERROR(__xludf.DUMMYFUNCTION("""COMPUTED_VALUE"""),96.83)</f>
        <v>96.83</v>
      </c>
      <c r="U1418" s="1">
        <f ca="1">IFERROR(__xludf.DUMMYFUNCTION("""COMPUTED_VALUE"""),78.38)</f>
        <v>78.38</v>
      </c>
      <c r="V1418" s="1">
        <f ca="1">IFERROR(__xludf.DUMMYFUNCTION("""COMPUTED_VALUE"""),417.89)</f>
        <v>417.89</v>
      </c>
      <c r="W1418" s="1">
        <f ca="1">IFERROR(__xludf.DUMMYFUNCTION("""COMPUTED_VALUE"""),447.2)</f>
        <v>447.2</v>
      </c>
      <c r="X1418" s="1">
        <f ca="1">IFERROR(__xludf.DUMMYFUNCTION("""COMPUTED_VALUE"""),735.4)</f>
        <v>735.4</v>
      </c>
      <c r="Y1418" s="1">
        <f ca="1">IFERROR(__xludf.DUMMYFUNCTION("""COMPUTED_VALUE"""),227.33)</f>
        <v>227.33</v>
      </c>
      <c r="Z1418" s="1">
        <f ca="1">IFERROR(__xludf.DUMMYFUNCTION("""COMPUTED_VALUE"""),741.89)</f>
        <v>741.89</v>
      </c>
      <c r="AA1418" s="1">
        <f ca="1">IFERROR(__xludf.DUMMYFUNCTION("""COMPUTED_VALUE"""),25.74)</f>
        <v>25.74</v>
      </c>
      <c r="AB1418" s="1">
        <f ca="1">IFERROR(__xludf.DUMMYFUNCTION("""COMPUTED_VALUE"""),88.38)</f>
        <v>88.38</v>
      </c>
      <c r="AC1418" s="1">
        <f ca="1">IFERROR(__xludf.DUMMYFUNCTION("""COMPUTED_VALUE"""),167.76)</f>
        <v>167.76</v>
      </c>
    </row>
    <row r="1419" spans="1:29" x14ac:dyDescent="0.25">
      <c r="A1419" s="2">
        <f ca="1">IFERROR(__xludf.DUMMYFUNCTION("""COMPUTED_VALUE"""),45891.6666666666)</f>
        <v>45891.666666666599</v>
      </c>
      <c r="B1419" s="1">
        <f ca="1">IFERROR(__xludf.DUMMYFUNCTION("""COMPUTED_VALUE"""),227.76)</f>
        <v>227.76</v>
      </c>
      <c r="C1419" s="1">
        <f ca="1">IFERROR(__xludf.DUMMYFUNCTION("""COMPUTED_VALUE"""),507.23)</f>
        <v>507.23</v>
      </c>
      <c r="D1419" s="1">
        <f ca="1">IFERROR(__xludf.DUMMYFUNCTION("""COMPUTED_VALUE"""),228.84)</f>
        <v>228.84</v>
      </c>
      <c r="E1419" s="1">
        <f ca="1">IFERROR(__xludf.DUMMYFUNCTION("""COMPUTED_VALUE"""),177.99)</f>
        <v>177.99</v>
      </c>
      <c r="F1419" s="1">
        <f ca="1">IFERROR(__xludf.DUMMYFUNCTION("""COMPUTED_VALUE"""),753.3)</f>
        <v>753.3</v>
      </c>
      <c r="G1419" s="1">
        <f ca="1">IFERROR(__xludf.DUMMYFUNCTION("""COMPUTED_VALUE"""),206.72)</f>
        <v>206.72</v>
      </c>
      <c r="H1419" s="1">
        <f ca="1">IFERROR(__xludf.DUMMYFUNCTION("""COMPUTED_VALUE"""),346.6)</f>
        <v>346.6</v>
      </c>
      <c r="I1419" s="1">
        <f ca="1">IFERROR(__xludf.DUMMYFUNCTION("""COMPUTED_VALUE"""),148.2)</f>
        <v>148.19999999999999</v>
      </c>
      <c r="J1419" s="1">
        <f ca="1">IFERROR(__xludf.DUMMYFUNCTION("""COMPUTED_VALUE"""),958.54)</f>
        <v>958.54</v>
      </c>
      <c r="K1419" s="1">
        <f ca="1">IFERROR(__xludf.DUMMYFUNCTION("""COMPUTED_VALUE"""),294)</f>
        <v>294</v>
      </c>
      <c r="L1419" s="1">
        <f ca="1">IFERROR(__xludf.DUMMYFUNCTION("""COMPUTED_VALUE"""),362.09)</f>
        <v>362.09</v>
      </c>
      <c r="M1419" s="1">
        <f ca="1">IFERROR(__xludf.DUMMYFUNCTION("""COMPUTED_VALUE"""),1204.65)</f>
        <v>1204.6500000000001</v>
      </c>
      <c r="N1419" s="1">
        <f ca="1">IFERROR(__xludf.DUMMYFUNCTION("""COMPUTED_VALUE"""),294.9)</f>
        <v>294.89999999999998</v>
      </c>
      <c r="O1419" s="1">
        <f ca="1">IFERROR(__xludf.DUMMYFUNCTION("""COMPUTED_VALUE"""),350.04)</f>
        <v>350.04</v>
      </c>
      <c r="P1419" s="1">
        <f ca="1">IFERROR(__xludf.DUMMYFUNCTION("""COMPUTED_VALUE"""),179.29)</f>
        <v>179.29</v>
      </c>
      <c r="Q1419" s="1">
        <f ca="1">IFERROR(__xludf.DUMMYFUNCTION("""COMPUTED_VALUE"""),307.42)</f>
        <v>307.42</v>
      </c>
      <c r="R1419" s="1">
        <f ca="1">IFERROR(__xludf.DUMMYFUNCTION("""COMPUTED_VALUE"""),111.28)</f>
        <v>111.28</v>
      </c>
      <c r="S1419" s="1">
        <f ca="1">IFERROR(__xludf.DUMMYFUNCTION("""COMPUTED_VALUE"""),76.32)</f>
        <v>76.319999999999993</v>
      </c>
      <c r="T1419" s="1">
        <f ca="1">IFERROR(__xludf.DUMMYFUNCTION("""COMPUTED_VALUE"""),96.07)</f>
        <v>96.07</v>
      </c>
      <c r="U1419" s="1">
        <f ca="1">IFERROR(__xludf.DUMMYFUNCTION("""COMPUTED_VALUE"""),79.17)</f>
        <v>79.17</v>
      </c>
      <c r="V1419" s="1">
        <f ca="1">IFERROR(__xludf.DUMMYFUNCTION("""COMPUTED_VALUE"""),435.67)</f>
        <v>435.67</v>
      </c>
      <c r="W1419" s="1">
        <f ca="1">IFERROR(__xludf.DUMMYFUNCTION("""COMPUTED_VALUE"""),446.2)</f>
        <v>446.2</v>
      </c>
      <c r="X1419" s="1">
        <f ca="1">IFERROR(__xludf.DUMMYFUNCTION("""COMPUTED_VALUE"""),754.89)</f>
        <v>754.89</v>
      </c>
      <c r="Y1419" s="1">
        <f ca="1">IFERROR(__xludf.DUMMYFUNCTION("""COMPUTED_VALUE"""),232.99)</f>
        <v>232.99</v>
      </c>
      <c r="Z1419" s="1">
        <f ca="1">IFERROR(__xludf.DUMMYFUNCTION("""COMPUTED_VALUE"""),738.79)</f>
        <v>738.79</v>
      </c>
      <c r="AA1419" s="1">
        <f ca="1">IFERROR(__xludf.DUMMYFUNCTION("""COMPUTED_VALUE"""),25.88)</f>
        <v>25.88</v>
      </c>
      <c r="AB1419" s="1">
        <f ca="1">IFERROR(__xludf.DUMMYFUNCTION("""COMPUTED_VALUE"""),85.81)</f>
        <v>85.81</v>
      </c>
      <c r="AC1419" s="1">
        <f ca="1">IFERROR(__xludf.DUMMYFUNCTION("""COMPUTED_VALUE"""),163.36)</f>
        <v>163.36000000000001</v>
      </c>
    </row>
    <row r="1420" spans="1:29" x14ac:dyDescent="0.25">
      <c r="A1420" s="2">
        <f ca="1">IFERROR(__xludf.DUMMYFUNCTION("""COMPUTED_VALUE"""),45897.6666666666)</f>
        <v>45897.666666666599</v>
      </c>
      <c r="B1420" s="1">
        <f ca="1">IFERROR(__xludf.DUMMYFUNCTION("""COMPUTED_VALUE"""),232.56)</f>
        <v>232.56</v>
      </c>
      <c r="C1420" s="1">
        <f ca="1">IFERROR(__xludf.DUMMYFUNCTION("""COMPUTED_VALUE"""),509.64)</f>
        <v>509.64</v>
      </c>
      <c r="D1420" s="1">
        <f ca="1">IFERROR(__xludf.DUMMYFUNCTION("""COMPUTED_VALUE"""),227.94)</f>
        <v>227.94</v>
      </c>
      <c r="E1420" s="1">
        <f ca="1">IFERROR(__xludf.DUMMYFUNCTION("""COMPUTED_VALUE"""),179.81)</f>
        <v>179.81</v>
      </c>
      <c r="F1420" s="1">
        <f ca="1">IFERROR(__xludf.DUMMYFUNCTION("""COMPUTED_VALUE"""),754.1)</f>
        <v>754.1</v>
      </c>
      <c r="G1420" s="1">
        <f ca="1">IFERROR(__xludf.DUMMYFUNCTION("""COMPUTED_VALUE"""),209.16)</f>
        <v>209.16</v>
      </c>
      <c r="H1420" s="1">
        <f ca="1">IFERROR(__xludf.DUMMYFUNCTION("""COMPUTED_VALUE"""),351.67)</f>
        <v>351.67</v>
      </c>
      <c r="I1420" s="1">
        <f ca="1">IFERROR(__xludf.DUMMYFUNCTION("""COMPUTED_VALUE"""),147)</f>
        <v>147</v>
      </c>
      <c r="J1420" s="1">
        <f ca="1">IFERROR(__xludf.DUMMYFUNCTION("""COMPUTED_VALUE"""),941.58)</f>
        <v>941.58</v>
      </c>
      <c r="K1420" s="1">
        <f ca="1">IFERROR(__xludf.DUMMYFUNCTION("""COMPUTED_VALUE"""),294.23)</f>
        <v>294.23</v>
      </c>
      <c r="L1420" s="1">
        <f ca="1">IFERROR(__xludf.DUMMYFUNCTION("""COMPUTED_VALUE"""),353.96)</f>
        <v>353.96</v>
      </c>
      <c r="M1420" s="1">
        <f ca="1">IFERROR(__xludf.DUMMYFUNCTION("""COMPUTED_VALUE"""),1218.07)</f>
        <v>1218.07</v>
      </c>
      <c r="N1420" s="1">
        <f ca="1">IFERROR(__xludf.DUMMYFUNCTION("""COMPUTED_VALUE"""),298.57)</f>
        <v>298.57</v>
      </c>
      <c r="O1420" s="1">
        <f ca="1">IFERROR(__xludf.DUMMYFUNCTION("""COMPUTED_VALUE"""),349.86)</f>
        <v>349.86</v>
      </c>
      <c r="P1420" s="1">
        <f ca="1">IFERROR(__xludf.DUMMYFUNCTION("""COMPUTED_VALUE"""),178.41)</f>
        <v>178.41</v>
      </c>
      <c r="Q1420" s="1">
        <f ca="1">IFERROR(__xludf.DUMMYFUNCTION("""COMPUTED_VALUE"""),304.86)</f>
        <v>304.86</v>
      </c>
      <c r="R1420" s="1">
        <f ca="1">IFERROR(__xludf.DUMMYFUNCTION("""COMPUTED_VALUE"""),111.74)</f>
        <v>111.74</v>
      </c>
      <c r="S1420" s="1">
        <f ca="1">IFERROR(__xludf.DUMMYFUNCTION("""COMPUTED_VALUE"""),75.32)</f>
        <v>75.319999999999993</v>
      </c>
      <c r="T1420" s="1">
        <f ca="1">IFERROR(__xludf.DUMMYFUNCTION("""COMPUTED_VALUE"""),96.05)</f>
        <v>96.05</v>
      </c>
      <c r="U1420" s="1">
        <f ca="1">IFERROR(__xludf.DUMMYFUNCTION("""COMPUTED_VALUE"""),78.65)</f>
        <v>78.650000000000006</v>
      </c>
      <c r="V1420" s="1">
        <f ca="1">IFERROR(__xludf.DUMMYFUNCTION("""COMPUTED_VALUE"""),432.3)</f>
        <v>432.3</v>
      </c>
      <c r="W1420" s="1">
        <f ca="1">IFERROR(__xludf.DUMMYFUNCTION("""COMPUTED_VALUE"""),456.18)</f>
        <v>456.18</v>
      </c>
      <c r="X1420" s="1">
        <f ca="1">IFERROR(__xludf.DUMMYFUNCTION("""COMPUTED_VALUE"""),754.46)</f>
        <v>754.46</v>
      </c>
      <c r="Y1420" s="1">
        <f ca="1">IFERROR(__xludf.DUMMYFUNCTION("""COMPUTED_VALUE"""),235.59)</f>
        <v>235.59</v>
      </c>
      <c r="Z1420" s="1">
        <f ca="1">IFERROR(__xludf.DUMMYFUNCTION("""COMPUTED_VALUE"""),748.95)</f>
        <v>748.95</v>
      </c>
      <c r="AA1420" s="1">
        <f ca="1">IFERROR(__xludf.DUMMYFUNCTION("""COMPUTED_VALUE"""),25.14)</f>
        <v>25.14</v>
      </c>
      <c r="AB1420" s="1">
        <f ca="1">IFERROR(__xludf.DUMMYFUNCTION("""COMPUTED_VALUE"""),86.63)</f>
        <v>86.63</v>
      </c>
      <c r="AC1420" s="1">
        <f ca="1">IFERROR(__xludf.DUMMYFUNCTION("""COMPUTED_VALUE"""),166.62)</f>
        <v>166.62</v>
      </c>
    </row>
    <row r="1421" spans="1:29" x14ac:dyDescent="0.25">
      <c r="A1421" s="2">
        <f ca="1">IFERROR(__xludf.DUMMYFUNCTION("""COMPUTED_VALUE"""),45898.6666666666)</f>
        <v>45898.666666666599</v>
      </c>
      <c r="B1421" s="1">
        <f ca="1">IFERROR(__xludf.DUMMYFUNCTION("""COMPUTED_VALUE"""),232.14)</f>
        <v>232.14</v>
      </c>
      <c r="C1421" s="1">
        <f ca="1">IFERROR(__xludf.DUMMYFUNCTION("""COMPUTED_VALUE"""),506.69)</f>
        <v>506.69</v>
      </c>
      <c r="D1421" s="1">
        <f ca="1">IFERROR(__xludf.DUMMYFUNCTION("""COMPUTED_VALUE"""),228.71)</f>
        <v>228.71</v>
      </c>
      <c r="E1421" s="1">
        <f ca="1">IFERROR(__xludf.DUMMYFUNCTION("""COMPUTED_VALUE"""),181.77)</f>
        <v>181.77</v>
      </c>
      <c r="F1421" s="1">
        <f ca="1">IFERROR(__xludf.DUMMYFUNCTION("""COMPUTED_VALUE"""),747.38)</f>
        <v>747.38</v>
      </c>
      <c r="G1421" s="1">
        <f ca="1">IFERROR(__xludf.DUMMYFUNCTION("""COMPUTED_VALUE"""),207.95)</f>
        <v>207.95</v>
      </c>
      <c r="H1421" s="1">
        <f ca="1">IFERROR(__xludf.DUMMYFUNCTION("""COMPUTED_VALUE"""),349.6)</f>
        <v>349.6</v>
      </c>
      <c r="I1421" s="1">
        <f ca="1">IFERROR(__xludf.DUMMYFUNCTION("""COMPUTED_VALUE"""),147.64)</f>
        <v>147.63999999999999</v>
      </c>
      <c r="J1421" s="1">
        <f ca="1">IFERROR(__xludf.DUMMYFUNCTION("""COMPUTED_VALUE"""),941.34)</f>
        <v>941.34</v>
      </c>
      <c r="K1421" s="1">
        <f ca="1">IFERROR(__xludf.DUMMYFUNCTION("""COMPUTED_VALUE"""),298.01)</f>
        <v>298.01</v>
      </c>
      <c r="L1421" s="1">
        <f ca="1">IFERROR(__xludf.DUMMYFUNCTION("""COMPUTED_VALUE"""),356.7)</f>
        <v>356.7</v>
      </c>
      <c r="M1421" s="1">
        <f ca="1">IFERROR(__xludf.DUMMYFUNCTION("""COMPUTED_VALUE"""),1226.09)</f>
        <v>1226.0899999999999</v>
      </c>
      <c r="N1421" s="1">
        <f ca="1">IFERROR(__xludf.DUMMYFUNCTION("""COMPUTED_VALUE"""),299.28)</f>
        <v>299.27999999999997</v>
      </c>
      <c r="O1421" s="1">
        <f ca="1">IFERROR(__xludf.DUMMYFUNCTION("""COMPUTED_VALUE"""),351.78)</f>
        <v>351.78</v>
      </c>
      <c r="P1421" s="1">
        <f ca="1">IFERROR(__xludf.DUMMYFUNCTION("""COMPUTED_VALUE"""),176.49)</f>
        <v>176.49</v>
      </c>
      <c r="Q1421" s="1">
        <f ca="1">IFERROR(__xludf.DUMMYFUNCTION("""COMPUTED_VALUE"""),300.43)</f>
        <v>300.43</v>
      </c>
      <c r="R1421" s="1">
        <f ca="1">IFERROR(__xludf.DUMMYFUNCTION("""COMPUTED_VALUE"""),111.49)</f>
        <v>111.49</v>
      </c>
      <c r="S1421" s="1">
        <f ca="1">IFERROR(__xludf.DUMMYFUNCTION("""COMPUTED_VALUE"""),74.84)</f>
        <v>74.84</v>
      </c>
      <c r="T1421" s="1">
        <f ca="1">IFERROR(__xludf.DUMMYFUNCTION("""COMPUTED_VALUE"""),96.08)</f>
        <v>96.08</v>
      </c>
      <c r="U1421" s="1">
        <f ca="1">IFERROR(__xludf.DUMMYFUNCTION("""COMPUTED_VALUE"""),78.06)</f>
        <v>78.06</v>
      </c>
      <c r="V1421" s="1">
        <f ca="1">IFERROR(__xludf.DUMMYFUNCTION("""COMPUTED_VALUE"""),431.26)</f>
        <v>431.26</v>
      </c>
      <c r="W1421" s="1">
        <f ca="1">IFERROR(__xludf.DUMMYFUNCTION("""COMPUTED_VALUE"""),455.63)</f>
        <v>455.63</v>
      </c>
      <c r="X1421" s="1">
        <f ca="1">IFERROR(__xludf.DUMMYFUNCTION("""COMPUTED_VALUE"""),763.2)</f>
        <v>763.2</v>
      </c>
      <c r="Y1421" s="1">
        <f ca="1">IFERROR(__xludf.DUMMYFUNCTION("""COMPUTED_VALUE"""),238.72)</f>
        <v>238.72</v>
      </c>
      <c r="Z1421" s="1">
        <f ca="1">IFERROR(__xludf.DUMMYFUNCTION("""COMPUTED_VALUE"""),749.67)</f>
        <v>749.67</v>
      </c>
      <c r="AA1421" s="1">
        <f ca="1">IFERROR(__xludf.DUMMYFUNCTION("""COMPUTED_VALUE"""),24.92)</f>
        <v>24.92</v>
      </c>
      <c r="AB1421" s="1">
        <f ca="1">IFERROR(__xludf.DUMMYFUNCTION("""COMPUTED_VALUE"""),87.66)</f>
        <v>87.66</v>
      </c>
      <c r="AC1421" s="1">
        <f ca="1">IFERROR(__xludf.DUMMYFUNCTION("""COMPUTED_VALUE"""),167.13)</f>
        <v>167.13</v>
      </c>
    </row>
    <row r="1422" spans="1:29" x14ac:dyDescent="0.25">
      <c r="A1422" s="2">
        <f ca="1">IFERROR(__xludf.DUMMYFUNCTION("""COMPUTED_VALUE"""),45902.6666666666)</f>
        <v>45902.666666666599</v>
      </c>
      <c r="B1422" s="1">
        <f ca="1">IFERROR(__xludf.DUMMYFUNCTION("""COMPUTED_VALUE"""),229.72)</f>
        <v>229.72</v>
      </c>
      <c r="C1422" s="1">
        <f ca="1">IFERROR(__xludf.DUMMYFUNCTION("""COMPUTED_VALUE"""),505.12)</f>
        <v>505.12</v>
      </c>
      <c r="D1422" s="1">
        <f ca="1">IFERROR(__xludf.DUMMYFUNCTION("""COMPUTED_VALUE"""),229.12)</f>
        <v>229.12</v>
      </c>
      <c r="E1422" s="1">
        <f ca="1">IFERROR(__xludf.DUMMYFUNCTION("""COMPUTED_VALUE"""),181.6)</f>
        <v>181.6</v>
      </c>
      <c r="F1422" s="1">
        <f ca="1">IFERROR(__xludf.DUMMYFUNCTION("""COMPUTED_VALUE"""),751.11)</f>
        <v>751.11</v>
      </c>
      <c r="G1422" s="1">
        <f ca="1">IFERROR(__xludf.DUMMYFUNCTION("""COMPUTED_VALUE"""),208.21)</f>
        <v>208.21</v>
      </c>
      <c r="H1422" s="1">
        <f ca="1">IFERROR(__xludf.DUMMYFUNCTION("""COMPUTED_VALUE"""),345.98)</f>
        <v>345.98</v>
      </c>
      <c r="I1422" s="1">
        <f ca="1">IFERROR(__xludf.DUMMYFUNCTION("""COMPUTED_VALUE"""),146.98)</f>
        <v>146.97999999999999</v>
      </c>
      <c r="J1422" s="1">
        <f ca="1">IFERROR(__xludf.DUMMYFUNCTION("""COMPUTED_VALUE"""),949.52)</f>
        <v>949.52</v>
      </c>
      <c r="K1422" s="1">
        <f ca="1">IFERROR(__xludf.DUMMYFUNCTION("""COMPUTED_VALUE"""),300.25)</f>
        <v>300.25</v>
      </c>
      <c r="L1422" s="1">
        <f ca="1">IFERROR(__xludf.DUMMYFUNCTION("""COMPUTED_VALUE"""),345.63)</f>
        <v>345.63</v>
      </c>
      <c r="M1422" s="1">
        <f ca="1">IFERROR(__xludf.DUMMYFUNCTION("""COMPUTED_VALUE"""),1223.5)</f>
        <v>1223.5</v>
      </c>
      <c r="N1422" s="1">
        <f ca="1">IFERROR(__xludf.DUMMYFUNCTION("""COMPUTED_VALUE"""),301.07)</f>
        <v>301.07</v>
      </c>
      <c r="O1422" s="1">
        <f ca="1">IFERROR(__xludf.DUMMYFUNCTION("""COMPUTED_VALUE"""),350.07)</f>
        <v>350.07</v>
      </c>
      <c r="P1422" s="1">
        <f ca="1">IFERROR(__xludf.DUMMYFUNCTION("""COMPUTED_VALUE"""),176.79)</f>
        <v>176.79</v>
      </c>
      <c r="Q1422" s="1">
        <f ca="1">IFERROR(__xludf.DUMMYFUNCTION("""COMPUTED_VALUE"""),303.88)</f>
        <v>303.88</v>
      </c>
      <c r="R1422" s="1">
        <f ca="1">IFERROR(__xludf.DUMMYFUNCTION("""COMPUTED_VALUE"""),112.75)</f>
        <v>112.75</v>
      </c>
      <c r="S1422" s="1">
        <f ca="1">IFERROR(__xludf.DUMMYFUNCTION("""COMPUTED_VALUE"""),73.89)</f>
        <v>73.89</v>
      </c>
      <c r="T1422" s="1">
        <f ca="1">IFERROR(__xludf.DUMMYFUNCTION("""COMPUTED_VALUE"""),96.11)</f>
        <v>96.11</v>
      </c>
      <c r="U1422" s="1">
        <f ca="1">IFERROR(__xludf.DUMMYFUNCTION("""COMPUTED_VALUE"""),77.92)</f>
        <v>77.92</v>
      </c>
      <c r="V1422" s="1">
        <f ca="1">IFERROR(__xludf.DUMMYFUNCTION("""COMPUTED_VALUE"""),432.67)</f>
        <v>432.67</v>
      </c>
      <c r="W1422" s="1">
        <f ca="1">IFERROR(__xludf.DUMMYFUNCTION("""COMPUTED_VALUE"""),452.5)</f>
        <v>452.5</v>
      </c>
      <c r="X1422" s="1">
        <f ca="1">IFERROR(__xludf.DUMMYFUNCTION("""COMPUTED_VALUE"""),770)</f>
        <v>770</v>
      </c>
      <c r="Y1422" s="1">
        <f ca="1">IFERROR(__xludf.DUMMYFUNCTION("""COMPUTED_VALUE"""),239.29)</f>
        <v>239.29</v>
      </c>
      <c r="Z1422" s="1">
        <f ca="1">IFERROR(__xludf.DUMMYFUNCTION("""COMPUTED_VALUE"""),751.22)</f>
        <v>751.22</v>
      </c>
      <c r="AA1422" s="1">
        <f ca="1">IFERROR(__xludf.DUMMYFUNCTION("""COMPUTED_VALUE"""),25.07)</f>
        <v>25.07</v>
      </c>
      <c r="AB1422" s="1">
        <f ca="1">IFERROR(__xludf.DUMMYFUNCTION("""COMPUTED_VALUE"""),88.02)</f>
        <v>88.02</v>
      </c>
      <c r="AC1422" s="1">
        <f ca="1">IFERROR(__xludf.DUMMYFUNCTION("""COMPUTED_VALUE"""),168.58)</f>
        <v>168.58</v>
      </c>
    </row>
    <row r="1423" spans="1:29" x14ac:dyDescent="0.25">
      <c r="A1423" s="2">
        <f ca="1">IFERROR(__xludf.DUMMYFUNCTION("""COMPUTED_VALUE"""),45903.6666666666)</f>
        <v>45903.666666666599</v>
      </c>
      <c r="B1423" s="1">
        <f ca="1">IFERROR(__xludf.DUMMYFUNCTION("""COMPUTED_VALUE"""),238.47)</f>
        <v>238.47</v>
      </c>
      <c r="C1423" s="1">
        <f ca="1">IFERROR(__xludf.DUMMYFUNCTION("""COMPUTED_VALUE"""),505.35)</f>
        <v>505.35</v>
      </c>
      <c r="D1423" s="1">
        <f ca="1">IFERROR(__xludf.DUMMYFUNCTION("""COMPUTED_VALUE"""),231.6)</f>
        <v>231.6</v>
      </c>
      <c r="E1423" s="1">
        <f ca="1">IFERROR(__xludf.DUMMYFUNCTION("""COMPUTED_VALUE"""),180.17)</f>
        <v>180.17</v>
      </c>
      <c r="F1423" s="1">
        <f ca="1">IFERROR(__xludf.DUMMYFUNCTION("""COMPUTED_VALUE"""),738.7)</f>
        <v>738.7</v>
      </c>
      <c r="G1423" s="1">
        <f ca="1">IFERROR(__xludf.DUMMYFUNCTION("""COMPUTED_VALUE"""),212.37)</f>
        <v>212.37</v>
      </c>
      <c r="H1423" s="1">
        <f ca="1">IFERROR(__xludf.DUMMYFUNCTION("""COMPUTED_VALUE"""),333.87)</f>
        <v>333.87</v>
      </c>
      <c r="I1423" s="1">
        <f ca="1">IFERROR(__xludf.DUMMYFUNCTION("""COMPUTED_VALUE"""),148.65)</f>
        <v>148.65</v>
      </c>
      <c r="J1423" s="1">
        <f ca="1">IFERROR(__xludf.DUMMYFUNCTION("""COMPUTED_VALUE"""),944.96)</f>
        <v>944.96</v>
      </c>
      <c r="K1423" s="1">
        <f ca="1">IFERROR(__xludf.DUMMYFUNCTION("""COMPUTED_VALUE"""),308.65)</f>
        <v>308.64999999999998</v>
      </c>
      <c r="L1423" s="1">
        <f ca="1">IFERROR(__xludf.DUMMYFUNCTION("""COMPUTED_VALUE"""),348.5)</f>
        <v>348.5</v>
      </c>
      <c r="M1423" s="1">
        <f ca="1">IFERROR(__xludf.DUMMYFUNCTION("""COMPUTED_VALUE"""),1231.45)</f>
        <v>1231.45</v>
      </c>
      <c r="N1423" s="1">
        <f ca="1">IFERROR(__xludf.DUMMYFUNCTION("""COMPUTED_VALUE"""),301.42)</f>
        <v>301.42</v>
      </c>
      <c r="O1423" s="1">
        <f ca="1">IFERROR(__xludf.DUMMYFUNCTION("""COMPUTED_VALUE"""),350.87)</f>
        <v>350.87</v>
      </c>
      <c r="P1423" s="1">
        <f ca="1">IFERROR(__xludf.DUMMYFUNCTION("""COMPUTED_VALUE"""),175.45)</f>
        <v>175.45</v>
      </c>
      <c r="Q1423" s="1">
        <f ca="1">IFERROR(__xludf.DUMMYFUNCTION("""COMPUTED_VALUE"""),302.29)</f>
        <v>302.29000000000002</v>
      </c>
      <c r="R1423" s="1">
        <f ca="1">IFERROR(__xludf.DUMMYFUNCTION("""COMPUTED_VALUE"""),113.35)</f>
        <v>113.35</v>
      </c>
      <c r="S1423" s="1">
        <f ca="1">IFERROR(__xludf.DUMMYFUNCTION("""COMPUTED_VALUE"""),72.09)</f>
        <v>72.09</v>
      </c>
      <c r="T1423" s="1">
        <f ca="1">IFERROR(__xludf.DUMMYFUNCTION("""COMPUTED_VALUE"""),96.98)</f>
        <v>96.98</v>
      </c>
      <c r="U1423" s="1">
        <f ca="1">IFERROR(__xludf.DUMMYFUNCTION("""COMPUTED_VALUE"""),77.37)</f>
        <v>77.37</v>
      </c>
      <c r="V1423" s="1">
        <f ca="1">IFERROR(__xludf.DUMMYFUNCTION("""COMPUTED_VALUE"""),434.91)</f>
        <v>434.91</v>
      </c>
      <c r="W1423" s="1">
        <f ca="1">IFERROR(__xludf.DUMMYFUNCTION("""COMPUTED_VALUE"""),449.06)</f>
        <v>449.06</v>
      </c>
      <c r="X1423" s="1">
        <f ca="1">IFERROR(__xludf.DUMMYFUNCTION("""COMPUTED_VALUE"""),763.46)</f>
        <v>763.46</v>
      </c>
      <c r="Y1423" s="1">
        <f ca="1">IFERROR(__xludf.DUMMYFUNCTION("""COMPUTED_VALUE"""),238.27)</f>
        <v>238.27</v>
      </c>
      <c r="Z1423" s="1">
        <f ca="1">IFERROR(__xludf.DUMMYFUNCTION("""COMPUTED_VALUE"""),745.25)</f>
        <v>745.25</v>
      </c>
      <c r="AA1423" s="1">
        <f ca="1">IFERROR(__xludf.DUMMYFUNCTION("""COMPUTED_VALUE"""),24.6)</f>
        <v>24.6</v>
      </c>
      <c r="AB1423" s="1">
        <f ca="1">IFERROR(__xludf.DUMMYFUNCTION("""COMPUTED_VALUE"""),88.19)</f>
        <v>88.19</v>
      </c>
      <c r="AC1423" s="1">
        <f ca="1">IFERROR(__xludf.DUMMYFUNCTION("""COMPUTED_VALUE"""),162.63)</f>
        <v>162.63</v>
      </c>
    </row>
    <row r="1424" spans="1:29" x14ac:dyDescent="0.25">
      <c r="A1424" s="2">
        <f ca="1">IFERROR(__xludf.DUMMYFUNCTION("""COMPUTED_VALUE"""),45904.6666666666)</f>
        <v>45904.666666666599</v>
      </c>
      <c r="B1424" s="1">
        <f ca="1">IFERROR(__xludf.DUMMYFUNCTION("""COMPUTED_VALUE"""),239.78)</f>
        <v>239.78</v>
      </c>
      <c r="C1424" s="1">
        <f ca="1">IFERROR(__xludf.DUMMYFUNCTION("""COMPUTED_VALUE"""),507.97)</f>
        <v>507.97</v>
      </c>
      <c r="D1424" s="1">
        <f ca="1">IFERROR(__xludf.DUMMYFUNCTION("""COMPUTED_VALUE"""),229)</f>
        <v>229</v>
      </c>
      <c r="E1424" s="1">
        <f ca="1">IFERROR(__xludf.DUMMYFUNCTION("""COMPUTED_VALUE"""),174.18)</f>
        <v>174.18</v>
      </c>
      <c r="F1424" s="1">
        <f ca="1">IFERROR(__xludf.DUMMYFUNCTION("""COMPUTED_VALUE"""),735.11)</f>
        <v>735.11</v>
      </c>
      <c r="G1424" s="1">
        <f ca="1">IFERROR(__xludf.DUMMYFUNCTION("""COMPUTED_VALUE"""),213.53)</f>
        <v>213.53</v>
      </c>
      <c r="H1424" s="1">
        <f ca="1">IFERROR(__xludf.DUMMYFUNCTION("""COMPUTED_VALUE"""),329.36)</f>
        <v>329.36</v>
      </c>
      <c r="I1424" s="1">
        <f ca="1">IFERROR(__xludf.DUMMYFUNCTION("""COMPUTED_VALUE"""),150.28)</f>
        <v>150.28</v>
      </c>
      <c r="J1424" s="1">
        <f ca="1">IFERROR(__xludf.DUMMYFUNCTION("""COMPUTED_VALUE"""),943.32)</f>
        <v>943.32</v>
      </c>
      <c r="K1424" s="1">
        <f ca="1">IFERROR(__xludf.DUMMYFUNCTION("""COMPUTED_VALUE"""),297.39)</f>
        <v>297.39</v>
      </c>
      <c r="L1424" s="1">
        <f ca="1">IFERROR(__xludf.DUMMYFUNCTION("""COMPUTED_VALUE"""),344.31)</f>
        <v>344.31</v>
      </c>
      <c r="M1424" s="1">
        <f ca="1">IFERROR(__xludf.DUMMYFUNCTION("""COMPUTED_VALUE"""),1208.25)</f>
        <v>1208.25</v>
      </c>
      <c r="N1424" s="1">
        <f ca="1">IFERROR(__xludf.DUMMYFUNCTION("""COMPUTED_VALUE"""),299.7)</f>
        <v>299.7</v>
      </c>
      <c r="O1424" s="1">
        <f ca="1">IFERROR(__xludf.DUMMYFUNCTION("""COMPUTED_VALUE"""),350.99)</f>
        <v>350.99</v>
      </c>
      <c r="P1424" s="1">
        <f ca="1">IFERROR(__xludf.DUMMYFUNCTION("""COMPUTED_VALUE"""),177.17)</f>
        <v>177.17</v>
      </c>
      <c r="Q1424" s="1">
        <f ca="1">IFERROR(__xludf.DUMMYFUNCTION("""COMPUTED_VALUE"""),309.87)</f>
        <v>309.87</v>
      </c>
      <c r="R1424" s="1">
        <f ca="1">IFERROR(__xludf.DUMMYFUNCTION("""COMPUTED_VALUE"""),114.29)</f>
        <v>114.29</v>
      </c>
      <c r="S1424" s="1">
        <f ca="1">IFERROR(__xludf.DUMMYFUNCTION("""COMPUTED_VALUE"""),72.05)</f>
        <v>72.05</v>
      </c>
      <c r="T1424" s="1">
        <f ca="1">IFERROR(__xludf.DUMMYFUNCTION("""COMPUTED_VALUE"""),97.85)</f>
        <v>97.85</v>
      </c>
      <c r="U1424" s="1">
        <f ca="1">IFERROR(__xludf.DUMMYFUNCTION("""COMPUTED_VALUE"""),74.29)</f>
        <v>74.290000000000006</v>
      </c>
      <c r="V1424" s="1">
        <f ca="1">IFERROR(__xludf.DUMMYFUNCTION("""COMPUTED_VALUE"""),419.04)</f>
        <v>419.04</v>
      </c>
      <c r="W1424" s="1">
        <f ca="1">IFERROR(__xludf.DUMMYFUNCTION("""COMPUTED_VALUE"""),456.85)</f>
        <v>456.85</v>
      </c>
      <c r="X1424" s="1">
        <f ca="1">IFERROR(__xludf.DUMMYFUNCTION("""COMPUTED_VALUE"""),742.62)</f>
        <v>742.62</v>
      </c>
      <c r="Y1424" s="1">
        <f ca="1">IFERROR(__xludf.DUMMYFUNCTION("""COMPUTED_VALUE"""),230.87)</f>
        <v>230.87</v>
      </c>
      <c r="Z1424" s="1">
        <f ca="1">IFERROR(__xludf.DUMMYFUNCTION("""COMPUTED_VALUE"""),730.85)</f>
        <v>730.85</v>
      </c>
      <c r="AA1424" s="1">
        <f ca="1">IFERROR(__xludf.DUMMYFUNCTION("""COMPUTED_VALUE"""),24.76)</f>
        <v>24.76</v>
      </c>
      <c r="AB1424" s="1">
        <f ca="1">IFERROR(__xludf.DUMMYFUNCTION("""COMPUTED_VALUE"""),89.78)</f>
        <v>89.78</v>
      </c>
      <c r="AC1424" s="1">
        <f ca="1">IFERROR(__xludf.DUMMYFUNCTION("""COMPUTED_VALUE"""),162.32)</f>
        <v>162.32</v>
      </c>
    </row>
    <row r="1425" spans="1:29" x14ac:dyDescent="0.25">
      <c r="A1425" s="2">
        <f ca="1">IFERROR(__xludf.DUMMYFUNCTION("""COMPUTED_VALUE"""),45905.6666666666)</f>
        <v>45905.666666666599</v>
      </c>
      <c r="B1425" s="1">
        <f ca="1">IFERROR(__xludf.DUMMYFUNCTION("""COMPUTED_VALUE"""),239.69)</f>
        <v>239.69</v>
      </c>
      <c r="C1425" s="1">
        <f ca="1">IFERROR(__xludf.DUMMYFUNCTION("""COMPUTED_VALUE"""),495)</f>
        <v>495</v>
      </c>
      <c r="D1425" s="1">
        <f ca="1">IFERROR(__xludf.DUMMYFUNCTION("""COMPUTED_VALUE"""),225.34)</f>
        <v>225.34</v>
      </c>
      <c r="E1425" s="1">
        <f ca="1">IFERROR(__xludf.DUMMYFUNCTION("""COMPUTED_VALUE"""),170.78)</f>
        <v>170.78</v>
      </c>
      <c r="F1425" s="1">
        <f ca="1">IFERROR(__xludf.DUMMYFUNCTION("""COMPUTED_VALUE"""),737.05)</f>
        <v>737.05</v>
      </c>
      <c r="G1425" s="1">
        <f ca="1">IFERROR(__xludf.DUMMYFUNCTION("""COMPUTED_VALUE"""),211.99)</f>
        <v>211.99</v>
      </c>
      <c r="H1425" s="1">
        <f ca="1">IFERROR(__xludf.DUMMYFUNCTION("""COMPUTED_VALUE"""),334.09)</f>
        <v>334.09</v>
      </c>
      <c r="I1425" s="1">
        <f ca="1">IFERROR(__xludf.DUMMYFUNCTION("""COMPUTED_VALUE"""),148.64)</f>
        <v>148.63999999999999</v>
      </c>
      <c r="J1425" s="1">
        <f ca="1">IFERROR(__xludf.DUMMYFUNCTION("""COMPUTED_VALUE"""),938.82)</f>
        <v>938.82</v>
      </c>
      <c r="K1425" s="1">
        <f ca="1">IFERROR(__xludf.DUMMYFUNCTION("""COMPUTED_VALUE"""),298.24)</f>
        <v>298.24</v>
      </c>
      <c r="L1425" s="1">
        <f ca="1">IFERROR(__xludf.DUMMYFUNCTION("""COMPUTED_VALUE"""),348.97)</f>
        <v>348.97</v>
      </c>
      <c r="M1425" s="1">
        <f ca="1">IFERROR(__xludf.DUMMYFUNCTION("""COMPUTED_VALUE"""),1214.11)</f>
        <v>1214.1099999999999</v>
      </c>
      <c r="N1425" s="1">
        <f ca="1">IFERROR(__xludf.DUMMYFUNCTION("""COMPUTED_VALUE"""),299.51)</f>
        <v>299.51</v>
      </c>
      <c r="O1425" s="1">
        <f ca="1">IFERROR(__xludf.DUMMYFUNCTION("""COMPUTED_VALUE"""),343.22)</f>
        <v>343.22</v>
      </c>
      <c r="P1425" s="1">
        <f ca="1">IFERROR(__xludf.DUMMYFUNCTION("""COMPUTED_VALUE"""),178.06)</f>
        <v>178.06</v>
      </c>
      <c r="Q1425" s="1">
        <f ca="1">IFERROR(__xludf.DUMMYFUNCTION("""COMPUTED_VALUE"""),308.8)</f>
        <v>308.8</v>
      </c>
      <c r="R1425" s="1">
        <f ca="1">IFERROR(__xludf.DUMMYFUNCTION("""COMPUTED_VALUE"""),114.69)</f>
        <v>114.69</v>
      </c>
      <c r="S1425" s="1">
        <f ca="1">IFERROR(__xludf.DUMMYFUNCTION("""COMPUTED_VALUE"""),72.65)</f>
        <v>72.650000000000006</v>
      </c>
      <c r="T1425" s="1">
        <f ca="1">IFERROR(__xludf.DUMMYFUNCTION("""COMPUTED_VALUE"""),99.44)</f>
        <v>99.44</v>
      </c>
      <c r="U1425" s="1">
        <f ca="1">IFERROR(__xludf.DUMMYFUNCTION("""COMPUTED_VALUE"""),74.74)</f>
        <v>74.739999999999995</v>
      </c>
      <c r="V1425" s="1">
        <f ca="1">IFERROR(__xludf.DUMMYFUNCTION("""COMPUTED_VALUE"""),416.05)</f>
        <v>416.05</v>
      </c>
      <c r="W1425" s="1">
        <f ca="1">IFERROR(__xludf.DUMMYFUNCTION("""COMPUTED_VALUE"""),463.9)</f>
        <v>463.9</v>
      </c>
      <c r="X1425" s="1">
        <f ca="1">IFERROR(__xludf.DUMMYFUNCTION("""COMPUTED_VALUE"""),725.85)</f>
        <v>725.85</v>
      </c>
      <c r="Y1425" s="1">
        <f ca="1">IFERROR(__xludf.DUMMYFUNCTION("""COMPUTED_VALUE"""),228.39)</f>
        <v>228.39</v>
      </c>
      <c r="Z1425" s="1">
        <f ca="1">IFERROR(__xludf.DUMMYFUNCTION("""COMPUTED_VALUE"""),730.56)</f>
        <v>730.56</v>
      </c>
      <c r="AA1425" s="1">
        <f ca="1">IFERROR(__xludf.DUMMYFUNCTION("""COMPUTED_VALUE"""),24.98)</f>
        <v>24.98</v>
      </c>
      <c r="AB1425" s="1">
        <f ca="1">IFERROR(__xludf.DUMMYFUNCTION("""COMPUTED_VALUE"""),87.25)</f>
        <v>87.25</v>
      </c>
      <c r="AC1425" s="1">
        <f ca="1">IFERROR(__xludf.DUMMYFUNCTION("""COMPUTED_VALUE"""),162.13)</f>
        <v>162.13</v>
      </c>
    </row>
    <row r="1426" spans="1:29" x14ac:dyDescent="0.25">
      <c r="A1426" s="2">
        <f ca="1">IFERROR(__xludf.DUMMYFUNCTION("""COMPUTED_VALUE"""),45908.6666666666)</f>
        <v>45908.666666666599</v>
      </c>
      <c r="B1426" s="1">
        <f ca="1">IFERROR(__xludf.DUMMYFUNCTION("""COMPUTED_VALUE"""),237.88)</f>
        <v>237.88</v>
      </c>
      <c r="C1426" s="1">
        <f ca="1">IFERROR(__xludf.DUMMYFUNCTION("""COMPUTED_VALUE"""),498.2)</f>
        <v>498.2</v>
      </c>
      <c r="D1426" s="1">
        <f ca="1">IFERROR(__xludf.DUMMYFUNCTION("""COMPUTED_VALUE"""),225.99)</f>
        <v>225.99</v>
      </c>
      <c r="E1426" s="1">
        <f ca="1">IFERROR(__xludf.DUMMYFUNCTION("""COMPUTED_VALUE"""),170.62)</f>
        <v>170.62</v>
      </c>
      <c r="F1426" s="1">
        <f ca="1">IFERROR(__xludf.DUMMYFUNCTION("""COMPUTED_VALUE"""),748.65)</f>
        <v>748.65</v>
      </c>
      <c r="G1426" s="1">
        <f ca="1">IFERROR(__xludf.DUMMYFUNCTION("""COMPUTED_VALUE"""),231.1)</f>
        <v>231.1</v>
      </c>
      <c r="H1426" s="1">
        <f ca="1">IFERROR(__xludf.DUMMYFUNCTION("""COMPUTED_VALUE"""),338.53)</f>
        <v>338.53</v>
      </c>
      <c r="I1426" s="1">
        <f ca="1">IFERROR(__xludf.DUMMYFUNCTION("""COMPUTED_VALUE"""),146.89)</f>
        <v>146.88999999999999</v>
      </c>
      <c r="J1426" s="1">
        <f ca="1">IFERROR(__xludf.DUMMYFUNCTION("""COMPUTED_VALUE"""),949.78)</f>
        <v>949.78</v>
      </c>
      <c r="K1426" s="1">
        <f ca="1">IFERROR(__xludf.DUMMYFUNCTION("""COMPUTED_VALUE"""),302.39)</f>
        <v>302.39</v>
      </c>
      <c r="L1426" s="1">
        <f ca="1">IFERROR(__xludf.DUMMYFUNCTION("""COMPUTED_VALUE"""),358.66)</f>
        <v>358.66</v>
      </c>
      <c r="M1426" s="1">
        <f ca="1">IFERROR(__xludf.DUMMYFUNCTION("""COMPUTED_VALUE"""),1226.18)</f>
        <v>1226.18</v>
      </c>
      <c r="N1426" s="1">
        <f ca="1">IFERROR(__xludf.DUMMYFUNCTION("""COMPUTED_VALUE"""),303.82)</f>
        <v>303.82</v>
      </c>
      <c r="O1426" s="1">
        <f ca="1">IFERROR(__xludf.DUMMYFUNCTION("""COMPUTED_VALUE"""),342.3)</f>
        <v>342.3</v>
      </c>
      <c r="P1426" s="1">
        <f ca="1">IFERROR(__xludf.DUMMYFUNCTION("""COMPUTED_VALUE"""),178)</f>
        <v>178</v>
      </c>
      <c r="Q1426" s="1">
        <f ca="1">IFERROR(__xludf.DUMMYFUNCTION("""COMPUTED_VALUE"""),307.88)</f>
        <v>307.88</v>
      </c>
      <c r="R1426" s="1">
        <f ca="1">IFERROR(__xludf.DUMMYFUNCTION("""COMPUTED_VALUE"""),111.91)</f>
        <v>111.91</v>
      </c>
      <c r="S1426" s="1">
        <f ca="1">IFERROR(__xludf.DUMMYFUNCTION("""COMPUTED_VALUE"""),71.63)</f>
        <v>71.63</v>
      </c>
      <c r="T1426" s="1">
        <f ca="1">IFERROR(__xludf.DUMMYFUNCTION("""COMPUTED_VALUE"""),100.93)</f>
        <v>100.93</v>
      </c>
      <c r="U1426" s="1">
        <f ca="1">IFERROR(__xludf.DUMMYFUNCTION("""COMPUTED_VALUE"""),75.35)</f>
        <v>75.349999999999994</v>
      </c>
      <c r="V1426" s="1">
        <f ca="1">IFERROR(__xludf.DUMMYFUNCTION("""COMPUTED_VALUE"""),415.12)</f>
        <v>415.12</v>
      </c>
      <c r="W1426" s="1">
        <f ca="1">IFERROR(__xludf.DUMMYFUNCTION("""COMPUTED_VALUE"""),459.11)</f>
        <v>459.11</v>
      </c>
      <c r="X1426" s="1">
        <f ca="1">IFERROR(__xludf.DUMMYFUNCTION("""COMPUTED_VALUE"""),736.82)</f>
        <v>736.82</v>
      </c>
      <c r="Y1426" s="1">
        <f ca="1">IFERROR(__xludf.DUMMYFUNCTION("""COMPUTED_VALUE"""),231.39)</f>
        <v>231.39</v>
      </c>
      <c r="Z1426" s="1">
        <f ca="1">IFERROR(__xludf.DUMMYFUNCTION("""COMPUTED_VALUE"""),748.9)</f>
        <v>748.9</v>
      </c>
      <c r="AA1426" s="1">
        <f ca="1">IFERROR(__xludf.DUMMYFUNCTION("""COMPUTED_VALUE"""),24.79)</f>
        <v>24.79</v>
      </c>
      <c r="AB1426" s="1">
        <f ca="1">IFERROR(__xludf.DUMMYFUNCTION("""COMPUTED_VALUE"""),87.01)</f>
        <v>87.01</v>
      </c>
      <c r="AC1426" s="1">
        <f ca="1">IFERROR(__xludf.DUMMYFUNCTION("""COMPUTED_VALUE"""),161.79)</f>
        <v>161.79</v>
      </c>
    </row>
    <row r="1427" spans="1:29" x14ac:dyDescent="0.25">
      <c r="A1427" s="2">
        <f ca="1">IFERROR(__xludf.DUMMYFUNCTION("""COMPUTED_VALUE"""),45909.6666666666)</f>
        <v>45909.666666666599</v>
      </c>
      <c r="B1427" s="1">
        <f ca="1">IFERROR(__xludf.DUMMYFUNCTION("""COMPUTED_VALUE"""),234.35)</f>
        <v>234.35</v>
      </c>
      <c r="C1427" s="1">
        <f ca="1">IFERROR(__xludf.DUMMYFUNCTION("""COMPUTED_VALUE"""),498.41)</f>
        <v>498.41</v>
      </c>
      <c r="D1427" s="1">
        <f ca="1">IFERROR(__xludf.DUMMYFUNCTION("""COMPUTED_VALUE"""),235.68)</f>
        <v>235.68</v>
      </c>
      <c r="E1427" s="1">
        <f ca="1">IFERROR(__xludf.DUMMYFUNCTION("""COMPUTED_VALUE"""),171.66)</f>
        <v>171.66</v>
      </c>
      <c r="F1427" s="1">
        <f ca="1">IFERROR(__xludf.DUMMYFUNCTION("""COMPUTED_VALUE"""),752.45)</f>
        <v>752.45</v>
      </c>
      <c r="G1427" s="1">
        <f ca="1">IFERROR(__xludf.DUMMYFUNCTION("""COMPUTED_VALUE"""),232.66)</f>
        <v>232.66</v>
      </c>
      <c r="H1427" s="1">
        <f ca="1">IFERROR(__xludf.DUMMYFUNCTION("""COMPUTED_VALUE"""),350.84)</f>
        <v>350.84</v>
      </c>
      <c r="I1427" s="1">
        <f ca="1">IFERROR(__xludf.DUMMYFUNCTION("""COMPUTED_VALUE"""),146.39)</f>
        <v>146.38999999999999</v>
      </c>
      <c r="J1427" s="1">
        <f ca="1">IFERROR(__xludf.DUMMYFUNCTION("""COMPUTED_VALUE"""),955.9)</f>
        <v>955.9</v>
      </c>
      <c r="K1427" s="1">
        <f ca="1">IFERROR(__xludf.DUMMYFUNCTION("""COMPUTED_VALUE"""),306.1)</f>
        <v>306.10000000000002</v>
      </c>
      <c r="L1427" s="1">
        <f ca="1">IFERROR(__xludf.DUMMYFUNCTION("""COMPUTED_VALUE"""),354.06)</f>
        <v>354.06</v>
      </c>
      <c r="M1427" s="1">
        <f ca="1">IFERROR(__xludf.DUMMYFUNCTION("""COMPUTED_VALUE"""),1257.48)</f>
        <v>1257.48</v>
      </c>
      <c r="N1427" s="1">
        <f ca="1">IFERROR(__xludf.DUMMYFUNCTION("""COMPUTED_VALUE"""),294.38)</f>
        <v>294.38</v>
      </c>
      <c r="O1427" s="1">
        <f ca="1">IFERROR(__xludf.DUMMYFUNCTION("""COMPUTED_VALUE"""),343.99)</f>
        <v>343.99</v>
      </c>
      <c r="P1427" s="1">
        <f ca="1">IFERROR(__xludf.DUMMYFUNCTION("""COMPUTED_VALUE"""),178.76)</f>
        <v>178.76</v>
      </c>
      <c r="Q1427" s="1">
        <f ca="1">IFERROR(__xludf.DUMMYFUNCTION("""COMPUTED_VALUE"""),310.38)</f>
        <v>310.38</v>
      </c>
      <c r="R1427" s="1">
        <f ca="1">IFERROR(__xludf.DUMMYFUNCTION("""COMPUTED_VALUE"""),112.4)</f>
        <v>112.4</v>
      </c>
      <c r="S1427" s="1">
        <f ca="1">IFERROR(__xludf.DUMMYFUNCTION("""COMPUTED_VALUE"""),70.87)</f>
        <v>70.87</v>
      </c>
      <c r="T1427" s="1">
        <f ca="1">IFERROR(__xludf.DUMMYFUNCTION("""COMPUTED_VALUE"""),100.51)</f>
        <v>100.51</v>
      </c>
      <c r="U1427" s="1">
        <f ca="1">IFERROR(__xludf.DUMMYFUNCTION("""COMPUTED_VALUE"""),73.91)</f>
        <v>73.91</v>
      </c>
      <c r="V1427" s="1">
        <f ca="1">IFERROR(__xludf.DUMMYFUNCTION("""COMPUTED_VALUE"""),420.22)</f>
        <v>420.22</v>
      </c>
      <c r="W1427" s="1">
        <f ca="1">IFERROR(__xludf.DUMMYFUNCTION("""COMPUTED_VALUE"""),457.06)</f>
        <v>457.06</v>
      </c>
      <c r="X1427" s="1">
        <f ca="1">IFERROR(__xludf.DUMMYFUNCTION("""COMPUTED_VALUE"""),753.43)</f>
        <v>753.43</v>
      </c>
      <c r="Y1427" s="1">
        <f ca="1">IFERROR(__xludf.DUMMYFUNCTION("""COMPUTED_VALUE"""),235.21)</f>
        <v>235.21</v>
      </c>
      <c r="Z1427" s="1">
        <f ca="1">IFERROR(__xludf.DUMMYFUNCTION("""COMPUTED_VALUE"""),738.21)</f>
        <v>738.21</v>
      </c>
      <c r="AA1427" s="1">
        <f ca="1">IFERROR(__xludf.DUMMYFUNCTION("""COMPUTED_VALUE"""),24.54)</f>
        <v>24.54</v>
      </c>
      <c r="AB1427" s="1">
        <f ca="1">IFERROR(__xludf.DUMMYFUNCTION("""COMPUTED_VALUE"""),85.43)</f>
        <v>85.43</v>
      </c>
      <c r="AC1427" s="1">
        <f ca="1">IFERROR(__xludf.DUMMYFUNCTION("""COMPUTED_VALUE"""),151.14)</f>
        <v>151.13999999999999</v>
      </c>
    </row>
    <row r="1428" spans="1:29" x14ac:dyDescent="0.25">
      <c r="A1428" s="2">
        <f ca="1">IFERROR(__xludf.DUMMYFUNCTION("""COMPUTED_VALUE"""),45910.6666666666)</f>
        <v>45910.666666666599</v>
      </c>
      <c r="B1428" s="1">
        <f ca="1">IFERROR(__xludf.DUMMYFUNCTION("""COMPUTED_VALUE"""),226.79)</f>
        <v>226.79</v>
      </c>
      <c r="C1428" s="1">
        <f ca="1">IFERROR(__xludf.DUMMYFUNCTION("""COMPUTED_VALUE"""),500.37)</f>
        <v>500.37</v>
      </c>
      <c r="D1428" s="1">
        <f ca="1">IFERROR(__xludf.DUMMYFUNCTION("""COMPUTED_VALUE"""),232.33)</f>
        <v>232.33</v>
      </c>
      <c r="E1428" s="1">
        <f ca="1">IFERROR(__xludf.DUMMYFUNCTION("""COMPUTED_VALUE"""),167.02)</f>
        <v>167.02</v>
      </c>
      <c r="F1428" s="1">
        <f ca="1">IFERROR(__xludf.DUMMYFUNCTION("""COMPUTED_VALUE"""),752.3)</f>
        <v>752.3</v>
      </c>
      <c r="G1428" s="1">
        <f ca="1">IFERROR(__xludf.DUMMYFUNCTION("""COMPUTED_VALUE"""),235.17)</f>
        <v>235.17</v>
      </c>
      <c r="H1428" s="1">
        <f ca="1">IFERROR(__xludf.DUMMYFUNCTION("""COMPUTED_VALUE"""),346.4)</f>
        <v>346.4</v>
      </c>
      <c r="I1428" s="1">
        <f ca="1">IFERROR(__xludf.DUMMYFUNCTION("""COMPUTED_VALUE"""),141.71)</f>
        <v>141.71</v>
      </c>
      <c r="J1428" s="1">
        <f ca="1">IFERROR(__xludf.DUMMYFUNCTION("""COMPUTED_VALUE"""),963.48)</f>
        <v>963.48</v>
      </c>
      <c r="K1428" s="1">
        <f ca="1">IFERROR(__xludf.DUMMYFUNCTION("""COMPUTED_VALUE"""),334.89)</f>
        <v>334.89</v>
      </c>
      <c r="L1428" s="1">
        <f ca="1">IFERROR(__xludf.DUMMYFUNCTION("""COMPUTED_VALUE"""),350.16)</f>
        <v>350.16</v>
      </c>
      <c r="M1428" s="1">
        <f ca="1">IFERROR(__xludf.DUMMYFUNCTION("""COMPUTED_VALUE"""),1243.82)</f>
        <v>1243.82</v>
      </c>
      <c r="N1428" s="1">
        <f ca="1">IFERROR(__xludf.DUMMYFUNCTION("""COMPUTED_VALUE"""),292.91)</f>
        <v>292.91000000000003</v>
      </c>
      <c r="O1428" s="1">
        <f ca="1">IFERROR(__xludf.DUMMYFUNCTION("""COMPUTED_VALUE"""),338.12)</f>
        <v>338.12</v>
      </c>
      <c r="P1428" s="1">
        <f ca="1">IFERROR(__xludf.DUMMYFUNCTION("""COMPUTED_VALUE"""),178.43)</f>
        <v>178.43</v>
      </c>
      <c r="Q1428" s="1">
        <f ca="1">IFERROR(__xludf.DUMMYFUNCTION("""COMPUTED_VALUE"""),315.39)</f>
        <v>315.39</v>
      </c>
      <c r="R1428" s="1">
        <f ca="1">IFERROR(__xludf.DUMMYFUNCTION("""COMPUTED_VALUE"""),109.23)</f>
        <v>109.23</v>
      </c>
      <c r="S1428" s="1">
        <f ca="1">IFERROR(__xludf.DUMMYFUNCTION("""COMPUTED_VALUE"""),70.9)</f>
        <v>70.900000000000006</v>
      </c>
      <c r="T1428" s="1">
        <f ca="1">IFERROR(__xludf.DUMMYFUNCTION("""COMPUTED_VALUE"""),102.28)</f>
        <v>102.28</v>
      </c>
      <c r="U1428" s="1">
        <f ca="1">IFERROR(__xludf.DUMMYFUNCTION("""COMPUTED_VALUE"""),74.15)</f>
        <v>74.150000000000006</v>
      </c>
      <c r="V1428" s="1">
        <f ca="1">IFERROR(__xludf.DUMMYFUNCTION("""COMPUTED_VALUE"""),423.08)</f>
        <v>423.08</v>
      </c>
      <c r="W1428" s="1">
        <f ca="1">IFERROR(__xludf.DUMMYFUNCTION("""COMPUTED_VALUE"""),463.87)</f>
        <v>463.87</v>
      </c>
      <c r="X1428" s="1">
        <f ca="1">IFERROR(__xludf.DUMMYFUNCTION("""COMPUTED_VALUE"""),781.7)</f>
        <v>781.7</v>
      </c>
      <c r="Y1428" s="1">
        <f ca="1">IFERROR(__xludf.DUMMYFUNCTION("""COMPUTED_VALUE"""),243.41)</f>
        <v>243.41</v>
      </c>
      <c r="Z1428" s="1">
        <f ca="1">IFERROR(__xludf.DUMMYFUNCTION("""COMPUTED_VALUE"""),741.85)</f>
        <v>741.85</v>
      </c>
      <c r="AA1428" s="1">
        <f ca="1">IFERROR(__xludf.DUMMYFUNCTION("""COMPUTED_VALUE"""),24.88)</f>
        <v>24.88</v>
      </c>
      <c r="AB1428" s="1">
        <f ca="1">IFERROR(__xludf.DUMMYFUNCTION("""COMPUTED_VALUE"""),84.17)</f>
        <v>84.17</v>
      </c>
      <c r="AC1428" s="1">
        <f ca="1">IFERROR(__xludf.DUMMYFUNCTION("""COMPUTED_VALUE"""),151.41)</f>
        <v>151.41</v>
      </c>
    </row>
    <row r="1429" spans="1:29" x14ac:dyDescent="0.25">
      <c r="A1429" s="2">
        <f ca="1">IFERROR(__xludf.DUMMYFUNCTION("""COMPUTED_VALUE"""),45911.6666666666)</f>
        <v>45911.666666666599</v>
      </c>
      <c r="B1429" s="1">
        <f ca="1">IFERROR(__xludf.DUMMYFUNCTION("""COMPUTED_VALUE"""),230.03)</f>
        <v>230.03</v>
      </c>
      <c r="C1429" s="1">
        <f ca="1">IFERROR(__xludf.DUMMYFUNCTION("""COMPUTED_VALUE"""),501.01)</f>
        <v>501.01</v>
      </c>
      <c r="D1429" s="1">
        <f ca="1">IFERROR(__xludf.DUMMYFUNCTION("""COMPUTED_VALUE"""),235.84)</f>
        <v>235.84</v>
      </c>
      <c r="E1429" s="1">
        <f ca="1">IFERROR(__xludf.DUMMYFUNCTION("""COMPUTED_VALUE"""),168.31)</f>
        <v>168.31</v>
      </c>
      <c r="F1429" s="1">
        <f ca="1">IFERROR(__xludf.DUMMYFUNCTION("""COMPUTED_VALUE"""),765.7)</f>
        <v>765.7</v>
      </c>
      <c r="G1429" s="1">
        <f ca="1">IFERROR(__xludf.DUMMYFUNCTION("""COMPUTED_VALUE"""),234.16)</f>
        <v>234.16</v>
      </c>
      <c r="H1429" s="1">
        <f ca="1">IFERROR(__xludf.DUMMYFUNCTION("""COMPUTED_VALUE"""),346.97)</f>
        <v>346.97</v>
      </c>
      <c r="I1429" s="1">
        <f ca="1">IFERROR(__xludf.DUMMYFUNCTION("""COMPUTED_VALUE"""),143.1)</f>
        <v>143.1</v>
      </c>
      <c r="J1429" s="1">
        <f ca="1">IFERROR(__xludf.DUMMYFUNCTION("""COMPUTED_VALUE"""),971.85)</f>
        <v>971.85</v>
      </c>
      <c r="K1429" s="1">
        <f ca="1">IFERROR(__xludf.DUMMYFUNCTION("""COMPUTED_VALUE"""),345.65)</f>
        <v>345.65</v>
      </c>
      <c r="L1429" s="1">
        <f ca="1">IFERROR(__xludf.DUMMYFUNCTION("""COMPUTED_VALUE"""),350.55)</f>
        <v>350.55</v>
      </c>
      <c r="M1429" s="1">
        <f ca="1">IFERROR(__xludf.DUMMYFUNCTION("""COMPUTED_VALUE"""),1244.76)</f>
        <v>1244.76</v>
      </c>
      <c r="N1429" s="1">
        <f ca="1">IFERROR(__xludf.DUMMYFUNCTION("""COMPUTED_VALUE"""),297.85)</f>
        <v>297.85000000000002</v>
      </c>
      <c r="O1429" s="1">
        <f ca="1">IFERROR(__xludf.DUMMYFUNCTION("""COMPUTED_VALUE"""),343.49)</f>
        <v>343.49</v>
      </c>
      <c r="P1429" s="1">
        <f ca="1">IFERROR(__xludf.DUMMYFUNCTION("""COMPUTED_VALUE"""),178.13)</f>
        <v>178.13</v>
      </c>
      <c r="Q1429" s="1">
        <f ca="1">IFERROR(__xludf.DUMMYFUNCTION("""COMPUTED_VALUE"""),320.25)</f>
        <v>320.25</v>
      </c>
      <c r="R1429" s="1">
        <f ca="1">IFERROR(__xludf.DUMMYFUNCTION("""COMPUTED_VALUE"""),109.85)</f>
        <v>109.85</v>
      </c>
      <c r="S1429" s="1">
        <f ca="1">IFERROR(__xludf.DUMMYFUNCTION("""COMPUTED_VALUE"""),69.77)</f>
        <v>69.77</v>
      </c>
      <c r="T1429" s="1">
        <f ca="1">IFERROR(__xludf.DUMMYFUNCTION("""COMPUTED_VALUE"""),102.29)</f>
        <v>102.29</v>
      </c>
      <c r="U1429" s="1">
        <f ca="1">IFERROR(__xludf.DUMMYFUNCTION("""COMPUTED_VALUE"""),73.6)</f>
        <v>73.599999999999994</v>
      </c>
      <c r="V1429" s="1">
        <f ca="1">IFERROR(__xludf.DUMMYFUNCTION("""COMPUTED_VALUE"""),422.78)</f>
        <v>422.78</v>
      </c>
      <c r="W1429" s="1">
        <f ca="1">IFERROR(__xludf.DUMMYFUNCTION("""COMPUTED_VALUE"""),470.73)</f>
        <v>470.73</v>
      </c>
      <c r="X1429" s="1">
        <f ca="1">IFERROR(__xludf.DUMMYFUNCTION("""COMPUTED_VALUE"""),796.25)</f>
        <v>796.25</v>
      </c>
      <c r="Y1429" s="1">
        <f ca="1">IFERROR(__xludf.DUMMYFUNCTION("""COMPUTED_VALUE"""),247.19)</f>
        <v>247.19</v>
      </c>
      <c r="Z1429" s="1">
        <f ca="1">IFERROR(__xludf.DUMMYFUNCTION("""COMPUTED_VALUE"""),763.92)</f>
        <v>763.92</v>
      </c>
      <c r="AA1429" s="1">
        <f ca="1">IFERROR(__xludf.DUMMYFUNCTION("""COMPUTED_VALUE"""),24.55)</f>
        <v>24.55</v>
      </c>
      <c r="AB1429" s="1">
        <f ca="1">IFERROR(__xludf.DUMMYFUNCTION("""COMPUTED_VALUE"""),83.81)</f>
        <v>83.81</v>
      </c>
      <c r="AC1429" s="1">
        <f ca="1">IFERROR(__xludf.DUMMYFUNCTION("""COMPUTED_VALUE"""),155.82)</f>
        <v>155.82</v>
      </c>
    </row>
    <row r="1430" spans="1:29" x14ac:dyDescent="0.25">
      <c r="A1430" s="2">
        <f ca="1">IFERROR(__xludf.DUMMYFUNCTION("""COMPUTED_VALUE"""),45912.6666666666)</f>
        <v>45912.666666666599</v>
      </c>
      <c r="B1430" s="1">
        <f ca="1">IFERROR(__xludf.DUMMYFUNCTION("""COMPUTED_VALUE"""),234.07)</f>
        <v>234.07</v>
      </c>
      <c r="C1430" s="1">
        <f ca="1">IFERROR(__xludf.DUMMYFUNCTION("""COMPUTED_VALUE"""),509.9)</f>
        <v>509.9</v>
      </c>
      <c r="D1430" s="1">
        <f ca="1">IFERROR(__xludf.DUMMYFUNCTION("""COMPUTED_VALUE"""),238.24)</f>
        <v>238.24</v>
      </c>
      <c r="E1430" s="1">
        <f ca="1">IFERROR(__xludf.DUMMYFUNCTION("""COMPUTED_VALUE"""),170.76)</f>
        <v>170.76</v>
      </c>
      <c r="F1430" s="1">
        <f ca="1">IFERROR(__xludf.DUMMYFUNCTION("""COMPUTED_VALUE"""),751.98)</f>
        <v>751.98</v>
      </c>
      <c r="G1430" s="1">
        <f ca="1">IFERROR(__xludf.DUMMYFUNCTION("""COMPUTED_VALUE"""),239.94)</f>
        <v>239.94</v>
      </c>
      <c r="H1430" s="1">
        <f ca="1">IFERROR(__xludf.DUMMYFUNCTION("""COMPUTED_VALUE"""),347.79)</f>
        <v>347.79</v>
      </c>
      <c r="I1430" s="1">
        <f ca="1">IFERROR(__xludf.DUMMYFUNCTION("""COMPUTED_VALUE"""),142.66)</f>
        <v>142.66</v>
      </c>
      <c r="J1430" s="1">
        <f ca="1">IFERROR(__xludf.DUMMYFUNCTION("""COMPUTED_VALUE"""),979.25)</f>
        <v>979.25</v>
      </c>
      <c r="K1430" s="1">
        <f ca="1">IFERROR(__xludf.DUMMYFUNCTION("""COMPUTED_VALUE"""),336.67)</f>
        <v>336.67</v>
      </c>
      <c r="L1430" s="1">
        <f ca="1">IFERROR(__xludf.DUMMYFUNCTION("""COMPUTED_VALUE"""),349.36)</f>
        <v>349.36</v>
      </c>
      <c r="M1430" s="1">
        <f ca="1">IFERROR(__xludf.DUMMYFUNCTION("""COMPUTED_VALUE"""),1263.25)</f>
        <v>1263.25</v>
      </c>
      <c r="N1430" s="1">
        <f ca="1">IFERROR(__xludf.DUMMYFUNCTION("""COMPUTED_VALUE"""),300.54)</f>
        <v>300.54000000000002</v>
      </c>
      <c r="O1430" s="1">
        <f ca="1">IFERROR(__xludf.DUMMYFUNCTION("""COMPUTED_VALUE"""),339.43)</f>
        <v>339.43</v>
      </c>
      <c r="P1430" s="1">
        <f ca="1">IFERROR(__xludf.DUMMYFUNCTION("""COMPUTED_VALUE"""),176.96)</f>
        <v>176.96</v>
      </c>
      <c r="Q1430" s="1">
        <f ca="1">IFERROR(__xludf.DUMMYFUNCTION("""COMPUTED_VALUE"""),347.92)</f>
        <v>347.92</v>
      </c>
      <c r="R1430" s="1">
        <f ca="1">IFERROR(__xludf.DUMMYFUNCTION("""COMPUTED_VALUE"""),110.65)</f>
        <v>110.65</v>
      </c>
      <c r="S1430" s="1">
        <f ca="1">IFERROR(__xludf.DUMMYFUNCTION("""COMPUTED_VALUE"""),70.07)</f>
        <v>70.069999999999993</v>
      </c>
      <c r="T1430" s="1">
        <f ca="1">IFERROR(__xludf.DUMMYFUNCTION("""COMPUTED_VALUE"""),100.41)</f>
        <v>100.41</v>
      </c>
      <c r="U1430" s="1">
        <f ca="1">IFERROR(__xludf.DUMMYFUNCTION("""COMPUTED_VALUE"""),74.25)</f>
        <v>74.25</v>
      </c>
      <c r="V1430" s="1">
        <f ca="1">IFERROR(__xludf.DUMMYFUNCTION("""COMPUTED_VALUE"""),418.09)</f>
        <v>418.09</v>
      </c>
      <c r="W1430" s="1">
        <f ca="1">IFERROR(__xludf.DUMMYFUNCTION("""COMPUTED_VALUE"""),471.31)</f>
        <v>471.31</v>
      </c>
      <c r="X1430" s="1">
        <f ca="1">IFERROR(__xludf.DUMMYFUNCTION("""COMPUTED_VALUE"""),805.13)</f>
        <v>805.13</v>
      </c>
      <c r="Y1430" s="1">
        <f ca="1">IFERROR(__xludf.DUMMYFUNCTION("""COMPUTED_VALUE"""),250.92)</f>
        <v>250.92</v>
      </c>
      <c r="Z1430" s="1">
        <f ca="1">IFERROR(__xludf.DUMMYFUNCTION("""COMPUTED_VALUE"""),769.58)</f>
        <v>769.58</v>
      </c>
      <c r="AA1430" s="1">
        <f ca="1">IFERROR(__xludf.DUMMYFUNCTION("""COMPUTED_VALUE"""),24.71)</f>
        <v>24.71</v>
      </c>
      <c r="AB1430" s="1">
        <f ca="1">IFERROR(__xludf.DUMMYFUNCTION("""COMPUTED_VALUE"""),82.88)</f>
        <v>82.88</v>
      </c>
      <c r="AC1430" s="1">
        <f ca="1">IFERROR(__xludf.DUMMYFUNCTION("""COMPUTED_VALUE"""),159.54)</f>
        <v>159.54</v>
      </c>
    </row>
    <row r="1431" spans="1:29" x14ac:dyDescent="0.25">
      <c r="A1431" s="2">
        <f ca="1">IFERROR(__xludf.DUMMYFUNCTION("""COMPUTED_VALUE"""),45915.6666666666)</f>
        <v>45915.666666666599</v>
      </c>
      <c r="B1431" s="1">
        <f ca="1">IFERROR(__xludf.DUMMYFUNCTION("""COMPUTED_VALUE"""),236.7)</f>
        <v>236.7</v>
      </c>
      <c r="C1431" s="1">
        <f ca="1">IFERROR(__xludf.DUMMYFUNCTION("""COMPUTED_VALUE"""),515.36)</f>
        <v>515.36</v>
      </c>
      <c r="D1431" s="1">
        <f ca="1">IFERROR(__xludf.DUMMYFUNCTION("""COMPUTED_VALUE"""),230.33)</f>
        <v>230.33</v>
      </c>
      <c r="E1431" s="1">
        <f ca="1">IFERROR(__xludf.DUMMYFUNCTION("""COMPUTED_VALUE"""),177.33)</f>
        <v>177.33</v>
      </c>
      <c r="F1431" s="1">
        <f ca="1">IFERROR(__xludf.DUMMYFUNCTION("""COMPUTED_VALUE"""),750.9)</f>
        <v>750.9</v>
      </c>
      <c r="G1431" s="1">
        <f ca="1">IFERROR(__xludf.DUMMYFUNCTION("""COMPUTED_VALUE"""),239.56)</f>
        <v>239.56</v>
      </c>
      <c r="H1431" s="1">
        <f ca="1">IFERROR(__xludf.DUMMYFUNCTION("""COMPUTED_VALUE"""),368.81)</f>
        <v>368.81</v>
      </c>
      <c r="I1431" s="1">
        <f ca="1">IFERROR(__xludf.DUMMYFUNCTION("""COMPUTED_VALUE"""),144.23)</f>
        <v>144.22999999999999</v>
      </c>
      <c r="J1431" s="1">
        <f ca="1">IFERROR(__xludf.DUMMYFUNCTION("""COMPUTED_VALUE"""),956.29)</f>
        <v>956.29</v>
      </c>
      <c r="K1431" s="1">
        <f ca="1">IFERROR(__xludf.DUMMYFUNCTION("""COMPUTED_VALUE"""),369.57)</f>
        <v>369.57</v>
      </c>
      <c r="L1431" s="1">
        <f ca="1">IFERROR(__xludf.DUMMYFUNCTION("""COMPUTED_VALUE"""),347.1)</f>
        <v>347.1</v>
      </c>
      <c r="M1431" s="1">
        <f ca="1">IFERROR(__xludf.DUMMYFUNCTION("""COMPUTED_VALUE"""),1247.71)</f>
        <v>1247.71</v>
      </c>
      <c r="N1431" s="1">
        <f ca="1">IFERROR(__xludf.DUMMYFUNCTION("""COMPUTED_VALUE"""),305.56)</f>
        <v>305.56</v>
      </c>
      <c r="O1431" s="1">
        <f ca="1">IFERROR(__xludf.DUMMYFUNCTION("""COMPUTED_VALUE"""),339.05)</f>
        <v>339.05</v>
      </c>
      <c r="P1431" s="1">
        <f ca="1">IFERROR(__xludf.DUMMYFUNCTION("""COMPUTED_VALUE"""),175.79)</f>
        <v>175.79</v>
      </c>
      <c r="Q1431" s="1">
        <f ca="1">IFERROR(__xludf.DUMMYFUNCTION("""COMPUTED_VALUE"""),346.78)</f>
        <v>346.78</v>
      </c>
      <c r="R1431" s="1">
        <f ca="1">IFERROR(__xludf.DUMMYFUNCTION("""COMPUTED_VALUE"""),112.5)</f>
        <v>112.5</v>
      </c>
      <c r="S1431" s="1">
        <f ca="1">IFERROR(__xludf.DUMMYFUNCTION("""COMPUTED_VALUE"""),71.04)</f>
        <v>71.040000000000006</v>
      </c>
      <c r="T1431" s="1">
        <f ca="1">IFERROR(__xludf.DUMMYFUNCTION("""COMPUTED_VALUE"""),102.65)</f>
        <v>102.65</v>
      </c>
      <c r="U1431" s="1">
        <f ca="1">IFERROR(__xludf.DUMMYFUNCTION("""COMPUTED_VALUE"""),74.33)</f>
        <v>74.33</v>
      </c>
      <c r="V1431" s="1">
        <f ca="1">IFERROR(__xludf.DUMMYFUNCTION("""COMPUTED_VALUE"""),422.91)</f>
        <v>422.91</v>
      </c>
      <c r="W1431" s="1">
        <f ca="1">IFERROR(__xludf.DUMMYFUNCTION("""COMPUTED_VALUE"""),473.25)</f>
        <v>473.25</v>
      </c>
      <c r="X1431" s="1">
        <f ca="1">IFERROR(__xludf.DUMMYFUNCTION("""COMPUTED_VALUE"""),793.14)</f>
        <v>793.14</v>
      </c>
      <c r="Y1431" s="1">
        <f ca="1">IFERROR(__xludf.DUMMYFUNCTION("""COMPUTED_VALUE"""),260.44)</f>
        <v>260.44</v>
      </c>
      <c r="Z1431" s="1">
        <f ca="1">IFERROR(__xludf.DUMMYFUNCTION("""COMPUTED_VALUE"""),784.73)</f>
        <v>784.73</v>
      </c>
      <c r="AA1431" s="1">
        <f ca="1">IFERROR(__xludf.DUMMYFUNCTION("""COMPUTED_VALUE"""),24.57)</f>
        <v>24.57</v>
      </c>
      <c r="AB1431" s="1">
        <f ca="1">IFERROR(__xludf.DUMMYFUNCTION("""COMPUTED_VALUE"""),82.36)</f>
        <v>82.36</v>
      </c>
      <c r="AC1431" s="1">
        <f ca="1">IFERROR(__xludf.DUMMYFUNCTION("""COMPUTED_VALUE"""),155.67)</f>
        <v>155.66999999999999</v>
      </c>
    </row>
    <row r="1432" spans="1:29" x14ac:dyDescent="0.25">
      <c r="A1432" s="2">
        <f ca="1">IFERROR(__xludf.DUMMYFUNCTION("""COMPUTED_VALUE"""),45916.6666666666)</f>
        <v>45916.666666666599</v>
      </c>
      <c r="B1432" s="1">
        <f ca="1">IFERROR(__xludf.DUMMYFUNCTION("""COMPUTED_VALUE"""),238.15)</f>
        <v>238.15</v>
      </c>
      <c r="C1432" s="1">
        <f ca="1">IFERROR(__xludf.DUMMYFUNCTION("""COMPUTED_VALUE"""),509.04)</f>
        <v>509.04</v>
      </c>
      <c r="D1432" s="1">
        <f ca="1">IFERROR(__xludf.DUMMYFUNCTION("""COMPUTED_VALUE"""),229.95)</f>
        <v>229.95</v>
      </c>
      <c r="E1432" s="1">
        <f ca="1">IFERROR(__xludf.DUMMYFUNCTION("""COMPUTED_VALUE"""),177.17)</f>
        <v>177.17</v>
      </c>
      <c r="F1432" s="1">
        <f ca="1">IFERROR(__xludf.DUMMYFUNCTION("""COMPUTED_VALUE"""),755.59)</f>
        <v>755.59</v>
      </c>
      <c r="G1432" s="1">
        <f ca="1">IFERROR(__xludf.DUMMYFUNCTION("""COMPUTED_VALUE"""),240.78)</f>
        <v>240.78</v>
      </c>
      <c r="H1432" s="1">
        <f ca="1">IFERROR(__xludf.DUMMYFUNCTION("""COMPUTED_VALUE"""),395.94)</f>
        <v>395.94</v>
      </c>
      <c r="I1432" s="1">
        <f ca="1">IFERROR(__xludf.DUMMYFUNCTION("""COMPUTED_VALUE"""),143.53)</f>
        <v>143.53</v>
      </c>
      <c r="J1432" s="1">
        <f ca="1">IFERROR(__xludf.DUMMYFUNCTION("""COMPUTED_VALUE"""),964.32)</f>
        <v>964.32</v>
      </c>
      <c r="K1432" s="1">
        <f ca="1">IFERROR(__xludf.DUMMYFUNCTION("""COMPUTED_VALUE"""),359.63)</f>
        <v>359.63</v>
      </c>
      <c r="L1432" s="1">
        <f ca="1">IFERROR(__xludf.DUMMYFUNCTION("""COMPUTED_VALUE"""),352.73)</f>
        <v>352.73</v>
      </c>
      <c r="M1432" s="1">
        <f ca="1">IFERROR(__xludf.DUMMYFUNCTION("""COMPUTED_VALUE"""),1203.5)</f>
        <v>1203.5</v>
      </c>
      <c r="N1432" s="1">
        <f ca="1">IFERROR(__xludf.DUMMYFUNCTION("""COMPUTED_VALUE"""),306.91)</f>
        <v>306.91000000000003</v>
      </c>
      <c r="O1432" s="1">
        <f ca="1">IFERROR(__xludf.DUMMYFUNCTION("""COMPUTED_VALUE"""),340.03)</f>
        <v>340.03</v>
      </c>
      <c r="P1432" s="1">
        <f ca="1">IFERROR(__xludf.DUMMYFUNCTION("""COMPUTED_VALUE"""),178.5)</f>
        <v>178.5</v>
      </c>
      <c r="Q1432" s="1">
        <f ca="1">IFERROR(__xludf.DUMMYFUNCTION("""COMPUTED_VALUE"""),353.61)</f>
        <v>353.61</v>
      </c>
      <c r="R1432" s="1">
        <f ca="1">IFERROR(__xludf.DUMMYFUNCTION("""COMPUTED_VALUE"""),112.14)</f>
        <v>112.14</v>
      </c>
      <c r="S1432" s="1">
        <f ca="1">IFERROR(__xludf.DUMMYFUNCTION("""COMPUTED_VALUE"""),71.32)</f>
        <v>71.319999999999993</v>
      </c>
      <c r="T1432" s="1">
        <f ca="1">IFERROR(__xludf.DUMMYFUNCTION("""COMPUTED_VALUE"""),103.49)</f>
        <v>103.49</v>
      </c>
      <c r="U1432" s="1">
        <f ca="1">IFERROR(__xludf.DUMMYFUNCTION("""COMPUTED_VALUE"""),73)</f>
        <v>73</v>
      </c>
      <c r="V1432" s="1">
        <f ca="1">IFERROR(__xludf.DUMMYFUNCTION("""COMPUTED_VALUE"""),431.38)</f>
        <v>431.38</v>
      </c>
      <c r="W1432" s="1">
        <f ca="1">IFERROR(__xludf.DUMMYFUNCTION("""COMPUTED_VALUE"""),474.32)</f>
        <v>474.32</v>
      </c>
      <c r="X1432" s="1">
        <f ca="1">IFERROR(__xludf.DUMMYFUNCTION("""COMPUTED_VALUE"""),804.16)</f>
        <v>804.16</v>
      </c>
      <c r="Y1432" s="1">
        <f ca="1">IFERROR(__xludf.DUMMYFUNCTION("""COMPUTED_VALUE"""),258.91)</f>
        <v>258.91000000000003</v>
      </c>
      <c r="Z1432" s="1">
        <f ca="1">IFERROR(__xludf.DUMMYFUNCTION("""COMPUTED_VALUE"""),780.06)</f>
        <v>780.06</v>
      </c>
      <c r="AA1432" s="1">
        <f ca="1">IFERROR(__xludf.DUMMYFUNCTION("""COMPUTED_VALUE"""),24.86)</f>
        <v>24.86</v>
      </c>
      <c r="AB1432" s="1">
        <f ca="1">IFERROR(__xludf.DUMMYFUNCTION("""COMPUTED_VALUE"""),81.9)</f>
        <v>81.900000000000006</v>
      </c>
      <c r="AC1432" s="1">
        <f ca="1">IFERROR(__xludf.DUMMYFUNCTION("""COMPUTED_VALUE"""),158.57)</f>
        <v>158.57</v>
      </c>
    </row>
    <row r="1433" spans="1:29" x14ac:dyDescent="0.25">
      <c r="A1433" s="2">
        <f ca="1">IFERROR(__xludf.DUMMYFUNCTION("""COMPUTED_VALUE"""),45917.6666666666)</f>
        <v>45917.666666666599</v>
      </c>
      <c r="B1433" s="1">
        <f ca="1">IFERROR(__xludf.DUMMYFUNCTION("""COMPUTED_VALUE"""),238.99)</f>
        <v>238.99</v>
      </c>
      <c r="C1433" s="1">
        <f ca="1">IFERROR(__xludf.DUMMYFUNCTION("""COMPUTED_VALUE"""),510.02)</f>
        <v>510.02</v>
      </c>
      <c r="D1433" s="1">
        <f ca="1">IFERROR(__xludf.DUMMYFUNCTION("""COMPUTED_VALUE"""),228.15)</f>
        <v>228.15</v>
      </c>
      <c r="E1433" s="1">
        <f ca="1">IFERROR(__xludf.DUMMYFUNCTION("""COMPUTED_VALUE"""),177.82)</f>
        <v>177.82</v>
      </c>
      <c r="F1433" s="1">
        <f ca="1">IFERROR(__xludf.DUMMYFUNCTION("""COMPUTED_VALUE"""),764.7)</f>
        <v>764.7</v>
      </c>
      <c r="G1433" s="1">
        <f ca="1">IFERROR(__xludf.DUMMYFUNCTION("""COMPUTED_VALUE"""),241.38)</f>
        <v>241.38</v>
      </c>
      <c r="H1433" s="1">
        <f ca="1">IFERROR(__xludf.DUMMYFUNCTION("""COMPUTED_VALUE"""),410.04)</f>
        <v>410.04</v>
      </c>
      <c r="I1433" s="1">
        <f ca="1">IFERROR(__xludf.DUMMYFUNCTION("""COMPUTED_VALUE"""),140.64)</f>
        <v>140.63999999999999</v>
      </c>
      <c r="J1433" s="1">
        <f ca="1">IFERROR(__xludf.DUMMYFUNCTION("""COMPUTED_VALUE"""),967.9)</f>
        <v>967.9</v>
      </c>
      <c r="K1433" s="1">
        <f ca="1">IFERROR(__xludf.DUMMYFUNCTION("""COMPUTED_VALUE"""),359.87)</f>
        <v>359.87</v>
      </c>
      <c r="L1433" s="1">
        <f ca="1">IFERROR(__xludf.DUMMYFUNCTION("""COMPUTED_VALUE"""),362.07)</f>
        <v>362.07</v>
      </c>
      <c r="M1433" s="1">
        <f ca="1">IFERROR(__xludf.DUMMYFUNCTION("""COMPUTED_VALUE"""),1188.44)</f>
        <v>1188.44</v>
      </c>
      <c r="N1433" s="1">
        <f ca="1">IFERROR(__xludf.DUMMYFUNCTION("""COMPUTED_VALUE"""),308.9)</f>
        <v>308.89999999999998</v>
      </c>
      <c r="O1433" s="1">
        <f ca="1">IFERROR(__xludf.DUMMYFUNCTION("""COMPUTED_VALUE"""),346.2)</f>
        <v>346.2</v>
      </c>
      <c r="P1433" s="1">
        <f ca="1">IFERROR(__xludf.DUMMYFUNCTION("""COMPUTED_VALUE"""),178.06)</f>
        <v>178.06</v>
      </c>
      <c r="Q1433" s="1">
        <f ca="1">IFERROR(__xludf.DUMMYFUNCTION("""COMPUTED_VALUE"""),352.51)</f>
        <v>352.51</v>
      </c>
      <c r="R1433" s="1">
        <f ca="1">IFERROR(__xludf.DUMMYFUNCTION("""COMPUTED_VALUE"""),112.16)</f>
        <v>112.16</v>
      </c>
      <c r="S1433" s="1">
        <f ca="1">IFERROR(__xludf.DUMMYFUNCTION("""COMPUTED_VALUE"""),71.64)</f>
        <v>71.64</v>
      </c>
      <c r="T1433" s="1">
        <f ca="1">IFERROR(__xludf.DUMMYFUNCTION("""COMPUTED_VALUE"""),103.69)</f>
        <v>103.69</v>
      </c>
      <c r="U1433" s="1">
        <f ca="1">IFERROR(__xludf.DUMMYFUNCTION("""COMPUTED_VALUE"""),73.03)</f>
        <v>73.03</v>
      </c>
      <c r="V1433" s="1">
        <f ca="1">IFERROR(__xludf.DUMMYFUNCTION("""COMPUTED_VALUE"""),431.52)</f>
        <v>431.52</v>
      </c>
      <c r="W1433" s="1">
        <f ca="1">IFERROR(__xludf.DUMMYFUNCTION("""COMPUTED_VALUE"""),473.12)</f>
        <v>473.12</v>
      </c>
      <c r="X1433" s="1">
        <f ca="1">IFERROR(__xludf.DUMMYFUNCTION("""COMPUTED_VALUE"""),813.87)</f>
        <v>813.87</v>
      </c>
      <c r="Y1433" s="1">
        <f ca="1">IFERROR(__xludf.DUMMYFUNCTION("""COMPUTED_VALUE"""),259.33)</f>
        <v>259.33</v>
      </c>
      <c r="Z1433" s="1">
        <f ca="1">IFERROR(__xludf.DUMMYFUNCTION("""COMPUTED_VALUE"""),786.76)</f>
        <v>786.76</v>
      </c>
      <c r="AA1433" s="1">
        <f ca="1">IFERROR(__xludf.DUMMYFUNCTION("""COMPUTED_VALUE"""),23.87)</f>
        <v>23.87</v>
      </c>
      <c r="AB1433" s="1">
        <f ca="1">IFERROR(__xludf.DUMMYFUNCTION("""COMPUTED_VALUE"""),82.68)</f>
        <v>82.68</v>
      </c>
      <c r="AC1433" s="1">
        <f ca="1">IFERROR(__xludf.DUMMYFUNCTION("""COMPUTED_VALUE"""),161.16)</f>
        <v>161.16</v>
      </c>
    </row>
    <row r="1434" spans="1:29" x14ac:dyDescent="0.25">
      <c r="A1434" s="2">
        <f ca="1">IFERROR(__xludf.DUMMYFUNCTION("""COMPUTED_VALUE"""),45918.6666666666)</f>
        <v>45918.666666666599</v>
      </c>
      <c r="B1434" s="1">
        <f ca="1">IFERROR(__xludf.DUMMYFUNCTION("""COMPUTED_VALUE"""),237.88)</f>
        <v>237.88</v>
      </c>
      <c r="C1434" s="1">
        <f ca="1">IFERROR(__xludf.DUMMYFUNCTION("""COMPUTED_VALUE"""),508.45)</f>
        <v>508.45</v>
      </c>
      <c r="D1434" s="1">
        <f ca="1">IFERROR(__xludf.DUMMYFUNCTION("""COMPUTED_VALUE"""),231.43)</f>
        <v>231.43</v>
      </c>
      <c r="E1434" s="1">
        <f ca="1">IFERROR(__xludf.DUMMYFUNCTION("""COMPUTED_VALUE"""),177.75)</f>
        <v>177.75</v>
      </c>
      <c r="F1434" s="1">
        <f ca="1">IFERROR(__xludf.DUMMYFUNCTION("""COMPUTED_VALUE"""),779)</f>
        <v>779</v>
      </c>
      <c r="G1434" s="1">
        <f ca="1">IFERROR(__xludf.DUMMYFUNCTION("""COMPUTED_VALUE"""),251.76)</f>
        <v>251.76</v>
      </c>
      <c r="H1434" s="1">
        <f ca="1">IFERROR(__xludf.DUMMYFUNCTION("""COMPUTED_VALUE"""),421.62)</f>
        <v>421.62</v>
      </c>
      <c r="I1434" s="1">
        <f ca="1">IFERROR(__xludf.DUMMYFUNCTION("""COMPUTED_VALUE"""),140.03)</f>
        <v>140.03</v>
      </c>
      <c r="J1434" s="1">
        <f ca="1">IFERROR(__xludf.DUMMYFUNCTION("""COMPUTED_VALUE"""),960.1)</f>
        <v>960.1</v>
      </c>
      <c r="K1434" s="1">
        <f ca="1">IFERROR(__xludf.DUMMYFUNCTION("""COMPUTED_VALUE"""),364.09)</f>
        <v>364.09</v>
      </c>
      <c r="L1434" s="1">
        <f ca="1">IFERROR(__xludf.DUMMYFUNCTION("""COMPUTED_VALUE"""),367.46)</f>
        <v>367.46</v>
      </c>
      <c r="M1434" s="1">
        <f ca="1">IFERROR(__xludf.DUMMYFUNCTION("""COMPUTED_VALUE"""),1202.26)</f>
        <v>1202.26</v>
      </c>
      <c r="N1434" s="1">
        <f ca="1">IFERROR(__xludf.DUMMYFUNCTION("""COMPUTED_VALUE"""),309.19)</f>
        <v>309.19</v>
      </c>
      <c r="O1434" s="1">
        <f ca="1">IFERROR(__xludf.DUMMYFUNCTION("""COMPUTED_VALUE"""),338.18)</f>
        <v>338.18</v>
      </c>
      <c r="P1434" s="1">
        <f ca="1">IFERROR(__xludf.DUMMYFUNCTION("""COMPUTED_VALUE"""),177.4)</f>
        <v>177.4</v>
      </c>
      <c r="Q1434" s="1">
        <f ca="1">IFERROR(__xludf.DUMMYFUNCTION("""COMPUTED_VALUE"""),347.89)</f>
        <v>347.89</v>
      </c>
      <c r="R1434" s="1">
        <f ca="1">IFERROR(__xludf.DUMMYFUNCTION("""COMPUTED_VALUE"""),112.35)</f>
        <v>112.35</v>
      </c>
      <c r="S1434" s="1">
        <f ca="1">IFERROR(__xludf.DUMMYFUNCTION("""COMPUTED_VALUE"""),71.5)</f>
        <v>71.5</v>
      </c>
      <c r="T1434" s="1">
        <f ca="1">IFERROR(__xludf.DUMMYFUNCTION("""COMPUTED_VALUE"""),103.42)</f>
        <v>103.42</v>
      </c>
      <c r="U1434" s="1">
        <f ca="1">IFERROR(__xludf.DUMMYFUNCTION("""COMPUTED_VALUE"""),72.75)</f>
        <v>72.75</v>
      </c>
      <c r="V1434" s="1">
        <f ca="1">IFERROR(__xludf.DUMMYFUNCTION("""COMPUTED_VALUE"""),435.94)</f>
        <v>435.94</v>
      </c>
      <c r="W1434" s="1">
        <f ca="1">IFERROR(__xludf.DUMMYFUNCTION("""COMPUTED_VALUE"""),473.62)</f>
        <v>473.62</v>
      </c>
      <c r="X1434" s="1">
        <f ca="1">IFERROR(__xludf.DUMMYFUNCTION("""COMPUTED_VALUE"""),867.3)</f>
        <v>867.3</v>
      </c>
      <c r="Y1434" s="1">
        <f ca="1">IFERROR(__xludf.DUMMYFUNCTION("""COMPUTED_VALUE"""),261.38)</f>
        <v>261.38</v>
      </c>
      <c r="Z1434" s="1">
        <f ca="1">IFERROR(__xludf.DUMMYFUNCTION("""COMPUTED_VALUE"""),785.53)</f>
        <v>785.53</v>
      </c>
      <c r="AA1434" s="1">
        <f ca="1">IFERROR(__xludf.DUMMYFUNCTION("""COMPUTED_VALUE"""),23.97)</f>
        <v>23.97</v>
      </c>
      <c r="AB1434" s="1">
        <f ca="1">IFERROR(__xludf.DUMMYFUNCTION("""COMPUTED_VALUE"""),84.37)</f>
        <v>84.37</v>
      </c>
      <c r="AC1434" s="1">
        <f ca="1">IFERROR(__xludf.DUMMYFUNCTION("""COMPUTED_VALUE"""),160.46)</f>
        <v>160.46</v>
      </c>
    </row>
    <row r="1435" spans="1:29" x14ac:dyDescent="0.25">
      <c r="A1435" s="2">
        <f ca="1">IFERROR(__xludf.DUMMYFUNCTION("""COMPUTED_VALUE"""),45919.6666666666)</f>
        <v>45919.666666666599</v>
      </c>
      <c r="B1435" s="1">
        <f ca="1">IFERROR(__xludf.DUMMYFUNCTION("""COMPUTED_VALUE"""),245.5)</f>
        <v>245.5</v>
      </c>
      <c r="C1435" s="1">
        <f ca="1">IFERROR(__xludf.DUMMYFUNCTION("""COMPUTED_VALUE"""),517.93)</f>
        <v>517.92999999999995</v>
      </c>
      <c r="D1435" s="1">
        <f ca="1">IFERROR(__xludf.DUMMYFUNCTION("""COMPUTED_VALUE"""),234.05)</f>
        <v>234.05</v>
      </c>
      <c r="E1435" s="1">
        <f ca="1">IFERROR(__xludf.DUMMYFUNCTION("""COMPUTED_VALUE"""),174.88)</f>
        <v>174.88</v>
      </c>
      <c r="F1435" s="1">
        <f ca="1">IFERROR(__xludf.DUMMYFUNCTION("""COMPUTED_VALUE"""),775.72)</f>
        <v>775.72</v>
      </c>
      <c r="G1435" s="1">
        <f ca="1">IFERROR(__xludf.DUMMYFUNCTION("""COMPUTED_VALUE"""),251.42)</f>
        <v>251.42</v>
      </c>
      <c r="H1435" s="1">
        <f ca="1">IFERROR(__xludf.DUMMYFUNCTION("""COMPUTED_VALUE"""),425.86)</f>
        <v>425.86</v>
      </c>
      <c r="I1435" s="1">
        <f ca="1">IFERROR(__xludf.DUMMYFUNCTION("""COMPUTED_VALUE"""),141.23)</f>
        <v>141.22999999999999</v>
      </c>
      <c r="J1435" s="1">
        <f ca="1">IFERROR(__xludf.DUMMYFUNCTION("""COMPUTED_VALUE"""),952.07)</f>
        <v>952.07</v>
      </c>
      <c r="K1435" s="1">
        <f ca="1">IFERROR(__xludf.DUMMYFUNCTION("""COMPUTED_VALUE"""),360)</f>
        <v>360</v>
      </c>
      <c r="L1435" s="1">
        <f ca="1">IFERROR(__xludf.DUMMYFUNCTION("""COMPUTED_VALUE"""),365.9)</f>
        <v>365.9</v>
      </c>
      <c r="M1435" s="1">
        <f ca="1">IFERROR(__xludf.DUMMYFUNCTION("""COMPUTED_VALUE"""),1200.51)</f>
        <v>1200.51</v>
      </c>
      <c r="N1435" s="1">
        <f ca="1">IFERROR(__xludf.DUMMYFUNCTION("""COMPUTED_VALUE"""),311.75)</f>
        <v>311.75</v>
      </c>
      <c r="O1435" s="1">
        <f ca="1">IFERROR(__xludf.DUMMYFUNCTION("""COMPUTED_VALUE"""),341.61)</f>
        <v>341.61</v>
      </c>
      <c r="P1435" s="1">
        <f ca="1">IFERROR(__xludf.DUMMYFUNCTION("""COMPUTED_VALUE"""),176.46)</f>
        <v>176.46</v>
      </c>
      <c r="Q1435" s="1">
        <f ca="1">IFERROR(__xludf.DUMMYFUNCTION("""COMPUTED_VALUE"""),339.78)</f>
        <v>339.78</v>
      </c>
      <c r="R1435" s="1">
        <f ca="1">IFERROR(__xludf.DUMMYFUNCTION("""COMPUTED_VALUE"""),114.68)</f>
        <v>114.68</v>
      </c>
      <c r="S1435" s="1">
        <f ca="1">IFERROR(__xludf.DUMMYFUNCTION("""COMPUTED_VALUE"""),69.83)</f>
        <v>69.83</v>
      </c>
      <c r="T1435" s="1">
        <f ca="1">IFERROR(__xludf.DUMMYFUNCTION("""COMPUTED_VALUE"""),104.27)</f>
        <v>104.27</v>
      </c>
      <c r="U1435" s="1">
        <f ca="1">IFERROR(__xludf.DUMMYFUNCTION("""COMPUTED_VALUE"""),72.31)</f>
        <v>72.31</v>
      </c>
      <c r="V1435" s="1">
        <f ca="1">IFERROR(__xludf.DUMMYFUNCTION("""COMPUTED_VALUE"""),440.67)</f>
        <v>440.67</v>
      </c>
      <c r="W1435" s="1">
        <f ca="1">IFERROR(__xludf.DUMMYFUNCTION("""COMPUTED_VALUE"""),472.94)</f>
        <v>472.94</v>
      </c>
      <c r="X1435" s="1">
        <f ca="1">IFERROR(__xludf.DUMMYFUNCTION("""COMPUTED_VALUE"""),878.42)</f>
        <v>878.42</v>
      </c>
      <c r="Y1435" s="1">
        <f ca="1">IFERROR(__xludf.DUMMYFUNCTION("""COMPUTED_VALUE"""),262.06)</f>
        <v>262.06</v>
      </c>
      <c r="Z1435" s="1">
        <f ca="1">IFERROR(__xludf.DUMMYFUNCTION("""COMPUTED_VALUE"""),794.22)</f>
        <v>794.22</v>
      </c>
      <c r="AA1435" s="1">
        <f ca="1">IFERROR(__xludf.DUMMYFUNCTION("""COMPUTED_VALUE"""),23.9)</f>
        <v>23.9</v>
      </c>
      <c r="AB1435" s="1">
        <f ca="1">IFERROR(__xludf.DUMMYFUNCTION("""COMPUTED_VALUE"""),83.22)</f>
        <v>83.22</v>
      </c>
      <c r="AC1435" s="1">
        <f ca="1">IFERROR(__xludf.DUMMYFUNCTION("""COMPUTED_VALUE"""),159.16)</f>
        <v>159.16</v>
      </c>
    </row>
    <row r="1436" spans="1:29" x14ac:dyDescent="0.25">
      <c r="A1436" s="2">
        <f ca="1">IFERROR(__xludf.DUMMYFUNCTION("""COMPUTED_VALUE"""),45922.6666666666)</f>
        <v>45922.666666666599</v>
      </c>
      <c r="B1436" s="1">
        <f ca="1">IFERROR(__xludf.DUMMYFUNCTION("""COMPUTED_VALUE"""),256.08)</f>
        <v>256.08</v>
      </c>
      <c r="C1436" s="1">
        <f ca="1">IFERROR(__xludf.DUMMYFUNCTION("""COMPUTED_VALUE"""),514.45)</f>
        <v>514.45000000000005</v>
      </c>
      <c r="D1436" s="1">
        <f ca="1">IFERROR(__xludf.DUMMYFUNCTION("""COMPUTED_VALUE"""),231.62)</f>
        <v>231.62</v>
      </c>
      <c r="E1436" s="1">
        <f ca="1">IFERROR(__xludf.DUMMYFUNCTION("""COMPUTED_VALUE"""),170.29)</f>
        <v>170.29</v>
      </c>
      <c r="F1436" s="1">
        <f ca="1">IFERROR(__xludf.DUMMYFUNCTION("""COMPUTED_VALUE"""),780.25)</f>
        <v>780.25</v>
      </c>
      <c r="G1436" s="1">
        <f ca="1">IFERROR(__xludf.DUMMYFUNCTION("""COMPUTED_VALUE"""),249.85)</f>
        <v>249.85</v>
      </c>
      <c r="H1436" s="1">
        <f ca="1">IFERROR(__xludf.DUMMYFUNCTION("""COMPUTED_VALUE"""),416.85)</f>
        <v>416.85</v>
      </c>
      <c r="I1436" s="1">
        <f ca="1">IFERROR(__xludf.DUMMYFUNCTION("""COMPUTED_VALUE"""),140.73)</f>
        <v>140.72999999999999</v>
      </c>
      <c r="J1436" s="1">
        <f ca="1">IFERROR(__xludf.DUMMYFUNCTION("""COMPUTED_VALUE"""),963.03)</f>
        <v>963.03</v>
      </c>
      <c r="K1436" s="1">
        <f ca="1">IFERROR(__xludf.DUMMYFUNCTION("""COMPUTED_VALUE"""),346.17)</f>
        <v>346.17</v>
      </c>
      <c r="L1436" s="1">
        <f ca="1">IFERROR(__xludf.DUMMYFUNCTION("""COMPUTED_VALUE"""),364.08)</f>
        <v>364.08</v>
      </c>
      <c r="M1436" s="1">
        <f ca="1">IFERROR(__xludf.DUMMYFUNCTION("""COMPUTED_VALUE"""),1228.5)</f>
        <v>1228.5</v>
      </c>
      <c r="N1436" s="1">
        <f ca="1">IFERROR(__xludf.DUMMYFUNCTION("""COMPUTED_VALUE"""),313.23)</f>
        <v>313.23</v>
      </c>
      <c r="O1436" s="1">
        <f ca="1">IFERROR(__xludf.DUMMYFUNCTION("""COMPUTED_VALUE"""),344.36)</f>
        <v>344.36</v>
      </c>
      <c r="P1436" s="1">
        <f ca="1">IFERROR(__xludf.DUMMYFUNCTION("""COMPUTED_VALUE"""),177.2)</f>
        <v>177.2</v>
      </c>
      <c r="Q1436" s="1">
        <f ca="1">IFERROR(__xludf.DUMMYFUNCTION("""COMPUTED_VALUE"""),341.61)</f>
        <v>341.61</v>
      </c>
      <c r="R1436" s="1">
        <f ca="1">IFERROR(__xludf.DUMMYFUNCTION("""COMPUTED_VALUE"""),115.29)</f>
        <v>115.29</v>
      </c>
      <c r="S1436" s="1">
        <f ca="1">IFERROR(__xludf.DUMMYFUNCTION("""COMPUTED_VALUE"""),70.31)</f>
        <v>70.31</v>
      </c>
      <c r="T1436" s="1">
        <f ca="1">IFERROR(__xludf.DUMMYFUNCTION("""COMPUTED_VALUE"""),103.6)</f>
        <v>103.6</v>
      </c>
      <c r="U1436" s="1">
        <f ca="1">IFERROR(__xludf.DUMMYFUNCTION("""COMPUTED_VALUE"""),72.1)</f>
        <v>72.099999999999994</v>
      </c>
      <c r="V1436" s="1">
        <f ca="1">IFERROR(__xludf.DUMMYFUNCTION("""COMPUTED_VALUE"""),450.66)</f>
        <v>450.66</v>
      </c>
      <c r="W1436" s="1">
        <f ca="1">IFERROR(__xludf.DUMMYFUNCTION("""COMPUTED_VALUE"""),480.39)</f>
        <v>480.39</v>
      </c>
      <c r="X1436" s="1">
        <f ca="1">IFERROR(__xludf.DUMMYFUNCTION("""COMPUTED_VALUE"""),872.27)</f>
        <v>872.27</v>
      </c>
      <c r="Y1436" s="1">
        <f ca="1">IFERROR(__xludf.DUMMYFUNCTION("""COMPUTED_VALUE"""),262.79)</f>
        <v>262.79000000000002</v>
      </c>
      <c r="Z1436" s="1">
        <f ca="1">IFERROR(__xludf.DUMMYFUNCTION("""COMPUTED_VALUE"""),804.31)</f>
        <v>804.31</v>
      </c>
      <c r="AA1436" s="1">
        <f ca="1">IFERROR(__xludf.DUMMYFUNCTION("""COMPUTED_VALUE"""),24.05)</f>
        <v>24.05</v>
      </c>
      <c r="AB1436" s="1">
        <f ca="1">IFERROR(__xludf.DUMMYFUNCTION("""COMPUTED_VALUE"""),83.42)</f>
        <v>83.42</v>
      </c>
      <c r="AC1436" s="1">
        <f ca="1">IFERROR(__xludf.DUMMYFUNCTION("""COMPUTED_VALUE"""),157.92)</f>
        <v>157.91999999999999</v>
      </c>
    </row>
    <row r="1437" spans="1:29" x14ac:dyDescent="0.25">
      <c r="A1437" s="2">
        <f ca="1">IFERROR(__xludf.DUMMYFUNCTION("""COMPUTED_VALUE"""),45923.6666666666)</f>
        <v>45923.666666666599</v>
      </c>
      <c r="B1437" s="1">
        <f ca="1">IFERROR(__xludf.DUMMYFUNCTION("""COMPUTED_VALUE"""),254.43)</f>
        <v>254.43</v>
      </c>
      <c r="C1437" s="1">
        <f ca="1">IFERROR(__xludf.DUMMYFUNCTION("""COMPUTED_VALUE"""),509.23)</f>
        <v>509.23</v>
      </c>
      <c r="D1437" s="1">
        <f ca="1">IFERROR(__xludf.DUMMYFUNCTION("""COMPUTED_VALUE"""),231.23)</f>
        <v>231.23</v>
      </c>
      <c r="E1437" s="1">
        <f ca="1">IFERROR(__xludf.DUMMYFUNCTION("""COMPUTED_VALUE"""),176.24)</f>
        <v>176.24</v>
      </c>
      <c r="F1437" s="1">
        <f ca="1">IFERROR(__xludf.DUMMYFUNCTION("""COMPUTED_VALUE"""),778.38)</f>
        <v>778.38</v>
      </c>
      <c r="G1437" s="1">
        <f ca="1">IFERROR(__xludf.DUMMYFUNCTION("""COMPUTED_VALUE"""),252.33)</f>
        <v>252.33</v>
      </c>
      <c r="H1437" s="1">
        <f ca="1">IFERROR(__xludf.DUMMYFUNCTION("""COMPUTED_VALUE"""),426.07)</f>
        <v>426.07</v>
      </c>
      <c r="I1437" s="1">
        <f ca="1">IFERROR(__xludf.DUMMYFUNCTION("""COMPUTED_VALUE"""),141.76)</f>
        <v>141.76</v>
      </c>
      <c r="J1437" s="1">
        <f ca="1">IFERROR(__xludf.DUMMYFUNCTION("""COMPUTED_VALUE"""),952.36)</f>
        <v>952.36</v>
      </c>
      <c r="K1437" s="1">
        <f ca="1">IFERROR(__xludf.DUMMYFUNCTION("""COMPUTED_VALUE"""),345.35)</f>
        <v>345.35</v>
      </c>
      <c r="L1437" s="1">
        <f ca="1">IFERROR(__xludf.DUMMYFUNCTION("""COMPUTED_VALUE"""),361.78)</f>
        <v>361.78</v>
      </c>
      <c r="M1437" s="1">
        <f ca="1">IFERROR(__xludf.DUMMYFUNCTION("""COMPUTED_VALUE"""),1207.78)</f>
        <v>1207.78</v>
      </c>
      <c r="N1437" s="1">
        <f ca="1">IFERROR(__xludf.DUMMYFUNCTION("""COMPUTED_VALUE"""),314.78)</f>
        <v>314.77999999999997</v>
      </c>
      <c r="O1437" s="1">
        <f ca="1">IFERROR(__xludf.DUMMYFUNCTION("""COMPUTED_VALUE"""),338.7)</f>
        <v>338.7</v>
      </c>
      <c r="P1437" s="1">
        <f ca="1">IFERROR(__xludf.DUMMYFUNCTION("""COMPUTED_VALUE"""),174.16)</f>
        <v>174.16</v>
      </c>
      <c r="Q1437" s="1">
        <f ca="1">IFERROR(__xludf.DUMMYFUNCTION("""COMPUTED_VALUE"""),334.82)</f>
        <v>334.82</v>
      </c>
      <c r="R1437" s="1">
        <f ca="1">IFERROR(__xludf.DUMMYFUNCTION("""COMPUTED_VALUE"""),113.93)</f>
        <v>113.93</v>
      </c>
      <c r="S1437" s="1">
        <f ca="1">IFERROR(__xludf.DUMMYFUNCTION("""COMPUTED_VALUE"""),70.79)</f>
        <v>70.790000000000006</v>
      </c>
      <c r="T1437" s="1">
        <f ca="1">IFERROR(__xludf.DUMMYFUNCTION("""COMPUTED_VALUE"""),102.33)</f>
        <v>102.33</v>
      </c>
      <c r="U1437" s="1">
        <f ca="1">IFERROR(__xludf.DUMMYFUNCTION("""COMPUTED_VALUE"""),70.89)</f>
        <v>70.89</v>
      </c>
      <c r="V1437" s="1">
        <f ca="1">IFERROR(__xludf.DUMMYFUNCTION("""COMPUTED_VALUE"""),466.96)</f>
        <v>466.96</v>
      </c>
      <c r="W1437" s="1">
        <f ca="1">IFERROR(__xludf.DUMMYFUNCTION("""COMPUTED_VALUE"""),486.67)</f>
        <v>486.67</v>
      </c>
      <c r="X1437" s="1">
        <f ca="1">IFERROR(__xludf.DUMMYFUNCTION("""COMPUTED_VALUE"""),927.8)</f>
        <v>927.8</v>
      </c>
      <c r="Y1437" s="1">
        <f ca="1">IFERROR(__xludf.DUMMYFUNCTION("""COMPUTED_VALUE"""),268.64)</f>
        <v>268.64</v>
      </c>
      <c r="Z1437" s="1">
        <f ca="1">IFERROR(__xludf.DUMMYFUNCTION("""COMPUTED_VALUE"""),805)</f>
        <v>805</v>
      </c>
      <c r="AA1437" s="1">
        <f ca="1">IFERROR(__xludf.DUMMYFUNCTION("""COMPUTED_VALUE"""),24.15)</f>
        <v>24.15</v>
      </c>
      <c r="AB1437" s="1">
        <f ca="1">IFERROR(__xludf.DUMMYFUNCTION("""COMPUTED_VALUE"""),84.56)</f>
        <v>84.56</v>
      </c>
      <c r="AC1437" s="1">
        <f ca="1">IFERROR(__xludf.DUMMYFUNCTION("""COMPUTED_VALUE"""),157.39)</f>
        <v>157.38999999999999</v>
      </c>
    </row>
    <row r="1438" spans="1:29" x14ac:dyDescent="0.25">
      <c r="A1438" s="2">
        <f ca="1">IFERROR(__xludf.DUMMYFUNCTION("""COMPUTED_VALUE"""),45924.6666666666)</f>
        <v>45924.666666666599</v>
      </c>
      <c r="B1438" s="1">
        <f ca="1">IFERROR(__xludf.DUMMYFUNCTION("""COMPUTED_VALUE"""),252.31)</f>
        <v>252.31</v>
      </c>
      <c r="C1438" s="1">
        <f ca="1">IFERROR(__xludf.DUMMYFUNCTION("""COMPUTED_VALUE"""),510.15)</f>
        <v>510.15</v>
      </c>
      <c r="D1438" s="1">
        <f ca="1">IFERROR(__xludf.DUMMYFUNCTION("""COMPUTED_VALUE"""),231.48)</f>
        <v>231.48</v>
      </c>
      <c r="E1438" s="1">
        <f ca="1">IFERROR(__xludf.DUMMYFUNCTION("""COMPUTED_VALUE"""),176.67)</f>
        <v>176.67</v>
      </c>
      <c r="F1438" s="1">
        <f ca="1">IFERROR(__xludf.DUMMYFUNCTION("""COMPUTED_VALUE"""),765.16)</f>
        <v>765.16</v>
      </c>
      <c r="G1438" s="1">
        <f ca="1">IFERROR(__xludf.DUMMYFUNCTION("""COMPUTED_VALUE"""),255.24)</f>
        <v>255.24</v>
      </c>
      <c r="H1438" s="1">
        <f ca="1">IFERROR(__xludf.DUMMYFUNCTION("""COMPUTED_VALUE"""),434.21)</f>
        <v>434.21</v>
      </c>
      <c r="I1438" s="1">
        <f ca="1">IFERROR(__xludf.DUMMYFUNCTION("""COMPUTED_VALUE"""),141.03)</f>
        <v>141.03</v>
      </c>
      <c r="J1438" s="1">
        <f ca="1">IFERROR(__xludf.DUMMYFUNCTION("""COMPUTED_VALUE"""),951.16)</f>
        <v>951.16</v>
      </c>
      <c r="K1438" s="1">
        <f ca="1">IFERROR(__xludf.DUMMYFUNCTION("""COMPUTED_VALUE"""),344.94)</f>
        <v>344.94</v>
      </c>
      <c r="L1438" s="1">
        <f ca="1">IFERROR(__xludf.DUMMYFUNCTION("""COMPUTED_VALUE"""),353.27)</f>
        <v>353.27</v>
      </c>
      <c r="M1438" s="1">
        <f ca="1">IFERROR(__xludf.DUMMYFUNCTION("""COMPUTED_VALUE"""),1226.97)</f>
        <v>1226.97</v>
      </c>
      <c r="N1438" s="1">
        <f ca="1">IFERROR(__xludf.DUMMYFUNCTION("""COMPUTED_VALUE"""),312.44)</f>
        <v>312.44</v>
      </c>
      <c r="O1438" s="1">
        <f ca="1">IFERROR(__xludf.DUMMYFUNCTION("""COMPUTED_VALUE"""),338.68)</f>
        <v>338.68</v>
      </c>
      <c r="P1438" s="1">
        <f ca="1">IFERROR(__xludf.DUMMYFUNCTION("""COMPUTED_VALUE"""),176.19)</f>
        <v>176.19</v>
      </c>
      <c r="Q1438" s="1">
        <f ca="1">IFERROR(__xludf.DUMMYFUNCTION("""COMPUTED_VALUE"""),336.69)</f>
        <v>336.69</v>
      </c>
      <c r="R1438" s="1">
        <f ca="1">IFERROR(__xludf.DUMMYFUNCTION("""COMPUTED_VALUE"""),112.82)</f>
        <v>112.82</v>
      </c>
      <c r="S1438" s="1">
        <f ca="1">IFERROR(__xludf.DUMMYFUNCTION("""COMPUTED_VALUE"""),71.08)</f>
        <v>71.08</v>
      </c>
      <c r="T1438" s="1">
        <f ca="1">IFERROR(__xludf.DUMMYFUNCTION("""COMPUTED_VALUE"""),102.82)</f>
        <v>102.82</v>
      </c>
      <c r="U1438" s="1">
        <f ca="1">IFERROR(__xludf.DUMMYFUNCTION("""COMPUTED_VALUE"""),71.28)</f>
        <v>71.28</v>
      </c>
      <c r="V1438" s="1">
        <f ca="1">IFERROR(__xludf.DUMMYFUNCTION("""COMPUTED_VALUE"""),466.54)</f>
        <v>466.54</v>
      </c>
      <c r="W1438" s="1">
        <f ca="1">IFERROR(__xludf.DUMMYFUNCTION("""COMPUTED_VALUE"""),486.25)</f>
        <v>486.25</v>
      </c>
      <c r="X1438" s="1">
        <f ca="1">IFERROR(__xludf.DUMMYFUNCTION("""COMPUTED_VALUE"""),932.15)</f>
        <v>932.15</v>
      </c>
      <c r="Y1438" s="1">
        <f ca="1">IFERROR(__xludf.DUMMYFUNCTION("""COMPUTED_VALUE"""),264.87)</f>
        <v>264.87</v>
      </c>
      <c r="Z1438" s="1">
        <f ca="1">IFERROR(__xludf.DUMMYFUNCTION("""COMPUTED_VALUE"""),805.56)</f>
        <v>805.56</v>
      </c>
      <c r="AA1438" s="1">
        <f ca="1">IFERROR(__xludf.DUMMYFUNCTION("""COMPUTED_VALUE"""),24.03)</f>
        <v>24.03</v>
      </c>
      <c r="AB1438" s="1">
        <f ca="1">IFERROR(__xludf.DUMMYFUNCTION("""COMPUTED_VALUE"""),85.29)</f>
        <v>85.29</v>
      </c>
      <c r="AC1438" s="1">
        <f ca="1">IFERROR(__xludf.DUMMYFUNCTION("""COMPUTED_VALUE"""),159.79)</f>
        <v>159.79</v>
      </c>
    </row>
    <row r="1439" spans="1:29" x14ac:dyDescent="0.25">
      <c r="A1439" s="2">
        <f ca="1">IFERROR(__xludf.DUMMYFUNCTION("""COMPUTED_VALUE"""),45925.6666666666)</f>
        <v>45925.666666666599</v>
      </c>
      <c r="B1439" s="1">
        <f ca="1">IFERROR(__xludf.DUMMYFUNCTION("""COMPUTED_VALUE"""),256.87)</f>
        <v>256.87</v>
      </c>
      <c r="C1439" s="1">
        <f ca="1">IFERROR(__xludf.DUMMYFUNCTION("""COMPUTED_VALUE"""),507.03)</f>
        <v>507.03</v>
      </c>
      <c r="D1439" s="1">
        <f ca="1">IFERROR(__xludf.DUMMYFUNCTION("""COMPUTED_VALUE"""),227.63)</f>
        <v>227.63</v>
      </c>
      <c r="E1439" s="1">
        <f ca="1">IFERROR(__xludf.DUMMYFUNCTION("""COMPUTED_VALUE"""),183.61)</f>
        <v>183.61</v>
      </c>
      <c r="F1439" s="1">
        <f ca="1">IFERROR(__xludf.DUMMYFUNCTION("""COMPUTED_VALUE"""),755.4)</f>
        <v>755.4</v>
      </c>
      <c r="G1439" s="1">
        <f ca="1">IFERROR(__xludf.DUMMYFUNCTION("""COMPUTED_VALUE"""),252.88)</f>
        <v>252.88</v>
      </c>
      <c r="H1439" s="1">
        <f ca="1">IFERROR(__xludf.DUMMYFUNCTION("""COMPUTED_VALUE"""),425.85)</f>
        <v>425.85</v>
      </c>
      <c r="I1439" s="1">
        <f ca="1">IFERROR(__xludf.DUMMYFUNCTION("""COMPUTED_VALUE"""),141.9)</f>
        <v>141.9</v>
      </c>
      <c r="J1439" s="1">
        <f ca="1">IFERROR(__xludf.DUMMYFUNCTION("""COMPUTED_VALUE"""),943.26)</f>
        <v>943.26</v>
      </c>
      <c r="K1439" s="1">
        <f ca="1">IFERROR(__xludf.DUMMYFUNCTION("""COMPUTED_VALUE"""),338.79)</f>
        <v>338.79</v>
      </c>
      <c r="L1439" s="1">
        <f ca="1">IFERROR(__xludf.DUMMYFUNCTION("""COMPUTED_VALUE"""),354.16)</f>
        <v>354.16</v>
      </c>
      <c r="M1439" s="1">
        <f ca="1">IFERROR(__xludf.DUMMYFUNCTION("""COMPUTED_VALUE"""),1227.37)</f>
        <v>1227.3699999999999</v>
      </c>
      <c r="N1439" s="1">
        <f ca="1">IFERROR(__xludf.DUMMYFUNCTION("""COMPUTED_VALUE"""),312.74)</f>
        <v>312.74</v>
      </c>
      <c r="O1439" s="1">
        <f ca="1">IFERROR(__xludf.DUMMYFUNCTION("""COMPUTED_VALUE"""),334.93)</f>
        <v>334.93</v>
      </c>
      <c r="P1439" s="1">
        <f ca="1">IFERROR(__xludf.DUMMYFUNCTION("""COMPUTED_VALUE"""),174.21)</f>
        <v>174.21</v>
      </c>
      <c r="Q1439" s="1">
        <f ca="1">IFERROR(__xludf.DUMMYFUNCTION("""COMPUTED_VALUE"""),341.3)</f>
        <v>341.3</v>
      </c>
      <c r="R1439" s="1">
        <f ca="1">IFERROR(__xludf.DUMMYFUNCTION("""COMPUTED_VALUE"""),112.02)</f>
        <v>112.02</v>
      </c>
      <c r="S1439" s="1">
        <f ca="1">IFERROR(__xludf.DUMMYFUNCTION("""COMPUTED_VALUE"""),72.35)</f>
        <v>72.349999999999994</v>
      </c>
      <c r="T1439" s="1">
        <f ca="1">IFERROR(__xludf.DUMMYFUNCTION("""COMPUTED_VALUE"""),102.52)</f>
        <v>102.52</v>
      </c>
      <c r="U1439" s="1">
        <f ca="1">IFERROR(__xludf.DUMMYFUNCTION("""COMPUTED_VALUE"""),70.93)</f>
        <v>70.930000000000007</v>
      </c>
      <c r="V1439" s="1">
        <f ca="1">IFERROR(__xludf.DUMMYFUNCTION("""COMPUTED_VALUE"""),472.1)</f>
        <v>472.1</v>
      </c>
      <c r="W1439" s="1">
        <f ca="1">IFERROR(__xludf.DUMMYFUNCTION("""COMPUTED_VALUE"""),484.34)</f>
        <v>484.34</v>
      </c>
      <c r="X1439" s="1">
        <f ca="1">IFERROR(__xludf.DUMMYFUNCTION("""COMPUTED_VALUE"""),957.8)</f>
        <v>957.8</v>
      </c>
      <c r="Y1439" s="1">
        <f ca="1">IFERROR(__xludf.DUMMYFUNCTION("""COMPUTED_VALUE"""),272.63)</f>
        <v>272.63</v>
      </c>
      <c r="Z1439" s="1">
        <f ca="1">IFERROR(__xludf.DUMMYFUNCTION("""COMPUTED_VALUE"""),806.32)</f>
        <v>806.32</v>
      </c>
      <c r="AA1439" s="1">
        <f ca="1">IFERROR(__xludf.DUMMYFUNCTION("""COMPUTED_VALUE"""),24.04)</f>
        <v>24.04</v>
      </c>
      <c r="AB1439" s="1">
        <f ca="1">IFERROR(__xludf.DUMMYFUNCTION("""COMPUTED_VALUE"""),85.69)</f>
        <v>85.69</v>
      </c>
      <c r="AC1439" s="1">
        <f ca="1">IFERROR(__xludf.DUMMYFUNCTION("""COMPUTED_VALUE"""),160.9)</f>
        <v>160.9</v>
      </c>
    </row>
    <row r="1440" spans="1:29" x14ac:dyDescent="0.25">
      <c r="A1440" s="2">
        <f ca="1">IFERROR(__xludf.DUMMYFUNCTION("""COMPUTED_VALUE"""),45926.6666666666)</f>
        <v>45926.666666666599</v>
      </c>
      <c r="B1440" s="1">
        <f ca="1">IFERROR(__xludf.DUMMYFUNCTION("""COMPUTED_VALUE"""),255.46)</f>
        <v>255.46</v>
      </c>
      <c r="C1440" s="1">
        <f ca="1">IFERROR(__xludf.DUMMYFUNCTION("""COMPUTED_VALUE"""),511.46)</f>
        <v>511.46</v>
      </c>
      <c r="D1440" s="1">
        <f ca="1">IFERROR(__xludf.DUMMYFUNCTION("""COMPUTED_VALUE"""),220.71)</f>
        <v>220.71</v>
      </c>
      <c r="E1440" s="1">
        <f ca="1">IFERROR(__xludf.DUMMYFUNCTION("""COMPUTED_VALUE"""),178.43)</f>
        <v>178.43</v>
      </c>
      <c r="F1440" s="1">
        <f ca="1">IFERROR(__xludf.DUMMYFUNCTION("""COMPUTED_VALUE"""),755.4)</f>
        <v>755.4</v>
      </c>
      <c r="G1440" s="1">
        <f ca="1">IFERROR(__xludf.DUMMYFUNCTION("""COMPUTED_VALUE"""),252.34)</f>
        <v>252.34</v>
      </c>
      <c r="H1440" s="1">
        <f ca="1">IFERROR(__xludf.DUMMYFUNCTION("""COMPUTED_VALUE"""),425.85)</f>
        <v>425.85</v>
      </c>
      <c r="I1440" s="1">
        <f ca="1">IFERROR(__xludf.DUMMYFUNCTION("""COMPUTED_VALUE"""),141.9)</f>
        <v>141.9</v>
      </c>
      <c r="J1440" s="1">
        <f ca="1">IFERROR(__xludf.DUMMYFUNCTION("""COMPUTED_VALUE"""),943.6)</f>
        <v>943.6</v>
      </c>
      <c r="K1440" s="1">
        <f ca="1">IFERROR(__xludf.DUMMYFUNCTION("""COMPUTED_VALUE"""),338.94)</f>
        <v>338.94</v>
      </c>
      <c r="L1440" s="1">
        <f ca="1">IFERROR(__xludf.DUMMYFUNCTION("""COMPUTED_VALUE"""),360.37)</f>
        <v>360.37</v>
      </c>
      <c r="M1440" s="1">
        <f ca="1">IFERROR(__xludf.DUMMYFUNCTION("""COMPUTED_VALUE"""),1218.47)</f>
        <v>1218.47</v>
      </c>
      <c r="N1440" s="1">
        <f ca="1">IFERROR(__xludf.DUMMYFUNCTION("""COMPUTED_VALUE"""),312.74)</f>
        <v>312.74</v>
      </c>
      <c r="O1440" s="1">
        <f ca="1">IFERROR(__xludf.DUMMYFUNCTION("""COMPUTED_VALUE"""),337.37)</f>
        <v>337.37</v>
      </c>
      <c r="P1440" s="1">
        <f ca="1">IFERROR(__xludf.DUMMYFUNCTION("""COMPUTED_VALUE"""),176.58)</f>
        <v>176.58</v>
      </c>
      <c r="Q1440" s="1">
        <f ca="1">IFERROR(__xludf.DUMMYFUNCTION("""COMPUTED_VALUE"""),347.69)</f>
        <v>347.69</v>
      </c>
      <c r="R1440" s="1">
        <f ca="1">IFERROR(__xludf.DUMMYFUNCTION("""COMPUTED_VALUE"""),113.95)</f>
        <v>113.95</v>
      </c>
      <c r="S1440" s="1">
        <f ca="1">IFERROR(__xludf.DUMMYFUNCTION("""COMPUTED_VALUE"""),72.32)</f>
        <v>72.319999999999993</v>
      </c>
      <c r="T1440" s="1">
        <f ca="1">IFERROR(__xludf.DUMMYFUNCTION("""COMPUTED_VALUE"""),102.52)</f>
        <v>102.52</v>
      </c>
      <c r="U1440" s="1">
        <f ca="1">IFERROR(__xludf.DUMMYFUNCTION("""COMPUTED_VALUE"""),70.93)</f>
        <v>70.930000000000007</v>
      </c>
      <c r="V1440" s="1">
        <f ca="1">IFERROR(__xludf.DUMMYFUNCTION("""COMPUTED_VALUE"""),471.26)</f>
        <v>471.26</v>
      </c>
      <c r="W1440" s="1">
        <f ca="1">IFERROR(__xludf.DUMMYFUNCTION("""COMPUTED_VALUE"""),487.44)</f>
        <v>487.44</v>
      </c>
      <c r="X1440" s="1">
        <f ca="1">IFERROR(__xludf.DUMMYFUNCTION("""COMPUTED_VALUE"""),963.51)</f>
        <v>963.51</v>
      </c>
      <c r="Y1440" s="1">
        <f ca="1">IFERROR(__xludf.DUMMYFUNCTION("""COMPUTED_VALUE"""),282.71)</f>
        <v>282.70999999999998</v>
      </c>
      <c r="Z1440" s="1">
        <f ca="1">IFERROR(__xludf.DUMMYFUNCTION("""COMPUTED_VALUE"""),806.32)</f>
        <v>806.32</v>
      </c>
      <c r="AA1440" s="1">
        <f ca="1">IFERROR(__xludf.DUMMYFUNCTION("""COMPUTED_VALUE"""),24.13)</f>
        <v>24.13</v>
      </c>
      <c r="AB1440" s="1">
        <f ca="1">IFERROR(__xludf.DUMMYFUNCTION("""COMPUTED_VALUE"""),85.69)</f>
        <v>85.69</v>
      </c>
      <c r="AC1440" s="1">
        <f ca="1">IFERROR(__xludf.DUMMYFUNCTION("""COMPUTED_VALUE"""),160.9)</f>
        <v>160.9</v>
      </c>
    </row>
    <row r="1441" spans="1:29" x14ac:dyDescent="0.25">
      <c r="A1441" s="2">
        <f ca="1">IFERROR(__xludf.DUMMYFUNCTION("""COMPUTED_VALUE"""),45929.6666666666)</f>
        <v>45929.666666666599</v>
      </c>
      <c r="B1441" s="1">
        <f ca="1">IFERROR(__xludf.DUMMYFUNCTION("""COMPUTED_VALUE"""),254.43)</f>
        <v>254.43</v>
      </c>
      <c r="C1441" s="1">
        <f ca="1">IFERROR(__xludf.DUMMYFUNCTION("""COMPUTED_VALUE"""),514.6)</f>
        <v>514.6</v>
      </c>
      <c r="D1441" s="1">
        <f ca="1">IFERROR(__xludf.DUMMYFUNCTION("""COMPUTED_VALUE"""),220.21)</f>
        <v>220.21</v>
      </c>
      <c r="E1441" s="1">
        <f ca="1">IFERROR(__xludf.DUMMYFUNCTION("""COMPUTED_VALUE"""),176.97)</f>
        <v>176.97</v>
      </c>
      <c r="F1441" s="1">
        <f ca="1">IFERROR(__xludf.DUMMYFUNCTION("""COMPUTED_VALUE"""),743.75)</f>
        <v>743.75</v>
      </c>
      <c r="G1441" s="1">
        <f ca="1">IFERROR(__xludf.DUMMYFUNCTION("""COMPUTED_VALUE"""),247.83)</f>
        <v>247.83</v>
      </c>
      <c r="H1441" s="1">
        <f ca="1">IFERROR(__xludf.DUMMYFUNCTION("""COMPUTED_VALUE"""),440.4)</f>
        <v>440.4</v>
      </c>
      <c r="I1441" s="1">
        <f ca="1">IFERROR(__xludf.DUMMYFUNCTION("""COMPUTED_VALUE"""),140.44)</f>
        <v>140.44</v>
      </c>
      <c r="J1441" s="1">
        <f ca="1">IFERROR(__xludf.DUMMYFUNCTION("""COMPUTED_VALUE"""),945.27)</f>
        <v>945.27</v>
      </c>
      <c r="K1441" s="1">
        <f ca="1">IFERROR(__xludf.DUMMYFUNCTION("""COMPUTED_VALUE"""),339.31)</f>
        <v>339.31</v>
      </c>
      <c r="L1441" s="1">
        <f ca="1">IFERROR(__xludf.DUMMYFUNCTION("""COMPUTED_VALUE"""),359.42)</f>
        <v>359.42</v>
      </c>
      <c r="M1441" s="1">
        <f ca="1">IFERROR(__xludf.DUMMYFUNCTION("""COMPUTED_VALUE"""),1203.95)</f>
        <v>1203.95</v>
      </c>
      <c r="N1441" s="1">
        <f ca="1">IFERROR(__xludf.DUMMYFUNCTION("""COMPUTED_VALUE"""),316.06)</f>
        <v>316.06</v>
      </c>
      <c r="O1441" s="1">
        <f ca="1">IFERROR(__xludf.DUMMYFUNCTION("""COMPUTED_VALUE"""),340.16)</f>
        <v>340.16</v>
      </c>
      <c r="P1441" s="1">
        <f ca="1">IFERROR(__xludf.DUMMYFUNCTION("""COMPUTED_VALUE"""),176.69)</f>
        <v>176.69</v>
      </c>
      <c r="Q1441" s="1">
        <f ca="1">IFERROR(__xludf.DUMMYFUNCTION("""COMPUTED_VALUE"""),351.81)</f>
        <v>351.81</v>
      </c>
      <c r="R1441" s="1">
        <f ca="1">IFERROR(__xludf.DUMMYFUNCTION("""COMPUTED_VALUE"""),114.56)</f>
        <v>114.56</v>
      </c>
      <c r="S1441" s="1">
        <f ca="1">IFERROR(__xludf.DUMMYFUNCTION("""COMPUTED_VALUE"""),73.83)</f>
        <v>73.83</v>
      </c>
      <c r="T1441" s="1">
        <f ca="1">IFERROR(__xludf.DUMMYFUNCTION("""COMPUTED_VALUE"""),103.16)</f>
        <v>103.16</v>
      </c>
      <c r="U1441" s="1">
        <f ca="1">IFERROR(__xludf.DUMMYFUNCTION("""COMPUTED_VALUE"""),69.31)</f>
        <v>69.31</v>
      </c>
      <c r="V1441" s="1">
        <f ca="1">IFERROR(__xludf.DUMMYFUNCTION("""COMPUTED_VALUE"""),469.79)</f>
        <v>469.79</v>
      </c>
      <c r="W1441" s="1">
        <f ca="1">IFERROR(__xludf.DUMMYFUNCTION("""COMPUTED_VALUE"""),491.98)</f>
        <v>491.98</v>
      </c>
      <c r="X1441" s="1">
        <f ca="1">IFERROR(__xludf.DUMMYFUNCTION("""COMPUTED_VALUE"""),946.94)</f>
        <v>946.94</v>
      </c>
      <c r="Y1441" s="1">
        <f ca="1">IFERROR(__xludf.DUMMYFUNCTION("""COMPUTED_VALUE"""),280.71)</f>
        <v>280.70999999999998</v>
      </c>
      <c r="Z1441" s="1">
        <f ca="1">IFERROR(__xludf.DUMMYFUNCTION("""COMPUTED_VALUE"""),802.51)</f>
        <v>802.51</v>
      </c>
      <c r="AA1441" s="1">
        <f ca="1">IFERROR(__xludf.DUMMYFUNCTION("""COMPUTED_VALUE"""),24.09)</f>
        <v>24.09</v>
      </c>
      <c r="AB1441" s="1">
        <f ca="1">IFERROR(__xludf.DUMMYFUNCTION("""COMPUTED_VALUE"""),83.39)</f>
        <v>83.39</v>
      </c>
      <c r="AC1441" s="1">
        <f ca="1">IFERROR(__xludf.DUMMYFUNCTION("""COMPUTED_VALUE"""),159.46)</f>
        <v>159.46</v>
      </c>
    </row>
    <row r="1442" spans="1:29" x14ac:dyDescent="0.25">
      <c r="A1442" s="2">
        <f ca="1">IFERROR(__xludf.DUMMYFUNCTION("""COMPUTED_VALUE"""),45930.6666666666)</f>
        <v>45930.666666666599</v>
      </c>
      <c r="B1442" s="1">
        <f ca="1">IFERROR(__xludf.DUMMYFUNCTION("""COMPUTED_VALUE"""),254.63)</f>
        <v>254.63</v>
      </c>
      <c r="C1442" s="1">
        <f ca="1">IFERROR(__xludf.DUMMYFUNCTION("""COMPUTED_VALUE"""),517.95)</f>
        <v>517.95000000000005</v>
      </c>
      <c r="D1442" s="1">
        <f ca="1">IFERROR(__xludf.DUMMYFUNCTION("""COMPUTED_VALUE"""),218.15)</f>
        <v>218.15</v>
      </c>
      <c r="E1442" s="1">
        <f ca="1">IFERROR(__xludf.DUMMYFUNCTION("""COMPUTED_VALUE"""),177.69)</f>
        <v>177.69</v>
      </c>
      <c r="F1442" s="1">
        <f ca="1">IFERROR(__xludf.DUMMYFUNCTION("""COMPUTED_VALUE"""),743.4)</f>
        <v>743.4</v>
      </c>
      <c r="G1442" s="1">
        <f ca="1">IFERROR(__xludf.DUMMYFUNCTION("""COMPUTED_VALUE"""),246.57)</f>
        <v>246.57</v>
      </c>
      <c r="H1442" s="1">
        <f ca="1">IFERROR(__xludf.DUMMYFUNCTION("""COMPUTED_VALUE"""),443.21)</f>
        <v>443.21</v>
      </c>
      <c r="I1442" s="1">
        <f ca="1">IFERROR(__xludf.DUMMYFUNCTION("""COMPUTED_VALUE"""),140.17)</f>
        <v>140.16999999999999</v>
      </c>
      <c r="J1442" s="1">
        <f ca="1">IFERROR(__xludf.DUMMYFUNCTION("""COMPUTED_VALUE"""),943.31)</f>
        <v>943.31</v>
      </c>
      <c r="K1442" s="1">
        <f ca="1">IFERROR(__xludf.DUMMYFUNCTION("""COMPUTED_VALUE"""),336.1)</f>
        <v>336.1</v>
      </c>
      <c r="L1442" s="1">
        <f ca="1">IFERROR(__xludf.DUMMYFUNCTION("""COMPUTED_VALUE"""),352.75)</f>
        <v>352.75</v>
      </c>
      <c r="M1442" s="1">
        <f ca="1">IFERROR(__xludf.DUMMYFUNCTION("""COMPUTED_VALUE"""),1208.24)</f>
        <v>1208.24</v>
      </c>
      <c r="N1442" s="1">
        <f ca="1">IFERROR(__xludf.DUMMYFUNCTION("""COMPUTED_VALUE"""),315.69)</f>
        <v>315.69</v>
      </c>
      <c r="O1442" s="1">
        <f ca="1">IFERROR(__xludf.DUMMYFUNCTION("""COMPUTED_VALUE"""),341.38)</f>
        <v>341.38</v>
      </c>
      <c r="P1442" s="1">
        <f ca="1">IFERROR(__xludf.DUMMYFUNCTION("""COMPUTED_VALUE"""),177.73)</f>
        <v>177.73</v>
      </c>
      <c r="Q1442" s="1">
        <f ca="1">IFERROR(__xludf.DUMMYFUNCTION("""COMPUTED_VALUE"""),345.56)</f>
        <v>345.56</v>
      </c>
      <c r="R1442" s="1">
        <f ca="1">IFERROR(__xludf.DUMMYFUNCTION("""COMPUTED_VALUE"""),115.59)</f>
        <v>115.59</v>
      </c>
      <c r="S1442" s="1">
        <f ca="1">IFERROR(__xludf.DUMMYFUNCTION("""COMPUTED_VALUE"""),74.65)</f>
        <v>74.650000000000006</v>
      </c>
      <c r="T1442" s="1">
        <f ca="1">IFERROR(__xludf.DUMMYFUNCTION("""COMPUTED_VALUE"""),103.08)</f>
        <v>103.08</v>
      </c>
      <c r="U1442" s="1">
        <f ca="1">IFERROR(__xludf.DUMMYFUNCTION("""COMPUTED_VALUE"""),69.55)</f>
        <v>69.55</v>
      </c>
      <c r="V1442" s="1">
        <f ca="1">IFERROR(__xludf.DUMMYFUNCTION("""COMPUTED_VALUE"""),463.72)</f>
        <v>463.72</v>
      </c>
      <c r="W1442" s="1">
        <f ca="1">IFERROR(__xludf.DUMMYFUNCTION("""COMPUTED_VALUE"""),499.21)</f>
        <v>499.21</v>
      </c>
      <c r="X1442" s="1">
        <f ca="1">IFERROR(__xludf.DUMMYFUNCTION("""COMPUTED_VALUE"""),949.55)</f>
        <v>949.55</v>
      </c>
      <c r="Y1442" s="1">
        <f ca="1">IFERROR(__xludf.DUMMYFUNCTION("""COMPUTED_VALUE"""),276.66)</f>
        <v>276.66000000000003</v>
      </c>
      <c r="Z1442" s="1">
        <f ca="1">IFERROR(__xludf.DUMMYFUNCTION("""COMPUTED_VALUE"""),804.12)</f>
        <v>804.12</v>
      </c>
      <c r="AA1442" s="1">
        <f ca="1">IFERROR(__xludf.DUMMYFUNCTION("""COMPUTED_VALUE"""),23.6)</f>
        <v>23.6</v>
      </c>
      <c r="AB1442" s="1">
        <f ca="1">IFERROR(__xludf.DUMMYFUNCTION("""COMPUTED_VALUE"""),85.64)</f>
        <v>85.64</v>
      </c>
      <c r="AC1442" s="1">
        <f ca="1">IFERROR(__xludf.DUMMYFUNCTION("""COMPUTED_VALUE"""),161.36)</f>
        <v>161.36000000000001</v>
      </c>
    </row>
    <row r="1443" spans="1:29" x14ac:dyDescent="0.25">
      <c r="A1443" s="2">
        <f ca="1">IFERROR(__xludf.DUMMYFUNCTION("""COMPUTED_VALUE"""),45931.6666666666)</f>
        <v>45931.666666666599</v>
      </c>
      <c r="B1443" s="1">
        <f ca="1">IFERROR(__xludf.DUMMYFUNCTION("""COMPUTED_VALUE"""),255.45)</f>
        <v>255.45</v>
      </c>
      <c r="C1443" s="1">
        <f ca="1">IFERROR(__xludf.DUMMYFUNCTION("""COMPUTED_VALUE"""),519.71)</f>
        <v>519.71</v>
      </c>
      <c r="D1443" s="1">
        <f ca="1">IFERROR(__xludf.DUMMYFUNCTION("""COMPUTED_VALUE"""),219.78)</f>
        <v>219.78</v>
      </c>
      <c r="E1443" s="1">
        <f ca="1">IFERROR(__xludf.DUMMYFUNCTION("""COMPUTED_VALUE"""),178.19)</f>
        <v>178.19</v>
      </c>
      <c r="F1443" s="1">
        <f ca="1">IFERROR(__xludf.DUMMYFUNCTION("""COMPUTED_VALUE"""),734.38)</f>
        <v>734.38</v>
      </c>
      <c r="G1443" s="1">
        <f ca="1">IFERROR(__xludf.DUMMYFUNCTION("""COMPUTED_VALUE"""),247.18)</f>
        <v>247.18</v>
      </c>
      <c r="H1443" s="1">
        <f ca="1">IFERROR(__xludf.DUMMYFUNCTION("""COMPUTED_VALUE"""),444.72)</f>
        <v>444.72</v>
      </c>
      <c r="I1443" s="1">
        <f ca="1">IFERROR(__xludf.DUMMYFUNCTION("""COMPUTED_VALUE"""),140.44)</f>
        <v>140.44</v>
      </c>
      <c r="J1443" s="1">
        <f ca="1">IFERROR(__xludf.DUMMYFUNCTION("""COMPUTED_VALUE"""),915.95)</f>
        <v>915.95</v>
      </c>
      <c r="K1443" s="1">
        <f ca="1">IFERROR(__xludf.DUMMYFUNCTION("""COMPUTED_VALUE"""),334.53)</f>
        <v>334.53</v>
      </c>
      <c r="L1443" s="1">
        <f ca="1">IFERROR(__xludf.DUMMYFUNCTION("""COMPUTED_VALUE"""),343.72)</f>
        <v>343.72</v>
      </c>
      <c r="M1443" s="1">
        <f ca="1">IFERROR(__xludf.DUMMYFUNCTION("""COMPUTED_VALUE"""),1210.61)</f>
        <v>1210.6099999999999</v>
      </c>
      <c r="N1443" s="1">
        <f ca="1">IFERROR(__xludf.DUMMYFUNCTION("""COMPUTED_VALUE"""),315.43)</f>
        <v>315.43</v>
      </c>
      <c r="O1443" s="1">
        <f ca="1">IFERROR(__xludf.DUMMYFUNCTION("""COMPUTED_VALUE"""),347.83)</f>
        <v>347.83</v>
      </c>
      <c r="P1443" s="1">
        <f ca="1">IFERROR(__xludf.DUMMYFUNCTION("""COMPUTED_VALUE"""),179.71)</f>
        <v>179.71</v>
      </c>
      <c r="Q1443" s="1">
        <f ca="1">IFERROR(__xludf.DUMMYFUNCTION("""COMPUTED_VALUE"""),344.08)</f>
        <v>344.08</v>
      </c>
      <c r="R1443" s="1">
        <f ca="1">IFERROR(__xludf.DUMMYFUNCTION("""COMPUTED_VALUE"""),117.22)</f>
        <v>117.22</v>
      </c>
      <c r="S1443" s="1">
        <f ca="1">IFERROR(__xludf.DUMMYFUNCTION("""COMPUTED_VALUE"""),75.85)</f>
        <v>75.849999999999994</v>
      </c>
      <c r="T1443" s="1">
        <f ca="1">IFERROR(__xludf.DUMMYFUNCTION("""COMPUTED_VALUE"""),103.06)</f>
        <v>103.06</v>
      </c>
      <c r="U1443" s="1">
        <f ca="1">IFERROR(__xludf.DUMMYFUNCTION("""COMPUTED_VALUE"""),69.73)</f>
        <v>69.73</v>
      </c>
      <c r="V1443" s="1">
        <f ca="1">IFERROR(__xludf.DUMMYFUNCTION("""COMPUTED_VALUE"""),465.76)</f>
        <v>465.76</v>
      </c>
      <c r="W1443" s="1">
        <f ca="1">IFERROR(__xludf.DUMMYFUNCTION("""COMPUTED_VALUE"""),499)</f>
        <v>499</v>
      </c>
      <c r="X1443" s="1">
        <f ca="1">IFERROR(__xludf.DUMMYFUNCTION("""COMPUTED_VALUE"""),951.52)</f>
        <v>951.52</v>
      </c>
      <c r="Y1443" s="1">
        <f ca="1">IFERROR(__xludf.DUMMYFUNCTION("""COMPUTED_VALUE"""),273.36)</f>
        <v>273.36</v>
      </c>
      <c r="Z1443" s="1">
        <f ca="1">IFERROR(__xludf.DUMMYFUNCTION("""COMPUTED_VALUE"""),796.35)</f>
        <v>796.35</v>
      </c>
      <c r="AA1443" s="1">
        <f ca="1">IFERROR(__xludf.DUMMYFUNCTION("""COMPUTED_VALUE"""),23.76)</f>
        <v>23.76</v>
      </c>
      <c r="AB1443" s="1">
        <f ca="1">IFERROR(__xludf.DUMMYFUNCTION("""COMPUTED_VALUE"""),84.6)</f>
        <v>84.6</v>
      </c>
      <c r="AC1443" s="1">
        <f ca="1">IFERROR(__xludf.DUMMYFUNCTION("""COMPUTED_VALUE"""),161.79)</f>
        <v>161.79</v>
      </c>
    </row>
    <row r="1444" spans="1:29" x14ac:dyDescent="0.25">
      <c r="A1444" s="2">
        <f ca="1">IFERROR(__xludf.DUMMYFUNCTION("""COMPUTED_VALUE"""),45932.6666666666)</f>
        <v>45932.666666666599</v>
      </c>
      <c r="B1444" s="1">
        <f ca="1">IFERROR(__xludf.DUMMYFUNCTION("""COMPUTED_VALUE"""),257.13)</f>
        <v>257.13</v>
      </c>
      <c r="C1444" s="1">
        <f ca="1">IFERROR(__xludf.DUMMYFUNCTION("""COMPUTED_VALUE"""),515.74)</f>
        <v>515.74</v>
      </c>
      <c r="D1444" s="1">
        <f ca="1">IFERROR(__xludf.DUMMYFUNCTION("""COMPUTED_VALUE"""),222.17)</f>
        <v>222.17</v>
      </c>
      <c r="E1444" s="1">
        <f ca="1">IFERROR(__xludf.DUMMYFUNCTION("""COMPUTED_VALUE"""),181.85)</f>
        <v>181.85</v>
      </c>
      <c r="F1444" s="1">
        <f ca="1">IFERROR(__xludf.DUMMYFUNCTION("""COMPUTED_VALUE"""),717.34)</f>
        <v>717.34</v>
      </c>
      <c r="G1444" s="1">
        <f ca="1">IFERROR(__xludf.DUMMYFUNCTION("""COMPUTED_VALUE"""),244.36)</f>
        <v>244.36</v>
      </c>
      <c r="H1444" s="1">
        <f ca="1">IFERROR(__xludf.DUMMYFUNCTION("""COMPUTED_VALUE"""),459.46)</f>
        <v>459.46</v>
      </c>
      <c r="I1444" s="1">
        <f ca="1">IFERROR(__xludf.DUMMYFUNCTION("""COMPUTED_VALUE"""),143.14)</f>
        <v>143.13999999999999</v>
      </c>
      <c r="J1444" s="1">
        <f ca="1">IFERROR(__xludf.DUMMYFUNCTION("""COMPUTED_VALUE"""),916.87)</f>
        <v>916.87</v>
      </c>
      <c r="K1444" s="1">
        <f ca="1">IFERROR(__xludf.DUMMYFUNCTION("""COMPUTED_VALUE"""),327.9)</f>
        <v>327.9</v>
      </c>
      <c r="L1444" s="1">
        <f ca="1">IFERROR(__xludf.DUMMYFUNCTION("""COMPUTED_VALUE"""),351.48)</f>
        <v>351.48</v>
      </c>
      <c r="M1444" s="1">
        <f ca="1">IFERROR(__xludf.DUMMYFUNCTION("""COMPUTED_VALUE"""),1206.41)</f>
        <v>1206.4100000000001</v>
      </c>
      <c r="N1444" s="1">
        <f ca="1">IFERROR(__xludf.DUMMYFUNCTION("""COMPUTED_VALUE"""),310.71)</f>
        <v>310.70999999999998</v>
      </c>
      <c r="O1444" s="1">
        <f ca="1">IFERROR(__xludf.DUMMYFUNCTION("""COMPUTED_VALUE"""),345.95)</f>
        <v>345.95</v>
      </c>
      <c r="P1444" s="1">
        <f ca="1">IFERROR(__xludf.DUMMYFUNCTION("""COMPUTED_VALUE"""),181.62)</f>
        <v>181.62</v>
      </c>
      <c r="Q1444" s="1">
        <f ca="1">IFERROR(__xludf.DUMMYFUNCTION("""COMPUTED_VALUE"""),345.18)</f>
        <v>345.18</v>
      </c>
      <c r="R1444" s="1">
        <f ca="1">IFERROR(__xludf.DUMMYFUNCTION("""COMPUTED_VALUE"""),114.22)</f>
        <v>114.22</v>
      </c>
      <c r="S1444" s="1">
        <f ca="1">IFERROR(__xludf.DUMMYFUNCTION("""COMPUTED_VALUE"""),76.21)</f>
        <v>76.209999999999994</v>
      </c>
      <c r="T1444" s="1">
        <f ca="1">IFERROR(__xludf.DUMMYFUNCTION("""COMPUTED_VALUE"""),101.96)</f>
        <v>101.96</v>
      </c>
      <c r="U1444" s="1">
        <f ca="1">IFERROR(__xludf.DUMMYFUNCTION("""COMPUTED_VALUE"""),74.2)</f>
        <v>74.2</v>
      </c>
      <c r="V1444" s="1">
        <f ca="1">IFERROR(__xludf.DUMMYFUNCTION("""COMPUTED_VALUE"""),471.61)</f>
        <v>471.61</v>
      </c>
      <c r="W1444" s="1">
        <f ca="1">IFERROR(__xludf.DUMMYFUNCTION("""COMPUTED_VALUE"""),499.36)</f>
        <v>499.36</v>
      </c>
      <c r="X1444" s="1">
        <f ca="1">IFERROR(__xludf.DUMMYFUNCTION("""COMPUTED_VALUE"""),962.61)</f>
        <v>962.61</v>
      </c>
      <c r="Y1444" s="1">
        <f ca="1">IFERROR(__xludf.DUMMYFUNCTION("""COMPUTED_VALUE"""),273.23)</f>
        <v>273.23</v>
      </c>
      <c r="Z1444" s="1">
        <f ca="1">IFERROR(__xludf.DUMMYFUNCTION("""COMPUTED_VALUE"""),785.51)</f>
        <v>785.51</v>
      </c>
      <c r="AA1444" s="1">
        <f ca="1">IFERROR(__xludf.DUMMYFUNCTION("""COMPUTED_VALUE"""),23.85)</f>
        <v>23.85</v>
      </c>
      <c r="AB1444" s="1">
        <f ca="1">IFERROR(__xludf.DUMMYFUNCTION("""COMPUTED_VALUE"""),84.4)</f>
        <v>84.4</v>
      </c>
      <c r="AC1444" s="1">
        <f ca="1">IFERROR(__xludf.DUMMYFUNCTION("""COMPUTED_VALUE"""),164.01)</f>
        <v>164.01</v>
      </c>
    </row>
    <row r="1445" spans="1:29" x14ac:dyDescent="0.25">
      <c r="A1445" s="2">
        <f ca="1">IFERROR(__xludf.DUMMYFUNCTION("""COMPUTED_VALUE"""),45933.6666666666)</f>
        <v>45933.666666666599</v>
      </c>
      <c r="B1445" s="1">
        <f ca="1">IFERROR(__xludf.DUMMYFUNCTION("""COMPUTED_VALUE"""),258.02)</f>
        <v>258.02</v>
      </c>
      <c r="C1445" s="1">
        <f ca="1">IFERROR(__xludf.DUMMYFUNCTION("""COMPUTED_VALUE"""),517.35)</f>
        <v>517.35</v>
      </c>
      <c r="D1445" s="1">
        <f ca="1">IFERROR(__xludf.DUMMYFUNCTION("""COMPUTED_VALUE"""),219.57)</f>
        <v>219.57</v>
      </c>
      <c r="E1445" s="1">
        <f ca="1">IFERROR(__xludf.DUMMYFUNCTION("""COMPUTED_VALUE"""),186.58)</f>
        <v>186.58</v>
      </c>
      <c r="F1445" s="1">
        <f ca="1">IFERROR(__xludf.DUMMYFUNCTION("""COMPUTED_VALUE"""),727.05)</f>
        <v>727.05</v>
      </c>
      <c r="G1445" s="1">
        <f ca="1">IFERROR(__xludf.DUMMYFUNCTION("""COMPUTED_VALUE"""),243.55)</f>
        <v>243.55</v>
      </c>
      <c r="H1445" s="1">
        <f ca="1">IFERROR(__xludf.DUMMYFUNCTION("""COMPUTED_VALUE"""),436)</f>
        <v>436</v>
      </c>
      <c r="I1445" s="1">
        <f ca="1">IFERROR(__xludf.DUMMYFUNCTION("""COMPUTED_VALUE"""),142.31)</f>
        <v>142.31</v>
      </c>
      <c r="J1445" s="1">
        <f ca="1">IFERROR(__xludf.DUMMYFUNCTION("""COMPUTED_VALUE"""),925.63)</f>
        <v>925.63</v>
      </c>
      <c r="K1445" s="1">
        <f ca="1">IFERROR(__xludf.DUMMYFUNCTION("""COMPUTED_VALUE"""),329.91)</f>
        <v>329.91</v>
      </c>
      <c r="L1445" s="1">
        <f ca="1">IFERROR(__xludf.DUMMYFUNCTION("""COMPUTED_VALUE"""),346.74)</f>
        <v>346.74</v>
      </c>
      <c r="M1445" s="1">
        <f ca="1">IFERROR(__xludf.DUMMYFUNCTION("""COMPUTED_VALUE"""),1198.92)</f>
        <v>1198.92</v>
      </c>
      <c r="N1445" s="1">
        <f ca="1">IFERROR(__xludf.DUMMYFUNCTION("""COMPUTED_VALUE"""),307.55)</f>
        <v>307.55</v>
      </c>
      <c r="O1445" s="1">
        <f ca="1">IFERROR(__xludf.DUMMYFUNCTION("""COMPUTED_VALUE"""),349.84)</f>
        <v>349.84</v>
      </c>
      <c r="P1445" s="1">
        <f ca="1">IFERROR(__xludf.DUMMYFUNCTION("""COMPUTED_VALUE"""),185.42)</f>
        <v>185.42</v>
      </c>
      <c r="Q1445" s="1">
        <f ca="1">IFERROR(__xludf.DUMMYFUNCTION("""COMPUTED_VALUE"""),345.3)</f>
        <v>345.3</v>
      </c>
      <c r="R1445" s="1">
        <f ca="1">IFERROR(__xludf.DUMMYFUNCTION("""COMPUTED_VALUE"""),112.75)</f>
        <v>112.75</v>
      </c>
      <c r="S1445" s="1">
        <f ca="1">IFERROR(__xludf.DUMMYFUNCTION("""COMPUTED_VALUE"""),75.49)</f>
        <v>75.489999999999995</v>
      </c>
      <c r="T1445" s="1">
        <f ca="1">IFERROR(__xludf.DUMMYFUNCTION("""COMPUTED_VALUE"""),101.7)</f>
        <v>101.7</v>
      </c>
      <c r="U1445" s="1">
        <f ca="1">IFERROR(__xludf.DUMMYFUNCTION("""COMPUTED_VALUE"""),74.57)</f>
        <v>74.569999999999993</v>
      </c>
      <c r="V1445" s="1">
        <f ca="1">IFERROR(__xludf.DUMMYFUNCTION("""COMPUTED_VALUE"""),477.15)</f>
        <v>477.15</v>
      </c>
      <c r="W1445" s="1">
        <f ca="1">IFERROR(__xludf.DUMMYFUNCTION("""COMPUTED_VALUE"""),504.49)</f>
        <v>504.49</v>
      </c>
      <c r="X1445" s="1">
        <f ca="1">IFERROR(__xludf.DUMMYFUNCTION("""COMPUTED_VALUE"""),968.09)</f>
        <v>968.09</v>
      </c>
      <c r="Y1445" s="1">
        <f ca="1">IFERROR(__xludf.DUMMYFUNCTION("""COMPUTED_VALUE"""),279.29)</f>
        <v>279.29000000000002</v>
      </c>
      <c r="Z1445" s="1">
        <f ca="1">IFERROR(__xludf.DUMMYFUNCTION("""COMPUTED_VALUE"""),779.38)</f>
        <v>779.38</v>
      </c>
      <c r="AA1445" s="1">
        <f ca="1">IFERROR(__xludf.DUMMYFUNCTION("""COMPUTED_VALUE"""),25.48)</f>
        <v>25.48</v>
      </c>
      <c r="AB1445" s="1">
        <f ca="1">IFERROR(__xludf.DUMMYFUNCTION("""COMPUTED_VALUE"""),86.72)</f>
        <v>86.72</v>
      </c>
      <c r="AC1445" s="1">
        <f ca="1">IFERROR(__xludf.DUMMYFUNCTION("""COMPUTED_VALUE"""),169.73)</f>
        <v>169.73</v>
      </c>
    </row>
    <row r="1446" spans="1:29" x14ac:dyDescent="0.25">
      <c r="A1446" s="2">
        <f ca="1">IFERROR(__xludf.DUMMYFUNCTION("""COMPUTED_VALUE"""),45936.6666666666)</f>
        <v>45936.666666666599</v>
      </c>
      <c r="B1446" s="1">
        <f ca="1">IFERROR(__xludf.DUMMYFUNCTION("""COMPUTED_VALUE"""),256.69)</f>
        <v>256.69</v>
      </c>
      <c r="C1446" s="1">
        <f ca="1">IFERROR(__xludf.DUMMYFUNCTION("""COMPUTED_VALUE"""),528.57)</f>
        <v>528.57000000000005</v>
      </c>
      <c r="D1446" s="1">
        <f ca="1">IFERROR(__xludf.DUMMYFUNCTION("""COMPUTED_VALUE"""),220.63)</f>
        <v>220.63</v>
      </c>
      <c r="E1446" s="1">
        <f ca="1">IFERROR(__xludf.DUMMYFUNCTION("""COMPUTED_VALUE"""),187.24)</f>
        <v>187.24</v>
      </c>
      <c r="F1446" s="1">
        <f ca="1">IFERROR(__xludf.DUMMYFUNCTION("""COMPUTED_VALUE"""),710.56)</f>
        <v>710.56</v>
      </c>
      <c r="G1446" s="1">
        <f ca="1">IFERROR(__xludf.DUMMYFUNCTION("""COMPUTED_VALUE"""),245.54)</f>
        <v>245.54</v>
      </c>
      <c r="H1446" s="1">
        <f ca="1">IFERROR(__xludf.DUMMYFUNCTION("""COMPUTED_VALUE"""),429.83)</f>
        <v>429.83</v>
      </c>
      <c r="I1446" s="1">
        <f ca="1">IFERROR(__xludf.DUMMYFUNCTION("""COMPUTED_VALUE"""),141.98)</f>
        <v>141.97999999999999</v>
      </c>
      <c r="J1446" s="1">
        <f ca="1">IFERROR(__xludf.DUMMYFUNCTION("""COMPUTED_VALUE"""),917.34)</f>
        <v>917.34</v>
      </c>
      <c r="K1446" s="1">
        <f ca="1">IFERROR(__xludf.DUMMYFUNCTION("""COMPUTED_VALUE"""),333.39)</f>
        <v>333.39</v>
      </c>
      <c r="L1446" s="1">
        <f ca="1">IFERROR(__xludf.DUMMYFUNCTION("""COMPUTED_VALUE"""),350.14)</f>
        <v>350.14</v>
      </c>
      <c r="M1446" s="1">
        <f ca="1">IFERROR(__xludf.DUMMYFUNCTION("""COMPUTED_VALUE"""),1170.9)</f>
        <v>1170.9000000000001</v>
      </c>
      <c r="N1446" s="1">
        <f ca="1">IFERROR(__xludf.DUMMYFUNCTION("""COMPUTED_VALUE"""),310.03)</f>
        <v>310.02999999999997</v>
      </c>
      <c r="O1446" s="1">
        <f ca="1">IFERROR(__xludf.DUMMYFUNCTION("""COMPUTED_VALUE"""),349.28)</f>
        <v>349.28</v>
      </c>
      <c r="P1446" s="1">
        <f ca="1">IFERROR(__xludf.DUMMYFUNCTION("""COMPUTED_VALUE"""),186.05)</f>
        <v>186.05</v>
      </c>
      <c r="Q1446" s="1">
        <f ca="1">IFERROR(__xludf.DUMMYFUNCTION("""COMPUTED_VALUE"""),348.3)</f>
        <v>348.3</v>
      </c>
      <c r="R1446" s="1">
        <f ca="1">IFERROR(__xludf.DUMMYFUNCTION("""COMPUTED_VALUE"""),111.99)</f>
        <v>111.99</v>
      </c>
      <c r="S1446" s="1">
        <f ca="1">IFERROR(__xludf.DUMMYFUNCTION("""COMPUTED_VALUE"""),78.67)</f>
        <v>78.67</v>
      </c>
      <c r="T1446" s="1">
        <f ca="1">IFERROR(__xludf.DUMMYFUNCTION("""COMPUTED_VALUE"""),102.07)</f>
        <v>102.07</v>
      </c>
      <c r="U1446" s="1">
        <f ca="1">IFERROR(__xludf.DUMMYFUNCTION("""COMPUTED_VALUE"""),71.93)</f>
        <v>71.930000000000007</v>
      </c>
      <c r="V1446" s="1">
        <f ca="1">IFERROR(__xludf.DUMMYFUNCTION("""COMPUTED_VALUE"""),480.82)</f>
        <v>480.82</v>
      </c>
      <c r="W1446" s="1">
        <f ca="1">IFERROR(__xludf.DUMMYFUNCTION("""COMPUTED_VALUE"""),514.24)</f>
        <v>514.24</v>
      </c>
      <c r="X1446" s="1">
        <f ca="1">IFERROR(__xludf.DUMMYFUNCTION("""COMPUTED_VALUE"""),1003.27)</f>
        <v>1003.27</v>
      </c>
      <c r="Y1446" s="1">
        <f ca="1">IFERROR(__xludf.DUMMYFUNCTION("""COMPUTED_VALUE"""),288.47)</f>
        <v>288.47000000000003</v>
      </c>
      <c r="Z1446" s="1">
        <f ca="1">IFERROR(__xludf.DUMMYFUNCTION("""COMPUTED_VALUE"""),789.98)</f>
        <v>789.98</v>
      </c>
      <c r="AA1446" s="1">
        <f ca="1">IFERROR(__xludf.DUMMYFUNCTION("""COMPUTED_VALUE"""),27.21)</f>
        <v>27.21</v>
      </c>
      <c r="AB1446" s="1">
        <f ca="1">IFERROR(__xludf.DUMMYFUNCTION("""COMPUTED_VALUE"""),86.42)</f>
        <v>86.42</v>
      </c>
      <c r="AC1446" s="1">
        <f ca="1">IFERROR(__xludf.DUMMYFUNCTION("""COMPUTED_VALUE"""),164.67)</f>
        <v>164.67</v>
      </c>
    </row>
    <row r="1447" spans="1:29" x14ac:dyDescent="0.25">
      <c r="A1447" s="2">
        <f ca="1">IFERROR(__xludf.DUMMYFUNCTION("""COMPUTED_VALUE"""),45937.6666666666)</f>
        <v>45937.666666666599</v>
      </c>
      <c r="B1447" s="1">
        <f ca="1">IFERROR(__xludf.DUMMYFUNCTION("""COMPUTED_VALUE"""),256.48)</f>
        <v>256.48</v>
      </c>
      <c r="C1447" s="1">
        <f ca="1">IFERROR(__xludf.DUMMYFUNCTION("""COMPUTED_VALUE"""),523.98)</f>
        <v>523.98</v>
      </c>
      <c r="D1447" s="1">
        <f ca="1">IFERROR(__xludf.DUMMYFUNCTION("""COMPUTED_VALUE"""),222.41)</f>
        <v>222.41</v>
      </c>
      <c r="E1447" s="1">
        <f ca="1">IFERROR(__xludf.DUMMYFUNCTION("""COMPUTED_VALUE"""),188.89)</f>
        <v>188.89</v>
      </c>
      <c r="F1447" s="1">
        <f ca="1">IFERROR(__xludf.DUMMYFUNCTION("""COMPUTED_VALUE"""),715.66)</f>
        <v>715.66</v>
      </c>
      <c r="G1447" s="1">
        <f ca="1">IFERROR(__xludf.DUMMYFUNCTION("""COMPUTED_VALUE"""),246.43)</f>
        <v>246.43</v>
      </c>
      <c r="H1447" s="1">
        <f ca="1">IFERROR(__xludf.DUMMYFUNCTION("""COMPUTED_VALUE"""),453.25)</f>
        <v>453.25</v>
      </c>
      <c r="I1447" s="1">
        <f ca="1">IFERROR(__xludf.DUMMYFUNCTION("""COMPUTED_VALUE"""),139.7)</f>
        <v>139.69999999999999</v>
      </c>
      <c r="J1447" s="1">
        <f ca="1">IFERROR(__xludf.DUMMYFUNCTION("""COMPUTED_VALUE"""),916.77)</f>
        <v>916.77</v>
      </c>
      <c r="K1447" s="1">
        <f ca="1">IFERROR(__xludf.DUMMYFUNCTION("""COMPUTED_VALUE"""),338.18)</f>
        <v>338.18</v>
      </c>
      <c r="L1447" s="1">
        <f ca="1">IFERROR(__xludf.DUMMYFUNCTION("""COMPUTED_VALUE"""),348.31)</f>
        <v>348.31</v>
      </c>
      <c r="M1447" s="1">
        <f ca="1">IFERROR(__xludf.DUMMYFUNCTION("""COMPUTED_VALUE"""),1162.53)</f>
        <v>1162.53</v>
      </c>
      <c r="N1447" s="1">
        <f ca="1">IFERROR(__xludf.DUMMYFUNCTION("""COMPUTED_VALUE"""),309.18)</f>
        <v>309.18</v>
      </c>
      <c r="O1447" s="1">
        <f ca="1">IFERROR(__xludf.DUMMYFUNCTION("""COMPUTED_VALUE"""),352.42)</f>
        <v>352.42</v>
      </c>
      <c r="P1447" s="1">
        <f ca="1">IFERROR(__xludf.DUMMYFUNCTION("""COMPUTED_VALUE"""),185.98)</f>
        <v>185.98</v>
      </c>
      <c r="Q1447" s="1">
        <f ca="1">IFERROR(__xludf.DUMMYFUNCTION("""COMPUTED_VALUE"""),353.72)</f>
        <v>353.72</v>
      </c>
      <c r="R1447" s="1">
        <f ca="1">IFERROR(__xludf.DUMMYFUNCTION("""COMPUTED_VALUE"""),111.29)</f>
        <v>111.29</v>
      </c>
      <c r="S1447" s="1">
        <f ca="1">IFERROR(__xludf.DUMMYFUNCTION("""COMPUTED_VALUE"""),78.18)</f>
        <v>78.180000000000007</v>
      </c>
      <c r="T1447" s="1">
        <f ca="1">IFERROR(__xludf.DUMMYFUNCTION("""COMPUTED_VALUE"""),102.7)</f>
        <v>102.7</v>
      </c>
      <c r="U1447" s="1">
        <f ca="1">IFERROR(__xludf.DUMMYFUNCTION("""COMPUTED_VALUE"""),71.17)</f>
        <v>71.17</v>
      </c>
      <c r="V1447" s="1">
        <f ca="1">IFERROR(__xludf.DUMMYFUNCTION("""COMPUTED_VALUE"""),490.57)</f>
        <v>490.57</v>
      </c>
      <c r="W1447" s="1">
        <f ca="1">IFERROR(__xludf.DUMMYFUNCTION("""COMPUTED_VALUE"""),511.07)</f>
        <v>511.07</v>
      </c>
      <c r="X1447" s="1">
        <f ca="1">IFERROR(__xludf.DUMMYFUNCTION("""COMPUTED_VALUE"""),1030.17)</f>
        <v>1030.17</v>
      </c>
      <c r="Y1447" s="1">
        <f ca="1">IFERROR(__xludf.DUMMYFUNCTION("""COMPUTED_VALUE"""),288.11)</f>
        <v>288.11</v>
      </c>
      <c r="Z1447" s="1">
        <f ca="1">IFERROR(__xludf.DUMMYFUNCTION("""COMPUTED_VALUE"""),796.78)</f>
        <v>796.78</v>
      </c>
      <c r="AA1447" s="1">
        <f ca="1">IFERROR(__xludf.DUMMYFUNCTION("""COMPUTED_VALUE"""),27.08)</f>
        <v>27.08</v>
      </c>
      <c r="AB1447" s="1">
        <f ca="1">IFERROR(__xludf.DUMMYFUNCTION("""COMPUTED_VALUE"""),82.11)</f>
        <v>82.11</v>
      </c>
      <c r="AC1447" s="1">
        <f ca="1">IFERROR(__xludf.DUMMYFUNCTION("""COMPUTED_VALUE"""),203.71)</f>
        <v>203.71</v>
      </c>
    </row>
    <row r="1448" spans="1:29" x14ac:dyDescent="0.25">
      <c r="A1448" s="2">
        <f ca="1">IFERROR(__xludf.DUMMYFUNCTION("""COMPUTED_VALUE"""),45938.6666666666)</f>
        <v>45938.666666666599</v>
      </c>
      <c r="B1448" s="1">
        <f ca="1">IFERROR(__xludf.DUMMYFUNCTION("""COMPUTED_VALUE"""),258.06)</f>
        <v>258.06</v>
      </c>
      <c r="C1448" s="1">
        <f ca="1">IFERROR(__xludf.DUMMYFUNCTION("""COMPUTED_VALUE"""),524.85)</f>
        <v>524.85</v>
      </c>
      <c r="D1448" s="1">
        <f ca="1">IFERROR(__xludf.DUMMYFUNCTION("""COMPUTED_VALUE"""),219.51)</f>
        <v>219.51</v>
      </c>
      <c r="E1448" s="1">
        <f ca="1">IFERROR(__xludf.DUMMYFUNCTION("""COMPUTED_VALUE"""),187.62)</f>
        <v>187.62</v>
      </c>
      <c r="F1448" s="1">
        <f ca="1">IFERROR(__xludf.DUMMYFUNCTION("""COMPUTED_VALUE"""),713.08)</f>
        <v>713.08</v>
      </c>
      <c r="G1448" s="1">
        <f ca="1">IFERROR(__xludf.DUMMYFUNCTION("""COMPUTED_VALUE"""),246.45)</f>
        <v>246.45</v>
      </c>
      <c r="H1448" s="1">
        <f ca="1">IFERROR(__xludf.DUMMYFUNCTION("""COMPUTED_VALUE"""),433.09)</f>
        <v>433.09</v>
      </c>
      <c r="I1448" s="1">
        <f ca="1">IFERROR(__xludf.DUMMYFUNCTION("""COMPUTED_VALUE"""),140.79)</f>
        <v>140.79</v>
      </c>
      <c r="J1448" s="1">
        <f ca="1">IFERROR(__xludf.DUMMYFUNCTION("""COMPUTED_VALUE"""),915.38)</f>
        <v>915.38</v>
      </c>
      <c r="K1448" s="1">
        <f ca="1">IFERROR(__xludf.DUMMYFUNCTION("""COMPUTED_VALUE"""),338.37)</f>
        <v>338.37</v>
      </c>
      <c r="L1448" s="1">
        <f ca="1">IFERROR(__xludf.DUMMYFUNCTION("""COMPUTED_VALUE"""),348.77)</f>
        <v>348.77</v>
      </c>
      <c r="M1448" s="1">
        <f ca="1">IFERROR(__xludf.DUMMYFUNCTION("""COMPUTED_VALUE"""),1153.32)</f>
        <v>1153.32</v>
      </c>
      <c r="N1448" s="1">
        <f ca="1">IFERROR(__xludf.DUMMYFUNCTION("""COMPUTED_VALUE"""),307.69)</f>
        <v>307.69</v>
      </c>
      <c r="O1448" s="1">
        <f ca="1">IFERROR(__xludf.DUMMYFUNCTION("""COMPUTED_VALUE"""),351.36)</f>
        <v>351.36</v>
      </c>
      <c r="P1448" s="1">
        <f ca="1">IFERROR(__xludf.DUMMYFUNCTION("""COMPUTED_VALUE"""),188.64)</f>
        <v>188.64</v>
      </c>
      <c r="Q1448" s="1">
        <f ca="1">IFERROR(__xludf.DUMMYFUNCTION("""COMPUTED_VALUE"""),360.2)</f>
        <v>360.2</v>
      </c>
      <c r="R1448" s="1">
        <f ca="1">IFERROR(__xludf.DUMMYFUNCTION("""COMPUTED_VALUE"""),113.26)</f>
        <v>113.26</v>
      </c>
      <c r="S1448" s="1">
        <f ca="1">IFERROR(__xludf.DUMMYFUNCTION("""COMPUTED_VALUE"""),80.06)</f>
        <v>80.06</v>
      </c>
      <c r="T1448" s="1">
        <f ca="1">IFERROR(__xludf.DUMMYFUNCTION("""COMPUTED_VALUE"""),103.24)</f>
        <v>103.24</v>
      </c>
      <c r="U1448" s="1">
        <f ca="1">IFERROR(__xludf.DUMMYFUNCTION("""COMPUTED_VALUE"""),68.91)</f>
        <v>68.91</v>
      </c>
      <c r="V1448" s="1">
        <f ca="1">IFERROR(__xludf.DUMMYFUNCTION("""COMPUTED_VALUE"""),497.85)</f>
        <v>497.85</v>
      </c>
      <c r="W1448" s="1">
        <f ca="1">IFERROR(__xludf.DUMMYFUNCTION("""COMPUTED_VALUE"""),514.02)</f>
        <v>514.02</v>
      </c>
      <c r="X1448" s="1">
        <f ca="1">IFERROR(__xludf.DUMMYFUNCTION("""COMPUTED_VALUE"""),1032.22)</f>
        <v>1032.22</v>
      </c>
      <c r="Y1448" s="1">
        <f ca="1">IFERROR(__xludf.DUMMYFUNCTION("""COMPUTED_VALUE"""),292.19)</f>
        <v>292.19</v>
      </c>
      <c r="Z1448" s="1">
        <f ca="1">IFERROR(__xludf.DUMMYFUNCTION("""COMPUTED_VALUE"""),789.65)</f>
        <v>789.65</v>
      </c>
      <c r="AA1448" s="1">
        <f ca="1">IFERROR(__xludf.DUMMYFUNCTION("""COMPUTED_VALUE"""),27.37)</f>
        <v>27.37</v>
      </c>
      <c r="AB1448" s="1">
        <f ca="1">IFERROR(__xludf.DUMMYFUNCTION("""COMPUTED_VALUE"""),81.29)</f>
        <v>81.290000000000006</v>
      </c>
      <c r="AC1448" s="1">
        <f ca="1">IFERROR(__xludf.DUMMYFUNCTION("""COMPUTED_VALUE"""),211.51)</f>
        <v>211.51</v>
      </c>
    </row>
    <row r="1449" spans="1:29" x14ac:dyDescent="0.25">
      <c r="A1449" s="2">
        <f ca="1">IFERROR(__xludf.DUMMYFUNCTION("""COMPUTED_VALUE"""),45939.6666666666)</f>
        <v>45939.666666666599</v>
      </c>
      <c r="B1449" s="1">
        <f ca="1">IFERROR(__xludf.DUMMYFUNCTION("""COMPUTED_VALUE"""),254.04)</f>
        <v>254.04</v>
      </c>
      <c r="C1449" s="1">
        <f ca="1">IFERROR(__xludf.DUMMYFUNCTION("""COMPUTED_VALUE"""),522.4)</f>
        <v>522.4</v>
      </c>
      <c r="D1449" s="1">
        <f ca="1">IFERROR(__xludf.DUMMYFUNCTION("""COMPUTED_VALUE"""),220.9)</f>
        <v>220.9</v>
      </c>
      <c r="E1449" s="1">
        <f ca="1">IFERROR(__xludf.DUMMYFUNCTION("""COMPUTED_VALUE"""),185.54)</f>
        <v>185.54</v>
      </c>
      <c r="F1449" s="1">
        <f ca="1">IFERROR(__xludf.DUMMYFUNCTION("""COMPUTED_VALUE"""),717.84)</f>
        <v>717.84</v>
      </c>
      <c r="G1449" s="1">
        <f ca="1">IFERROR(__xludf.DUMMYFUNCTION("""COMPUTED_VALUE"""),251.51)</f>
        <v>251.51</v>
      </c>
      <c r="H1449" s="1">
        <f ca="1">IFERROR(__xludf.DUMMYFUNCTION("""COMPUTED_VALUE"""),438.69)</f>
        <v>438.69</v>
      </c>
      <c r="I1449" s="1">
        <f ca="1">IFERROR(__xludf.DUMMYFUNCTION("""COMPUTED_VALUE"""),138.84)</f>
        <v>138.84</v>
      </c>
      <c r="J1449" s="1">
        <f ca="1">IFERROR(__xludf.DUMMYFUNCTION("""COMPUTED_VALUE"""),910.94)</f>
        <v>910.94</v>
      </c>
      <c r="K1449" s="1">
        <f ca="1">IFERROR(__xludf.DUMMYFUNCTION("""COMPUTED_VALUE"""),335.49)</f>
        <v>335.49</v>
      </c>
      <c r="L1449" s="1">
        <f ca="1">IFERROR(__xludf.DUMMYFUNCTION("""COMPUTED_VALUE"""),347.47)</f>
        <v>347.47</v>
      </c>
      <c r="M1449" s="1">
        <f ca="1">IFERROR(__xludf.DUMMYFUNCTION("""COMPUTED_VALUE"""),1163.31)</f>
        <v>1163.31</v>
      </c>
      <c r="N1449" s="1">
        <f ca="1">IFERROR(__xludf.DUMMYFUNCTION("""COMPUTED_VALUE"""),304.03)</f>
        <v>304.02999999999997</v>
      </c>
      <c r="O1449" s="1">
        <f ca="1">IFERROR(__xludf.DUMMYFUNCTION("""COMPUTED_VALUE"""),347.04)</f>
        <v>347.04</v>
      </c>
      <c r="P1449" s="1">
        <f ca="1">IFERROR(__xludf.DUMMYFUNCTION("""COMPUTED_VALUE"""),188.16)</f>
        <v>188.16</v>
      </c>
      <c r="Q1449" s="1">
        <f ca="1">IFERROR(__xludf.DUMMYFUNCTION("""COMPUTED_VALUE"""),358.77)</f>
        <v>358.77</v>
      </c>
      <c r="R1449" s="1">
        <f ca="1">IFERROR(__xludf.DUMMYFUNCTION("""COMPUTED_VALUE"""),114.2)</f>
        <v>114.2</v>
      </c>
      <c r="S1449" s="1">
        <f ca="1">IFERROR(__xludf.DUMMYFUNCTION("""COMPUTED_VALUE"""),82.11)</f>
        <v>82.11</v>
      </c>
      <c r="T1449" s="1">
        <f ca="1">IFERROR(__xludf.DUMMYFUNCTION("""COMPUTED_VALUE"""),102.9)</f>
        <v>102.9</v>
      </c>
      <c r="U1449" s="1">
        <f ca="1">IFERROR(__xludf.DUMMYFUNCTION("""COMPUTED_VALUE"""),69.09)</f>
        <v>69.09</v>
      </c>
      <c r="V1449" s="1">
        <f ca="1">IFERROR(__xludf.DUMMYFUNCTION("""COMPUTED_VALUE"""),495.38)</f>
        <v>495.38</v>
      </c>
      <c r="W1449" s="1">
        <f ca="1">IFERROR(__xludf.DUMMYFUNCTION("""COMPUTED_VALUE"""),507.76)</f>
        <v>507.76</v>
      </c>
      <c r="X1449" s="1">
        <f ca="1">IFERROR(__xludf.DUMMYFUNCTION("""COMPUTED_VALUE"""),1043.3)</f>
        <v>1043.3</v>
      </c>
      <c r="Y1449" s="1">
        <f ca="1">IFERROR(__xludf.DUMMYFUNCTION("""COMPUTED_VALUE"""),302.4)</f>
        <v>302.39999999999998</v>
      </c>
      <c r="Z1449" s="1">
        <f ca="1">IFERROR(__xludf.DUMMYFUNCTION("""COMPUTED_VALUE"""),776.51)</f>
        <v>776.51</v>
      </c>
      <c r="AA1449" s="1">
        <f ca="1">IFERROR(__xludf.DUMMYFUNCTION("""COMPUTED_VALUE"""),26.43)</f>
        <v>26.43</v>
      </c>
      <c r="AB1449" s="1">
        <f ca="1">IFERROR(__xludf.DUMMYFUNCTION("""COMPUTED_VALUE"""),80.04)</f>
        <v>80.040000000000006</v>
      </c>
      <c r="AC1449" s="1">
        <f ca="1">IFERROR(__xludf.DUMMYFUNCTION("""COMPUTED_VALUE"""),235.56)</f>
        <v>235.56</v>
      </c>
    </row>
    <row r="1450" spans="1:29" x14ac:dyDescent="0.25">
      <c r="A1450" s="2">
        <f ca="1">IFERROR(__xludf.DUMMYFUNCTION("""COMPUTED_VALUE"""),45940.6666666666)</f>
        <v>45940.666666666599</v>
      </c>
      <c r="B1450" s="1">
        <f ca="1">IFERROR(__xludf.DUMMYFUNCTION("""COMPUTED_VALUE"""),245.27)</f>
        <v>245.27</v>
      </c>
      <c r="C1450" s="1">
        <f ca="1">IFERROR(__xludf.DUMMYFUNCTION("""COMPUTED_VALUE"""),510.96)</f>
        <v>510.96</v>
      </c>
      <c r="D1450" s="1">
        <f ca="1">IFERROR(__xludf.DUMMYFUNCTION("""COMPUTED_VALUE"""),221.78)</f>
        <v>221.78</v>
      </c>
      <c r="E1450" s="1">
        <f ca="1">IFERROR(__xludf.DUMMYFUNCTION("""COMPUTED_VALUE"""),185.04)</f>
        <v>185.04</v>
      </c>
      <c r="F1450" s="1">
        <f ca="1">IFERROR(__xludf.DUMMYFUNCTION("""COMPUTED_VALUE"""),733.51)</f>
        <v>733.51</v>
      </c>
      <c r="G1450" s="1">
        <f ca="1">IFERROR(__xludf.DUMMYFUNCTION("""COMPUTED_VALUE"""),247.13)</f>
        <v>247.13</v>
      </c>
      <c r="H1450" s="1">
        <f ca="1">IFERROR(__xludf.DUMMYFUNCTION("""COMPUTED_VALUE"""),435.54)</f>
        <v>435.54</v>
      </c>
      <c r="I1450" s="1">
        <f ca="1">IFERROR(__xludf.DUMMYFUNCTION("""COMPUTED_VALUE"""),144.71)</f>
        <v>144.71</v>
      </c>
      <c r="J1450" s="1">
        <f ca="1">IFERROR(__xludf.DUMMYFUNCTION("""COMPUTED_VALUE"""),914.8)</f>
        <v>914.8</v>
      </c>
      <c r="K1450" s="1">
        <f ca="1">IFERROR(__xludf.DUMMYFUNCTION("""COMPUTED_VALUE"""),336.41)</f>
        <v>336.41</v>
      </c>
      <c r="L1450" s="1">
        <f ca="1">IFERROR(__xludf.DUMMYFUNCTION("""COMPUTED_VALUE"""),337.51)</f>
        <v>337.51</v>
      </c>
      <c r="M1450" s="1">
        <f ca="1">IFERROR(__xludf.DUMMYFUNCTION("""COMPUTED_VALUE"""),1191.06)</f>
        <v>1191.06</v>
      </c>
      <c r="N1450" s="1">
        <f ca="1">IFERROR(__xludf.DUMMYFUNCTION("""COMPUTED_VALUE"""),305.53)</f>
        <v>305.52999999999997</v>
      </c>
      <c r="O1450" s="1">
        <f ca="1">IFERROR(__xludf.DUMMYFUNCTION("""COMPUTED_VALUE"""),343.65)</f>
        <v>343.65</v>
      </c>
      <c r="P1450" s="1">
        <f ca="1">IFERROR(__xludf.DUMMYFUNCTION("""COMPUTED_VALUE"""),188.89)</f>
        <v>188.89</v>
      </c>
      <c r="Q1450" s="1">
        <f ca="1">IFERROR(__xludf.DUMMYFUNCTION("""COMPUTED_VALUE"""),363.66)</f>
        <v>363.66</v>
      </c>
      <c r="R1450" s="1">
        <f ca="1">IFERROR(__xludf.DUMMYFUNCTION("""COMPUTED_VALUE"""),114.26)</f>
        <v>114.26</v>
      </c>
      <c r="S1450" s="1">
        <f ca="1">IFERROR(__xludf.DUMMYFUNCTION("""COMPUTED_VALUE"""),83.21)</f>
        <v>83.21</v>
      </c>
      <c r="T1450" s="1">
        <f ca="1">IFERROR(__xludf.DUMMYFUNCTION("""COMPUTED_VALUE"""),101.77)</f>
        <v>101.77</v>
      </c>
      <c r="U1450" s="1">
        <f ca="1">IFERROR(__xludf.DUMMYFUNCTION("""COMPUTED_VALUE"""),68.06)</f>
        <v>68.06</v>
      </c>
      <c r="V1450" s="1">
        <f ca="1">IFERROR(__xludf.DUMMYFUNCTION("""COMPUTED_VALUE"""),486.71)</f>
        <v>486.71</v>
      </c>
      <c r="W1450" s="1">
        <f ca="1">IFERROR(__xludf.DUMMYFUNCTION("""COMPUTED_VALUE"""),505.05)</f>
        <v>505.05</v>
      </c>
      <c r="X1450" s="1">
        <f ca="1">IFERROR(__xludf.DUMMYFUNCTION("""COMPUTED_VALUE"""),1002.3)</f>
        <v>1002.3</v>
      </c>
      <c r="Y1450" s="1">
        <f ca="1">IFERROR(__xludf.DUMMYFUNCTION("""COMPUTED_VALUE"""),294.03)</f>
        <v>294.02999999999997</v>
      </c>
      <c r="Z1450" s="1">
        <f ca="1">IFERROR(__xludf.DUMMYFUNCTION("""COMPUTED_VALUE"""),779.96)</f>
        <v>779.96</v>
      </c>
      <c r="AA1450" s="1">
        <f ca="1">IFERROR(__xludf.DUMMYFUNCTION("""COMPUTED_VALUE"""),26.27)</f>
        <v>26.27</v>
      </c>
      <c r="AB1450" s="1">
        <f ca="1">IFERROR(__xludf.DUMMYFUNCTION("""COMPUTED_VALUE"""),79.78)</f>
        <v>79.78</v>
      </c>
      <c r="AC1450" s="1">
        <f ca="1">IFERROR(__xludf.DUMMYFUNCTION("""COMPUTED_VALUE"""),232.89)</f>
        <v>232.89</v>
      </c>
    </row>
    <row r="1451" spans="1:29" x14ac:dyDescent="0.25">
      <c r="A1451" s="2">
        <f ca="1">IFERROR(__xludf.DUMMYFUNCTION("""COMPUTED_VALUE"""),45943.6666666666)</f>
        <v>45943.666666666599</v>
      </c>
      <c r="B1451" s="1">
        <f ca="1">IFERROR(__xludf.DUMMYFUNCTION("""COMPUTED_VALUE"""),247.66)</f>
        <v>247.66</v>
      </c>
      <c r="C1451" s="1">
        <f ca="1">IFERROR(__xludf.DUMMYFUNCTION("""COMPUTED_VALUE"""),514.05)</f>
        <v>514.04999999999995</v>
      </c>
      <c r="D1451" s="1">
        <f ca="1">IFERROR(__xludf.DUMMYFUNCTION("""COMPUTED_VALUE"""),225.22)</f>
        <v>225.22</v>
      </c>
      <c r="E1451" s="1">
        <f ca="1">IFERROR(__xludf.DUMMYFUNCTION("""COMPUTED_VALUE"""),189.11)</f>
        <v>189.11</v>
      </c>
      <c r="F1451" s="1">
        <f ca="1">IFERROR(__xludf.DUMMYFUNCTION("""COMPUTED_VALUE"""),705.3)</f>
        <v>705.3</v>
      </c>
      <c r="G1451" s="1">
        <f ca="1">IFERROR(__xludf.DUMMYFUNCTION("""COMPUTED_VALUE"""),245.46)</f>
        <v>245.46</v>
      </c>
      <c r="H1451" s="1">
        <f ca="1">IFERROR(__xludf.DUMMYFUNCTION("""COMPUTED_VALUE"""),413.49)</f>
        <v>413.49</v>
      </c>
      <c r="I1451" s="1">
        <f ca="1">IFERROR(__xludf.DUMMYFUNCTION("""COMPUTED_VALUE"""),150.08)</f>
        <v>150.08000000000001</v>
      </c>
      <c r="J1451" s="1">
        <f ca="1">IFERROR(__xludf.DUMMYFUNCTION("""COMPUTED_VALUE"""),914.8)</f>
        <v>914.8</v>
      </c>
      <c r="K1451" s="1">
        <f ca="1">IFERROR(__xludf.DUMMYFUNCTION("""COMPUTED_VALUE"""),345.5)</f>
        <v>345.5</v>
      </c>
      <c r="L1451" s="1">
        <f ca="1">IFERROR(__xludf.DUMMYFUNCTION("""COMPUTED_VALUE"""),339.32)</f>
        <v>339.32</v>
      </c>
      <c r="M1451" s="1">
        <f ca="1">IFERROR(__xludf.DUMMYFUNCTION("""COMPUTED_VALUE"""),1214.25)</f>
        <v>1214.25</v>
      </c>
      <c r="N1451" s="1">
        <f ca="1">IFERROR(__xludf.DUMMYFUNCTION("""COMPUTED_VALUE"""),300.89)</f>
        <v>300.89</v>
      </c>
      <c r="O1451" s="1">
        <f ca="1">IFERROR(__xludf.DUMMYFUNCTION("""COMPUTED_VALUE"""),343.3)</f>
        <v>343.3</v>
      </c>
      <c r="P1451" s="1">
        <f ca="1">IFERROR(__xludf.DUMMYFUNCTION("""COMPUTED_VALUE"""),189.69)</f>
        <v>189.69</v>
      </c>
      <c r="Q1451" s="1">
        <f ca="1">IFERROR(__xludf.DUMMYFUNCTION("""COMPUTED_VALUE"""),369.92)</f>
        <v>369.92</v>
      </c>
      <c r="R1451" s="1">
        <f ca="1">IFERROR(__xludf.DUMMYFUNCTION("""COMPUTED_VALUE"""),114.02)</f>
        <v>114.02</v>
      </c>
      <c r="S1451" s="1">
        <f ca="1">IFERROR(__xludf.DUMMYFUNCTION("""COMPUTED_VALUE"""),84.04)</f>
        <v>84.04</v>
      </c>
      <c r="T1451" s="1">
        <f ca="1">IFERROR(__xludf.DUMMYFUNCTION("""COMPUTED_VALUE"""),101.84)</f>
        <v>101.84</v>
      </c>
      <c r="U1451" s="1">
        <f ca="1">IFERROR(__xludf.DUMMYFUNCTION("""COMPUTED_VALUE"""),65.22)</f>
        <v>65.22</v>
      </c>
      <c r="V1451" s="1">
        <f ca="1">IFERROR(__xludf.DUMMYFUNCTION("""COMPUTED_VALUE"""),502.12)</f>
        <v>502.12</v>
      </c>
      <c r="W1451" s="1">
        <f ca="1">IFERROR(__xludf.DUMMYFUNCTION("""COMPUTED_VALUE"""),503.83)</f>
        <v>503.83</v>
      </c>
      <c r="X1451" s="1">
        <f ca="1">IFERROR(__xludf.DUMMYFUNCTION("""COMPUTED_VALUE"""),987.81)</f>
        <v>987.81</v>
      </c>
      <c r="Y1451" s="1">
        <f ca="1">IFERROR(__xludf.DUMMYFUNCTION("""COMPUTED_VALUE"""),304.52)</f>
        <v>304.52</v>
      </c>
      <c r="Z1451" s="1">
        <f ca="1">IFERROR(__xludf.DUMMYFUNCTION("""COMPUTED_VALUE"""),764.36)</f>
        <v>764.36</v>
      </c>
      <c r="AA1451" s="1">
        <f ca="1">IFERROR(__xludf.DUMMYFUNCTION("""COMPUTED_VALUE"""),25.68)</f>
        <v>25.68</v>
      </c>
      <c r="AB1451" s="1">
        <f ca="1">IFERROR(__xludf.DUMMYFUNCTION("""COMPUTED_VALUE"""),78.46)</f>
        <v>78.459999999999994</v>
      </c>
      <c r="AC1451" s="1">
        <f ca="1">IFERROR(__xludf.DUMMYFUNCTION("""COMPUTED_VALUE"""),214.9)</f>
        <v>214.9</v>
      </c>
    </row>
    <row r="1452" spans="1:29" x14ac:dyDescent="0.25">
      <c r="A1452" s="2">
        <f ca="1">IFERROR(__xludf.DUMMYFUNCTION("""COMPUTED_VALUE"""),45944.6666666666)</f>
        <v>45944.666666666599</v>
      </c>
      <c r="B1452" s="1">
        <f ca="1">IFERROR(__xludf.DUMMYFUNCTION("""COMPUTED_VALUE"""),247.77)</f>
        <v>247.77</v>
      </c>
      <c r="C1452" s="1">
        <f ca="1">IFERROR(__xludf.DUMMYFUNCTION("""COMPUTED_VALUE"""),513.57)</f>
        <v>513.57000000000005</v>
      </c>
      <c r="D1452" s="1">
        <f ca="1">IFERROR(__xludf.DUMMYFUNCTION("""COMPUTED_VALUE"""),227.74)</f>
        <v>227.74</v>
      </c>
      <c r="E1452" s="1">
        <f ca="1">IFERROR(__xludf.DUMMYFUNCTION("""COMPUTED_VALUE"""),192.57)</f>
        <v>192.57</v>
      </c>
      <c r="F1452" s="1">
        <f ca="1">IFERROR(__xludf.DUMMYFUNCTION("""COMPUTED_VALUE"""),715.7)</f>
        <v>715.7</v>
      </c>
      <c r="G1452" s="1">
        <f ca="1">IFERROR(__xludf.DUMMYFUNCTION("""COMPUTED_VALUE"""),242.21)</f>
        <v>242.21</v>
      </c>
      <c r="H1452" s="1">
        <f ca="1">IFERROR(__xludf.DUMMYFUNCTION("""COMPUTED_VALUE"""),435.9)</f>
        <v>435.9</v>
      </c>
      <c r="I1452" s="1">
        <f ca="1">IFERROR(__xludf.DUMMYFUNCTION("""COMPUTED_VALUE"""),148.89)</f>
        <v>148.88999999999999</v>
      </c>
      <c r="J1452" s="1">
        <f ca="1">IFERROR(__xludf.DUMMYFUNCTION("""COMPUTED_VALUE"""),942.89)</f>
        <v>942.89</v>
      </c>
      <c r="K1452" s="1">
        <f ca="1">IFERROR(__xludf.DUMMYFUNCTION("""COMPUTED_VALUE"""),345.02)</f>
        <v>345.02</v>
      </c>
      <c r="L1452" s="1">
        <f ca="1">IFERROR(__xludf.DUMMYFUNCTION("""COMPUTED_VALUE"""),335.94)</f>
        <v>335.94</v>
      </c>
      <c r="M1452" s="1">
        <f ca="1">IFERROR(__xludf.DUMMYFUNCTION("""COMPUTED_VALUE"""),1231.07)</f>
        <v>1231.07</v>
      </c>
      <c r="N1452" s="1">
        <f ca="1">IFERROR(__xludf.DUMMYFUNCTION("""COMPUTED_VALUE"""),307.97)</f>
        <v>307.97000000000003</v>
      </c>
      <c r="O1452" s="1">
        <f ca="1">IFERROR(__xludf.DUMMYFUNCTION("""COMPUTED_VALUE"""),348.38)</f>
        <v>348.38</v>
      </c>
      <c r="P1452" s="1">
        <f ca="1">IFERROR(__xludf.DUMMYFUNCTION("""COMPUTED_VALUE"""),191.08)</f>
        <v>191.08</v>
      </c>
      <c r="Q1452" s="1">
        <f ca="1">IFERROR(__xludf.DUMMYFUNCTION("""COMPUTED_VALUE"""),367.69)</f>
        <v>367.69</v>
      </c>
      <c r="R1452" s="1">
        <f ca="1">IFERROR(__xludf.DUMMYFUNCTION("""COMPUTED_VALUE"""),112.91)</f>
        <v>112.91</v>
      </c>
      <c r="S1452" s="1">
        <f ca="1">IFERROR(__xludf.DUMMYFUNCTION("""COMPUTED_VALUE"""),83.71)</f>
        <v>83.71</v>
      </c>
      <c r="T1452" s="1">
        <f ca="1">IFERROR(__xludf.DUMMYFUNCTION("""COMPUTED_VALUE"""),102.12)</f>
        <v>102.12</v>
      </c>
      <c r="U1452" s="1">
        <f ca="1">IFERROR(__xludf.DUMMYFUNCTION("""COMPUTED_VALUE"""),67.38)</f>
        <v>67.38</v>
      </c>
      <c r="V1452" s="1">
        <f ca="1">IFERROR(__xludf.DUMMYFUNCTION("""COMPUTED_VALUE"""),500.36)</f>
        <v>500.36</v>
      </c>
      <c r="W1452" s="1">
        <f ca="1">IFERROR(__xludf.DUMMYFUNCTION("""COMPUTED_VALUE"""),505.18)</f>
        <v>505.18</v>
      </c>
      <c r="X1452" s="1">
        <f ca="1">IFERROR(__xludf.DUMMYFUNCTION("""COMPUTED_VALUE"""),980.54)</f>
        <v>980.54</v>
      </c>
      <c r="Y1452" s="1">
        <f ca="1">IFERROR(__xludf.DUMMYFUNCTION("""COMPUTED_VALUE"""),299.88)</f>
        <v>299.88</v>
      </c>
      <c r="Z1452" s="1">
        <f ca="1">IFERROR(__xludf.DUMMYFUNCTION("""COMPUTED_VALUE"""),786.78)</f>
        <v>786.78</v>
      </c>
      <c r="AA1452" s="1">
        <f ca="1">IFERROR(__xludf.DUMMYFUNCTION("""COMPUTED_VALUE"""),25.24)</f>
        <v>25.24</v>
      </c>
      <c r="AB1452" s="1">
        <f ca="1">IFERROR(__xludf.DUMMYFUNCTION("""COMPUTED_VALUE"""),80.03)</f>
        <v>80.03</v>
      </c>
      <c r="AC1452" s="1">
        <f ca="1">IFERROR(__xludf.DUMMYFUNCTION("""COMPUTED_VALUE"""),216.42)</f>
        <v>216.42</v>
      </c>
    </row>
    <row r="1453" spans="1:29" x14ac:dyDescent="0.25">
      <c r="A1453" s="2">
        <f ca="1">IFERROR(__xludf.DUMMYFUNCTION("""COMPUTED_VALUE"""),45945.6666666666)</f>
        <v>45945.666666666599</v>
      </c>
      <c r="B1453" s="1">
        <f ca="1">IFERROR(__xludf.DUMMYFUNCTION("""COMPUTED_VALUE"""),249.34)</f>
        <v>249.34</v>
      </c>
      <c r="C1453" s="1">
        <f ca="1">IFERROR(__xludf.DUMMYFUNCTION("""COMPUTED_VALUE"""),513.43)</f>
        <v>513.42999999999995</v>
      </c>
      <c r="D1453" s="1">
        <f ca="1">IFERROR(__xludf.DUMMYFUNCTION("""COMPUTED_VALUE"""),216.37)</f>
        <v>216.37</v>
      </c>
      <c r="E1453" s="1">
        <f ca="1">IFERROR(__xludf.DUMMYFUNCTION("""COMPUTED_VALUE"""),183.16)</f>
        <v>183.16</v>
      </c>
      <c r="F1453" s="1">
        <f ca="1">IFERROR(__xludf.DUMMYFUNCTION("""COMPUTED_VALUE"""),708.65)</f>
        <v>708.65</v>
      </c>
      <c r="G1453" s="1">
        <f ca="1">IFERROR(__xludf.DUMMYFUNCTION("""COMPUTED_VALUE"""),237.49)</f>
        <v>237.49</v>
      </c>
      <c r="H1453" s="1">
        <f ca="1">IFERROR(__xludf.DUMMYFUNCTION("""COMPUTED_VALUE"""),429.24)</f>
        <v>429.24</v>
      </c>
      <c r="I1453" s="1">
        <f ca="1">IFERROR(__xludf.DUMMYFUNCTION("""COMPUTED_VALUE"""),151.54)</f>
        <v>151.54</v>
      </c>
      <c r="J1453" s="1">
        <f ca="1">IFERROR(__xludf.DUMMYFUNCTION("""COMPUTED_VALUE"""),930.01)</f>
        <v>930.01</v>
      </c>
      <c r="K1453" s="1">
        <f ca="1">IFERROR(__xludf.DUMMYFUNCTION("""COMPUTED_VALUE"""),324.63)</f>
        <v>324.63</v>
      </c>
      <c r="L1453" s="1">
        <f ca="1">IFERROR(__xludf.DUMMYFUNCTION("""COMPUTED_VALUE"""),330.63)</f>
        <v>330.63</v>
      </c>
      <c r="M1453" s="1">
        <f ca="1">IFERROR(__xludf.DUMMYFUNCTION("""COMPUTED_VALUE"""),1220.08)</f>
        <v>1220.08</v>
      </c>
      <c r="N1453" s="1">
        <f ca="1">IFERROR(__xludf.DUMMYFUNCTION("""COMPUTED_VALUE"""),302.08)</f>
        <v>302.08</v>
      </c>
      <c r="O1453" s="1">
        <f ca="1">IFERROR(__xludf.DUMMYFUNCTION("""COMPUTED_VALUE"""),345.69)</f>
        <v>345.69</v>
      </c>
      <c r="P1453" s="1">
        <f ca="1">IFERROR(__xludf.DUMMYFUNCTION("""COMPUTED_VALUE"""),190.72)</f>
        <v>190.72</v>
      </c>
      <c r="Q1453" s="1">
        <f ca="1">IFERROR(__xludf.DUMMYFUNCTION("""COMPUTED_VALUE"""),354.5)</f>
        <v>354.5</v>
      </c>
      <c r="R1453" s="1">
        <f ca="1">IFERROR(__xludf.DUMMYFUNCTION("""COMPUTED_VALUE"""),110.73)</f>
        <v>110.73</v>
      </c>
      <c r="S1453" s="1">
        <f ca="1">IFERROR(__xludf.DUMMYFUNCTION("""COMPUTED_VALUE"""),83.35)</f>
        <v>83.35</v>
      </c>
      <c r="T1453" s="1">
        <f ca="1">IFERROR(__xludf.DUMMYFUNCTION("""COMPUTED_VALUE"""),107.21)</f>
        <v>107.21</v>
      </c>
      <c r="U1453" s="1">
        <f ca="1">IFERROR(__xludf.DUMMYFUNCTION("""COMPUTED_VALUE"""),67.64)</f>
        <v>67.64</v>
      </c>
      <c r="V1453" s="1">
        <f ca="1">IFERROR(__xludf.DUMMYFUNCTION("""COMPUTED_VALUE"""),491.3)</f>
        <v>491.3</v>
      </c>
      <c r="W1453" s="1">
        <f ca="1">IFERROR(__xludf.DUMMYFUNCTION("""COMPUTED_VALUE"""),499.41)</f>
        <v>499.41</v>
      </c>
      <c r="X1453" s="1">
        <f ca="1">IFERROR(__xludf.DUMMYFUNCTION("""COMPUTED_VALUE"""),936.19)</f>
        <v>936.19</v>
      </c>
      <c r="Y1453" s="1">
        <f ca="1">IFERROR(__xludf.DUMMYFUNCTION("""COMPUTED_VALUE"""),280.66)</f>
        <v>280.66000000000003</v>
      </c>
      <c r="Z1453" s="1">
        <f ca="1">IFERROR(__xludf.DUMMYFUNCTION("""COMPUTED_VALUE"""),770.76)</f>
        <v>770.76</v>
      </c>
      <c r="AA1453" s="1">
        <f ca="1">IFERROR(__xludf.DUMMYFUNCTION("""COMPUTED_VALUE"""),24.78)</f>
        <v>24.78</v>
      </c>
      <c r="AB1453" s="1">
        <f ca="1">IFERROR(__xludf.DUMMYFUNCTION("""COMPUTED_VALUE"""),81.15)</f>
        <v>81.150000000000006</v>
      </c>
      <c r="AC1453" s="1">
        <f ca="1">IFERROR(__xludf.DUMMYFUNCTION("""COMPUTED_VALUE"""),218.09)</f>
        <v>218.09</v>
      </c>
    </row>
    <row r="1454" spans="1:29" x14ac:dyDescent="0.25">
      <c r="A1454" s="2">
        <f ca="1">IFERROR(__xludf.DUMMYFUNCTION("""COMPUTED_VALUE"""),45946.6666666666)</f>
        <v>45946.666666666599</v>
      </c>
      <c r="B1454" s="1">
        <f ca="1">IFERROR(__xludf.DUMMYFUNCTION("""COMPUTED_VALUE"""),247.45)</f>
        <v>247.45</v>
      </c>
      <c r="C1454" s="1">
        <f ca="1">IFERROR(__xludf.DUMMYFUNCTION("""COMPUTED_VALUE"""),511.61)</f>
        <v>511.61</v>
      </c>
      <c r="D1454" s="1">
        <f ca="1">IFERROR(__xludf.DUMMYFUNCTION("""COMPUTED_VALUE"""),220.07)</f>
        <v>220.07</v>
      </c>
      <c r="E1454" s="1">
        <f ca="1">IFERROR(__xludf.DUMMYFUNCTION("""COMPUTED_VALUE"""),188.32)</f>
        <v>188.32</v>
      </c>
      <c r="F1454" s="1">
        <f ca="1">IFERROR(__xludf.DUMMYFUNCTION("""COMPUTED_VALUE"""),717.55)</f>
        <v>717.55</v>
      </c>
      <c r="G1454" s="1">
        <f ca="1">IFERROR(__xludf.DUMMYFUNCTION("""COMPUTED_VALUE"""),244.64)</f>
        <v>244.64</v>
      </c>
      <c r="H1454" s="1">
        <f ca="1">IFERROR(__xludf.DUMMYFUNCTION("""COMPUTED_VALUE"""),435.15)</f>
        <v>435.15</v>
      </c>
      <c r="I1454" s="1">
        <f ca="1">IFERROR(__xludf.DUMMYFUNCTION("""COMPUTED_VALUE"""),151.16)</f>
        <v>151.16</v>
      </c>
      <c r="J1454" s="1">
        <f ca="1">IFERROR(__xludf.DUMMYFUNCTION("""COMPUTED_VALUE"""),935.56)</f>
        <v>935.56</v>
      </c>
      <c r="K1454" s="1">
        <f ca="1">IFERROR(__xludf.DUMMYFUNCTION("""COMPUTED_VALUE"""),356.7)</f>
        <v>356.7</v>
      </c>
      <c r="L1454" s="1">
        <f ca="1">IFERROR(__xludf.DUMMYFUNCTION("""COMPUTED_VALUE"""),329.23)</f>
        <v>329.23</v>
      </c>
      <c r="M1454" s="1">
        <f ca="1">IFERROR(__xludf.DUMMYFUNCTION("""COMPUTED_VALUE"""),1219.03)</f>
        <v>1219.03</v>
      </c>
      <c r="N1454" s="1">
        <f ca="1">IFERROR(__xludf.DUMMYFUNCTION("""COMPUTED_VALUE"""),305.69)</f>
        <v>305.69</v>
      </c>
      <c r="O1454" s="1">
        <f ca="1">IFERROR(__xludf.DUMMYFUNCTION("""COMPUTED_VALUE"""),335.4)</f>
        <v>335.4</v>
      </c>
      <c r="P1454" s="1">
        <f ca="1">IFERROR(__xludf.DUMMYFUNCTION("""COMPUTED_VALUE"""),190.9)</f>
        <v>190.9</v>
      </c>
      <c r="Q1454" s="1">
        <f ca="1">IFERROR(__xludf.DUMMYFUNCTION("""COMPUTED_VALUE"""),358.66)</f>
        <v>358.66</v>
      </c>
      <c r="R1454" s="1">
        <f ca="1">IFERROR(__xludf.DUMMYFUNCTION("""COMPUTED_VALUE"""),112.24)</f>
        <v>112.24</v>
      </c>
      <c r="S1454" s="1">
        <f ca="1">IFERROR(__xludf.DUMMYFUNCTION("""COMPUTED_VALUE"""),84.3)</f>
        <v>84.3</v>
      </c>
      <c r="T1454" s="1">
        <f ca="1">IFERROR(__xludf.DUMMYFUNCTION("""COMPUTED_VALUE"""),109.03)</f>
        <v>109.03</v>
      </c>
      <c r="U1454" s="1">
        <f ca="1">IFERROR(__xludf.DUMMYFUNCTION("""COMPUTED_VALUE"""),68.46)</f>
        <v>68.459999999999994</v>
      </c>
      <c r="V1454" s="1">
        <f ca="1">IFERROR(__xludf.DUMMYFUNCTION("""COMPUTED_VALUE"""),504.76)</f>
        <v>504.76</v>
      </c>
      <c r="W1454" s="1">
        <f ca="1">IFERROR(__xludf.DUMMYFUNCTION("""COMPUTED_VALUE"""),493.25)</f>
        <v>493.25</v>
      </c>
      <c r="X1454" s="1">
        <f ca="1">IFERROR(__xludf.DUMMYFUNCTION("""COMPUTED_VALUE"""),984.66)</f>
        <v>984.66</v>
      </c>
      <c r="Y1454" s="1">
        <f ca="1">IFERROR(__xludf.DUMMYFUNCTION("""COMPUTED_VALUE"""),302.89)</f>
        <v>302.89</v>
      </c>
      <c r="Z1454" s="1">
        <f ca="1">IFERROR(__xludf.DUMMYFUNCTION("""COMPUTED_VALUE"""),767.93)</f>
        <v>767.93</v>
      </c>
      <c r="AA1454" s="1">
        <f ca="1">IFERROR(__xludf.DUMMYFUNCTION("""COMPUTED_VALUE"""),24.73)</f>
        <v>24.73</v>
      </c>
      <c r="AB1454" s="1">
        <f ca="1">IFERROR(__xludf.DUMMYFUNCTION("""COMPUTED_VALUE"""),82.86)</f>
        <v>82.86</v>
      </c>
      <c r="AC1454" s="1">
        <f ca="1">IFERROR(__xludf.DUMMYFUNCTION("""COMPUTED_VALUE"""),238.6)</f>
        <v>238.6</v>
      </c>
    </row>
    <row r="1455" spans="1:29" x14ac:dyDescent="0.25">
      <c r="A1455" s="2">
        <f ca="1">IFERROR(__xludf.DUMMYFUNCTION("""COMPUTED_VALUE"""),45947.6666666666)</f>
        <v>45947.666666666599</v>
      </c>
      <c r="B1455" s="1">
        <f ca="1">IFERROR(__xludf.DUMMYFUNCTION("""COMPUTED_VALUE"""),252.29)</f>
        <v>252.29</v>
      </c>
      <c r="C1455" s="1">
        <f ca="1">IFERROR(__xludf.DUMMYFUNCTION("""COMPUTED_VALUE"""),513.58)</f>
        <v>513.58000000000004</v>
      </c>
      <c r="D1455" s="1">
        <f ca="1">IFERROR(__xludf.DUMMYFUNCTION("""COMPUTED_VALUE"""),216.39)</f>
        <v>216.39</v>
      </c>
      <c r="E1455" s="1">
        <f ca="1">IFERROR(__xludf.DUMMYFUNCTION("""COMPUTED_VALUE"""),180.03)</f>
        <v>180.03</v>
      </c>
      <c r="F1455" s="1">
        <f ca="1">IFERROR(__xludf.DUMMYFUNCTION("""COMPUTED_VALUE"""),712.07)</f>
        <v>712.07</v>
      </c>
      <c r="G1455" s="1">
        <f ca="1">IFERROR(__xludf.DUMMYFUNCTION("""COMPUTED_VALUE"""),246.19)</f>
        <v>246.19</v>
      </c>
      <c r="H1455" s="1">
        <f ca="1">IFERROR(__xludf.DUMMYFUNCTION("""COMPUTED_VALUE"""),428.75)</f>
        <v>428.75</v>
      </c>
      <c r="I1455" s="1">
        <f ca="1">IFERROR(__xludf.DUMMYFUNCTION("""COMPUTED_VALUE"""),152.67)</f>
        <v>152.66999999999999</v>
      </c>
      <c r="J1455" s="1">
        <f ca="1">IFERROR(__xludf.DUMMYFUNCTION("""COMPUTED_VALUE"""),946.51)</f>
        <v>946.51</v>
      </c>
      <c r="K1455" s="1">
        <f ca="1">IFERROR(__xludf.DUMMYFUNCTION("""COMPUTED_VALUE"""),344.13)</f>
        <v>344.13</v>
      </c>
      <c r="L1455" s="1">
        <f ca="1">IFERROR(__xludf.DUMMYFUNCTION("""COMPUTED_VALUE"""),333.26)</f>
        <v>333.26</v>
      </c>
      <c r="M1455" s="1">
        <f ca="1">IFERROR(__xludf.DUMMYFUNCTION("""COMPUTED_VALUE"""),1215.35)</f>
        <v>1215.3499999999999</v>
      </c>
      <c r="N1455" s="1">
        <f ca="1">IFERROR(__xludf.DUMMYFUNCTION("""COMPUTED_VALUE"""),298.54)</f>
        <v>298.54000000000002</v>
      </c>
      <c r="O1455" s="1">
        <f ca="1">IFERROR(__xludf.DUMMYFUNCTION("""COMPUTED_VALUE"""),341.89)</f>
        <v>341.89</v>
      </c>
      <c r="P1455" s="1">
        <f ca="1">IFERROR(__xludf.DUMMYFUNCTION("""COMPUTED_VALUE"""),190.85)</f>
        <v>190.85</v>
      </c>
      <c r="Q1455" s="1">
        <f ca="1">IFERROR(__xludf.DUMMYFUNCTION("""COMPUTED_VALUE"""),359.93)</f>
        <v>359.93</v>
      </c>
      <c r="R1455" s="1">
        <f ca="1">IFERROR(__xludf.DUMMYFUNCTION("""COMPUTED_VALUE"""),112.29)</f>
        <v>112.29</v>
      </c>
      <c r="S1455" s="1">
        <f ca="1">IFERROR(__xludf.DUMMYFUNCTION("""COMPUTED_VALUE"""),84.64)</f>
        <v>84.64</v>
      </c>
      <c r="T1455" s="1">
        <f ca="1">IFERROR(__xludf.DUMMYFUNCTION("""COMPUTED_VALUE"""),106.47)</f>
        <v>106.47</v>
      </c>
      <c r="U1455" s="1">
        <f ca="1">IFERROR(__xludf.DUMMYFUNCTION("""COMPUTED_VALUE"""),66.84)</f>
        <v>66.84</v>
      </c>
      <c r="V1455" s="1">
        <f ca="1">IFERROR(__xludf.DUMMYFUNCTION("""COMPUTED_VALUE"""),527.47)</f>
        <v>527.47</v>
      </c>
      <c r="W1455" s="1">
        <f ca="1">IFERROR(__xludf.DUMMYFUNCTION("""COMPUTED_VALUE"""),495.15)</f>
        <v>495.15</v>
      </c>
      <c r="X1455" s="1">
        <f ca="1">IFERROR(__xludf.DUMMYFUNCTION("""COMPUTED_VALUE"""),983.18)</f>
        <v>983.18</v>
      </c>
      <c r="Y1455" s="1">
        <f ca="1">IFERROR(__xludf.DUMMYFUNCTION("""COMPUTED_VALUE"""),295.94)</f>
        <v>295.94</v>
      </c>
      <c r="Z1455" s="1">
        <f ca="1">IFERROR(__xludf.DUMMYFUNCTION("""COMPUTED_VALUE"""),758.09)</f>
        <v>758.09</v>
      </c>
      <c r="AA1455" s="1">
        <f ca="1">IFERROR(__xludf.DUMMYFUNCTION("""COMPUTED_VALUE"""),24.52)</f>
        <v>24.52</v>
      </c>
      <c r="AB1455" s="1">
        <f ca="1">IFERROR(__xludf.DUMMYFUNCTION("""COMPUTED_VALUE"""),84.34)</f>
        <v>84.34</v>
      </c>
      <c r="AC1455" s="1">
        <f ca="1">IFERROR(__xludf.DUMMYFUNCTION("""COMPUTED_VALUE"""),234.56)</f>
        <v>234.56</v>
      </c>
    </row>
    <row r="1456" spans="1:29" x14ac:dyDescent="0.25">
      <c r="C1456" s="1">
        <f ca="1">IFERROR(__xludf.DUMMYFUNCTION("""COMPUTED_VALUE"""),516.79)</f>
        <v>516.79</v>
      </c>
      <c r="D1456" s="1">
        <f ca="1">IFERROR(__xludf.DUMMYFUNCTION("""COMPUTED_VALUE"""),215.57)</f>
        <v>215.57</v>
      </c>
      <c r="E1456" s="1">
        <f ca="1">IFERROR(__xludf.DUMMYFUNCTION("""COMPUTED_VALUE"""),179.83)</f>
        <v>179.83</v>
      </c>
      <c r="F1456" s="1">
        <f ca="1">IFERROR(__xludf.DUMMYFUNCTION("""COMPUTED_VALUE"""),716.92)</f>
        <v>716.92</v>
      </c>
      <c r="G1456" s="1">
        <f ca="1">IFERROR(__xludf.DUMMYFUNCTION("""COMPUTED_VALUE"""),251.71)</f>
        <v>251.71</v>
      </c>
      <c r="H1456" s="1">
        <f ca="1">IFERROR(__xludf.DUMMYFUNCTION("""COMPUTED_VALUE"""),439.31)</f>
        <v>439.31</v>
      </c>
      <c r="I1456" s="1">
        <f ca="1">IFERROR(__xludf.DUMMYFUNCTION("""COMPUTED_VALUE"""),153.71)</f>
        <v>153.71</v>
      </c>
      <c r="J1456" s="1">
        <f ca="1">IFERROR(__xludf.DUMMYFUNCTION("""COMPUTED_VALUE"""),954.99)</f>
        <v>954.99</v>
      </c>
      <c r="K1456" s="1">
        <f ca="1">IFERROR(__xludf.DUMMYFUNCTION("""COMPUTED_VALUE"""),351.33)</f>
        <v>351.33</v>
      </c>
      <c r="M1456" s="1">
        <f ca="1">IFERROR(__xludf.DUMMYFUNCTION("""COMPUTED_VALUE"""),1203.29)</f>
        <v>1203.29</v>
      </c>
      <c r="N1456" s="1">
        <f ca="1">IFERROR(__xludf.DUMMYFUNCTION("""COMPUTED_VALUE"""),297.56)</f>
        <v>297.56</v>
      </c>
      <c r="O1456" s="1">
        <f ca="1">IFERROR(__xludf.DUMMYFUNCTION("""COMPUTED_VALUE"""),344.41)</f>
        <v>344.41</v>
      </c>
      <c r="P1456" s="1">
        <f ca="1">IFERROR(__xludf.DUMMYFUNCTION("""COMPUTED_VALUE"""),191.17)</f>
        <v>191.17</v>
      </c>
      <c r="Q1456" s="1">
        <f ca="1">IFERROR(__xludf.DUMMYFUNCTION("""COMPUTED_VALUE"""),361.15)</f>
        <v>361.15</v>
      </c>
      <c r="R1456" s="1">
        <f ca="1">IFERROR(__xludf.DUMMYFUNCTION("""COMPUTED_VALUE"""),111.61)</f>
        <v>111.61</v>
      </c>
      <c r="S1456" s="1">
        <f ca="1">IFERROR(__xludf.DUMMYFUNCTION("""COMPUTED_VALUE"""),85.79)</f>
        <v>85.79</v>
      </c>
      <c r="T1456" s="1">
        <f ca="1">IFERROR(__xludf.DUMMYFUNCTION("""COMPUTED_VALUE"""),107.73)</f>
        <v>107.73</v>
      </c>
      <c r="U1456" s="1">
        <f ca="1">IFERROR(__xludf.DUMMYFUNCTION("""COMPUTED_VALUE"""),67.37)</f>
        <v>67.37</v>
      </c>
      <c r="V1456" s="1">
        <f ca="1">IFERROR(__xludf.DUMMYFUNCTION("""COMPUTED_VALUE"""),534.05)</f>
        <v>534.04999999999995</v>
      </c>
      <c r="W1456" s="1">
        <f ca="1">IFERROR(__xludf.DUMMYFUNCTION("""COMPUTED_VALUE"""),505.9)</f>
        <v>505.9</v>
      </c>
      <c r="X1456" s="1">
        <f ca="1">IFERROR(__xludf.DUMMYFUNCTION("""COMPUTED_VALUE"""),1009.81)</f>
        <v>1009.81</v>
      </c>
      <c r="Y1456" s="1">
        <f ca="1">IFERROR(__xludf.DUMMYFUNCTION("""COMPUTED_VALUE"""),304.71)</f>
        <v>304.70999999999998</v>
      </c>
      <c r="Z1456" s="1">
        <f ca="1">IFERROR(__xludf.DUMMYFUNCTION("""COMPUTED_VALUE"""),750.77)</f>
        <v>750.77</v>
      </c>
      <c r="AA1456" s="1">
        <f ca="1">IFERROR(__xludf.DUMMYFUNCTION("""COMPUTED_VALUE"""),24.39)</f>
        <v>24.39</v>
      </c>
      <c r="AB1456" s="1">
        <f ca="1">IFERROR(__xludf.DUMMYFUNCTION("""COMPUTED_VALUE"""),85.36)</f>
        <v>85.36</v>
      </c>
      <c r="AC1456" s="1">
        <f ca="1">IFERROR(__xludf.DUMMYFUNCTION("""COMPUTED_VALUE"""),233.08)</f>
        <v>233.08</v>
      </c>
    </row>
    <row r="1457" spans="4:28" x14ac:dyDescent="0.25">
      <c r="D1457" s="1">
        <f ca="1">IFERROR(__xludf.DUMMYFUNCTION("""COMPUTED_VALUE"""),214.47)</f>
        <v>214.47</v>
      </c>
      <c r="E1457" s="1">
        <f ca="1">IFERROR(__xludf.DUMMYFUNCTION("""COMPUTED_VALUE"""),181.81)</f>
        <v>181.81</v>
      </c>
      <c r="F1457" s="1">
        <f ca="1">IFERROR(__xludf.DUMMYFUNCTION("""COMPUTED_VALUE"""),732.17)</f>
        <v>732.17</v>
      </c>
      <c r="G1457" s="1">
        <f ca="1">IFERROR(__xludf.DUMMYFUNCTION("""COMPUTED_VALUE"""),251.88)</f>
        <v>251.88</v>
      </c>
      <c r="H1457" s="1">
        <f ca="1">IFERROR(__xludf.DUMMYFUNCTION("""COMPUTED_VALUE"""),447.43)</f>
        <v>447.43</v>
      </c>
      <c r="J1457" s="1">
        <f ca="1">IFERROR(__xludf.DUMMYFUNCTION("""COMPUTED_VALUE"""),925.62)</f>
        <v>925.62</v>
      </c>
      <c r="K1457" s="1">
        <f ca="1">IFERROR(__xludf.DUMMYFUNCTION("""COMPUTED_VALUE"""),354.15)</f>
        <v>354.15</v>
      </c>
      <c r="M1457" s="1">
        <f ca="1">IFERROR(__xludf.DUMMYFUNCTION("""COMPUTED_VALUE"""),1183.59)</f>
        <v>1183.5899999999999</v>
      </c>
      <c r="P1457" s="1">
        <f ca="1">IFERROR(__xludf.DUMMYFUNCTION("""COMPUTED_VALUE"""),192.12)</f>
        <v>192.12</v>
      </c>
      <c r="Q1457" s="1">
        <f ca="1">IFERROR(__xludf.DUMMYFUNCTION("""COMPUTED_VALUE"""),356.67)</f>
        <v>356.67</v>
      </c>
      <c r="R1457" s="1">
        <f ca="1">IFERROR(__xludf.DUMMYFUNCTION("""COMPUTED_VALUE"""),110.64)</f>
        <v>110.64</v>
      </c>
      <c r="S1457" s="1">
        <f ca="1">IFERROR(__xludf.DUMMYFUNCTION("""COMPUTED_VALUE"""),85.05)</f>
        <v>85.05</v>
      </c>
      <c r="T1457" s="1">
        <f ca="1">IFERROR(__xludf.DUMMYFUNCTION("""COMPUTED_VALUE"""),107.05)</f>
        <v>107.05</v>
      </c>
      <c r="U1457" s="1">
        <f ca="1">IFERROR(__xludf.DUMMYFUNCTION("""COMPUTED_VALUE"""),67.62)</f>
        <v>67.62</v>
      </c>
      <c r="V1457" s="1">
        <f ca="1">IFERROR(__xludf.DUMMYFUNCTION("""COMPUTED_VALUE"""),540.96)</f>
        <v>540.96</v>
      </c>
      <c r="X1457" s="1">
        <f ca="1">IFERROR(__xludf.DUMMYFUNCTION("""COMPUTED_VALUE"""),1019.59)</f>
        <v>1019.59</v>
      </c>
      <c r="Y1457" s="1">
        <f ca="1">IFERROR(__xludf.DUMMYFUNCTION("""COMPUTED_VALUE"""),299.84)</f>
        <v>299.83999999999997</v>
      </c>
      <c r="Z1457" s="1">
        <f ca="1">IFERROR(__xludf.DUMMYFUNCTION("""COMPUTED_VALUE"""),763.32)</f>
        <v>763.32</v>
      </c>
      <c r="AA1457" s="1">
        <f ca="1">IFERROR(__xludf.DUMMYFUNCTION("""COMPUTED_VALUE"""),24.23)</f>
        <v>24.23</v>
      </c>
      <c r="AB1457" s="1">
        <f ca="1">IFERROR(__xludf.DUMMYFUNCTION("""COMPUTED_VALUE"""),84.53)</f>
        <v>84.53</v>
      </c>
    </row>
    <row r="1458" spans="4:28" x14ac:dyDescent="0.25">
      <c r="D1458" s="1">
        <f ca="1">IFERROR(__xludf.DUMMYFUNCTION("""COMPUTED_VALUE"""),213.04)</f>
        <v>213.04</v>
      </c>
      <c r="E1458" s="1">
        <f ca="1">IFERROR(__xludf.DUMMYFUNCTION("""COMPUTED_VALUE"""),183.22)</f>
        <v>183.22</v>
      </c>
      <c r="G1458" s="1">
        <f ca="1">IFERROR(__xludf.DUMMYFUNCTION("""COMPUTED_VALUE"""),253.79)</f>
        <v>253.79</v>
      </c>
      <c r="J1458" s="1">
        <f ca="1">IFERROR(__xludf.DUMMYFUNCTION("""COMPUTED_VALUE"""),936.33)</f>
        <v>936.33</v>
      </c>
      <c r="K1458" s="1">
        <f ca="1">IFERROR(__xludf.DUMMYFUNCTION("""COMPUTED_VALUE"""),349.33)</f>
        <v>349.33</v>
      </c>
      <c r="M1458" s="1">
        <f ca="1">IFERROR(__xludf.DUMMYFUNCTION("""COMPUTED_VALUE"""),1199.36)</f>
        <v>1199.3599999999999</v>
      </c>
      <c r="P1458" s="1">
        <f ca="1">IFERROR(__xludf.DUMMYFUNCTION("""COMPUTED_VALUE"""),193.22)</f>
        <v>193.22</v>
      </c>
      <c r="Q1458" s="1">
        <f ca="1">IFERROR(__xludf.DUMMYFUNCTION("""COMPUTED_VALUE"""),356.6)</f>
        <v>356.6</v>
      </c>
      <c r="R1458" s="1">
        <f ca="1">IFERROR(__xludf.DUMMYFUNCTION("""COMPUTED_VALUE"""),112.24)</f>
        <v>112.24</v>
      </c>
      <c r="S1458" s="1">
        <f ca="1">IFERROR(__xludf.DUMMYFUNCTION("""COMPUTED_VALUE"""),84.53)</f>
        <v>84.53</v>
      </c>
      <c r="V1458" s="1">
        <f ca="1">IFERROR(__xludf.DUMMYFUNCTION("""COMPUTED_VALUE"""),527.08)</f>
        <v>527.08000000000004</v>
      </c>
      <c r="X1458" s="1">
        <f ca="1">IFERROR(__xludf.DUMMYFUNCTION("""COMPUTED_VALUE"""),1029.27)</f>
        <v>1029.27</v>
      </c>
      <c r="Y1458" s="1">
        <f ca="1">IFERROR(__xludf.DUMMYFUNCTION("""COMPUTED_VALUE"""),295.08)</f>
        <v>295.08</v>
      </c>
      <c r="AA1458" s="1">
        <f ca="1">IFERROR(__xludf.DUMMYFUNCTION("""COMPUTED_VALUE"""),24.51)</f>
        <v>24.51</v>
      </c>
    </row>
    <row r="1459" spans="4:28" ht="15.75" customHeight="1" x14ac:dyDescent="0.25">
      <c r="D1459" s="1">
        <f ca="1">IFERROR(__xludf.DUMMYFUNCTION("""COMPUTED_VALUE"""),216.48)</f>
        <v>216.48</v>
      </c>
      <c r="E1459" s="1">
        <f ca="1">IFERROR(__xludf.DUMMYFUNCTION("""COMPUTED_VALUE"""),182.64)</f>
        <v>182.64</v>
      </c>
      <c r="J1459" s="1">
        <f ca="1">IFERROR(__xludf.DUMMYFUNCTION("""COMPUTED_VALUE"""),936.11)</f>
        <v>936.11</v>
      </c>
      <c r="K1459" s="1">
        <f ca="1">IFERROR(__xludf.DUMMYFUNCTION("""COMPUTED_VALUE"""),349.24)</f>
        <v>349.24</v>
      </c>
      <c r="P1459" s="1">
        <f ca="1">IFERROR(__xludf.DUMMYFUNCTION("""COMPUTED_VALUE"""),193.72)</f>
        <v>193.72</v>
      </c>
      <c r="Q1459" s="1">
        <f ca="1">IFERROR(__xludf.DUMMYFUNCTION("""COMPUTED_VALUE"""),364.48)</f>
        <v>364.48</v>
      </c>
      <c r="R1459" s="1">
        <f ca="1">IFERROR(__xludf.DUMMYFUNCTION("""COMPUTED_VALUE"""),112.7)</f>
        <v>112.7</v>
      </c>
      <c r="S1459" s="1">
        <f ca="1">IFERROR(__xludf.DUMMYFUNCTION("""COMPUTED_VALUE"""),84.77)</f>
        <v>84.77</v>
      </c>
      <c r="V1459" s="1">
        <f ca="1">IFERROR(__xludf.DUMMYFUNCTION("""COMPUTED_VALUE"""),531.18)</f>
        <v>531.17999999999995</v>
      </c>
      <c r="X1459" s="1">
        <f ca="1">IFERROR(__xludf.DUMMYFUNCTION("""COMPUTED_VALUE"""),1042.15)</f>
        <v>1042.1500000000001</v>
      </c>
      <c r="Y1459" s="1">
        <f ca="1">IFERROR(__xludf.DUMMYFUNCTION("""COMPUTED_VALUE"""),297.7)</f>
        <v>297.7</v>
      </c>
      <c r="AA1459" s="1">
        <f ca="1">IFERROR(__xludf.DUMMYFUNCTION("""COMPUTED_VALUE"""),24.69)</f>
        <v>24.69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MESUT U. 223101024</cp:lastModifiedBy>
  <dcterms:modified xsi:type="dcterms:W3CDTF">2025-10-20T23:09:12Z</dcterms:modified>
</cp:coreProperties>
</file>