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uğra\Desktop\ne-olur\"/>
    </mc:Choice>
  </mc:AlternateContent>
  <xr:revisionPtr revIDLastSave="0" documentId="13_ncr:1_{D4830C94-4763-4462-A127-AEFB101619E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ayfa1" sheetId="1" r:id="rId1"/>
  </sheets>
  <definedNames>
    <definedName name="_xlnm._FilterDatabase" localSheetId="0" hidden="1">Sayfa1!$A$1:$H$29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B21" i="1"/>
  <c r="H23" i="1"/>
  <c r="G23" i="1"/>
  <c r="F23" i="1"/>
  <c r="E23" i="1"/>
  <c r="D23" i="1"/>
  <c r="C23" i="1"/>
  <c r="B23" i="1"/>
  <c r="H2" i="1"/>
  <c r="G2" i="1"/>
  <c r="F2" i="1"/>
  <c r="E2" i="1"/>
  <c r="D2" i="1"/>
  <c r="C2" i="1"/>
  <c r="B2" i="1"/>
  <c r="H26" i="1"/>
  <c r="G26" i="1"/>
  <c r="F26" i="1"/>
  <c r="E26" i="1"/>
  <c r="D26" i="1"/>
  <c r="C26" i="1"/>
  <c r="B26" i="1"/>
  <c r="H19" i="1"/>
  <c r="G19" i="1"/>
  <c r="F19" i="1"/>
  <c r="E19" i="1"/>
  <c r="D19" i="1"/>
  <c r="C19" i="1"/>
  <c r="B19" i="1"/>
  <c r="H22" i="1"/>
  <c r="G22" i="1"/>
  <c r="F22" i="1"/>
  <c r="E22" i="1"/>
  <c r="D22" i="1"/>
  <c r="C22" i="1"/>
  <c r="B22" i="1"/>
  <c r="H7" i="1"/>
  <c r="G7" i="1"/>
  <c r="F7" i="1"/>
  <c r="E7" i="1"/>
  <c r="D7" i="1"/>
  <c r="C7" i="1"/>
  <c r="B7" i="1"/>
  <c r="H13" i="1"/>
  <c r="G13" i="1"/>
  <c r="F13" i="1"/>
  <c r="E13" i="1"/>
  <c r="D13" i="1"/>
  <c r="C13" i="1"/>
  <c r="B13" i="1"/>
  <c r="H27" i="1"/>
  <c r="G27" i="1"/>
  <c r="F27" i="1"/>
  <c r="E27" i="1"/>
  <c r="D27" i="1"/>
  <c r="C27" i="1"/>
  <c r="B27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3" i="1"/>
  <c r="G3" i="1"/>
  <c r="F3" i="1"/>
  <c r="E3" i="1"/>
  <c r="D3" i="1"/>
  <c r="C3" i="1"/>
  <c r="B3" i="1"/>
  <c r="H10" i="1"/>
  <c r="G10" i="1"/>
  <c r="F10" i="1"/>
  <c r="E10" i="1"/>
  <c r="D10" i="1"/>
  <c r="C10" i="1"/>
  <c r="B10" i="1"/>
  <c r="H17" i="1"/>
  <c r="G17" i="1"/>
  <c r="F17" i="1"/>
  <c r="E17" i="1"/>
  <c r="D17" i="1"/>
  <c r="C17" i="1"/>
  <c r="B17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14" i="1"/>
  <c r="G14" i="1"/>
  <c r="F14" i="1"/>
  <c r="E14" i="1"/>
  <c r="D14" i="1"/>
  <c r="C14" i="1"/>
  <c r="B14" i="1"/>
  <c r="H11" i="1"/>
  <c r="G11" i="1"/>
  <c r="F11" i="1"/>
  <c r="E11" i="1"/>
  <c r="D11" i="1"/>
  <c r="C11" i="1"/>
  <c r="B11" i="1"/>
  <c r="H4" i="1"/>
  <c r="G4" i="1"/>
  <c r="F4" i="1"/>
  <c r="E4" i="1"/>
  <c r="D4" i="1"/>
  <c r="C4" i="1"/>
  <c r="B4" i="1"/>
  <c r="H28" i="1"/>
  <c r="G28" i="1"/>
  <c r="F28" i="1"/>
  <c r="E28" i="1"/>
  <c r="D28" i="1"/>
  <c r="C28" i="1"/>
  <c r="B28" i="1"/>
  <c r="H12" i="1"/>
  <c r="G12" i="1"/>
  <c r="F12" i="1"/>
  <c r="E12" i="1"/>
  <c r="D12" i="1"/>
  <c r="C12" i="1"/>
  <c r="B12" i="1"/>
  <c r="H18" i="1"/>
  <c r="G18" i="1"/>
  <c r="F18" i="1"/>
  <c r="E18" i="1"/>
  <c r="D18" i="1"/>
  <c r="C18" i="1"/>
  <c r="B18" i="1"/>
  <c r="H29" i="1"/>
  <c r="G29" i="1"/>
  <c r="F29" i="1"/>
  <c r="E29" i="1"/>
  <c r="D29" i="1"/>
  <c r="C29" i="1"/>
  <c r="B29" i="1"/>
  <c r="H20" i="1"/>
  <c r="G20" i="1"/>
  <c r="F20" i="1"/>
  <c r="E20" i="1"/>
  <c r="D20" i="1"/>
  <c r="C20" i="1"/>
  <c r="B20" i="1"/>
  <c r="H15" i="1"/>
  <c r="G15" i="1"/>
  <c r="F15" i="1"/>
  <c r="E15" i="1"/>
  <c r="D15" i="1"/>
  <c r="C15" i="1"/>
  <c r="B15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<sst xmlns="http://schemas.openxmlformats.org/spreadsheetml/2006/main" count="36" uniqueCount="36">
  <si>
    <t>Hisse</t>
  </si>
  <si>
    <t>Volume</t>
  </si>
  <si>
    <t>Marketcap</t>
  </si>
  <si>
    <t>Pe</t>
  </si>
  <si>
    <t>Eps</t>
  </si>
  <si>
    <t>Changepct</t>
  </si>
  <si>
    <t>Shares</t>
  </si>
  <si>
    <t>Beta</t>
  </si>
  <si>
    <t>AAPL</t>
  </si>
  <si>
    <t>MSFT</t>
  </si>
  <si>
    <t>AMZN</t>
  </si>
  <si>
    <t>NVDA</t>
  </si>
  <si>
    <t>META</t>
  </si>
  <si>
    <t>GOOG</t>
  </si>
  <si>
    <t>TSLA</t>
  </si>
  <si>
    <t>PEP</t>
  </si>
  <si>
    <t>COST</t>
  </si>
  <si>
    <t>AVGO</t>
  </si>
  <si>
    <t>ADBE</t>
  </si>
  <si>
    <t>NFLX</t>
  </si>
  <si>
    <t>JPM</t>
  </si>
  <si>
    <t>V</t>
  </si>
  <si>
    <t>JNJ</t>
  </si>
  <si>
    <t>UNH</t>
  </si>
  <si>
    <t>XOM</t>
  </si>
  <si>
    <t>NEE</t>
  </si>
  <si>
    <t>WMT</t>
  </si>
  <si>
    <t>AMD</t>
  </si>
  <si>
    <t>SBUX</t>
  </si>
  <si>
    <t>PFE</t>
  </si>
  <si>
    <t>GS</t>
  </si>
  <si>
    <t>TSM</t>
  </si>
  <si>
    <t>ASML</t>
  </si>
  <si>
    <t>LMT</t>
  </si>
  <si>
    <t>CAT</t>
  </si>
  <si>
    <t>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</si>
</sst>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162"/>
      <scheme val="minor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9"/>
  <sheetViews>
    <sheetView tabSelected="1" topLeftCell="A10" workbookViewId="0">
      <selection activeCell="D24" sqref="D24"/>
    </sheetView>
  </sheetViews>
  <sheetFormatPr defaultColWidth="12.6640625" defaultRowHeight="15.75" customHeight="1" x14ac:dyDescent="0.25"/>
  <cols>
    <col min="1" max="1" width="8.332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5">
      <c r="A2" s="2" t="s">
        <v>33</v>
      </c>
      <c r="B2" s="1">
        <f ca="1">IFERROR(__xludf.DUMMYFUNCTION("GOOGLEFINANCE( A27, ""volume"")"),1430734)</f>
        <v>1430734</v>
      </c>
      <c r="C2" s="1">
        <f ca="1">IFERROR(__xludf.DUMMYFUNCTION("GOOGLEFINANCE( A27, ""marketcap"")"),118109942075)</f>
        <v>118109942075</v>
      </c>
      <c r="D2" s="1">
        <f ca="1">IFERROR(__xludf.DUMMYFUNCTION("GOOGLEFINANCE(A27 , ""pe"")"),28.48)</f>
        <v>28.48</v>
      </c>
      <c r="E2" s="1">
        <f ca="1">IFERROR(__xludf.DUMMYFUNCTION("GOOGLEFINANCE(A27 , ""eps"")"),17.76)</f>
        <v>17.760000000000002</v>
      </c>
      <c r="F2" s="1">
        <f ca="1">IFERROR(__xludf.DUMMYFUNCTION("GOOGLEFINANCE(A27 , ""changepct"")"),2.17)</f>
        <v>2.17</v>
      </c>
      <c r="G2" s="1">
        <f ca="1">IFERROR(__xludf.DUMMYFUNCTION("GOOGLEFINANCE(A27, ""shares"")"),233465000)</f>
        <v>233465000</v>
      </c>
      <c r="H2" s="1">
        <f ca="1">IFERROR(__xludf.DUMMYFUNCTION("GOOGLEFINANCE( A27, ""beta"")"),0.28)</f>
        <v>0.28000000000000003</v>
      </c>
    </row>
    <row r="3" spans="1:16" x14ac:dyDescent="0.25">
      <c r="A3" s="2" t="s">
        <v>22</v>
      </c>
      <c r="B3" s="1">
        <f ca="1">IFERROR(__xludf.DUMMYFUNCTION("GOOGLEFINANCE( A16, ""volume"")"),8032883)</f>
        <v>8032883</v>
      </c>
      <c r="C3" s="1">
        <f ca="1">IFERROR(__xludf.DUMMYFUNCTION("GOOGLEFINANCE( A16, ""marketcap"")"),466543434019)</f>
        <v>466543434019</v>
      </c>
      <c r="D3" s="1">
        <f ca="1">IFERROR(__xludf.DUMMYFUNCTION("GOOGLEFINANCE(A16 , ""pe"")"),18.7)</f>
        <v>18.7</v>
      </c>
      <c r="E3" s="1">
        <f ca="1">IFERROR(__xludf.DUMMYFUNCTION("GOOGLEFINANCE(A16 , ""eps"")"),10.36)</f>
        <v>10.36</v>
      </c>
      <c r="F3" s="1">
        <f ca="1">IFERROR(__xludf.DUMMYFUNCTION("GOOGLEFINANCE(A16 , ""changepct"")"),0.28)</f>
        <v>0.28000000000000003</v>
      </c>
      <c r="G3" s="1">
        <f ca="1">IFERROR(__xludf.DUMMYFUNCTION("GOOGLEFINANCE(A16, ""shares"")"),2408339000)</f>
        <v>2408339000</v>
      </c>
      <c r="H3" s="1">
        <f ca="1">IFERROR(__xludf.DUMMYFUNCTION("GOOGLEFINANCE( A16, ""beta"")"),0.4)</f>
        <v>0.4</v>
      </c>
    </row>
    <row r="4" spans="1:16" x14ac:dyDescent="0.25">
      <c r="A4" s="1" t="s">
        <v>15</v>
      </c>
      <c r="B4" s="1">
        <f ca="1">IFERROR(__xludf.DUMMYFUNCTION("GOOGLEFINANCE( A9, ""volume"")"),4809253)</f>
        <v>4809253</v>
      </c>
      <c r="C4" s="1">
        <f ca="1">IFERROR(__xludf.DUMMYFUNCTION("GOOGLEFINANCE( A9, ""marketcap"")"),210077963125)</f>
        <v>210077963125</v>
      </c>
      <c r="D4" s="1">
        <f ca="1">IFERROR(__xludf.DUMMYFUNCTION("GOOGLEFINANCE(A9 , ""pe"")"),29.22)</f>
        <v>29.22</v>
      </c>
      <c r="E4" s="1">
        <f ca="1">IFERROR(__xludf.DUMMYFUNCTION("GOOGLEFINANCE(A9 , ""eps"")"),5.26)</f>
        <v>5.26</v>
      </c>
      <c r="F4" s="1">
        <f ca="1">IFERROR(__xludf.DUMMYFUNCTION("GOOGLEFINANCE(A9 , ""changepct"")"),-0.05)</f>
        <v>-0.05</v>
      </c>
      <c r="G4" s="1">
        <f ca="1">IFERROR(__xludf.DUMMYFUNCTION("GOOGLEFINANCE(A9, ""shares"")"),1367340000)</f>
        <v>1367340000</v>
      </c>
      <c r="H4" s="1">
        <f ca="1">IFERROR(__xludf.DUMMYFUNCTION("GOOGLEFINANCE( A9, ""beta"")"),0.46)</f>
        <v>0.46</v>
      </c>
    </row>
    <row r="5" spans="1:16" x14ac:dyDescent="0.25">
      <c r="A5" s="2" t="s">
        <v>23</v>
      </c>
      <c r="B5" s="1">
        <f ca="1">IFERROR(__xludf.DUMMYFUNCTION("GOOGLEFINANCE( A17, ""volume"")"),5984062)</f>
        <v>5984062</v>
      </c>
      <c r="C5" s="1">
        <f ca="1">IFERROR(__xludf.DUMMYFUNCTION("GOOGLEFINANCE( A17, ""marketcap"")"),330099887230)</f>
        <v>330099887230</v>
      </c>
      <c r="D5" s="1">
        <f ca="1">IFERROR(__xludf.DUMMYFUNCTION("GOOGLEFINANCE(A17 , ""pe"")"),15.78)</f>
        <v>15.78</v>
      </c>
      <c r="E5" s="1">
        <f ca="1">IFERROR(__xludf.DUMMYFUNCTION("GOOGLEFINANCE(A17 , ""eps"")"),23.09)</f>
        <v>23.09</v>
      </c>
      <c r="F5" s="1">
        <f ca="1">IFERROR(__xludf.DUMMYFUNCTION("GOOGLEFINANCE(A17 , ""changepct"")"),2.21)</f>
        <v>2.21</v>
      </c>
      <c r="G5" s="1">
        <f ca="1">IFERROR(__xludf.DUMMYFUNCTION("GOOGLEFINANCE(A17, ""shares"")"),905674000)</f>
        <v>905674000</v>
      </c>
      <c r="H5" s="1">
        <f ca="1">IFERROR(__xludf.DUMMYFUNCTION("GOOGLEFINANCE( A17, ""beta"")"),0.47)</f>
        <v>0.47</v>
      </c>
    </row>
    <row r="6" spans="1:16" x14ac:dyDescent="0.25">
      <c r="A6" s="1" t="s">
        <v>24</v>
      </c>
      <c r="B6" s="1">
        <f ca="1">IFERROR(__xludf.DUMMYFUNCTION("GOOGLEFINANCE( A18, ""volume"")"),9522742)</f>
        <v>9522742</v>
      </c>
      <c r="C6" s="1">
        <f ca="1">IFERROR(__xludf.DUMMYFUNCTION("GOOGLEFINANCE( A18, ""marketcap"")"),480467811189)</f>
        <v>480467811189</v>
      </c>
      <c r="D6" s="1">
        <f ca="1">IFERROR(__xludf.DUMMYFUNCTION("GOOGLEFINANCE(A18 , ""pe"")"),15.98)</f>
        <v>15.98</v>
      </c>
      <c r="E6" s="1">
        <f ca="1">IFERROR(__xludf.DUMMYFUNCTION("GOOGLEFINANCE(A18 , ""eps"")"),7.05)</f>
        <v>7.05</v>
      </c>
      <c r="F6" s="1">
        <f ca="1">IFERROR(__xludf.DUMMYFUNCTION("GOOGLEFINANCE(A18 , ""changepct"")"),0.41)</f>
        <v>0.41</v>
      </c>
      <c r="G6" s="1">
        <f ca="1">IFERROR(__xludf.DUMMYFUNCTION("GOOGLEFINANCE(A18, ""shares"")"),4263247000)</f>
        <v>4263247000</v>
      </c>
      <c r="H6" s="1">
        <f ca="1">IFERROR(__xludf.DUMMYFUNCTION("GOOGLEFINANCE( A18, ""beta"")"),0.51)</f>
        <v>0.51</v>
      </c>
    </row>
    <row r="7" spans="1:16" x14ac:dyDescent="0.25">
      <c r="A7" s="2" t="s">
        <v>29</v>
      </c>
      <c r="B7" s="1">
        <f ca="1">IFERROR(__xludf.DUMMYFUNCTION("GOOGLEFINANCE( A23, ""volume"")"),35826419)</f>
        <v>35826419</v>
      </c>
      <c r="C7" s="1">
        <f ca="1">IFERROR(__xludf.DUMMYFUNCTION("GOOGLEFINANCE( A23, ""marketcap"")"),140376183156)</f>
        <v>140376183156</v>
      </c>
      <c r="D7" s="1">
        <f ca="1">IFERROR(__xludf.DUMMYFUNCTION("GOOGLEFINANCE(A23 , ""pe"")"),13.1)</f>
        <v>13.1</v>
      </c>
      <c r="E7" s="1">
        <f ca="1">IFERROR(__xludf.DUMMYFUNCTION("GOOGLEFINANCE(A23 , ""eps"")"),1.88)</f>
        <v>1.88</v>
      </c>
      <c r="F7" s="1">
        <f ca="1">IFERROR(__xludf.DUMMYFUNCTION("GOOGLEFINANCE(A23 , ""changepct"")"),0.73)</f>
        <v>0.73</v>
      </c>
      <c r="G7" s="1">
        <f ca="1">IFERROR(__xludf.DUMMYFUNCTION("GOOGLEFINANCE(A23, ""shares"")"),5685551000)</f>
        <v>5685551000</v>
      </c>
      <c r="H7" s="1">
        <f ca="1">IFERROR(__xludf.DUMMYFUNCTION("GOOGLEFINANCE( A23, ""beta"")"),0.54)</f>
        <v>0.54</v>
      </c>
    </row>
    <row r="8" spans="1:16" x14ac:dyDescent="0.25">
      <c r="A8" s="2" t="s">
        <v>25</v>
      </c>
      <c r="B8" s="1">
        <f ca="1">IFERROR(__xludf.DUMMYFUNCTION("GOOGLEFINANCE( A19, ""volume"")"),5224775)</f>
        <v>5224775</v>
      </c>
      <c r="C8" s="1">
        <f ca="1">IFERROR(__xludf.DUMMYFUNCTION("GOOGLEFINANCE( A19, ""marketcap"")"),174566175927)</f>
        <v>174566175927</v>
      </c>
      <c r="D8" s="1">
        <f ca="1">IFERROR(__xludf.DUMMYFUNCTION("GOOGLEFINANCE(A19 , ""pe"")"),29.54)</f>
        <v>29.54</v>
      </c>
      <c r="E8" s="1">
        <f ca="1">IFERROR(__xludf.DUMMYFUNCTION("GOOGLEFINANCE(A19 , ""eps"")"),2.87)</f>
        <v>2.87</v>
      </c>
      <c r="F8" s="1">
        <f ca="1">IFERROR(__xludf.DUMMYFUNCTION("GOOGLEFINANCE(A19 , ""changepct"")"),0.28)</f>
        <v>0.28000000000000003</v>
      </c>
      <c r="G8" s="1">
        <f ca="1">IFERROR(__xludf.DUMMYFUNCTION("GOOGLEFINANCE(A19, ""shares"")"),2082093000)</f>
        <v>2082093000</v>
      </c>
      <c r="H8" s="1">
        <f ca="1">IFERROR(__xludf.DUMMYFUNCTION("GOOGLEFINANCE( A19, ""beta"")"),0.66)</f>
        <v>0.66</v>
      </c>
    </row>
    <row r="9" spans="1:16" x14ac:dyDescent="0.25">
      <c r="A9" s="2" t="s">
        <v>26</v>
      </c>
      <c r="B9" s="1">
        <f ca="1">IFERROR(__xludf.DUMMYFUNCTION("GOOGLEFINANCE( A20, ""volume"")"),10579033)</f>
        <v>10579033</v>
      </c>
      <c r="C9" s="1">
        <f ca="1">IFERROR(__xludf.DUMMYFUNCTION("GOOGLEFINANCE( A20, ""marketcap"")"),853493723881)</f>
        <v>853493723881</v>
      </c>
      <c r="D9" s="1">
        <f ca="1">IFERROR(__xludf.DUMMYFUNCTION("GOOGLEFINANCE(A20 , ""pe"")"),40.39)</f>
        <v>40.39</v>
      </c>
      <c r="E9" s="1">
        <f ca="1">IFERROR(__xludf.DUMMYFUNCTION("GOOGLEFINANCE(A20 , ""eps"")"),2.65)</f>
        <v>2.65</v>
      </c>
      <c r="F9" s="1">
        <f ca="1">IFERROR(__xludf.DUMMYFUNCTION("GOOGLEFINANCE(A20 , ""changepct"")"),-0.63)</f>
        <v>-0.63</v>
      </c>
      <c r="G9" s="1">
        <f ca="1">IFERROR(__xludf.DUMMYFUNCTION("GOOGLEFINANCE(A20, ""shares"")"),7972851000)</f>
        <v>7972851000</v>
      </c>
      <c r="H9" s="1">
        <f ca="1">IFERROR(__xludf.DUMMYFUNCTION("GOOGLEFINANCE( A20, ""beta"")"),0.67)</f>
        <v>0.67</v>
      </c>
    </row>
    <row r="10" spans="1:16" x14ac:dyDescent="0.25">
      <c r="A10" s="2" t="s">
        <v>21</v>
      </c>
      <c r="B10" s="1">
        <f ca="1">IFERROR(__xludf.DUMMYFUNCTION("GOOGLEFINANCE( A15, ""volume"")"),4664554)</f>
        <v>4664554</v>
      </c>
      <c r="C10" s="1">
        <f ca="1">IFERROR(__xludf.DUMMYFUNCTION("GOOGLEFINANCE( A15, ""marketcap"")"),663540313055)</f>
        <v>663540313055</v>
      </c>
      <c r="D10" s="1">
        <f ca="1">IFERROR(__xludf.DUMMYFUNCTION("GOOGLEFINANCE(A15 , ""pe"")"),33.62)</f>
        <v>33.619999999999997</v>
      </c>
      <c r="E10" s="1">
        <f ca="1">IFERROR(__xludf.DUMMYFUNCTION("GOOGLEFINANCE(A15 , ""eps"")"),10.24)</f>
        <v>10.24</v>
      </c>
      <c r="F10" s="1">
        <f ca="1">IFERROR(__xludf.DUMMYFUNCTION("GOOGLEFINANCE(A15 , ""changepct"")"),0.74)</f>
        <v>0.74</v>
      </c>
      <c r="G10" s="1">
        <f ca="1">IFERROR(__xludf.DUMMYFUNCTION("GOOGLEFINANCE(A15, ""shares"")"),1698683000)</f>
        <v>1698683000</v>
      </c>
      <c r="H10" s="1">
        <f ca="1">IFERROR(__xludf.DUMMYFUNCTION("GOOGLEFINANCE( A15, ""beta"")"),0.9)</f>
        <v>0.9</v>
      </c>
    </row>
    <row r="11" spans="1:16" x14ac:dyDescent="0.25">
      <c r="A11" s="1" t="s">
        <v>16</v>
      </c>
      <c r="B11" s="1">
        <f ca="1">IFERROR(__xludf.DUMMYFUNCTION("GOOGLEFINANCE( A10, ""volume"")"),1522754)</f>
        <v>1522754</v>
      </c>
      <c r="C11" s="1">
        <f ca="1">IFERROR(__xludf.DUMMYFUNCTION("GOOGLEFINANCE( A10, ""marketcap"")"),414864474420)</f>
        <v>414864474420</v>
      </c>
      <c r="D11" s="1">
        <f ca="1">IFERROR(__xludf.DUMMYFUNCTION("GOOGLEFINANCE(A10 , ""pe"")"),51.41)</f>
        <v>51.41</v>
      </c>
      <c r="E11" s="1">
        <f ca="1">IFERROR(__xludf.DUMMYFUNCTION("GOOGLEFINANCE(A10 , ""eps"")"),18.21)</f>
        <v>18.21</v>
      </c>
      <c r="F11" s="1">
        <f ca="1">IFERROR(__xludf.DUMMYFUNCTION("GOOGLEFINANCE(A10 , ""changepct"")"),-0.02)</f>
        <v>-0.02</v>
      </c>
      <c r="G11" s="1">
        <f ca="1">IFERROR(__xludf.DUMMYFUNCTION("GOOGLEFINANCE(A10, ""shares"")"),443179000)</f>
        <v>443179000</v>
      </c>
      <c r="H11" s="1">
        <f ca="1">IFERROR(__xludf.DUMMYFUNCTION("GOOGLEFINANCE( A10, ""beta"")"),0.98)</f>
        <v>0.98</v>
      </c>
    </row>
    <row r="12" spans="1:16" x14ac:dyDescent="0.25">
      <c r="A12" s="1" t="s">
        <v>13</v>
      </c>
      <c r="B12" s="1">
        <f ca="1">IFERROR(__xludf.DUMMYFUNCTION("GOOGLEFINANCE( A7, ""volume"")"),13719707)</f>
        <v>13719707</v>
      </c>
      <c r="C12" s="1">
        <f ca="1">IFERROR(__xludf.DUMMYFUNCTION("GOOGLEFINANCE( A7, ""marketcap"")"),3105409327239)</f>
        <v>3105409327239</v>
      </c>
      <c r="D12" s="1">
        <f ca="1">IFERROR(__xludf.DUMMYFUNCTION("GOOGLEFINANCE(A7 , ""pe"")"),27.79)</f>
        <v>27.79</v>
      </c>
      <c r="E12" s="1">
        <f ca="1">IFERROR(__xludf.DUMMYFUNCTION("GOOGLEFINANCE(A7 , ""eps"")"),9.25)</f>
        <v>9.25</v>
      </c>
      <c r="F12" s="1">
        <f ca="1">IFERROR(__xludf.DUMMYFUNCTION("GOOGLEFINANCE(A7 , ""changepct"")"),1.27)</f>
        <v>1.27</v>
      </c>
      <c r="G12" s="1">
        <f ca="1">IFERROR(__xludf.DUMMYFUNCTION("GOOGLEFINANCE(A7, ""shares"")"),5430000000)</f>
        <v>5430000000</v>
      </c>
      <c r="H12" s="1">
        <f ca="1">IFERROR(__xludf.DUMMYFUNCTION("GOOGLEFINANCE( A7, ""beta"")"),1)</f>
        <v>1</v>
      </c>
    </row>
    <row r="13" spans="1:16" x14ac:dyDescent="0.25">
      <c r="A13" s="2" t="s">
        <v>28</v>
      </c>
      <c r="B13" s="1">
        <f ca="1">IFERROR(__xludf.DUMMYFUNCTION("GOOGLEFINANCE( A22, ""volume"")"),7677387)</f>
        <v>7677387</v>
      </c>
      <c r="C13" s="1">
        <f ca="1">IFERROR(__xludf.DUMMYFUNCTION("GOOGLEFINANCE( A22, ""marketcap"")"),96085165082)</f>
        <v>96085165082</v>
      </c>
      <c r="D13" s="1">
        <f ca="1">IFERROR(__xludf.DUMMYFUNCTION("GOOGLEFINANCE(A22 , ""pe"")"),36.56)</f>
        <v>36.56</v>
      </c>
      <c r="E13" s="1">
        <f ca="1">IFERROR(__xludf.DUMMYFUNCTION("GOOGLEFINANCE(A22 , ""eps"")"),2.31)</f>
        <v>2.31</v>
      </c>
      <c r="F13" s="1">
        <f ca="1">IFERROR(__xludf.DUMMYFUNCTION("GOOGLEFINANCE(A22 , ""changepct"")"),-0.97)</f>
        <v>-0.97</v>
      </c>
      <c r="G13" s="1">
        <f ca="1">IFERROR(__xludf.DUMMYFUNCTION("GOOGLEFINANCE(A22, ""shares"")"),1136700000)</f>
        <v>1136700000</v>
      </c>
      <c r="H13" s="1">
        <f ca="1">IFERROR(__xludf.DUMMYFUNCTION("GOOGLEFINANCE( A22, ""beta"")"),1.01)</f>
        <v>1.01</v>
      </c>
    </row>
    <row r="14" spans="1:16" x14ac:dyDescent="0.25">
      <c r="A14" s="1" t="s">
        <v>17</v>
      </c>
      <c r="B14" s="1">
        <f ca="1">IFERROR(__xludf.DUMMYFUNCTION("GOOGLEFINANCE( A11, ""volume"")"),15619089)</f>
        <v>15619089</v>
      </c>
      <c r="C14" s="1">
        <f ca="1">IFERROR(__xludf.DUMMYFUNCTION("GOOGLEFINANCE( A11, ""marketcap"")"),1649238706483)</f>
        <v>1649238706483</v>
      </c>
      <c r="D14" s="1">
        <f ca="1">IFERROR(__xludf.DUMMYFUNCTION("GOOGLEFINANCE(A11 , ""pe"")"),89.22)</f>
        <v>89.22</v>
      </c>
      <c r="E14" s="1">
        <f ca="1">IFERROR(__xludf.DUMMYFUNCTION("GOOGLEFINANCE(A11 , ""eps"")"),3.91)</f>
        <v>3.91</v>
      </c>
      <c r="F14" s="1">
        <f ca="1">IFERROR(__xludf.DUMMYFUNCTION("GOOGLEFINANCE(A11 , ""changepct"")"),-0.03)</f>
        <v>-0.03</v>
      </c>
      <c r="G14" s="1">
        <f ca="1">IFERROR(__xludf.DUMMYFUNCTION("GOOGLEFINANCE(A11, ""shares"")"),4722365000)</f>
        <v>4722365000</v>
      </c>
      <c r="H14" s="1">
        <f ca="1">IFERROR(__xludf.DUMMYFUNCTION("GOOGLEFINANCE( A11, ""beta"")"),1.01)</f>
        <v>1.01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" t="s">
        <v>9</v>
      </c>
      <c r="B15" s="1">
        <f ca="1">IFERROR(__xludf.DUMMYFUNCTION("GOOGLEFINANCE( A3, ""volume"")"),14657466)</f>
        <v>14657466</v>
      </c>
      <c r="C15" s="1">
        <f ca="1">IFERROR(__xludf.DUMMYFUNCTION("GOOGLEFINANCE( A3, ""marketcap"")"),3841386210603)</f>
        <v>3841386210603</v>
      </c>
      <c r="D15" s="1">
        <f ca="1">IFERROR(__xludf.DUMMYFUNCTION("GOOGLEFINANCE(A3 , ""pe"")"),37.88)</f>
        <v>37.880000000000003</v>
      </c>
      <c r="E15" s="1">
        <f ca="1">IFERROR(__xludf.DUMMYFUNCTION("GOOGLEFINANCE(A3 , ""eps"")"),13.64)</f>
        <v>13.64</v>
      </c>
      <c r="F15" s="1">
        <f ca="1">IFERROR(__xludf.DUMMYFUNCTION("GOOGLEFINANCE(A3 , ""changepct"")"),0.63)</f>
        <v>0.63</v>
      </c>
      <c r="G15" s="1">
        <f ca="1">IFERROR(__xludf.DUMMYFUNCTION("GOOGLEFINANCE(A3, ""shares"")"),7433166000)</f>
        <v>7433166000</v>
      </c>
      <c r="H15" s="1">
        <f ca="1">IFERROR(__xludf.DUMMYFUNCTION("GOOGLEFINANCE( A3, ""beta"")"),1.02)</f>
        <v>1.02</v>
      </c>
    </row>
    <row r="16" spans="1:16" x14ac:dyDescent="0.25">
      <c r="A16" s="1" t="s">
        <v>8</v>
      </c>
      <c r="B16" s="1">
        <f ca="1">IFERROR(__xludf.DUMMYFUNCTION("GOOGLEFINANCE( A2, ""volume"")"),90391893)</f>
        <v>90391893</v>
      </c>
      <c r="C16" s="1">
        <f ca="1">IFERROR(__xludf.DUMMYFUNCTION("GOOGLEFINANCE( A2, ""marketcap"")"),3891743728674)</f>
        <v>3891743728674</v>
      </c>
      <c r="D16" s="1">
        <f ca="1">IFERROR(__xludf.DUMMYFUNCTION("GOOGLEFINANCE(A2 , ""pe"")"),39.87)</f>
        <v>39.869999999999997</v>
      </c>
      <c r="E16" s="1">
        <f ca="1">IFERROR(__xludf.DUMMYFUNCTION("GOOGLEFINANCE(A2 , ""eps"")"),6.58)</f>
        <v>6.58</v>
      </c>
      <c r="F16" s="1">
        <f ca="1">IFERROR(__xludf.DUMMYFUNCTION("GOOGLEFINANCE(A2 , ""changepct"")"),3.94)</f>
        <v>3.94</v>
      </c>
      <c r="G16" s="1">
        <f ca="1">IFERROR(__xludf.DUMMYFUNCTION("GOOGLEFINANCE(A2, ""shares"")"),14840390000)</f>
        <v>14840390000</v>
      </c>
      <c r="H16" s="1">
        <f ca="1">IFERROR(__xludf.DUMMYFUNCTION("GOOGLEFINANCE( A2, ""beta"")"),1.09)</f>
        <v>1.0900000000000001</v>
      </c>
    </row>
    <row r="17" spans="1:8" x14ac:dyDescent="0.25">
      <c r="A17" s="2" t="s">
        <v>20</v>
      </c>
      <c r="B17" s="1">
        <f ca="1">IFERROR(__xludf.DUMMYFUNCTION("GOOGLEFINANCE( A14, ""volume"")"),6892378)</f>
        <v>6892378</v>
      </c>
      <c r="C17" s="1">
        <f ca="1">IFERROR(__xludf.DUMMYFUNCTION("GOOGLEFINANCE( A14, ""marketcap"")"),831415276800)</f>
        <v>831415276800</v>
      </c>
      <c r="D17" s="1">
        <f ca="1">IFERROR(__xludf.DUMMYFUNCTION("GOOGLEFINANCE(A14 , ""pe"")"),14.98)</f>
        <v>14.98</v>
      </c>
      <c r="E17" s="1">
        <f ca="1">IFERROR(__xludf.DUMMYFUNCTION("GOOGLEFINANCE(A14 , ""eps"")"),20.19)</f>
        <v>20.190000000000001</v>
      </c>
      <c r="F17" s="1">
        <f ca="1">IFERROR(__xludf.DUMMYFUNCTION("GOOGLEFINANCE(A14 , ""changepct"")"),1.61)</f>
        <v>1.61</v>
      </c>
      <c r="G17" s="1">
        <f ca="1">IFERROR(__xludf.DUMMYFUNCTION("GOOGLEFINANCE(A14, ""shares"")"),2749754000)</f>
        <v>2749754000</v>
      </c>
      <c r="H17" s="1">
        <f ca="1">IFERROR(__xludf.DUMMYFUNCTION("GOOGLEFINANCE( A14, ""beta"")"),1.13)</f>
        <v>1.1299999999999999</v>
      </c>
    </row>
    <row r="18" spans="1:8" x14ac:dyDescent="0.25">
      <c r="A18" s="1" t="s">
        <v>12</v>
      </c>
      <c r="B18" s="1">
        <f ca="1">IFERROR(__xludf.DUMMYFUNCTION("GOOGLEFINANCE( A6, ""volume"")"),8886735)</f>
        <v>8886735</v>
      </c>
      <c r="C18" s="1">
        <f ca="1">IFERROR(__xludf.DUMMYFUNCTION("GOOGLEFINANCE( A6, ""marketcap"")"),1839301786148)</f>
        <v>1839301786148</v>
      </c>
      <c r="D18" s="1">
        <f ca="1">IFERROR(__xludf.DUMMYFUNCTION("GOOGLEFINANCE(A6 , ""pe"")"),26.55)</f>
        <v>26.55</v>
      </c>
      <c r="E18" s="1">
        <f ca="1">IFERROR(__xludf.DUMMYFUNCTION("GOOGLEFINANCE(A6 , ""eps"")"),27.58)</f>
        <v>27.58</v>
      </c>
      <c r="F18" s="1">
        <f ca="1">IFERROR(__xludf.DUMMYFUNCTION("GOOGLEFINANCE(A6 , ""changepct"")"),2.13)</f>
        <v>2.13</v>
      </c>
      <c r="G18" s="1">
        <f ca="1">IFERROR(__xludf.DUMMYFUNCTION("GOOGLEFINANCE(A6, ""shares"")"),2168962000)</f>
        <v>2168962000</v>
      </c>
      <c r="H18" s="1">
        <f ca="1">IFERROR(__xludf.DUMMYFUNCTION("GOOGLEFINANCE( A6, ""beta"")"),1.2)</f>
        <v>1.2</v>
      </c>
    </row>
    <row r="19" spans="1:8" x14ac:dyDescent="0.25">
      <c r="A19" s="2" t="s">
        <v>31</v>
      </c>
      <c r="B19" s="1">
        <f ca="1">IFERROR(__xludf.DUMMYFUNCTION("GOOGLEFINANCE( A25, ""volume"")"),13369147)</f>
        <v>13369147</v>
      </c>
      <c r="C19" s="1">
        <f ca="1">IFERROR(__xludf.DUMMYFUNCTION("GOOGLEFINANCE( A25, ""marketcap"")"),1239136409010)</f>
        <v>1239136409010</v>
      </c>
      <c r="D19" s="1">
        <f ca="1">IFERROR(__xludf.DUMMYFUNCTION("GOOGLEFINANCE(A25 , ""pe"")"),29.79)</f>
        <v>29.79</v>
      </c>
      <c r="E19" s="1">
        <f ca="1">IFERROR(__xludf.DUMMYFUNCTION("GOOGLEFINANCE(A25 , ""eps"")"),9.99)</f>
        <v>9.99</v>
      </c>
      <c r="F19" s="1">
        <f ca="1">IFERROR(__xludf.DUMMYFUNCTION("GOOGLEFINANCE(A25 , ""changepct"")"),0.89)</f>
        <v>0.89</v>
      </c>
      <c r="G19" s="1">
        <f ca="1">IFERROR(__xludf.DUMMYFUNCTION("GOOGLEFINANCE(A25, ""shares"")"),25932620000)</f>
        <v>25932620000</v>
      </c>
      <c r="H19" s="1">
        <f ca="1">IFERROR(__xludf.DUMMYFUNCTION("GOOGLEFINANCE( A25, ""beta"")"),1.26)</f>
        <v>1.26</v>
      </c>
    </row>
    <row r="20" spans="1:8" x14ac:dyDescent="0.25">
      <c r="A20" s="1" t="s">
        <v>10</v>
      </c>
      <c r="B20" s="1">
        <f ca="1">IFERROR(__xludf.DUMMYFUNCTION("GOOGLEFINANCE( A4, ""volume"")"),38802942)</f>
        <v>38802942</v>
      </c>
      <c r="C20" s="1">
        <f ca="1">IFERROR(__xludf.DUMMYFUNCTION("GOOGLEFINANCE( A4, ""marketcap"")"),2308739671234)</f>
        <v>2308739671234</v>
      </c>
      <c r="D20" s="1">
        <f ca="1">IFERROR(__xludf.DUMMYFUNCTION("GOOGLEFINANCE(A4 , ""pe"")"),33.03)</f>
        <v>33.03</v>
      </c>
      <c r="E20" s="1">
        <f ca="1">IFERROR(__xludf.DUMMYFUNCTION("GOOGLEFINANCE(A4 , ""eps"")"),6.55)</f>
        <v>6.55</v>
      </c>
      <c r="F20" s="1">
        <f ca="1">IFERROR(__xludf.DUMMYFUNCTION("GOOGLEFINANCE(A4 , ""changepct"")"),1.61)</f>
        <v>1.61</v>
      </c>
      <c r="G20" s="1">
        <f ca="1">IFERROR(__xludf.DUMMYFUNCTION("GOOGLEFINANCE(A4, ""shares"")"),10664910000)</f>
        <v>10664910000</v>
      </c>
      <c r="H20" s="1">
        <f ca="1">IFERROR(__xludf.DUMMYFUNCTION("GOOGLEFINANCE( A4, ""beta"")"),1.28)</f>
        <v>1.28</v>
      </c>
    </row>
    <row r="21" spans="1:8" x14ac:dyDescent="0.25">
      <c r="A21" s="2" t="s">
        <v>35</v>
      </c>
      <c r="B21" s="1">
        <f ca="1">IFERROR(__xludf.DUMMYFUNCTION("GOOGLEFINANCE( A29, ""volume"")"),9662488)</f>
        <v>9662488</v>
      </c>
      <c r="C21" s="1">
        <f ca="1">IFERROR(__xludf.DUMMYFUNCTION("GOOGLEFINANCE( A29, ""marketcap"")"),99955955680)</f>
        <v>99955955680</v>
      </c>
      <c r="D21" s="1">
        <f ca="1">IFERROR(__xludf.DUMMYFUNCTION("GOOGLEFINANCE(A29 , ""pe"")"),34.66)</f>
        <v>34.659999999999997</v>
      </c>
      <c r="E21" s="1">
        <f ca="1">IFERROR(__xludf.DUMMYFUNCTION("GOOGLEFINANCE(A29 , ""eps"")"),1.95)</f>
        <v>1.95</v>
      </c>
      <c r="F21" s="1">
        <f ca="1">IFERROR(__xludf.DUMMYFUNCTION("GOOGLEFINANCE(A29 , ""changepct"")"),0.37)</f>
        <v>0.37</v>
      </c>
      <c r="G21" s="1">
        <f ca="1">IFERROR(__xludf.DUMMYFUNCTION("GOOGLEFINANCE(A29, ""shares"")"),1189314000)</f>
        <v>1189314000</v>
      </c>
      <c r="H21" s="1">
        <f ca="1">IFERROR(__xludf.DUMMYFUNCTION("GOOGLEFINANCE( A29, ""beta"")"),1.29)</f>
        <v>1.29</v>
      </c>
    </row>
    <row r="22" spans="1:8" x14ac:dyDescent="0.25">
      <c r="A22" s="2" t="s">
        <v>30</v>
      </c>
      <c r="B22" s="1">
        <f ca="1">IFERROR(__xludf.DUMMYFUNCTION("GOOGLEFINANCE( A24, ""volume"")"),1916833)</f>
        <v>1916833</v>
      </c>
      <c r="C22" s="1">
        <f ca="1">IFERROR(__xludf.DUMMYFUNCTION("GOOGLEFINANCE( A24, ""marketcap"")"),231072995937)</f>
        <v>231072995937</v>
      </c>
      <c r="D22" s="1">
        <f ca="1">IFERROR(__xludf.DUMMYFUNCTION("GOOGLEFINANCE(A24 , ""pe"")"),15.51)</f>
        <v>15.51</v>
      </c>
      <c r="E22" s="1">
        <f ca="1">IFERROR(__xludf.DUMMYFUNCTION("GOOGLEFINANCE(A24 , ""eps"")"),49.23)</f>
        <v>49.23</v>
      </c>
      <c r="F22" s="1">
        <f ca="1">IFERROR(__xludf.DUMMYFUNCTION("GOOGLEFINANCE(A24 , ""changepct"")"),1.67)</f>
        <v>1.67</v>
      </c>
      <c r="G22" s="1">
        <f ca="1">IFERROR(__xludf.DUMMYFUNCTION("GOOGLEFINANCE(A24, ""shares"")"),302721000)</f>
        <v>302721000</v>
      </c>
      <c r="H22" s="1">
        <f ca="1">IFERROR(__xludf.DUMMYFUNCTION("GOOGLEFINANCE( A24, ""beta"")"),1.42)</f>
        <v>1.42</v>
      </c>
    </row>
    <row r="23" spans="1:8" x14ac:dyDescent="0.25">
      <c r="A23" s="2" t="s">
        <v>34</v>
      </c>
      <c r="B23" s="1">
        <f ca="1">IFERROR(__xludf.DUMMYFUNCTION("GOOGLEFINANCE( A28, ""volume"")"),2166261)</f>
        <v>2166261</v>
      </c>
      <c r="C23" s="1">
        <f ca="1">IFERROR(__xludf.DUMMYFUNCTION("GOOGLEFINANCE( A28, ""marketcap"")"),248846618670)</f>
        <v>248846618670</v>
      </c>
      <c r="D23" s="1">
        <f ca="1">IFERROR(__xludf.DUMMYFUNCTION("GOOGLEFINANCE(A28 , ""pe"")"),27.01)</f>
        <v>27.01</v>
      </c>
      <c r="E23" s="1">
        <f ca="1">IFERROR(__xludf.DUMMYFUNCTION("GOOGLEFINANCE(A28 , ""eps"")"),19.67)</f>
        <v>19.670000000000002</v>
      </c>
      <c r="F23" s="1">
        <f ca="1">IFERROR(__xludf.DUMMYFUNCTION("GOOGLEFINANCE(A28 , ""changepct"")"),1.07)</f>
        <v>1.07</v>
      </c>
      <c r="G23" s="1">
        <f ca="1">IFERROR(__xludf.DUMMYFUNCTION("GOOGLEFINANCE(A28, ""shares"")"),468479000)</f>
        <v>468479000</v>
      </c>
      <c r="H23" s="1">
        <f ca="1">IFERROR(__xludf.DUMMYFUNCTION("GOOGLEFINANCE( A28, ""beta"")"),1.47)</f>
        <v>1.47</v>
      </c>
    </row>
    <row r="24" spans="1:8" x14ac:dyDescent="0.25">
      <c r="A24" s="1" t="s">
        <v>18</v>
      </c>
      <c r="B24" s="1">
        <f ca="1">IFERROR(__xludf.DUMMYFUNCTION("GOOGLEFINANCE( A12, ""volume"")"),3900579)</f>
        <v>3900579</v>
      </c>
      <c r="C24" s="1">
        <f ca="1">IFERROR(__xludf.DUMMYFUNCTION("GOOGLEFINANCE( A12, ""marketcap"")"),143747168765)</f>
        <v>143747168765</v>
      </c>
      <c r="D24" s="1">
        <f ca="1">IFERROR(__xludf.DUMMYFUNCTION("GOOGLEFINANCE(A12 , ""pe"")"),21.4)</f>
        <v>21.4</v>
      </c>
      <c r="E24" s="1">
        <f ca="1">IFERROR(__xludf.DUMMYFUNCTION("GOOGLEFINANCE(A12 , ""eps"")"),16.05)</f>
        <v>16.05</v>
      </c>
      <c r="F24" s="1">
        <f ca="1">IFERROR(__xludf.DUMMYFUNCTION("GOOGLEFINANCE(A12 , ""changepct"")"),3.04)</f>
        <v>3.04</v>
      </c>
      <c r="G24" s="1">
        <f ca="1">IFERROR(__xludf.DUMMYFUNCTION("GOOGLEFINANCE(A12, ""shares"")"),418600000)</f>
        <v>418600000</v>
      </c>
      <c r="H24" s="1">
        <f ca="1">IFERROR(__xludf.DUMMYFUNCTION("GOOGLEFINANCE( A12, ""beta"")"),1.49)</f>
        <v>1.49</v>
      </c>
    </row>
    <row r="25" spans="1:8" x14ac:dyDescent="0.25">
      <c r="A25" s="1" t="s">
        <v>19</v>
      </c>
      <c r="B25" s="1">
        <f ca="1">IFERROR(__xludf.DUMMYFUNCTION("GOOGLEFINANCE( A13, ""volume"")"),3973480)</f>
        <v>3973480</v>
      </c>
      <c r="C25" s="1">
        <f ca="1">IFERROR(__xludf.DUMMYFUNCTION("GOOGLEFINANCE( A13, ""marketcap"")"),526296743026)</f>
        <v>526296743026</v>
      </c>
      <c r="D25" s="1">
        <f ca="1">IFERROR(__xludf.DUMMYFUNCTION("GOOGLEFINANCE(A13 , ""pe"")"),52.78)</f>
        <v>52.78</v>
      </c>
      <c r="E25" s="1">
        <f ca="1">IFERROR(__xludf.DUMMYFUNCTION("GOOGLEFINANCE(A13 , ""eps"")"),23.47)</f>
        <v>23.47</v>
      </c>
      <c r="F25" s="1">
        <f ca="1">IFERROR(__xludf.DUMMYFUNCTION("GOOGLEFINANCE(A13 , ""changepct"")"),3.27)</f>
        <v>3.27</v>
      </c>
      <c r="G25" s="1">
        <f ca="1">IFERROR(__xludf.DUMMYFUNCTION("GOOGLEFINANCE(A13, ""shares"")"),424926000)</f>
        <v>424926000</v>
      </c>
      <c r="H25" s="1">
        <f ca="1">IFERROR(__xludf.DUMMYFUNCTION("GOOGLEFINANCE( A13, ""beta"")"),1.59)</f>
        <v>1.59</v>
      </c>
    </row>
    <row r="26" spans="1:8" x14ac:dyDescent="0.25">
      <c r="A26" s="1" t="s">
        <v>32</v>
      </c>
      <c r="B26" s="1">
        <f ca="1">IFERROR(__xludf.DUMMYFUNCTION("GOOGLEFINANCE( A26, ""volume"")"),1270975)</f>
        <v>1270975</v>
      </c>
      <c r="C26" s="1">
        <f ca="1">IFERROR(__xludf.DUMMYFUNCTION("GOOGLEFINANCE( A26, ""marketcap"")"),402213841752)</f>
        <v>402213841752</v>
      </c>
      <c r="D26" s="1">
        <f ca="1">IFERROR(__xludf.DUMMYFUNCTION("GOOGLEFINANCE(A26 , ""pe"")"),36.93)</f>
        <v>36.93</v>
      </c>
      <c r="E26" s="1">
        <f ca="1">IFERROR(__xludf.DUMMYFUNCTION("GOOGLEFINANCE(A26 , ""eps"")"),28.22)</f>
        <v>28.22</v>
      </c>
      <c r="F26" s="1">
        <f ca="1">IFERROR(__xludf.DUMMYFUNCTION("GOOGLEFINANCE(A26 , ""changepct"")"),1.25)</f>
        <v>1.25</v>
      </c>
      <c r="G26" s="1">
        <f ca="1">IFERROR(__xludf.DUMMYFUNCTION("GOOGLEFINANCE(A26, ""shares"")"),388148000)</f>
        <v>388148000</v>
      </c>
      <c r="H26" s="1">
        <f ca="1">IFERROR(__xludf.DUMMYFUNCTION("GOOGLEFINANCE( A26, ""beta"")"),1.87)</f>
        <v>1.87</v>
      </c>
    </row>
    <row r="27" spans="1:8" x14ac:dyDescent="0.25">
      <c r="A27" s="2" t="s">
        <v>27</v>
      </c>
      <c r="B27" s="1">
        <f ca="1">IFERROR(__xludf.DUMMYFUNCTION("GOOGLEFINANCE( A21, ""volume"")"),56629536)</f>
        <v>56629536</v>
      </c>
      <c r="C27" s="1">
        <f ca="1">IFERROR(__xludf.DUMMYFUNCTION("GOOGLEFINANCE( A21, ""marketcap"")"),390391108117)</f>
        <v>390391108117</v>
      </c>
      <c r="D27" s="1">
        <f ca="1">IFERROR(__xludf.DUMMYFUNCTION("GOOGLEFINANCE(A21 , ""pe"")"),138.47)</f>
        <v>138.47</v>
      </c>
      <c r="E27" s="1">
        <f ca="1">IFERROR(__xludf.DUMMYFUNCTION("GOOGLEFINANCE(A21 , ""eps"")"),1.74)</f>
        <v>1.74</v>
      </c>
      <c r="F27" s="1">
        <f ca="1">IFERROR(__xludf.DUMMYFUNCTION("GOOGLEFINANCE(A21 , ""changepct"")"),3.21)</f>
        <v>3.21</v>
      </c>
      <c r="G27" s="1">
        <f ca="1">IFERROR(__xludf.DUMMYFUNCTION("GOOGLEFINANCE(A21, ""shares"")"),1622844000)</f>
        <v>1622844000</v>
      </c>
      <c r="H27" s="1">
        <f ca="1">IFERROR(__xludf.DUMMYFUNCTION("GOOGLEFINANCE( A21, ""beta"")"),1.9)</f>
        <v>1.9</v>
      </c>
    </row>
    <row r="28" spans="1:8" x14ac:dyDescent="0.25">
      <c r="A28" s="1" t="s">
        <v>14</v>
      </c>
      <c r="B28" s="1">
        <f ca="1">IFERROR(__xludf.DUMMYFUNCTION("GOOGLEFINANCE( A8, ""volume"")"),63511663)</f>
        <v>63511663</v>
      </c>
      <c r="C28" s="1">
        <f ca="1">IFERROR(__xludf.DUMMYFUNCTION("GOOGLEFINANCE( A8, ""marketcap"")"),1402008459149)</f>
        <v>1402008459149</v>
      </c>
      <c r="D28" s="1">
        <f ca="1">IFERROR(__xludf.DUMMYFUNCTION("GOOGLEFINANCE(A8 , ""pe"")"),259.33)</f>
        <v>259.33</v>
      </c>
      <c r="E28" s="1">
        <f ca="1">IFERROR(__xludf.DUMMYFUNCTION("GOOGLEFINANCE(A8 , ""eps"")"),1.73)</f>
        <v>1.73</v>
      </c>
      <c r="F28" s="1">
        <f ca="1">IFERROR(__xludf.DUMMYFUNCTION("GOOGLEFINANCE(A8 , ""changepct"")"),1.85)</f>
        <v>1.85</v>
      </c>
      <c r="G28" s="1">
        <f ca="1">IFERROR(__xludf.DUMMYFUNCTION("GOOGLEFINANCE(A8, ""shares"")"),3325151000)</f>
        <v>3325151000</v>
      </c>
      <c r="H28" s="1">
        <f ca="1">IFERROR(__xludf.DUMMYFUNCTION("GOOGLEFINANCE( A8, ""beta"")"),2.08)</f>
        <v>2.08</v>
      </c>
    </row>
    <row r="29" spans="1:8" x14ac:dyDescent="0.25">
      <c r="A29" s="1" t="s">
        <v>11</v>
      </c>
      <c r="B29" s="1">
        <f ca="1">IFERROR(__xludf.DUMMYFUNCTION("GOOGLEFINANCE( A5, ""volume"")"),128226755)</f>
        <v>128226755</v>
      </c>
      <c r="C29" s="1">
        <f ca="1">IFERROR(__xludf.DUMMYFUNCTION("GOOGLEFINANCE( A5, ""marketcap"")"),4438151985168)</f>
        <v>4438151985168</v>
      </c>
      <c r="D29" s="1">
        <f ca="1">IFERROR(__xludf.DUMMYFUNCTION("GOOGLEFINANCE(A5 , ""pe"")"),51.98)</f>
        <v>51.98</v>
      </c>
      <c r="E29" s="1">
        <f ca="1">IFERROR(__xludf.DUMMYFUNCTION("GOOGLEFINANCE(A5 , ""eps"")"),3.51)</f>
        <v>3.51</v>
      </c>
      <c r="F29" s="1">
        <f ca="1">IFERROR(__xludf.DUMMYFUNCTION("GOOGLEFINANCE(A5 , ""changepct"")"),-0.32)</f>
        <v>-0.32</v>
      </c>
      <c r="G29" s="1">
        <f ca="1">IFERROR(__xludf.DUMMYFUNCTION("GOOGLEFINANCE(A5, ""shares"")"),24300000000)</f>
        <v>24300000000</v>
      </c>
      <c r="H29" s="1">
        <f ca="1">IFERROR(__xludf.DUMMYFUNCTION("GOOGLEFINANCE( A5, ""beta"")"),2.13)</f>
        <v>2.13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MESUT U. 223101024</cp:lastModifiedBy>
  <dcterms:modified xsi:type="dcterms:W3CDTF">2025-10-21T23:10:09Z</dcterms:modified>
</cp:coreProperties>
</file>