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ğra\Desktop\ne-olur\"/>
    </mc:Choice>
  </mc:AlternateContent>
  <xr:revisionPtr revIDLastSave="0" documentId="13_ncr:1_{319FD5AB-B442-42F0-AE01-11369186B6CC}" xr6:coauthVersionLast="47" xr6:coauthVersionMax="47" xr10:uidLastSave="{00000000-0000-0000-0000-000000000000}"/>
  <bookViews>
    <workbookView xWindow="4452" yWindow="2376" windowWidth="17220" windowHeight="8880" xr2:uid="{00000000-000D-0000-FFFF-FFFF00000000}"/>
  </bookViews>
  <sheets>
    <sheet name="csv (2)" sheetId="3" r:id="rId1"/>
    <sheet name="csv" sheetId="2" r:id="rId2"/>
    <sheet name="Sayfa1" sheetId="1" r:id="rId3"/>
  </sheets>
  <definedNames>
    <definedName name="_xlnm._FilterDatabase" localSheetId="2" hidden="1">Sayfa1!$A$1:$H$29</definedName>
    <definedName name="DışVeri_1" localSheetId="0" hidden="1">'csv (2)'!$A$1:$P$29</definedName>
    <definedName name="ExternalData_1" localSheetId="1" hidden="1">'csv'!$A$1:$H$29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H23" i="1"/>
  <c r="G23" i="1"/>
  <c r="F23" i="1"/>
  <c r="E23" i="1"/>
  <c r="D23" i="1"/>
  <c r="C23" i="1"/>
  <c r="B23" i="1"/>
  <c r="H2" i="1"/>
  <c r="G2" i="1"/>
  <c r="F2" i="1"/>
  <c r="E2" i="1"/>
  <c r="D2" i="1"/>
  <c r="C2" i="1"/>
  <c r="B2" i="1"/>
  <c r="H26" i="1"/>
  <c r="G26" i="1"/>
  <c r="F26" i="1"/>
  <c r="E26" i="1"/>
  <c r="D26" i="1"/>
  <c r="C26" i="1"/>
  <c r="B26" i="1"/>
  <c r="H19" i="1"/>
  <c r="G19" i="1"/>
  <c r="F19" i="1"/>
  <c r="E19" i="1"/>
  <c r="D19" i="1"/>
  <c r="C19" i="1"/>
  <c r="B19" i="1"/>
  <c r="H22" i="1"/>
  <c r="G22" i="1"/>
  <c r="F22" i="1"/>
  <c r="E22" i="1"/>
  <c r="D22" i="1"/>
  <c r="C22" i="1"/>
  <c r="B22" i="1"/>
  <c r="H7" i="1"/>
  <c r="G7" i="1"/>
  <c r="F7" i="1"/>
  <c r="E7" i="1"/>
  <c r="D7" i="1"/>
  <c r="C7" i="1"/>
  <c r="B7" i="1"/>
  <c r="H13" i="1"/>
  <c r="G13" i="1"/>
  <c r="F13" i="1"/>
  <c r="E13" i="1"/>
  <c r="D13" i="1"/>
  <c r="C13" i="1"/>
  <c r="B13" i="1"/>
  <c r="H27" i="1"/>
  <c r="G27" i="1"/>
  <c r="F27" i="1"/>
  <c r="E27" i="1"/>
  <c r="D27" i="1"/>
  <c r="C27" i="1"/>
  <c r="B27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3" i="1"/>
  <c r="G3" i="1"/>
  <c r="F3" i="1"/>
  <c r="E3" i="1"/>
  <c r="D3" i="1"/>
  <c r="C3" i="1"/>
  <c r="B3" i="1"/>
  <c r="H10" i="1"/>
  <c r="G10" i="1"/>
  <c r="F10" i="1"/>
  <c r="E10" i="1"/>
  <c r="D10" i="1"/>
  <c r="C10" i="1"/>
  <c r="B10" i="1"/>
  <c r="H17" i="1"/>
  <c r="G17" i="1"/>
  <c r="F17" i="1"/>
  <c r="E17" i="1"/>
  <c r="D17" i="1"/>
  <c r="C17" i="1"/>
  <c r="B17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14" i="1"/>
  <c r="G14" i="1"/>
  <c r="F14" i="1"/>
  <c r="E14" i="1"/>
  <c r="D14" i="1"/>
  <c r="C14" i="1"/>
  <c r="B14" i="1"/>
  <c r="H11" i="1"/>
  <c r="G11" i="1"/>
  <c r="F11" i="1"/>
  <c r="E11" i="1"/>
  <c r="D11" i="1"/>
  <c r="C11" i="1"/>
  <c r="B11" i="1"/>
  <c r="H4" i="1"/>
  <c r="G4" i="1"/>
  <c r="F4" i="1"/>
  <c r="E4" i="1"/>
  <c r="D4" i="1"/>
  <c r="C4" i="1"/>
  <c r="B4" i="1"/>
  <c r="H28" i="1"/>
  <c r="G28" i="1"/>
  <c r="F28" i="1"/>
  <c r="E28" i="1"/>
  <c r="D28" i="1"/>
  <c r="C28" i="1"/>
  <c r="B28" i="1"/>
  <c r="H12" i="1"/>
  <c r="G12" i="1"/>
  <c r="F12" i="1"/>
  <c r="E12" i="1"/>
  <c r="D12" i="1"/>
  <c r="C12" i="1"/>
  <c r="B12" i="1"/>
  <c r="H18" i="1"/>
  <c r="G18" i="1"/>
  <c r="F18" i="1"/>
  <c r="E18" i="1"/>
  <c r="D18" i="1"/>
  <c r="C18" i="1"/>
  <c r="B18" i="1"/>
  <c r="H29" i="1"/>
  <c r="G29" i="1"/>
  <c r="F29" i="1"/>
  <c r="E29" i="1"/>
  <c r="D29" i="1"/>
  <c r="C29" i="1"/>
  <c r="B29" i="1"/>
  <c r="H20" i="1"/>
  <c r="G20" i="1"/>
  <c r="F20" i="1"/>
  <c r="E20" i="1"/>
  <c r="D20" i="1"/>
  <c r="C20" i="1"/>
  <c r="B20" i="1"/>
  <c r="H15" i="1"/>
  <c r="G15" i="1"/>
  <c r="F15" i="1"/>
  <c r="E15" i="1"/>
  <c r="D15" i="1"/>
  <c r="C15" i="1"/>
  <c r="B15" i="1"/>
  <c r="H16" i="1"/>
  <c r="G16" i="1"/>
  <c r="F16" i="1"/>
  <c r="E16" i="1"/>
  <c r="D16" i="1"/>
  <c r="C16" i="1"/>
  <c r="B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DC641-0272-44BE-BEC5-97F1B6834968}" keepAlive="1" name="Query - csv" description="Connection to the 'csv' query in the workbook." type="5" refreshedVersion="8" background="1" saveData="1">
    <dbPr connection="Provider=Microsoft.Mashup.OleDb.1;Data Source=$Workbook$;Location=csv;Extended Properties=&quot;&quot;" command="SELECT * FROM [csv]"/>
  </connection>
  <connection id="2" xr16:uid="{A0780D20-2B27-4862-B125-4EBEF042E95C}" keepAlive="1" name="Sorgu - csv (2)" description="Çalışma kitabındaki 'csv (2)' sorgusuna yönelik bağlantı." type="5" refreshedVersion="8" background="1" saveData="1">
    <dbPr connection="Provider=Microsoft.Mashup.OleDb.1;Data Source=$Workbook$;Location=&quot;csv (2)&quot;;Extended Properties=&quot;&quot;" command="SELECT * FROM [csv (2)]"/>
  </connection>
</connections>
</file>

<file path=xl/sharedStrings.xml><?xml version="1.0" encoding="utf-8"?>
<sst xmlns="http://schemas.openxmlformats.org/spreadsheetml/2006/main" count="284" uniqueCount="47">
  <si>
    <t>Hisse</t>
  </si>
  <si>
    <t>Volume</t>
  </si>
  <si>
    <t>Marketcap</t>
  </si>
  <si>
    <t>Pe</t>
  </si>
  <si>
    <t>Eps</t>
  </si>
  <si>
    <t>Changepct</t>
  </si>
  <si>
    <t>Shares</t>
  </si>
  <si>
    <t>Beta</t>
  </si>
  <si>
    <t>AAPL</t>
  </si>
  <si>
    <t>MSFT</t>
  </si>
  <si>
    <t>AMZN</t>
  </si>
  <si>
    <t>NVDA</t>
  </si>
  <si>
    <t>META</t>
  </si>
  <si>
    <t>GOOG</t>
  </si>
  <si>
    <t>TSLA</t>
  </si>
  <si>
    <t>PEP</t>
  </si>
  <si>
    <t>COST</t>
  </si>
  <si>
    <t>AVGO</t>
  </si>
  <si>
    <t>ADBE</t>
  </si>
  <si>
    <t>NFLX</t>
  </si>
  <si>
    <t>JPM</t>
  </si>
  <si>
    <t>V</t>
  </si>
  <si>
    <t>JNJ</t>
  </si>
  <si>
    <t>UNH</t>
  </si>
  <si>
    <t>XOM</t>
  </si>
  <si>
    <t>NEE</t>
  </si>
  <si>
    <t>WMT</t>
  </si>
  <si>
    <t>AMD</t>
  </si>
  <si>
    <t>SBUX</t>
  </si>
  <si>
    <t>PFE</t>
  </si>
  <si>
    <t>GS</t>
  </si>
  <si>
    <t>TSM</t>
  </si>
  <si>
    <t>ASML</t>
  </si>
  <si>
    <t>LMT</t>
  </si>
  <si>
    <t>CAT</t>
  </si>
  <si>
    <t>NKE</t>
  </si>
  <si>
    <t>Günlük_Değişim</t>
  </si>
  <si>
    <t>Hisse_adet</t>
  </si>
  <si>
    <t>52 haftalık en yüksek fiyat</t>
  </si>
  <si>
    <t>52 haftalık en düşük fiyat</t>
  </si>
  <si>
    <t>Column1</t>
  </si>
  <si>
    <t>_1</t>
  </si>
  <si>
    <t>_2</t>
  </si>
  <si>
    <t>_3</t>
  </si>
  <si>
    <t>_4</t>
  </si>
  <si>
    <t>_5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</si>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</sst>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  <scheme val="minor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A5317EA5-186B-4D26-960A-FAD69DF90E57}" autoFormatId="16" applyNumberFormats="0" applyBorderFormats="0" applyFontFormats="0" applyPatternFormats="0" applyAlignmentFormats="0" applyWidthHeightFormats="0">
  <queryTableRefresh nextId="17">
    <queryTableFields count="16">
      <queryTableField id="1" name="Hisse" tableColumnId="1"/>
      <queryTableField id="2" name="Volume" tableColumnId="2"/>
      <queryTableField id="3" name="Marketcap" tableColumnId="3"/>
      <queryTableField id="4" name="Pe" tableColumnId="4"/>
      <queryTableField id="5" name="Eps" tableColumnId="5"/>
      <queryTableField id="6" name="Günlük_Değişim" tableColumnId="6"/>
      <queryTableField id="7" name="Hisse_adet" tableColumnId="7"/>
      <queryTableField id="8" name="Beta" tableColumnId="8"/>
      <queryTableField id="9" name="52 haftalık en yüksek fiyat" tableColumnId="9"/>
      <queryTableField id="10" name="52 haftalık en düşük fiyat" tableColumnId="10"/>
      <queryTableField id="11" name="Column1" tableColumnId="11"/>
      <queryTableField id="12" name="_1" tableColumnId="12"/>
      <queryTableField id="13" name="_2" tableColumnId="13"/>
      <queryTableField id="14" name="_3" tableColumnId="14"/>
      <queryTableField id="15" name="_4" tableColumnId="15"/>
      <queryTableField id="16" name="_5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85A44C-860D-4964-B86A-D5CF8C23FBDB}" autoFormatId="16" applyNumberFormats="0" applyBorderFormats="0" applyFontFormats="0" applyPatternFormats="0" applyAlignmentFormats="0" applyWidthHeightFormats="0">
  <queryTableRefresh nextId="17">
    <queryTableFields count="8">
      <queryTableField id="1" name="Hisse" tableColumnId="1"/>
      <queryTableField id="2" name="Volume" tableColumnId="2"/>
      <queryTableField id="3" name="Marketcap" tableColumnId="3"/>
      <queryTableField id="4" name="Pe" tableColumnId="4"/>
      <queryTableField id="5" name="Eps" tableColumnId="5"/>
      <queryTableField id="6" name="Changepct" tableColumnId="6"/>
      <queryTableField id="7" name="Shares" tableColumnId="7"/>
      <queryTableField id="8" name="Beta" tableColumnId="8"/>
    </queryTableFields>
    <queryTableDeletedFields count="8">
      <deletedField name="_4"/>
      <deletedField name="Column1"/>
      <deletedField name="_1"/>
      <deletedField name="_2"/>
      <deletedField name="_3"/>
      <deletedField name="_5"/>
      <deletedField name="_6"/>
      <deletedField name="_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5AB32-66C1-4C4D-B56E-6B3127615EDB}" name="csv__2" displayName="csv__2" ref="A1:P29" tableType="queryTable" totalsRowShown="0">
  <autoFilter ref="A1:P29" xr:uid="{0465AB32-66C1-4C4D-B56E-6B3127615EDB}"/>
  <tableColumns count="16">
    <tableColumn id="1" xr3:uid="{AA356B71-75F2-4485-B370-F6817165E7C2}" uniqueName="1" name="Hisse" queryTableFieldId="1" dataDxfId="6"/>
    <tableColumn id="2" xr3:uid="{959B927E-4F5B-4CBC-934A-D75FB27B7D96}" uniqueName="2" name="Volume" queryTableFieldId="2"/>
    <tableColumn id="3" xr3:uid="{1A086C6A-A440-4650-8510-36843F59F241}" uniqueName="3" name="Marketcap" queryTableFieldId="3"/>
    <tableColumn id="4" xr3:uid="{99F92404-D66F-4196-9172-271137670F52}" uniqueName="4" name="Pe" queryTableFieldId="4"/>
    <tableColumn id="5" xr3:uid="{52476124-21E8-4740-B4B4-C62B64692D56}" uniqueName="5" name="Eps" queryTableFieldId="5"/>
    <tableColumn id="6" xr3:uid="{A8A69007-74FC-40E7-8E65-9281D0EED1A0}" uniqueName="6" name="Günlük_Değişim" queryTableFieldId="6"/>
    <tableColumn id="7" xr3:uid="{A3910F86-E120-40E0-8898-38FBC229C6C6}" uniqueName="7" name="Hisse_adet" queryTableFieldId="7"/>
    <tableColumn id="8" xr3:uid="{FA174A56-48A2-4255-B605-C25843BD2E5C}" uniqueName="8" name="Beta" queryTableFieldId="8"/>
    <tableColumn id="9" xr3:uid="{B9EFF574-D30A-4452-A227-80E8A961F45A}" uniqueName="9" name="52 haftalık en yüksek fiyat" queryTableFieldId="9"/>
    <tableColumn id="10" xr3:uid="{CEED7E9E-6E74-4172-B636-446A6123DD3A}" uniqueName="10" name="52 haftalık en düşük fiyat" queryTableFieldId="10"/>
    <tableColumn id="11" xr3:uid="{B12DD223-1693-43FB-9E42-E2A4975110FD}" uniqueName="11" name="Column1" queryTableFieldId="11" dataDxfId="5"/>
    <tableColumn id="12" xr3:uid="{3E055E45-0509-45CC-B71C-B102542E1A58}" uniqueName="12" name="_1" queryTableFieldId="12" dataDxfId="4"/>
    <tableColumn id="13" xr3:uid="{08AE83BC-763F-46BA-ACA8-42263A9F4F10}" uniqueName="13" name="_2" queryTableFieldId="13" dataDxfId="3"/>
    <tableColumn id="14" xr3:uid="{C1F44D6C-1A66-498D-BFB5-24D94B87BBA9}" uniqueName="14" name="_3" queryTableFieldId="14" dataDxfId="2"/>
    <tableColumn id="15" xr3:uid="{B27AC701-3E8E-4E95-9E2A-C7CFA056A69C}" uniqueName="15" name="_4" queryTableFieldId="15" dataDxfId="1"/>
    <tableColumn id="16" xr3:uid="{EBB477CD-9FA8-4A1D-A564-8CDF9AC198D6}" uniqueName="16" name="_5" queryTableFieldId="16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3A248-387F-4567-9AA3-F0CEEC119F10}" name="csv" displayName="csv" ref="A1:H29" tableType="queryTable" totalsRowShown="0">
  <autoFilter ref="A1:H29" xr:uid="{76B3A248-387F-4567-9AA3-F0CEEC119F10}"/>
  <tableColumns count="8">
    <tableColumn id="1" xr3:uid="{8883802A-1F37-4A92-B739-64AE27441B48}" uniqueName="1" name="Hisse" queryTableFieldId="1" dataDxfId="7"/>
    <tableColumn id="2" xr3:uid="{683E40B6-7785-405A-8951-45435D318F77}" uniqueName="2" name="Volume" queryTableFieldId="2"/>
    <tableColumn id="3" xr3:uid="{66E5A033-0DF0-480D-B273-527F14C020A7}" uniqueName="3" name="Marketcap" queryTableFieldId="3"/>
    <tableColumn id="4" xr3:uid="{FFD445DA-770F-4545-9377-47B001C68EB0}" uniqueName="4" name="Pe" queryTableFieldId="4"/>
    <tableColumn id="5" xr3:uid="{C49AAA8B-EA45-4675-85D6-8432E06C2C2A}" uniqueName="5" name="Eps" queryTableFieldId="5"/>
    <tableColumn id="6" xr3:uid="{4F123BB1-F462-457D-9665-0F17D738E83F}" uniqueName="6" name="Changepct" queryTableFieldId="6"/>
    <tableColumn id="7" xr3:uid="{77CAED70-462E-4BFD-A673-5025E55BA5D7}" uniqueName="7" name="Shares" queryTableFieldId="7"/>
    <tableColumn id="8" xr3:uid="{782EBCA5-D2E2-44F0-8A40-A97D2CC30C4A}" uniqueName="8" name="Beta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204C-7B4C-4C5C-B230-06F85E349E73}">
  <dimension ref="A1:P29"/>
  <sheetViews>
    <sheetView tabSelected="1" topLeftCell="B1" workbookViewId="0">
      <selection activeCell="I7" sqref="I7"/>
    </sheetView>
  </sheetViews>
  <sheetFormatPr defaultRowHeight="13.2" x14ac:dyDescent="0.25"/>
  <cols>
    <col min="1" max="1" width="8" bestFit="1" customWidth="1"/>
    <col min="2" max="2" width="10" bestFit="1" customWidth="1"/>
    <col min="3" max="3" width="12.33203125" bestFit="1" customWidth="1"/>
    <col min="4" max="4" width="7" bestFit="1" customWidth="1"/>
    <col min="5" max="5" width="6.5546875" bestFit="1" customWidth="1"/>
    <col min="6" max="6" width="17.44140625" bestFit="1" customWidth="1"/>
    <col min="7" max="7" width="12.77734375" bestFit="1" customWidth="1"/>
    <col min="8" max="8" width="7.21875" bestFit="1" customWidth="1"/>
    <col min="9" max="9" width="25.88671875" bestFit="1" customWidth="1"/>
    <col min="10" max="10" width="25.109375" bestFit="1" customWidth="1"/>
    <col min="11" max="11" width="10.88671875" bestFit="1" customWidth="1"/>
    <col min="12" max="16" width="5.21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7</v>
      </c>
      <c r="I1" s="4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25">
      <c r="A2" s="3" t="s">
        <v>8</v>
      </c>
      <c r="B2">
        <v>41339422</v>
      </c>
      <c r="C2">
        <v>3992433138921</v>
      </c>
      <c r="D2">
        <v>40.89</v>
      </c>
      <c r="E2">
        <v>6.58</v>
      </c>
      <c r="F2">
        <v>7.0000000000000007E-2</v>
      </c>
      <c r="G2">
        <v>14840390000</v>
      </c>
      <c r="H2">
        <v>1.0900000000000001</v>
      </c>
      <c r="I2">
        <v>269.89</v>
      </c>
      <c r="J2">
        <v>169.21</v>
      </c>
      <c r="K2" s="3" t="s">
        <v>46</v>
      </c>
      <c r="L2" s="3" t="s">
        <v>46</v>
      </c>
      <c r="M2" s="3" t="s">
        <v>46</v>
      </c>
      <c r="N2" s="3" t="s">
        <v>46</v>
      </c>
      <c r="O2" s="3" t="s">
        <v>46</v>
      </c>
      <c r="P2" s="3" t="s">
        <v>46</v>
      </c>
    </row>
    <row r="3" spans="1:16" x14ac:dyDescent="0.25">
      <c r="A3" s="3" t="s">
        <v>9</v>
      </c>
      <c r="B3">
        <v>29813148</v>
      </c>
      <c r="C3">
        <v>4038879788531</v>
      </c>
      <c r="D3">
        <v>39.74</v>
      </c>
      <c r="E3">
        <v>13.64</v>
      </c>
      <c r="F3">
        <v>1.98</v>
      </c>
      <c r="G3">
        <v>7433088000</v>
      </c>
      <c r="H3">
        <v>1.02</v>
      </c>
      <c r="I3">
        <v>555.45000000000005</v>
      </c>
      <c r="J3">
        <v>344.79</v>
      </c>
      <c r="K3" s="3" t="s">
        <v>46</v>
      </c>
      <c r="L3" s="3" t="s">
        <v>46</v>
      </c>
      <c r="M3" s="3" t="s">
        <v>46</v>
      </c>
      <c r="N3" s="3" t="s">
        <v>46</v>
      </c>
      <c r="O3" s="3" t="s">
        <v>46</v>
      </c>
      <c r="P3" s="3" t="s">
        <v>46</v>
      </c>
    </row>
    <row r="4" spans="1:16" x14ac:dyDescent="0.25">
      <c r="A4" s="3" t="s">
        <v>10</v>
      </c>
      <c r="B4">
        <v>46808008</v>
      </c>
      <c r="C4">
        <v>2453355824797</v>
      </c>
      <c r="D4">
        <v>34.979999999999997</v>
      </c>
      <c r="E4">
        <v>6.55</v>
      </c>
      <c r="F4">
        <v>1</v>
      </c>
      <c r="G4">
        <v>10664910000</v>
      </c>
      <c r="H4">
        <v>1.28</v>
      </c>
      <c r="I4">
        <v>242.52</v>
      </c>
      <c r="J4">
        <v>161.43</v>
      </c>
      <c r="K4" s="3" t="s">
        <v>46</v>
      </c>
      <c r="L4" s="3" t="s">
        <v>46</v>
      </c>
      <c r="M4" s="3" t="s">
        <v>46</v>
      </c>
      <c r="N4" s="3" t="s">
        <v>46</v>
      </c>
      <c r="O4" s="3" t="s">
        <v>46</v>
      </c>
      <c r="P4" s="3" t="s">
        <v>46</v>
      </c>
    </row>
    <row r="5" spans="1:16" x14ac:dyDescent="0.25">
      <c r="A5" s="3" t="s">
        <v>11</v>
      </c>
      <c r="B5">
        <v>289964371</v>
      </c>
      <c r="C5">
        <v>4844326396179</v>
      </c>
      <c r="D5">
        <v>57.22</v>
      </c>
      <c r="E5">
        <v>3.51</v>
      </c>
      <c r="F5">
        <v>4.9800000000000004</v>
      </c>
      <c r="G5">
        <v>24300000000</v>
      </c>
      <c r="H5">
        <v>2.13</v>
      </c>
      <c r="I5">
        <v>203.15</v>
      </c>
      <c r="J5">
        <v>86.62</v>
      </c>
      <c r="K5" s="3" t="s">
        <v>46</v>
      </c>
      <c r="L5" s="3" t="s">
        <v>46</v>
      </c>
      <c r="M5" s="3" t="s">
        <v>46</v>
      </c>
      <c r="N5" s="3" t="s">
        <v>46</v>
      </c>
      <c r="O5" s="3" t="s">
        <v>46</v>
      </c>
      <c r="P5" s="3" t="s">
        <v>46</v>
      </c>
    </row>
    <row r="6" spans="1:16" x14ac:dyDescent="0.25">
      <c r="A6" s="3" t="s">
        <v>12</v>
      </c>
      <c r="B6">
        <v>12106812</v>
      </c>
      <c r="C6">
        <v>1895309954058</v>
      </c>
      <c r="D6">
        <v>27.25</v>
      </c>
      <c r="E6">
        <v>27.58</v>
      </c>
      <c r="F6">
        <v>0.08</v>
      </c>
      <c r="G6">
        <v>2168962000</v>
      </c>
      <c r="H6">
        <v>1.2</v>
      </c>
      <c r="I6">
        <v>796.25</v>
      </c>
      <c r="J6">
        <v>479.8</v>
      </c>
      <c r="K6" s="3" t="s">
        <v>46</v>
      </c>
      <c r="L6" s="3" t="s">
        <v>46</v>
      </c>
      <c r="M6" s="3" t="s">
        <v>46</v>
      </c>
      <c r="N6" s="3" t="s">
        <v>46</v>
      </c>
      <c r="O6" s="3" t="s">
        <v>46</v>
      </c>
      <c r="P6" s="3" t="s">
        <v>46</v>
      </c>
    </row>
    <row r="7" spans="1:16" x14ac:dyDescent="0.25">
      <c r="A7" s="3" t="s">
        <v>13</v>
      </c>
      <c r="B7">
        <v>19900971</v>
      </c>
      <c r="C7">
        <v>3239079255697</v>
      </c>
      <c r="D7">
        <v>29.03</v>
      </c>
      <c r="E7">
        <v>9.25</v>
      </c>
      <c r="F7">
        <v>-0.56000000000000005</v>
      </c>
      <c r="G7">
        <v>5430000000</v>
      </c>
      <c r="H7">
        <v>1</v>
      </c>
      <c r="I7">
        <v>271.38</v>
      </c>
      <c r="J7">
        <v>142.66</v>
      </c>
      <c r="K7" s="3" t="s">
        <v>46</v>
      </c>
      <c r="L7" s="3" t="s">
        <v>46</v>
      </c>
      <c r="M7" s="3" t="s">
        <v>46</v>
      </c>
      <c r="N7" s="3" t="s">
        <v>46</v>
      </c>
      <c r="O7" s="3" t="s">
        <v>46</v>
      </c>
      <c r="P7" s="3" t="s">
        <v>46</v>
      </c>
    </row>
    <row r="8" spans="1:16" x14ac:dyDescent="0.25">
      <c r="A8" s="3" t="s">
        <v>14</v>
      </c>
      <c r="B8">
        <v>79709708</v>
      </c>
      <c r="C8">
        <v>1443089830589</v>
      </c>
      <c r="D8">
        <v>308.05</v>
      </c>
      <c r="E8">
        <v>1.5</v>
      </c>
      <c r="F8">
        <v>1.8</v>
      </c>
      <c r="G8">
        <v>3325819000</v>
      </c>
      <c r="H8">
        <v>2.08</v>
      </c>
      <c r="I8">
        <v>488.54</v>
      </c>
      <c r="J8">
        <v>214.25</v>
      </c>
      <c r="K8" s="3" t="s">
        <v>46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</row>
    <row r="9" spans="1:16" x14ac:dyDescent="0.25">
      <c r="A9" s="3" t="s">
        <v>15</v>
      </c>
      <c r="B9">
        <v>5588658</v>
      </c>
      <c r="C9">
        <v>205483703250</v>
      </c>
      <c r="D9">
        <v>28.55</v>
      </c>
      <c r="E9">
        <v>5.26</v>
      </c>
      <c r="F9">
        <v>-1.64</v>
      </c>
      <c r="G9">
        <v>1367340000</v>
      </c>
      <c r="H9">
        <v>0.46</v>
      </c>
      <c r="I9">
        <v>169.2</v>
      </c>
      <c r="J9">
        <v>127.6</v>
      </c>
      <c r="K9" s="3" t="s">
        <v>46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</row>
    <row r="10" spans="1:16" x14ac:dyDescent="0.25">
      <c r="A10" s="3" t="s">
        <v>16</v>
      </c>
      <c r="B10">
        <v>2085538</v>
      </c>
      <c r="C10">
        <v>408533887845</v>
      </c>
      <c r="D10">
        <v>50.76</v>
      </c>
      <c r="E10">
        <v>18.21</v>
      </c>
      <c r="F10">
        <v>-0.61</v>
      </c>
      <c r="G10">
        <v>443179000</v>
      </c>
      <c r="H10">
        <v>0.98</v>
      </c>
      <c r="I10">
        <v>1078.23</v>
      </c>
      <c r="J10">
        <v>867.34</v>
      </c>
      <c r="K10" s="3" t="s">
        <v>46</v>
      </c>
      <c r="L10" s="3" t="s">
        <v>46</v>
      </c>
      <c r="M10" s="3" t="s">
        <v>46</v>
      </c>
      <c r="N10" s="3" t="s">
        <v>46</v>
      </c>
      <c r="O10" s="3" t="s">
        <v>46</v>
      </c>
      <c r="P10" s="3" t="s">
        <v>46</v>
      </c>
    </row>
    <row r="11" spans="1:16" x14ac:dyDescent="0.25">
      <c r="A11" s="3" t="s">
        <v>17</v>
      </c>
      <c r="B11">
        <v>20107277</v>
      </c>
      <c r="C11">
        <v>1755869417067</v>
      </c>
      <c r="D11">
        <v>95.28</v>
      </c>
      <c r="E11">
        <v>3.91</v>
      </c>
      <c r="F11">
        <v>3.02</v>
      </c>
      <c r="G11">
        <v>4722365000</v>
      </c>
      <c r="H11">
        <v>1.01</v>
      </c>
      <c r="I11">
        <v>374.23</v>
      </c>
      <c r="J11">
        <v>138.1</v>
      </c>
      <c r="K11" s="3" t="s">
        <v>46</v>
      </c>
      <c r="L11" s="3" t="s">
        <v>46</v>
      </c>
      <c r="M11" s="3" t="s">
        <v>46</v>
      </c>
      <c r="N11" s="3" t="s">
        <v>46</v>
      </c>
      <c r="O11" s="3" t="s">
        <v>46</v>
      </c>
      <c r="P11" s="3" t="s">
        <v>46</v>
      </c>
    </row>
    <row r="12" spans="1:16" x14ac:dyDescent="0.25">
      <c r="A12" s="3" t="s">
        <v>18</v>
      </c>
      <c r="B12">
        <v>2985935</v>
      </c>
      <c r="C12">
        <v>151409707379</v>
      </c>
      <c r="D12">
        <v>22.43</v>
      </c>
      <c r="E12">
        <v>16.05</v>
      </c>
      <c r="F12">
        <v>0.59</v>
      </c>
      <c r="G12">
        <v>418600000</v>
      </c>
      <c r="H12">
        <v>1.49</v>
      </c>
      <c r="I12">
        <v>557.9</v>
      </c>
      <c r="J12">
        <v>327.5</v>
      </c>
      <c r="K12" s="3" t="s">
        <v>46</v>
      </c>
      <c r="L12" s="3" t="s">
        <v>46</v>
      </c>
      <c r="M12" s="3" t="s">
        <v>46</v>
      </c>
      <c r="N12" s="3" t="s">
        <v>46</v>
      </c>
      <c r="O12" s="3" t="s">
        <v>46</v>
      </c>
      <c r="P12" s="3" t="s">
        <v>46</v>
      </c>
    </row>
    <row r="13" spans="1:16" x14ac:dyDescent="0.25">
      <c r="A13" s="3" t="s">
        <v>19</v>
      </c>
      <c r="B13">
        <v>4006354</v>
      </c>
      <c r="C13">
        <v>470872518375</v>
      </c>
      <c r="D13">
        <v>46.06</v>
      </c>
      <c r="E13">
        <v>23.94</v>
      </c>
      <c r="F13">
        <v>0.73</v>
      </c>
      <c r="G13">
        <v>423732000</v>
      </c>
      <c r="H13">
        <v>1.59</v>
      </c>
      <c r="I13">
        <v>1341.15</v>
      </c>
      <c r="J13">
        <v>747.77</v>
      </c>
      <c r="K13" s="3" t="s">
        <v>46</v>
      </c>
      <c r="L13" s="3" t="s">
        <v>46</v>
      </c>
      <c r="M13" s="3" t="s">
        <v>46</v>
      </c>
      <c r="N13" s="3" t="s">
        <v>46</v>
      </c>
      <c r="O13" s="3" t="s">
        <v>46</v>
      </c>
      <c r="P13" s="3" t="s">
        <v>46</v>
      </c>
    </row>
    <row r="14" spans="1:16" x14ac:dyDescent="0.25">
      <c r="A14" s="3" t="s">
        <v>20</v>
      </c>
      <c r="B14">
        <v>6313137</v>
      </c>
      <c r="C14">
        <v>839499557333</v>
      </c>
      <c r="D14">
        <v>15.13</v>
      </c>
      <c r="E14">
        <v>20.190000000000001</v>
      </c>
      <c r="F14">
        <v>0.4</v>
      </c>
      <c r="G14">
        <v>2749754000</v>
      </c>
      <c r="H14">
        <v>1.1299999999999999</v>
      </c>
      <c r="I14">
        <v>318.01</v>
      </c>
      <c r="J14">
        <v>202.16</v>
      </c>
      <c r="K14" s="3" t="s">
        <v>46</v>
      </c>
      <c r="L14" s="3" t="s">
        <v>46</v>
      </c>
      <c r="M14" s="3" t="s">
        <v>46</v>
      </c>
      <c r="N14" s="3" t="s">
        <v>46</v>
      </c>
      <c r="O14" s="3" t="s">
        <v>46</v>
      </c>
      <c r="P14" s="3" t="s">
        <v>46</v>
      </c>
    </row>
    <row r="15" spans="1:16" x14ac:dyDescent="0.25">
      <c r="A15" s="3" t="s">
        <v>21</v>
      </c>
      <c r="B15">
        <v>7286786</v>
      </c>
      <c r="C15">
        <v>670032945648</v>
      </c>
      <c r="D15">
        <v>33.86</v>
      </c>
      <c r="E15">
        <v>10.24</v>
      </c>
      <c r="F15">
        <v>-0.26</v>
      </c>
      <c r="G15">
        <v>1698683000</v>
      </c>
      <c r="H15">
        <v>0.9</v>
      </c>
      <c r="I15">
        <v>375.51</v>
      </c>
      <c r="J15">
        <v>281.35000000000002</v>
      </c>
      <c r="K15" s="3" t="s">
        <v>46</v>
      </c>
      <c r="L15" s="3" t="s">
        <v>46</v>
      </c>
      <c r="M15" s="3" t="s">
        <v>46</v>
      </c>
      <c r="N15" s="3" t="s">
        <v>46</v>
      </c>
      <c r="O15" s="3" t="s">
        <v>46</v>
      </c>
      <c r="P15" s="3" t="s">
        <v>46</v>
      </c>
    </row>
    <row r="16" spans="1:16" x14ac:dyDescent="0.25">
      <c r="A16" s="3" t="s">
        <v>22</v>
      </c>
      <c r="B16">
        <v>8292725</v>
      </c>
      <c r="C16">
        <v>450610253878</v>
      </c>
      <c r="D16">
        <v>18.04</v>
      </c>
      <c r="E16">
        <v>10.36</v>
      </c>
      <c r="F16">
        <v>-1.77</v>
      </c>
      <c r="G16">
        <v>2409295000</v>
      </c>
      <c r="H16">
        <v>0.4</v>
      </c>
      <c r="I16">
        <v>194.48</v>
      </c>
      <c r="J16">
        <v>140.68</v>
      </c>
      <c r="K16" s="3" t="s">
        <v>46</v>
      </c>
      <c r="L16" s="3" t="s">
        <v>46</v>
      </c>
      <c r="M16" s="3" t="s">
        <v>46</v>
      </c>
      <c r="N16" s="3" t="s">
        <v>46</v>
      </c>
      <c r="O16" s="3" t="s">
        <v>46</v>
      </c>
      <c r="P16" s="3" t="s">
        <v>46</v>
      </c>
    </row>
    <row r="17" spans="1:16" x14ac:dyDescent="0.25">
      <c r="A17" s="3" t="s">
        <v>23</v>
      </c>
      <c r="B17">
        <v>18603423</v>
      </c>
      <c r="C17">
        <v>335099195000</v>
      </c>
      <c r="D17">
        <v>15.93</v>
      </c>
      <c r="E17">
        <v>23.09</v>
      </c>
      <c r="F17">
        <v>0.51</v>
      </c>
      <c r="G17">
        <v>905674000</v>
      </c>
      <c r="H17">
        <v>0.47</v>
      </c>
      <c r="I17">
        <v>630.73</v>
      </c>
      <c r="J17">
        <v>234.6</v>
      </c>
      <c r="K17" s="3" t="s">
        <v>46</v>
      </c>
      <c r="L17" s="3" t="s">
        <v>46</v>
      </c>
      <c r="M17" s="3" t="s">
        <v>46</v>
      </c>
      <c r="N17" s="3" t="s">
        <v>46</v>
      </c>
      <c r="O17" s="3" t="s">
        <v>46</v>
      </c>
      <c r="P17" s="3" t="s">
        <v>46</v>
      </c>
    </row>
    <row r="18" spans="1:16" x14ac:dyDescent="0.25">
      <c r="A18" s="3" t="s">
        <v>24</v>
      </c>
      <c r="B18">
        <v>9517076</v>
      </c>
      <c r="C18">
        <v>491595001161</v>
      </c>
      <c r="D18">
        <v>16.309999999999999</v>
      </c>
      <c r="E18">
        <v>7.05</v>
      </c>
      <c r="F18">
        <v>-0.78</v>
      </c>
      <c r="G18">
        <v>4263247000</v>
      </c>
      <c r="H18">
        <v>0.51</v>
      </c>
      <c r="I18">
        <v>123.21</v>
      </c>
      <c r="J18">
        <v>97.8</v>
      </c>
      <c r="K18" s="3" t="s">
        <v>46</v>
      </c>
      <c r="L18" s="3" t="s">
        <v>46</v>
      </c>
      <c r="M18" s="3" t="s">
        <v>46</v>
      </c>
      <c r="N18" s="3" t="s">
        <v>46</v>
      </c>
      <c r="O18" s="3" t="s">
        <v>46</v>
      </c>
      <c r="P18" s="3" t="s">
        <v>46</v>
      </c>
    </row>
    <row r="19" spans="1:16" x14ac:dyDescent="0.25">
      <c r="A19" s="3" t="s">
        <v>25</v>
      </c>
      <c r="B19">
        <v>13956421</v>
      </c>
      <c r="C19">
        <v>172125919934</v>
      </c>
      <c r="D19">
        <v>29.12</v>
      </c>
      <c r="E19">
        <v>2.87</v>
      </c>
      <c r="F19">
        <v>-2.86</v>
      </c>
      <c r="G19">
        <v>2082093000</v>
      </c>
      <c r="H19">
        <v>0.66</v>
      </c>
      <c r="I19">
        <v>87.53</v>
      </c>
      <c r="J19">
        <v>61.72</v>
      </c>
      <c r="K19" s="3" t="s">
        <v>46</v>
      </c>
      <c r="L19" s="3" t="s">
        <v>46</v>
      </c>
      <c r="M19" s="3" t="s">
        <v>46</v>
      </c>
      <c r="N19" s="3" t="s">
        <v>46</v>
      </c>
      <c r="O19" s="3" t="s">
        <v>46</v>
      </c>
      <c r="P19" s="3" t="s">
        <v>46</v>
      </c>
    </row>
    <row r="20" spans="1:16" x14ac:dyDescent="0.25">
      <c r="A20" s="3" t="s">
        <v>26</v>
      </c>
      <c r="B20">
        <v>13284461</v>
      </c>
      <c r="C20">
        <v>826306272773</v>
      </c>
      <c r="D20">
        <v>38.92</v>
      </c>
      <c r="E20">
        <v>2.65</v>
      </c>
      <c r="F20">
        <v>-1.24</v>
      </c>
      <c r="G20">
        <v>7972851000</v>
      </c>
      <c r="H20">
        <v>0.67</v>
      </c>
      <c r="I20">
        <v>109.58</v>
      </c>
      <c r="J20">
        <v>79.81</v>
      </c>
      <c r="K20" s="3" t="s">
        <v>46</v>
      </c>
      <c r="L20" s="3" t="s">
        <v>46</v>
      </c>
      <c r="M20" s="3" t="s">
        <v>46</v>
      </c>
      <c r="N20" s="3" t="s">
        <v>46</v>
      </c>
      <c r="O20" s="3" t="s">
        <v>46</v>
      </c>
      <c r="P20" s="3" t="s">
        <v>46</v>
      </c>
    </row>
    <row r="21" spans="1:16" x14ac:dyDescent="0.25">
      <c r="A21" s="3" t="s">
        <v>27</v>
      </c>
      <c r="B21">
        <v>47102340</v>
      </c>
      <c r="C21">
        <v>421855135671</v>
      </c>
      <c r="D21">
        <v>148.52000000000001</v>
      </c>
      <c r="E21">
        <v>1.74</v>
      </c>
      <c r="F21">
        <v>-0.64</v>
      </c>
      <c r="G21">
        <v>1622844000</v>
      </c>
      <c r="H21">
        <v>1.9</v>
      </c>
      <c r="I21">
        <v>264.58</v>
      </c>
      <c r="J21">
        <v>76.48</v>
      </c>
      <c r="K21" s="3" t="s">
        <v>46</v>
      </c>
      <c r="L21" s="3" t="s">
        <v>46</v>
      </c>
      <c r="M21" s="3" t="s">
        <v>46</v>
      </c>
      <c r="N21" s="3" t="s">
        <v>46</v>
      </c>
      <c r="O21" s="3" t="s">
        <v>46</v>
      </c>
      <c r="P21" s="3" t="s">
        <v>46</v>
      </c>
    </row>
    <row r="22" spans="1:16" x14ac:dyDescent="0.25">
      <c r="A22" s="3" t="s">
        <v>28</v>
      </c>
      <c r="B22">
        <v>11497614</v>
      </c>
      <c r="C22">
        <v>97795988662</v>
      </c>
      <c r="D22">
        <v>36.950000000000003</v>
      </c>
      <c r="E22">
        <v>2.31</v>
      </c>
      <c r="F22">
        <v>-2.0499999999999998</v>
      </c>
      <c r="G22">
        <v>1136700000</v>
      </c>
      <c r="H22">
        <v>1.01</v>
      </c>
      <c r="I22">
        <v>117.46</v>
      </c>
      <c r="J22">
        <v>75.5</v>
      </c>
      <c r="K22" s="3" t="s">
        <v>46</v>
      </c>
      <c r="L22" s="3" t="s">
        <v>46</v>
      </c>
      <c r="M22" s="3" t="s">
        <v>46</v>
      </c>
      <c r="N22" s="3" t="s">
        <v>46</v>
      </c>
      <c r="O22" s="3" t="s">
        <v>46</v>
      </c>
      <c r="P22" s="3" t="s">
        <v>46</v>
      </c>
    </row>
    <row r="23" spans="1:16" x14ac:dyDescent="0.25">
      <c r="A23" s="3" t="s">
        <v>29</v>
      </c>
      <c r="B23">
        <v>50014686</v>
      </c>
      <c r="C23">
        <v>139068572254</v>
      </c>
      <c r="D23">
        <v>13</v>
      </c>
      <c r="E23">
        <v>1.88</v>
      </c>
      <c r="F23">
        <v>-1.03</v>
      </c>
      <c r="G23">
        <v>5685551000</v>
      </c>
      <c r="H23">
        <v>0.54</v>
      </c>
      <c r="I23">
        <v>29.17</v>
      </c>
      <c r="J23">
        <v>20.92</v>
      </c>
      <c r="K23" s="3" t="s">
        <v>46</v>
      </c>
      <c r="L23" s="3" t="s">
        <v>46</v>
      </c>
      <c r="M23" s="3" t="s">
        <v>46</v>
      </c>
      <c r="N23" s="3" t="s">
        <v>46</v>
      </c>
      <c r="O23" s="3" t="s">
        <v>46</v>
      </c>
      <c r="P23" s="3" t="s">
        <v>46</v>
      </c>
    </row>
    <row r="24" spans="1:16" x14ac:dyDescent="0.25">
      <c r="A24" s="3" t="s">
        <v>30</v>
      </c>
      <c r="B24">
        <v>1240089</v>
      </c>
      <c r="C24">
        <v>239558255959</v>
      </c>
      <c r="D24">
        <v>16.09</v>
      </c>
      <c r="E24">
        <v>49.23</v>
      </c>
      <c r="F24">
        <v>0.27</v>
      </c>
      <c r="G24">
        <v>302721000</v>
      </c>
      <c r="H24">
        <v>1.42</v>
      </c>
      <c r="I24">
        <v>825.25</v>
      </c>
      <c r="J24">
        <v>439.38</v>
      </c>
      <c r="K24" s="3" t="s">
        <v>46</v>
      </c>
      <c r="L24" s="3" t="s">
        <v>46</v>
      </c>
      <c r="M24" s="3" t="s">
        <v>46</v>
      </c>
      <c r="N24" s="3" t="s">
        <v>46</v>
      </c>
      <c r="O24" s="3" t="s">
        <v>46</v>
      </c>
      <c r="P24" s="3" t="s">
        <v>46</v>
      </c>
    </row>
    <row r="25" spans="1:16" x14ac:dyDescent="0.25">
      <c r="A25" s="3" t="s">
        <v>31</v>
      </c>
      <c r="B25">
        <v>11689287</v>
      </c>
      <c r="C25">
        <v>1251936608400</v>
      </c>
      <c r="D25">
        <v>30.16</v>
      </c>
      <c r="E25">
        <v>10</v>
      </c>
      <c r="F25">
        <v>1.1000000000000001</v>
      </c>
      <c r="G25">
        <v>25932620000</v>
      </c>
      <c r="H25">
        <v>1.26</v>
      </c>
      <c r="I25">
        <v>311.37</v>
      </c>
      <c r="J25">
        <v>134.25</v>
      </c>
      <c r="K25" s="3" t="s">
        <v>46</v>
      </c>
      <c r="L25" s="3" t="s">
        <v>46</v>
      </c>
      <c r="M25" s="3" t="s">
        <v>46</v>
      </c>
      <c r="N25" s="3" t="s">
        <v>46</v>
      </c>
      <c r="O25" s="3" t="s">
        <v>46</v>
      </c>
      <c r="P25" s="3" t="s">
        <v>46</v>
      </c>
    </row>
    <row r="26" spans="1:16" x14ac:dyDescent="0.25">
      <c r="A26" s="3" t="s">
        <v>32</v>
      </c>
      <c r="B26">
        <v>853749</v>
      </c>
      <c r="C26">
        <v>408487825746</v>
      </c>
      <c r="D26">
        <v>37.32</v>
      </c>
      <c r="E26">
        <v>28.2</v>
      </c>
      <c r="F26">
        <v>-0.71</v>
      </c>
      <c r="G26">
        <v>388148000</v>
      </c>
      <c r="H26">
        <v>1.87</v>
      </c>
      <c r="I26">
        <v>1060.73</v>
      </c>
      <c r="J26">
        <v>578.51</v>
      </c>
      <c r="K26" s="3" t="s">
        <v>46</v>
      </c>
      <c r="L26" s="3" t="s">
        <v>46</v>
      </c>
      <c r="M26" s="3" t="s">
        <v>46</v>
      </c>
      <c r="N26" s="3" t="s">
        <v>46</v>
      </c>
      <c r="O26" s="3" t="s">
        <v>46</v>
      </c>
      <c r="P26" s="3" t="s">
        <v>46</v>
      </c>
    </row>
    <row r="27" spans="1:16" x14ac:dyDescent="0.25">
      <c r="A27" s="3" t="s">
        <v>33</v>
      </c>
      <c r="B27">
        <v>1218339</v>
      </c>
      <c r="C27">
        <v>112436141017</v>
      </c>
      <c r="D27">
        <v>27.12</v>
      </c>
      <c r="E27">
        <v>17.91</v>
      </c>
      <c r="F27">
        <v>-0.23</v>
      </c>
      <c r="G27">
        <v>231398000</v>
      </c>
      <c r="H27">
        <v>0.28000000000000003</v>
      </c>
      <c r="I27">
        <v>576.42999999999995</v>
      </c>
      <c r="J27">
        <v>410.11</v>
      </c>
      <c r="K27" s="3" t="s">
        <v>46</v>
      </c>
      <c r="L27" s="3" t="s">
        <v>46</v>
      </c>
      <c r="M27" s="3" t="s">
        <v>46</v>
      </c>
      <c r="N27" s="3" t="s">
        <v>46</v>
      </c>
      <c r="O27" s="3" t="s">
        <v>46</v>
      </c>
      <c r="P27" s="3" t="s">
        <v>46</v>
      </c>
    </row>
    <row r="28" spans="1:16" x14ac:dyDescent="0.25">
      <c r="A28" s="3" t="s">
        <v>34</v>
      </c>
      <c r="B28">
        <v>2766516</v>
      </c>
      <c r="C28">
        <v>247164795432</v>
      </c>
      <c r="D28">
        <v>26.67</v>
      </c>
      <c r="E28">
        <v>19.670000000000002</v>
      </c>
      <c r="F28">
        <v>-0.5</v>
      </c>
      <c r="G28">
        <v>468479000</v>
      </c>
      <c r="H28">
        <v>1.47</v>
      </c>
      <c r="I28">
        <v>544.99</v>
      </c>
      <c r="J28">
        <v>267.3</v>
      </c>
      <c r="K28" s="3" t="s">
        <v>46</v>
      </c>
      <c r="L28" s="3" t="s">
        <v>46</v>
      </c>
      <c r="M28" s="3" t="s">
        <v>46</v>
      </c>
      <c r="N28" s="3" t="s">
        <v>46</v>
      </c>
      <c r="O28" s="3" t="s">
        <v>46</v>
      </c>
      <c r="P28" s="3" t="s">
        <v>46</v>
      </c>
    </row>
    <row r="29" spans="1:16" x14ac:dyDescent="0.25">
      <c r="A29" s="3" t="s">
        <v>35</v>
      </c>
      <c r="B29">
        <v>11215514</v>
      </c>
      <c r="C29">
        <v>99867188391</v>
      </c>
      <c r="D29">
        <v>34.56</v>
      </c>
      <c r="E29">
        <v>1.95</v>
      </c>
      <c r="F29">
        <v>-1.69</v>
      </c>
      <c r="G29">
        <v>1189314000</v>
      </c>
      <c r="H29">
        <v>1.29</v>
      </c>
      <c r="I29">
        <v>82.44</v>
      </c>
      <c r="J29">
        <v>52.28</v>
      </c>
      <c r="K29" s="3" t="s">
        <v>46</v>
      </c>
      <c r="L29" s="3" t="s">
        <v>46</v>
      </c>
      <c r="M29" s="3" t="s">
        <v>46</v>
      </c>
      <c r="N29" s="3" t="s">
        <v>46</v>
      </c>
      <c r="O29" s="3" t="s">
        <v>46</v>
      </c>
      <c r="P29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4003-82E8-4C4E-BD06-C22AC92790D9}">
  <dimension ref="A1:H29"/>
  <sheetViews>
    <sheetView workbookViewId="0">
      <selection activeCell="U8" sqref="U8"/>
    </sheetView>
  </sheetViews>
  <sheetFormatPr defaultRowHeight="13.2" x14ac:dyDescent="0.25"/>
  <cols>
    <col min="1" max="1" width="8" bestFit="1" customWidth="1"/>
    <col min="2" max="2" width="10" bestFit="1" customWidth="1"/>
    <col min="3" max="3" width="12.33203125" bestFit="1" customWidth="1"/>
    <col min="4" max="4" width="7" bestFit="1" customWidth="1"/>
    <col min="5" max="5" width="6.5546875" bestFit="1" customWidth="1"/>
    <col min="6" max="6" width="12.6640625" bestFit="1" customWidth="1"/>
    <col min="7" max="7" width="12" bestFit="1" customWidth="1"/>
    <col min="8" max="8" width="7.21875" bestFit="1" customWidth="1"/>
    <col min="9" max="9" width="10.88671875" bestFit="1" customWidth="1"/>
    <col min="10" max="16" width="5.21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38197209</v>
      </c>
      <c r="C2">
        <v>3900348780294</v>
      </c>
      <c r="D2">
        <v>39.950000000000003</v>
      </c>
      <c r="E2">
        <v>6.58</v>
      </c>
      <c r="F2">
        <v>1.25</v>
      </c>
      <c r="G2">
        <v>14840390000</v>
      </c>
      <c r="H2">
        <v>1.0900000000000001</v>
      </c>
    </row>
    <row r="3" spans="1:8" x14ac:dyDescent="0.25">
      <c r="A3" t="s">
        <v>9</v>
      </c>
      <c r="B3">
        <v>15511187</v>
      </c>
      <c r="C3">
        <v>3892038575186</v>
      </c>
      <c r="D3">
        <v>38.380000000000003</v>
      </c>
      <c r="E3">
        <v>13.64</v>
      </c>
      <c r="F3">
        <v>0.59</v>
      </c>
      <c r="G3">
        <v>7433088000</v>
      </c>
      <c r="H3">
        <v>1.02</v>
      </c>
    </row>
    <row r="4" spans="1:8" x14ac:dyDescent="0.25">
      <c r="A4" t="s">
        <v>10</v>
      </c>
      <c r="B4">
        <v>38590342</v>
      </c>
      <c r="C4">
        <v>2391179542702</v>
      </c>
      <c r="D4">
        <v>34.21</v>
      </c>
      <c r="E4">
        <v>6.55</v>
      </c>
      <c r="F4">
        <v>1.41</v>
      </c>
      <c r="G4">
        <v>10664910000</v>
      </c>
      <c r="H4">
        <v>1.28</v>
      </c>
    </row>
    <row r="5" spans="1:8" x14ac:dyDescent="0.25">
      <c r="A5" t="s">
        <v>11</v>
      </c>
      <c r="B5">
        <v>130825487</v>
      </c>
      <c r="C5">
        <v>4526117866516</v>
      </c>
      <c r="D5">
        <v>53.01</v>
      </c>
      <c r="E5">
        <v>3.51</v>
      </c>
      <c r="F5">
        <v>2.25</v>
      </c>
      <c r="G5">
        <v>24300000000</v>
      </c>
      <c r="H5">
        <v>2.13</v>
      </c>
    </row>
    <row r="6" spans="1:8" x14ac:dyDescent="0.25">
      <c r="A6" t="s">
        <v>12</v>
      </c>
      <c r="B6">
        <v>9132039</v>
      </c>
      <c r="C6">
        <v>1854864391961</v>
      </c>
      <c r="D6">
        <v>26.78</v>
      </c>
      <c r="E6">
        <v>27.58</v>
      </c>
      <c r="F6">
        <v>0.59</v>
      </c>
      <c r="G6">
        <v>2168962000</v>
      </c>
      <c r="H6">
        <v>1.2</v>
      </c>
    </row>
    <row r="7" spans="1:8" x14ac:dyDescent="0.25">
      <c r="A7" t="s">
        <v>13</v>
      </c>
      <c r="B7">
        <v>18370358</v>
      </c>
      <c r="C7">
        <v>3148429317051</v>
      </c>
      <c r="D7">
        <v>28.17</v>
      </c>
      <c r="E7">
        <v>9.25</v>
      </c>
      <c r="F7">
        <v>2.67</v>
      </c>
      <c r="G7">
        <v>5430000000</v>
      </c>
      <c r="H7">
        <v>1</v>
      </c>
    </row>
    <row r="8" spans="1:8" x14ac:dyDescent="0.25">
      <c r="A8" t="s">
        <v>14</v>
      </c>
      <c r="B8">
        <v>94322542</v>
      </c>
      <c r="C8">
        <v>1359048612225</v>
      </c>
      <c r="D8">
        <v>290.10000000000002</v>
      </c>
      <c r="E8">
        <v>1.5</v>
      </c>
      <c r="F8">
        <v>-3.4</v>
      </c>
      <c r="G8">
        <v>3325151000</v>
      </c>
      <c r="H8">
        <v>2.08</v>
      </c>
    </row>
    <row r="9" spans="1:8" x14ac:dyDescent="0.25">
      <c r="A9" t="s">
        <v>15</v>
      </c>
      <c r="B9">
        <v>3578524</v>
      </c>
      <c r="C9">
        <v>207220381172</v>
      </c>
      <c r="D9">
        <v>28.82</v>
      </c>
      <c r="E9">
        <v>5.26</v>
      </c>
      <c r="F9">
        <v>0.03</v>
      </c>
      <c r="G9">
        <v>1367340000</v>
      </c>
      <c r="H9">
        <v>0.46</v>
      </c>
    </row>
    <row r="10" spans="1:8" x14ac:dyDescent="0.25">
      <c r="A10" t="s">
        <v>16</v>
      </c>
      <c r="B10">
        <v>1636449</v>
      </c>
      <c r="C10">
        <v>413105065979</v>
      </c>
      <c r="D10">
        <v>51.19</v>
      </c>
      <c r="E10">
        <v>18.21</v>
      </c>
      <c r="F10">
        <v>-1.05</v>
      </c>
      <c r="G10">
        <v>443179000</v>
      </c>
      <c r="H10">
        <v>0.98</v>
      </c>
    </row>
    <row r="11" spans="1:8" x14ac:dyDescent="0.25">
      <c r="A11" t="s">
        <v>17</v>
      </c>
      <c r="B11">
        <v>16123153</v>
      </c>
      <c r="C11">
        <v>1672331494638</v>
      </c>
      <c r="D11">
        <v>90.47</v>
      </c>
      <c r="E11">
        <v>3.91</v>
      </c>
      <c r="F11">
        <v>2.86</v>
      </c>
      <c r="G11">
        <v>4722365000</v>
      </c>
      <c r="H11">
        <v>1.01</v>
      </c>
    </row>
    <row r="12" spans="1:8" x14ac:dyDescent="0.25">
      <c r="A12" t="s">
        <v>18</v>
      </c>
      <c r="B12">
        <v>2013596</v>
      </c>
      <c r="C12">
        <v>147983432049</v>
      </c>
      <c r="D12">
        <v>22.03</v>
      </c>
      <c r="E12">
        <v>16.05</v>
      </c>
      <c r="F12">
        <v>-0.17</v>
      </c>
      <c r="G12">
        <v>418600000</v>
      </c>
      <c r="H12">
        <v>1.49</v>
      </c>
    </row>
    <row r="13" spans="1:8" x14ac:dyDescent="0.25">
      <c r="A13" t="s">
        <v>19</v>
      </c>
      <c r="B13">
        <v>6001301</v>
      </c>
      <c r="C13">
        <v>463855486658</v>
      </c>
      <c r="D13">
        <v>45.73</v>
      </c>
      <c r="E13">
        <v>23.94</v>
      </c>
      <c r="F13">
        <v>-1.7</v>
      </c>
      <c r="G13">
        <v>423732000</v>
      </c>
      <c r="H13">
        <v>1.59</v>
      </c>
    </row>
    <row r="14" spans="1:8" x14ac:dyDescent="0.25">
      <c r="A14" t="s">
        <v>20</v>
      </c>
      <c r="B14">
        <v>7221808</v>
      </c>
      <c r="C14">
        <v>826135798033</v>
      </c>
      <c r="D14">
        <v>14.88</v>
      </c>
      <c r="E14">
        <v>20.190000000000001</v>
      </c>
      <c r="F14">
        <v>2</v>
      </c>
      <c r="G14">
        <v>2749754000</v>
      </c>
      <c r="H14">
        <v>1.1299999999999999</v>
      </c>
    </row>
    <row r="15" spans="1:8" x14ac:dyDescent="0.25">
      <c r="A15" t="s">
        <v>21</v>
      </c>
      <c r="B15">
        <v>3573335</v>
      </c>
      <c r="C15">
        <v>674703330423</v>
      </c>
      <c r="D15">
        <v>33.909999999999997</v>
      </c>
      <c r="E15">
        <v>10.24</v>
      </c>
      <c r="F15">
        <v>0.41</v>
      </c>
      <c r="G15">
        <v>1698683000</v>
      </c>
      <c r="H15">
        <v>0.9</v>
      </c>
    </row>
    <row r="16" spans="1:8" x14ac:dyDescent="0.25">
      <c r="A16" t="s">
        <v>22</v>
      </c>
      <c r="B16">
        <v>6901711</v>
      </c>
      <c r="C16">
        <v>458729562894</v>
      </c>
      <c r="D16">
        <v>18.38</v>
      </c>
      <c r="E16">
        <v>10.36</v>
      </c>
      <c r="F16">
        <v>-1.08</v>
      </c>
      <c r="G16">
        <v>2409295000</v>
      </c>
      <c r="H16">
        <v>0.4</v>
      </c>
    </row>
    <row r="17" spans="1:8" x14ac:dyDescent="0.25">
      <c r="A17" t="s">
        <v>23</v>
      </c>
      <c r="B17">
        <v>5448580</v>
      </c>
      <c r="C17">
        <v>328306716250</v>
      </c>
      <c r="D17">
        <v>15.7</v>
      </c>
      <c r="E17">
        <v>23.09</v>
      </c>
      <c r="F17">
        <v>0.56999999999999995</v>
      </c>
      <c r="G17">
        <v>905674000</v>
      </c>
      <c r="H17">
        <v>0.47</v>
      </c>
    </row>
    <row r="18" spans="1:8" x14ac:dyDescent="0.25">
      <c r="A18" t="s">
        <v>24</v>
      </c>
      <c r="B18">
        <v>9910983</v>
      </c>
      <c r="C18">
        <v>491936068727</v>
      </c>
      <c r="D18">
        <v>16.36</v>
      </c>
      <c r="E18">
        <v>7.05</v>
      </c>
      <c r="F18">
        <v>-0.51</v>
      </c>
      <c r="G18">
        <v>4263247000</v>
      </c>
      <c r="H18">
        <v>0.51</v>
      </c>
    </row>
    <row r="19" spans="1:8" x14ac:dyDescent="0.25">
      <c r="A19" t="s">
        <v>25</v>
      </c>
      <c r="B19">
        <v>6248077</v>
      </c>
      <c r="C19">
        <v>173824845261</v>
      </c>
      <c r="D19">
        <v>29.41</v>
      </c>
      <c r="E19">
        <v>2.87</v>
      </c>
      <c r="F19">
        <v>1.39</v>
      </c>
      <c r="G19">
        <v>2082093000</v>
      </c>
      <c r="H19">
        <v>0.66</v>
      </c>
    </row>
    <row r="20" spans="1:8" x14ac:dyDescent="0.25">
      <c r="A20" t="s">
        <v>26</v>
      </c>
      <c r="B20">
        <v>10300725</v>
      </c>
      <c r="C20">
        <v>846477576071</v>
      </c>
      <c r="D20">
        <v>40.06</v>
      </c>
      <c r="E20">
        <v>2.65</v>
      </c>
      <c r="F20">
        <v>-0.65</v>
      </c>
      <c r="G20">
        <v>7972851000</v>
      </c>
      <c r="H20">
        <v>0.67</v>
      </c>
    </row>
    <row r="21" spans="1:8" x14ac:dyDescent="0.25">
      <c r="A21" t="s">
        <v>27</v>
      </c>
      <c r="B21">
        <v>70872672</v>
      </c>
      <c r="C21">
        <v>410449448588</v>
      </c>
      <c r="D21">
        <v>145.59</v>
      </c>
      <c r="E21">
        <v>1.74</v>
      </c>
      <c r="F21">
        <v>7.63</v>
      </c>
      <c r="G21">
        <v>1622844000</v>
      </c>
      <c r="H21">
        <v>1.9</v>
      </c>
    </row>
    <row r="22" spans="1:8" x14ac:dyDescent="0.25">
      <c r="A22" t="s">
        <v>28</v>
      </c>
      <c r="B22">
        <v>5842498</v>
      </c>
      <c r="C22">
        <v>97858498837</v>
      </c>
      <c r="D22">
        <v>37.229999999999997</v>
      </c>
      <c r="E22">
        <v>2.31</v>
      </c>
      <c r="F22">
        <v>0.76</v>
      </c>
      <c r="G22">
        <v>1136700000</v>
      </c>
      <c r="H22">
        <v>1.01</v>
      </c>
    </row>
    <row r="23" spans="1:8" x14ac:dyDescent="0.25">
      <c r="A23" t="s">
        <v>29</v>
      </c>
      <c r="B23">
        <v>27396705</v>
      </c>
      <c r="C23">
        <v>140774194541</v>
      </c>
      <c r="D23">
        <v>13.14</v>
      </c>
      <c r="E23">
        <v>1.88</v>
      </c>
      <c r="F23">
        <v>0.3</v>
      </c>
      <c r="G23">
        <v>5685551000</v>
      </c>
      <c r="H23">
        <v>0.54</v>
      </c>
    </row>
    <row r="24" spans="1:8" x14ac:dyDescent="0.25">
      <c r="A24" t="s">
        <v>30</v>
      </c>
      <c r="B24">
        <v>2504947</v>
      </c>
      <c r="C24">
        <v>237297017346</v>
      </c>
      <c r="D24">
        <v>15.92</v>
      </c>
      <c r="E24">
        <v>49.23</v>
      </c>
      <c r="F24">
        <v>4.41</v>
      </c>
      <c r="G24">
        <v>302721000</v>
      </c>
      <c r="H24">
        <v>1.42</v>
      </c>
    </row>
    <row r="25" spans="1:8" x14ac:dyDescent="0.25">
      <c r="A25" t="s">
        <v>31</v>
      </c>
      <c r="B25">
        <v>8726588</v>
      </c>
      <c r="C25">
        <v>1236047541791</v>
      </c>
      <c r="D25">
        <v>29.57</v>
      </c>
      <c r="E25">
        <v>9.9700000000000006</v>
      </c>
      <c r="F25">
        <v>1.45</v>
      </c>
      <c r="G25">
        <v>25932620000</v>
      </c>
      <c r="H25">
        <v>1.26</v>
      </c>
    </row>
    <row r="26" spans="1:8" x14ac:dyDescent="0.25">
      <c r="A26" t="s">
        <v>32</v>
      </c>
      <c r="B26">
        <v>1032022</v>
      </c>
      <c r="C26">
        <v>403720903749</v>
      </c>
      <c r="D26">
        <v>36.78</v>
      </c>
      <c r="E26">
        <v>28.09</v>
      </c>
      <c r="F26">
        <v>-0.32</v>
      </c>
      <c r="G26">
        <v>388148000</v>
      </c>
      <c r="H26">
        <v>1.87</v>
      </c>
    </row>
    <row r="27" spans="1:8" x14ac:dyDescent="0.25">
      <c r="A27" t="s">
        <v>33</v>
      </c>
      <c r="B27">
        <v>1367201</v>
      </c>
      <c r="C27">
        <v>112322758404</v>
      </c>
      <c r="D27">
        <v>27.1</v>
      </c>
      <c r="E27">
        <v>17.91</v>
      </c>
      <c r="F27">
        <v>-0.54</v>
      </c>
      <c r="G27">
        <v>231398000</v>
      </c>
      <c r="H27">
        <v>0.28000000000000003</v>
      </c>
    </row>
    <row r="28" spans="1:8" x14ac:dyDescent="0.25">
      <c r="A28" t="s">
        <v>34</v>
      </c>
      <c r="B28">
        <v>2391731</v>
      </c>
      <c r="C28">
        <v>244887966247</v>
      </c>
      <c r="D28">
        <v>26.58</v>
      </c>
      <c r="E28">
        <v>19.670000000000002</v>
      </c>
      <c r="F28">
        <v>0.45</v>
      </c>
      <c r="G28">
        <v>468479000</v>
      </c>
      <c r="H28">
        <v>1.47</v>
      </c>
    </row>
    <row r="29" spans="1:8" x14ac:dyDescent="0.25">
      <c r="A29" t="s">
        <v>35</v>
      </c>
      <c r="B29">
        <v>7092887</v>
      </c>
      <c r="C29">
        <v>102158402902</v>
      </c>
      <c r="D29">
        <v>35.42</v>
      </c>
      <c r="E29">
        <v>1.95</v>
      </c>
      <c r="F29">
        <v>-0.83</v>
      </c>
      <c r="G29">
        <v>1189314000</v>
      </c>
      <c r="H29">
        <v>1.29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9"/>
  <sheetViews>
    <sheetView workbookViewId="0">
      <selection activeCell="F18" sqref="F18"/>
    </sheetView>
  </sheetViews>
  <sheetFormatPr defaultColWidth="12.6640625" defaultRowHeight="15.75" customHeight="1" x14ac:dyDescent="0.25"/>
  <cols>
    <col min="1" max="1" width="8.33203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 t="s">
        <v>33</v>
      </c>
      <c r="B2" s="1">
        <f ca="1">IFERROR(__xludf.DUMMYFUNCTION("GOOGLEFINANCE( A27, ""volume"")"),1430734)</f>
        <v>1430734</v>
      </c>
      <c r="C2" s="1">
        <f ca="1">IFERROR(__xludf.DUMMYFUNCTION("GOOGLEFINANCE( A27, ""marketcap"")"),118109942075)</f>
        <v>118109942075</v>
      </c>
      <c r="D2" s="1">
        <f ca="1">IFERROR(__xludf.DUMMYFUNCTION("GOOGLEFINANCE(A27 , ""pe"")"),28.48)</f>
        <v>28.48</v>
      </c>
      <c r="E2" s="1">
        <f ca="1">IFERROR(__xludf.DUMMYFUNCTION("GOOGLEFINANCE(A27 , ""eps"")"),17.76)</f>
        <v>17.760000000000002</v>
      </c>
      <c r="F2" s="1">
        <f ca="1">IFERROR(__xludf.DUMMYFUNCTION("GOOGLEFINANCE(A27 , ""changepct"")"),2.17)</f>
        <v>2.17</v>
      </c>
      <c r="G2" s="1">
        <f ca="1">IFERROR(__xludf.DUMMYFUNCTION("GOOGLEFINANCE(A27, ""shares"")"),233465000)</f>
        <v>233465000</v>
      </c>
      <c r="H2" s="1">
        <f ca="1">IFERROR(__xludf.DUMMYFUNCTION("GOOGLEFINANCE( A27, ""beta"")"),0.28)</f>
        <v>0.28000000000000003</v>
      </c>
    </row>
    <row r="3" spans="1:16" x14ac:dyDescent="0.25">
      <c r="A3" s="2" t="s">
        <v>22</v>
      </c>
      <c r="B3" s="1">
        <f ca="1">IFERROR(__xludf.DUMMYFUNCTION("GOOGLEFINANCE( A16, ""volume"")"),8032883)</f>
        <v>8032883</v>
      </c>
      <c r="C3" s="1">
        <f ca="1">IFERROR(__xludf.DUMMYFUNCTION("GOOGLEFINANCE( A16, ""marketcap"")"),466543434019)</f>
        <v>466543434019</v>
      </c>
      <c r="D3" s="1">
        <f ca="1">IFERROR(__xludf.DUMMYFUNCTION("GOOGLEFINANCE(A16 , ""pe"")"),18.7)</f>
        <v>18.7</v>
      </c>
      <c r="E3" s="1">
        <f ca="1">IFERROR(__xludf.DUMMYFUNCTION("GOOGLEFINANCE(A16 , ""eps"")"),10.36)</f>
        <v>10.36</v>
      </c>
      <c r="F3" s="1">
        <f ca="1">IFERROR(__xludf.DUMMYFUNCTION("GOOGLEFINANCE(A16 , ""changepct"")"),0.28)</f>
        <v>0.28000000000000003</v>
      </c>
      <c r="G3" s="1">
        <f ca="1">IFERROR(__xludf.DUMMYFUNCTION("GOOGLEFINANCE(A16, ""shares"")"),2408339000)</f>
        <v>2408339000</v>
      </c>
      <c r="H3" s="1">
        <f ca="1">IFERROR(__xludf.DUMMYFUNCTION("GOOGLEFINANCE( A16, ""beta"")"),0.4)</f>
        <v>0.4</v>
      </c>
    </row>
    <row r="4" spans="1:16" x14ac:dyDescent="0.25">
      <c r="A4" s="1" t="s">
        <v>15</v>
      </c>
      <c r="B4" s="1">
        <f ca="1">IFERROR(__xludf.DUMMYFUNCTION("GOOGLEFINANCE( A9, ""volume"")"),4809253)</f>
        <v>4809253</v>
      </c>
      <c r="C4" s="1">
        <f ca="1">IFERROR(__xludf.DUMMYFUNCTION("GOOGLEFINANCE( A9, ""marketcap"")"),210077963125)</f>
        <v>210077963125</v>
      </c>
      <c r="D4" s="1">
        <f ca="1">IFERROR(__xludf.DUMMYFUNCTION("GOOGLEFINANCE(A9 , ""pe"")"),29.22)</f>
        <v>29.22</v>
      </c>
      <c r="E4" s="1">
        <f ca="1">IFERROR(__xludf.DUMMYFUNCTION("GOOGLEFINANCE(A9 , ""eps"")"),5.26)</f>
        <v>5.26</v>
      </c>
      <c r="F4" s="1">
        <f ca="1">IFERROR(__xludf.DUMMYFUNCTION("GOOGLEFINANCE(A9 , ""changepct"")"),-0.05)</f>
        <v>-0.05</v>
      </c>
      <c r="G4" s="1">
        <f ca="1">IFERROR(__xludf.DUMMYFUNCTION("GOOGLEFINANCE(A9, ""shares"")"),1367340000)</f>
        <v>1367340000</v>
      </c>
      <c r="H4" s="1">
        <f ca="1">IFERROR(__xludf.DUMMYFUNCTION("GOOGLEFINANCE( A9, ""beta"")"),0.46)</f>
        <v>0.46</v>
      </c>
    </row>
    <row r="5" spans="1:16" x14ac:dyDescent="0.25">
      <c r="A5" s="2" t="s">
        <v>23</v>
      </c>
      <c r="B5" s="1">
        <f ca="1">IFERROR(__xludf.DUMMYFUNCTION("GOOGLEFINANCE( A17, ""volume"")"),5984062)</f>
        <v>5984062</v>
      </c>
      <c r="C5" s="1">
        <f ca="1">IFERROR(__xludf.DUMMYFUNCTION("GOOGLEFINANCE( A17, ""marketcap"")"),330099887230)</f>
        <v>330099887230</v>
      </c>
      <c r="D5" s="1">
        <f ca="1">IFERROR(__xludf.DUMMYFUNCTION("GOOGLEFINANCE(A17 , ""pe"")"),15.78)</f>
        <v>15.78</v>
      </c>
      <c r="E5" s="1">
        <f ca="1">IFERROR(__xludf.DUMMYFUNCTION("GOOGLEFINANCE(A17 , ""eps"")"),23.09)</f>
        <v>23.09</v>
      </c>
      <c r="F5" s="1">
        <f ca="1">IFERROR(__xludf.DUMMYFUNCTION("GOOGLEFINANCE(A17 , ""changepct"")"),2.21)</f>
        <v>2.21</v>
      </c>
      <c r="G5" s="1">
        <f ca="1">IFERROR(__xludf.DUMMYFUNCTION("GOOGLEFINANCE(A17, ""shares"")"),905674000)</f>
        <v>905674000</v>
      </c>
      <c r="H5" s="1">
        <f ca="1">IFERROR(__xludf.DUMMYFUNCTION("GOOGLEFINANCE( A17, ""beta"")"),0.47)</f>
        <v>0.47</v>
      </c>
    </row>
    <row r="6" spans="1:16" x14ac:dyDescent="0.25">
      <c r="A6" s="1" t="s">
        <v>24</v>
      </c>
      <c r="B6" s="1">
        <f ca="1">IFERROR(__xludf.DUMMYFUNCTION("GOOGLEFINANCE( A18, ""volume"")"),9522742)</f>
        <v>9522742</v>
      </c>
      <c r="C6" s="1">
        <f ca="1">IFERROR(__xludf.DUMMYFUNCTION("GOOGLEFINANCE( A18, ""marketcap"")"),480467811189)</f>
        <v>480467811189</v>
      </c>
      <c r="D6" s="1">
        <f ca="1">IFERROR(__xludf.DUMMYFUNCTION("GOOGLEFINANCE(A18 , ""pe"")"),15.98)</f>
        <v>15.98</v>
      </c>
      <c r="E6" s="1">
        <f ca="1">IFERROR(__xludf.DUMMYFUNCTION("GOOGLEFINANCE(A18 , ""eps"")"),7.05)</f>
        <v>7.05</v>
      </c>
      <c r="F6" s="1">
        <f ca="1">IFERROR(__xludf.DUMMYFUNCTION("GOOGLEFINANCE(A18 , ""changepct"")"),0.41)</f>
        <v>0.41</v>
      </c>
      <c r="G6" s="1">
        <f ca="1">IFERROR(__xludf.DUMMYFUNCTION("GOOGLEFINANCE(A18, ""shares"")"),4263247000)</f>
        <v>4263247000</v>
      </c>
      <c r="H6" s="1">
        <f ca="1">IFERROR(__xludf.DUMMYFUNCTION("GOOGLEFINANCE( A18, ""beta"")"),0.51)</f>
        <v>0.51</v>
      </c>
    </row>
    <row r="7" spans="1:16" x14ac:dyDescent="0.25">
      <c r="A7" s="2" t="s">
        <v>29</v>
      </c>
      <c r="B7" s="1">
        <f ca="1">IFERROR(__xludf.DUMMYFUNCTION("GOOGLEFINANCE( A23, ""volume"")"),35826419)</f>
        <v>35826419</v>
      </c>
      <c r="C7" s="1">
        <f ca="1">IFERROR(__xludf.DUMMYFUNCTION("GOOGLEFINANCE( A23, ""marketcap"")"),140376183156)</f>
        <v>140376183156</v>
      </c>
      <c r="D7" s="1">
        <f ca="1">IFERROR(__xludf.DUMMYFUNCTION("GOOGLEFINANCE(A23 , ""pe"")"),13.1)</f>
        <v>13.1</v>
      </c>
      <c r="E7" s="1">
        <f ca="1">IFERROR(__xludf.DUMMYFUNCTION("GOOGLEFINANCE(A23 , ""eps"")"),1.88)</f>
        <v>1.88</v>
      </c>
      <c r="F7" s="1">
        <f ca="1">IFERROR(__xludf.DUMMYFUNCTION("GOOGLEFINANCE(A23 , ""changepct"")"),0.73)</f>
        <v>0.73</v>
      </c>
      <c r="G7" s="1">
        <f ca="1">IFERROR(__xludf.DUMMYFUNCTION("GOOGLEFINANCE(A23, ""shares"")"),5685551000)</f>
        <v>5685551000</v>
      </c>
      <c r="H7" s="1">
        <f ca="1">IFERROR(__xludf.DUMMYFUNCTION("GOOGLEFINANCE( A23, ""beta"")"),0.54)</f>
        <v>0.54</v>
      </c>
    </row>
    <row r="8" spans="1:16" x14ac:dyDescent="0.25">
      <c r="A8" s="2" t="s">
        <v>25</v>
      </c>
      <c r="B8" s="1">
        <f ca="1">IFERROR(__xludf.DUMMYFUNCTION("GOOGLEFINANCE( A19, ""volume"")"),5224775)</f>
        <v>5224775</v>
      </c>
      <c r="C8" s="1">
        <f ca="1">IFERROR(__xludf.DUMMYFUNCTION("GOOGLEFINANCE( A19, ""marketcap"")"),174566175927)</f>
        <v>174566175927</v>
      </c>
      <c r="D8" s="1">
        <f ca="1">IFERROR(__xludf.DUMMYFUNCTION("GOOGLEFINANCE(A19 , ""pe"")"),29.54)</f>
        <v>29.54</v>
      </c>
      <c r="E8" s="1">
        <f ca="1">IFERROR(__xludf.DUMMYFUNCTION("GOOGLEFINANCE(A19 , ""eps"")"),2.87)</f>
        <v>2.87</v>
      </c>
      <c r="F8" s="1">
        <f ca="1">IFERROR(__xludf.DUMMYFUNCTION("GOOGLEFINANCE(A19 , ""changepct"")"),0.28)</f>
        <v>0.28000000000000003</v>
      </c>
      <c r="G8" s="1">
        <f ca="1">IFERROR(__xludf.DUMMYFUNCTION("GOOGLEFINANCE(A19, ""shares"")"),2082093000)</f>
        <v>2082093000</v>
      </c>
      <c r="H8" s="1">
        <f ca="1">IFERROR(__xludf.DUMMYFUNCTION("GOOGLEFINANCE( A19, ""beta"")"),0.66)</f>
        <v>0.66</v>
      </c>
    </row>
    <row r="9" spans="1:16" x14ac:dyDescent="0.25">
      <c r="A9" s="2" t="s">
        <v>26</v>
      </c>
      <c r="B9" s="1">
        <f ca="1">IFERROR(__xludf.DUMMYFUNCTION("GOOGLEFINANCE( A20, ""volume"")"),10579033)</f>
        <v>10579033</v>
      </c>
      <c r="C9" s="1">
        <f ca="1">IFERROR(__xludf.DUMMYFUNCTION("GOOGLEFINANCE( A20, ""marketcap"")"),853493723881)</f>
        <v>853493723881</v>
      </c>
      <c r="D9" s="1">
        <f ca="1">IFERROR(__xludf.DUMMYFUNCTION("GOOGLEFINANCE(A20 , ""pe"")"),40.39)</f>
        <v>40.39</v>
      </c>
      <c r="E9" s="1">
        <f ca="1">IFERROR(__xludf.DUMMYFUNCTION("GOOGLEFINANCE(A20 , ""eps"")"),2.65)</f>
        <v>2.65</v>
      </c>
      <c r="F9" s="1">
        <f ca="1">IFERROR(__xludf.DUMMYFUNCTION("GOOGLEFINANCE(A20 , ""changepct"")"),-0.63)</f>
        <v>-0.63</v>
      </c>
      <c r="G9" s="1">
        <f ca="1">IFERROR(__xludf.DUMMYFUNCTION("GOOGLEFINANCE(A20, ""shares"")"),7972851000)</f>
        <v>7972851000</v>
      </c>
      <c r="H9" s="1">
        <f ca="1">IFERROR(__xludf.DUMMYFUNCTION("GOOGLEFINANCE( A20, ""beta"")"),0.67)</f>
        <v>0.67</v>
      </c>
    </row>
    <row r="10" spans="1:16" x14ac:dyDescent="0.25">
      <c r="A10" s="2" t="s">
        <v>21</v>
      </c>
      <c r="B10" s="1">
        <f ca="1">IFERROR(__xludf.DUMMYFUNCTION("GOOGLEFINANCE( A15, ""volume"")"),4664554)</f>
        <v>4664554</v>
      </c>
      <c r="C10" s="1">
        <f ca="1">IFERROR(__xludf.DUMMYFUNCTION("GOOGLEFINANCE( A15, ""marketcap"")"),663540313055)</f>
        <v>663540313055</v>
      </c>
      <c r="D10" s="1">
        <f ca="1">IFERROR(__xludf.DUMMYFUNCTION("GOOGLEFINANCE(A15 , ""pe"")"),33.62)</f>
        <v>33.619999999999997</v>
      </c>
      <c r="E10" s="1">
        <f ca="1">IFERROR(__xludf.DUMMYFUNCTION("GOOGLEFINANCE(A15 , ""eps"")"),10.24)</f>
        <v>10.24</v>
      </c>
      <c r="F10" s="1">
        <f ca="1">IFERROR(__xludf.DUMMYFUNCTION("GOOGLEFINANCE(A15 , ""changepct"")"),0.74)</f>
        <v>0.74</v>
      </c>
      <c r="G10" s="1">
        <f ca="1">IFERROR(__xludf.DUMMYFUNCTION("GOOGLEFINANCE(A15, ""shares"")"),1698683000)</f>
        <v>1698683000</v>
      </c>
      <c r="H10" s="1">
        <f ca="1">IFERROR(__xludf.DUMMYFUNCTION("GOOGLEFINANCE( A15, ""beta"")"),0.9)</f>
        <v>0.9</v>
      </c>
    </row>
    <row r="11" spans="1:16" x14ac:dyDescent="0.25">
      <c r="A11" s="1" t="s">
        <v>16</v>
      </c>
      <c r="B11" s="1">
        <f ca="1">IFERROR(__xludf.DUMMYFUNCTION("GOOGLEFINANCE( A10, ""volume"")"),1522754)</f>
        <v>1522754</v>
      </c>
      <c r="C11" s="1">
        <f ca="1">IFERROR(__xludf.DUMMYFUNCTION("GOOGLEFINANCE( A10, ""marketcap"")"),414864474420)</f>
        <v>414864474420</v>
      </c>
      <c r="D11" s="1">
        <f ca="1">IFERROR(__xludf.DUMMYFUNCTION("GOOGLEFINANCE(A10 , ""pe"")"),51.41)</f>
        <v>51.41</v>
      </c>
      <c r="E11" s="1">
        <f ca="1">IFERROR(__xludf.DUMMYFUNCTION("GOOGLEFINANCE(A10 , ""eps"")"),18.21)</f>
        <v>18.21</v>
      </c>
      <c r="F11" s="1">
        <f ca="1">IFERROR(__xludf.DUMMYFUNCTION("GOOGLEFINANCE(A10 , ""changepct"")"),-0.02)</f>
        <v>-0.02</v>
      </c>
      <c r="G11" s="1">
        <f ca="1">IFERROR(__xludf.DUMMYFUNCTION("GOOGLEFINANCE(A10, ""shares"")"),443179000)</f>
        <v>443179000</v>
      </c>
      <c r="H11" s="1">
        <f ca="1">IFERROR(__xludf.DUMMYFUNCTION("GOOGLEFINANCE( A10, ""beta"")"),0.98)</f>
        <v>0.98</v>
      </c>
    </row>
    <row r="12" spans="1:16" x14ac:dyDescent="0.25">
      <c r="A12" s="1" t="s">
        <v>13</v>
      </c>
      <c r="B12" s="1">
        <f ca="1">IFERROR(__xludf.DUMMYFUNCTION("GOOGLEFINANCE( A7, ""volume"")"),13719707)</f>
        <v>13719707</v>
      </c>
      <c r="C12" s="1">
        <f ca="1">IFERROR(__xludf.DUMMYFUNCTION("GOOGLEFINANCE( A7, ""marketcap"")"),3105409327239)</f>
        <v>3105409327239</v>
      </c>
      <c r="D12" s="1">
        <f ca="1">IFERROR(__xludf.DUMMYFUNCTION("GOOGLEFINANCE(A7 , ""pe"")"),27.79)</f>
        <v>27.79</v>
      </c>
      <c r="E12" s="1">
        <f ca="1">IFERROR(__xludf.DUMMYFUNCTION("GOOGLEFINANCE(A7 , ""eps"")"),9.25)</f>
        <v>9.25</v>
      </c>
      <c r="F12" s="1">
        <f ca="1">IFERROR(__xludf.DUMMYFUNCTION("GOOGLEFINANCE(A7 , ""changepct"")"),1.27)</f>
        <v>1.27</v>
      </c>
      <c r="G12" s="1">
        <f ca="1">IFERROR(__xludf.DUMMYFUNCTION("GOOGLEFINANCE(A7, ""shares"")"),5430000000)</f>
        <v>5430000000</v>
      </c>
      <c r="H12" s="1">
        <f ca="1">IFERROR(__xludf.DUMMYFUNCTION("GOOGLEFINANCE( A7, ""beta"")"),1)</f>
        <v>1</v>
      </c>
    </row>
    <row r="13" spans="1:16" x14ac:dyDescent="0.25">
      <c r="A13" s="2" t="s">
        <v>28</v>
      </c>
      <c r="B13" s="1">
        <f ca="1">IFERROR(__xludf.DUMMYFUNCTION("GOOGLEFINANCE( A22, ""volume"")"),7677387)</f>
        <v>7677387</v>
      </c>
      <c r="C13" s="1">
        <f ca="1">IFERROR(__xludf.DUMMYFUNCTION("GOOGLEFINANCE( A22, ""marketcap"")"),96085165082)</f>
        <v>96085165082</v>
      </c>
      <c r="D13" s="1">
        <f ca="1">IFERROR(__xludf.DUMMYFUNCTION("GOOGLEFINANCE(A22 , ""pe"")"),36.56)</f>
        <v>36.56</v>
      </c>
      <c r="E13" s="1">
        <f ca="1">IFERROR(__xludf.DUMMYFUNCTION("GOOGLEFINANCE(A22 , ""eps"")"),2.31)</f>
        <v>2.31</v>
      </c>
      <c r="F13" s="1">
        <f ca="1">IFERROR(__xludf.DUMMYFUNCTION("GOOGLEFINANCE(A22 , ""changepct"")"),-0.97)</f>
        <v>-0.97</v>
      </c>
      <c r="G13" s="1">
        <f ca="1">IFERROR(__xludf.DUMMYFUNCTION("GOOGLEFINANCE(A22, ""shares"")"),1136700000)</f>
        <v>1136700000</v>
      </c>
      <c r="H13" s="1">
        <f ca="1">IFERROR(__xludf.DUMMYFUNCTION("GOOGLEFINANCE( A22, ""beta"")"),1.01)</f>
        <v>1.01</v>
      </c>
    </row>
    <row r="14" spans="1:16" x14ac:dyDescent="0.25">
      <c r="A14" s="1" t="s">
        <v>17</v>
      </c>
      <c r="B14" s="1">
        <f ca="1">IFERROR(__xludf.DUMMYFUNCTION("GOOGLEFINANCE( A11, ""volume"")"),15619089)</f>
        <v>15619089</v>
      </c>
      <c r="C14" s="1">
        <f ca="1">IFERROR(__xludf.DUMMYFUNCTION("GOOGLEFINANCE( A11, ""marketcap"")"),1649238706483)</f>
        <v>1649238706483</v>
      </c>
      <c r="D14" s="1">
        <f ca="1">IFERROR(__xludf.DUMMYFUNCTION("GOOGLEFINANCE(A11 , ""pe"")"),89.22)</f>
        <v>89.22</v>
      </c>
      <c r="E14" s="1">
        <f ca="1">IFERROR(__xludf.DUMMYFUNCTION("GOOGLEFINANCE(A11 , ""eps"")"),3.91)</f>
        <v>3.91</v>
      </c>
      <c r="F14" s="1">
        <f ca="1">IFERROR(__xludf.DUMMYFUNCTION("GOOGLEFINANCE(A11 , ""changepct"")"),-0.03)</f>
        <v>-0.03</v>
      </c>
      <c r="G14" s="1">
        <f ca="1">IFERROR(__xludf.DUMMYFUNCTION("GOOGLEFINANCE(A11, ""shares"")"),4722365000)</f>
        <v>4722365000</v>
      </c>
      <c r="H14" s="1">
        <f ca="1">IFERROR(__xludf.DUMMYFUNCTION("GOOGLEFINANCE( A11, ""beta"")"),1.01)</f>
        <v>1.01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" t="s">
        <v>9</v>
      </c>
      <c r="B15" s="1">
        <f ca="1">IFERROR(__xludf.DUMMYFUNCTION("GOOGLEFINANCE( A3, ""volume"")"),14657466)</f>
        <v>14657466</v>
      </c>
      <c r="C15" s="1">
        <f ca="1">IFERROR(__xludf.DUMMYFUNCTION("GOOGLEFINANCE( A3, ""marketcap"")"),3841386210603)</f>
        <v>3841386210603</v>
      </c>
      <c r="D15" s="1">
        <f ca="1">IFERROR(__xludf.DUMMYFUNCTION("GOOGLEFINANCE(A3 , ""pe"")"),37.88)</f>
        <v>37.880000000000003</v>
      </c>
      <c r="E15" s="1">
        <f ca="1">IFERROR(__xludf.DUMMYFUNCTION("GOOGLEFINANCE(A3 , ""eps"")"),13.64)</f>
        <v>13.64</v>
      </c>
      <c r="F15" s="1">
        <f ca="1">IFERROR(__xludf.DUMMYFUNCTION("GOOGLEFINANCE(A3 , ""changepct"")"),0.63)</f>
        <v>0.63</v>
      </c>
      <c r="G15" s="1">
        <f ca="1">IFERROR(__xludf.DUMMYFUNCTION("GOOGLEFINANCE(A3, ""shares"")"),7433166000)</f>
        <v>7433166000</v>
      </c>
      <c r="H15" s="1">
        <f ca="1">IFERROR(__xludf.DUMMYFUNCTION("GOOGLEFINANCE( A3, ""beta"")"),1.02)</f>
        <v>1.02</v>
      </c>
    </row>
    <row r="16" spans="1:16" x14ac:dyDescent="0.25">
      <c r="A16" s="1" t="s">
        <v>8</v>
      </c>
      <c r="B16" s="1">
        <f ca="1">IFERROR(__xludf.DUMMYFUNCTION("GOOGLEFINANCE( A2, ""volume"")"),90391893)</f>
        <v>90391893</v>
      </c>
      <c r="C16" s="1">
        <f ca="1">IFERROR(__xludf.DUMMYFUNCTION("GOOGLEFINANCE( A2, ""marketcap"")"),3891743728674)</f>
        <v>3891743728674</v>
      </c>
      <c r="D16" s="1">
        <f ca="1">IFERROR(__xludf.DUMMYFUNCTION("GOOGLEFINANCE(A2 , ""pe"")"),39.87)</f>
        <v>39.869999999999997</v>
      </c>
      <c r="E16" s="1">
        <f ca="1">IFERROR(__xludf.DUMMYFUNCTION("GOOGLEFINANCE(A2 , ""eps"")"),6.58)</f>
        <v>6.58</v>
      </c>
      <c r="F16" s="1">
        <f ca="1">IFERROR(__xludf.DUMMYFUNCTION("GOOGLEFINANCE(A2 , ""changepct"")"),3.94)</f>
        <v>3.94</v>
      </c>
      <c r="G16" s="1">
        <f ca="1">IFERROR(__xludf.DUMMYFUNCTION("GOOGLEFINANCE(A2, ""shares"")"),14840390000)</f>
        <v>14840390000</v>
      </c>
      <c r="H16" s="1">
        <f ca="1">IFERROR(__xludf.DUMMYFUNCTION("GOOGLEFINANCE( A2, ""beta"")"),1.09)</f>
        <v>1.0900000000000001</v>
      </c>
    </row>
    <row r="17" spans="1:8" x14ac:dyDescent="0.25">
      <c r="A17" s="2" t="s">
        <v>20</v>
      </c>
      <c r="B17" s="1">
        <f ca="1">IFERROR(__xludf.DUMMYFUNCTION("GOOGLEFINANCE( A14, ""volume"")"),6892378)</f>
        <v>6892378</v>
      </c>
      <c r="C17" s="1">
        <f ca="1">IFERROR(__xludf.DUMMYFUNCTION("GOOGLEFINANCE( A14, ""marketcap"")"),831415276800)</f>
        <v>831415276800</v>
      </c>
      <c r="D17" s="1">
        <f ca="1">IFERROR(__xludf.DUMMYFUNCTION("GOOGLEFINANCE(A14 , ""pe"")"),14.98)</f>
        <v>14.98</v>
      </c>
      <c r="E17" s="1">
        <f ca="1">IFERROR(__xludf.DUMMYFUNCTION("GOOGLEFINANCE(A14 , ""eps"")"),20.19)</f>
        <v>20.190000000000001</v>
      </c>
      <c r="F17" s="1">
        <f ca="1">IFERROR(__xludf.DUMMYFUNCTION("GOOGLEFINANCE(A14 , ""changepct"")"),1.61)</f>
        <v>1.61</v>
      </c>
      <c r="G17" s="1">
        <f ca="1">IFERROR(__xludf.DUMMYFUNCTION("GOOGLEFINANCE(A14, ""shares"")"),2749754000)</f>
        <v>2749754000</v>
      </c>
      <c r="H17" s="1">
        <f ca="1">IFERROR(__xludf.DUMMYFUNCTION("GOOGLEFINANCE( A14, ""beta"")"),1.13)</f>
        <v>1.1299999999999999</v>
      </c>
    </row>
    <row r="18" spans="1:8" x14ac:dyDescent="0.25">
      <c r="A18" s="1" t="s">
        <v>12</v>
      </c>
      <c r="B18" s="1">
        <f ca="1">IFERROR(__xludf.DUMMYFUNCTION("GOOGLEFINANCE( A6, ""volume"")"),8886735)</f>
        <v>8886735</v>
      </c>
      <c r="C18" s="1">
        <f ca="1">IFERROR(__xludf.DUMMYFUNCTION("GOOGLEFINANCE( A6, ""marketcap"")"),1839301786148)</f>
        <v>1839301786148</v>
      </c>
      <c r="D18" s="1">
        <f ca="1">IFERROR(__xludf.DUMMYFUNCTION("GOOGLEFINANCE(A6 , ""pe"")"),26.55)</f>
        <v>26.55</v>
      </c>
      <c r="E18" s="1">
        <f ca="1">IFERROR(__xludf.DUMMYFUNCTION("GOOGLEFINANCE(A6 , ""eps"")"),27.58)</f>
        <v>27.58</v>
      </c>
      <c r="F18" s="1">
        <f ca="1">IFERROR(__xludf.DUMMYFUNCTION("GOOGLEFINANCE(A6 , ""changepct"")"),2.13)</f>
        <v>2.13</v>
      </c>
      <c r="G18" s="1">
        <f ca="1">IFERROR(__xludf.DUMMYFUNCTION("GOOGLEFINANCE(A6, ""shares"")"),2168962000)</f>
        <v>2168962000</v>
      </c>
      <c r="H18" s="1">
        <f ca="1">IFERROR(__xludf.DUMMYFUNCTION("GOOGLEFINANCE( A6, ""beta"")"),1.2)</f>
        <v>1.2</v>
      </c>
    </row>
    <row r="19" spans="1:8" x14ac:dyDescent="0.25">
      <c r="A19" s="2" t="s">
        <v>31</v>
      </c>
      <c r="B19" s="1">
        <f ca="1">IFERROR(__xludf.DUMMYFUNCTION("GOOGLEFINANCE( A25, ""volume"")"),13369147)</f>
        <v>13369147</v>
      </c>
      <c r="C19" s="1">
        <f ca="1">IFERROR(__xludf.DUMMYFUNCTION("GOOGLEFINANCE( A25, ""marketcap"")"),1239136409010)</f>
        <v>1239136409010</v>
      </c>
      <c r="D19" s="1">
        <f ca="1">IFERROR(__xludf.DUMMYFUNCTION("GOOGLEFINANCE(A25 , ""pe"")"),29.79)</f>
        <v>29.79</v>
      </c>
      <c r="E19" s="1">
        <f ca="1">IFERROR(__xludf.DUMMYFUNCTION("GOOGLEFINANCE(A25 , ""eps"")"),9.99)</f>
        <v>9.99</v>
      </c>
      <c r="F19" s="1">
        <f ca="1">IFERROR(__xludf.DUMMYFUNCTION("GOOGLEFINANCE(A25 , ""changepct"")"),0.89)</f>
        <v>0.89</v>
      </c>
      <c r="G19" s="1">
        <f ca="1">IFERROR(__xludf.DUMMYFUNCTION("GOOGLEFINANCE(A25, ""shares"")"),25932620000)</f>
        <v>25932620000</v>
      </c>
      <c r="H19" s="1">
        <f ca="1">IFERROR(__xludf.DUMMYFUNCTION("GOOGLEFINANCE( A25, ""beta"")"),1.26)</f>
        <v>1.26</v>
      </c>
    </row>
    <row r="20" spans="1:8" x14ac:dyDescent="0.25">
      <c r="A20" s="1" t="s">
        <v>10</v>
      </c>
      <c r="B20" s="1">
        <f ca="1">IFERROR(__xludf.DUMMYFUNCTION("GOOGLEFINANCE( A4, ""volume"")"),38802942)</f>
        <v>38802942</v>
      </c>
      <c r="C20" s="1">
        <f ca="1">IFERROR(__xludf.DUMMYFUNCTION("GOOGLEFINANCE( A4, ""marketcap"")"),2308739671234)</f>
        <v>2308739671234</v>
      </c>
      <c r="D20" s="1">
        <f ca="1">IFERROR(__xludf.DUMMYFUNCTION("GOOGLEFINANCE(A4 , ""pe"")"),33.03)</f>
        <v>33.03</v>
      </c>
      <c r="E20" s="1">
        <f ca="1">IFERROR(__xludf.DUMMYFUNCTION("GOOGLEFINANCE(A4 , ""eps"")"),6.55)</f>
        <v>6.55</v>
      </c>
      <c r="F20" s="1">
        <f ca="1">IFERROR(__xludf.DUMMYFUNCTION("GOOGLEFINANCE(A4 , ""changepct"")"),1.61)</f>
        <v>1.61</v>
      </c>
      <c r="G20" s="1">
        <f ca="1">IFERROR(__xludf.DUMMYFUNCTION("GOOGLEFINANCE(A4, ""shares"")"),10664910000)</f>
        <v>10664910000</v>
      </c>
      <c r="H20" s="1">
        <f ca="1">IFERROR(__xludf.DUMMYFUNCTION("GOOGLEFINANCE( A4, ""beta"")"),1.28)</f>
        <v>1.28</v>
      </c>
    </row>
    <row r="21" spans="1:8" x14ac:dyDescent="0.25">
      <c r="A21" s="2" t="s">
        <v>35</v>
      </c>
      <c r="B21" s="1">
        <f ca="1">IFERROR(__xludf.DUMMYFUNCTION("GOOGLEFINANCE( A29, ""volume"")"),9662488)</f>
        <v>9662488</v>
      </c>
      <c r="C21" s="1">
        <f ca="1">IFERROR(__xludf.DUMMYFUNCTION("GOOGLEFINANCE( A29, ""marketcap"")"),99955955680)</f>
        <v>99955955680</v>
      </c>
      <c r="D21" s="1">
        <f ca="1">IFERROR(__xludf.DUMMYFUNCTION("GOOGLEFINANCE(A29 , ""pe"")"),34.66)</f>
        <v>34.659999999999997</v>
      </c>
      <c r="E21" s="1">
        <f ca="1">IFERROR(__xludf.DUMMYFUNCTION("GOOGLEFINANCE(A29 , ""eps"")"),1.95)</f>
        <v>1.95</v>
      </c>
      <c r="F21" s="1">
        <f ca="1">IFERROR(__xludf.DUMMYFUNCTION("GOOGLEFINANCE(A29 , ""changepct"")"),0.37)</f>
        <v>0.37</v>
      </c>
      <c r="G21" s="1">
        <f ca="1">IFERROR(__xludf.DUMMYFUNCTION("GOOGLEFINANCE(A29, ""shares"")"),1189314000)</f>
        <v>1189314000</v>
      </c>
      <c r="H21" s="1">
        <f ca="1">IFERROR(__xludf.DUMMYFUNCTION("GOOGLEFINANCE( A29, ""beta"")"),1.29)</f>
        <v>1.29</v>
      </c>
    </row>
    <row r="22" spans="1:8" x14ac:dyDescent="0.25">
      <c r="A22" s="2" t="s">
        <v>30</v>
      </c>
      <c r="B22" s="1">
        <f ca="1">IFERROR(__xludf.DUMMYFUNCTION("GOOGLEFINANCE( A24, ""volume"")"),1916833)</f>
        <v>1916833</v>
      </c>
      <c r="C22" s="1">
        <f ca="1">IFERROR(__xludf.DUMMYFUNCTION("GOOGLEFINANCE( A24, ""marketcap"")"),231072995937)</f>
        <v>231072995937</v>
      </c>
      <c r="D22" s="1">
        <f ca="1">IFERROR(__xludf.DUMMYFUNCTION("GOOGLEFINANCE(A24 , ""pe"")"),15.51)</f>
        <v>15.51</v>
      </c>
      <c r="E22" s="1">
        <f ca="1">IFERROR(__xludf.DUMMYFUNCTION("GOOGLEFINANCE(A24 , ""eps"")"),49.23)</f>
        <v>49.23</v>
      </c>
      <c r="F22" s="1">
        <f ca="1">IFERROR(__xludf.DUMMYFUNCTION("GOOGLEFINANCE(A24 , ""changepct"")"),1.67)</f>
        <v>1.67</v>
      </c>
      <c r="G22" s="1">
        <f ca="1">IFERROR(__xludf.DUMMYFUNCTION("GOOGLEFINANCE(A24, ""shares"")"),302721000)</f>
        <v>302721000</v>
      </c>
      <c r="H22" s="1">
        <f ca="1">IFERROR(__xludf.DUMMYFUNCTION("GOOGLEFINANCE( A24, ""beta"")"),1.42)</f>
        <v>1.42</v>
      </c>
    </row>
    <row r="23" spans="1:8" x14ac:dyDescent="0.25">
      <c r="A23" s="2" t="s">
        <v>34</v>
      </c>
      <c r="B23" s="1">
        <f ca="1">IFERROR(__xludf.DUMMYFUNCTION("GOOGLEFINANCE( A28, ""volume"")"),2166261)</f>
        <v>2166261</v>
      </c>
      <c r="C23" s="1">
        <f ca="1">IFERROR(__xludf.DUMMYFUNCTION("GOOGLEFINANCE( A28, ""marketcap"")"),248846618670)</f>
        <v>248846618670</v>
      </c>
      <c r="D23" s="1">
        <f ca="1">IFERROR(__xludf.DUMMYFUNCTION("GOOGLEFINANCE(A28 , ""pe"")"),27.01)</f>
        <v>27.01</v>
      </c>
      <c r="E23" s="1">
        <f ca="1">IFERROR(__xludf.DUMMYFUNCTION("GOOGLEFINANCE(A28 , ""eps"")"),19.67)</f>
        <v>19.670000000000002</v>
      </c>
      <c r="F23" s="1">
        <f ca="1">IFERROR(__xludf.DUMMYFUNCTION("GOOGLEFINANCE(A28 , ""changepct"")"),1.07)</f>
        <v>1.07</v>
      </c>
      <c r="G23" s="1">
        <f ca="1">IFERROR(__xludf.DUMMYFUNCTION("GOOGLEFINANCE(A28, ""shares"")"),468479000)</f>
        <v>468479000</v>
      </c>
      <c r="H23" s="1">
        <f ca="1">IFERROR(__xludf.DUMMYFUNCTION("GOOGLEFINANCE( A28, ""beta"")"),1.47)</f>
        <v>1.47</v>
      </c>
    </row>
    <row r="24" spans="1:8" x14ac:dyDescent="0.25">
      <c r="A24" s="1" t="s">
        <v>18</v>
      </c>
      <c r="B24" s="1">
        <f ca="1">IFERROR(__xludf.DUMMYFUNCTION("GOOGLEFINANCE( A12, ""volume"")"),3900579)</f>
        <v>3900579</v>
      </c>
      <c r="C24" s="1">
        <f ca="1">IFERROR(__xludf.DUMMYFUNCTION("GOOGLEFINANCE( A12, ""marketcap"")"),143747168765)</f>
        <v>143747168765</v>
      </c>
      <c r="D24" s="1">
        <f ca="1">IFERROR(__xludf.DUMMYFUNCTION("GOOGLEFINANCE(A12 , ""pe"")"),21.4)</f>
        <v>21.4</v>
      </c>
      <c r="E24" s="1">
        <f ca="1">IFERROR(__xludf.DUMMYFUNCTION("GOOGLEFINANCE(A12 , ""eps"")"),16.05)</f>
        <v>16.05</v>
      </c>
      <c r="F24" s="1">
        <f ca="1">IFERROR(__xludf.DUMMYFUNCTION("GOOGLEFINANCE(A12 , ""changepct"")"),3.04)</f>
        <v>3.04</v>
      </c>
      <c r="G24" s="1">
        <f ca="1">IFERROR(__xludf.DUMMYFUNCTION("GOOGLEFINANCE(A12, ""shares"")"),418600000)</f>
        <v>418600000</v>
      </c>
      <c r="H24" s="1">
        <f ca="1">IFERROR(__xludf.DUMMYFUNCTION("GOOGLEFINANCE( A12, ""beta"")"),1.49)</f>
        <v>1.49</v>
      </c>
    </row>
    <row r="25" spans="1:8" x14ac:dyDescent="0.25">
      <c r="A25" s="1" t="s">
        <v>19</v>
      </c>
      <c r="B25" s="1">
        <f ca="1">IFERROR(__xludf.DUMMYFUNCTION("GOOGLEFINANCE( A13, ""volume"")"),3973480)</f>
        <v>3973480</v>
      </c>
      <c r="C25" s="1">
        <f ca="1">IFERROR(__xludf.DUMMYFUNCTION("GOOGLEFINANCE( A13, ""marketcap"")"),526296743026)</f>
        <v>526296743026</v>
      </c>
      <c r="D25" s="1">
        <f ca="1">IFERROR(__xludf.DUMMYFUNCTION("GOOGLEFINANCE(A13 , ""pe"")"),52.78)</f>
        <v>52.78</v>
      </c>
      <c r="E25" s="1">
        <f ca="1">IFERROR(__xludf.DUMMYFUNCTION("GOOGLEFINANCE(A13 , ""eps"")"),23.47)</f>
        <v>23.47</v>
      </c>
      <c r="F25" s="1">
        <f ca="1">IFERROR(__xludf.DUMMYFUNCTION("GOOGLEFINANCE(A13 , ""changepct"")"),3.27)</f>
        <v>3.27</v>
      </c>
      <c r="G25" s="1">
        <f ca="1">IFERROR(__xludf.DUMMYFUNCTION("GOOGLEFINANCE(A13, ""shares"")"),424926000)</f>
        <v>424926000</v>
      </c>
      <c r="H25" s="1">
        <f ca="1">IFERROR(__xludf.DUMMYFUNCTION("GOOGLEFINANCE( A13, ""beta"")"),1.59)</f>
        <v>1.59</v>
      </c>
    </row>
    <row r="26" spans="1:8" x14ac:dyDescent="0.25">
      <c r="A26" s="1" t="s">
        <v>32</v>
      </c>
      <c r="B26" s="1">
        <f ca="1">IFERROR(__xludf.DUMMYFUNCTION("GOOGLEFINANCE( A26, ""volume"")"),1270975)</f>
        <v>1270975</v>
      </c>
      <c r="C26" s="1">
        <f ca="1">IFERROR(__xludf.DUMMYFUNCTION("GOOGLEFINANCE( A26, ""marketcap"")"),402213841752)</f>
        <v>402213841752</v>
      </c>
      <c r="D26" s="1">
        <f ca="1">IFERROR(__xludf.DUMMYFUNCTION("GOOGLEFINANCE(A26 , ""pe"")"),36.93)</f>
        <v>36.93</v>
      </c>
      <c r="E26" s="1">
        <f ca="1">IFERROR(__xludf.DUMMYFUNCTION("GOOGLEFINANCE(A26 , ""eps"")"),28.22)</f>
        <v>28.22</v>
      </c>
      <c r="F26" s="1">
        <f ca="1">IFERROR(__xludf.DUMMYFUNCTION("GOOGLEFINANCE(A26 , ""changepct"")"),1.25)</f>
        <v>1.25</v>
      </c>
      <c r="G26" s="1">
        <f ca="1">IFERROR(__xludf.DUMMYFUNCTION("GOOGLEFINANCE(A26, ""shares"")"),388148000)</f>
        <v>388148000</v>
      </c>
      <c r="H26" s="1">
        <f ca="1">IFERROR(__xludf.DUMMYFUNCTION("GOOGLEFINANCE( A26, ""beta"")"),1.87)</f>
        <v>1.87</v>
      </c>
    </row>
    <row r="27" spans="1:8" x14ac:dyDescent="0.25">
      <c r="A27" s="2" t="s">
        <v>27</v>
      </c>
      <c r="B27" s="1">
        <f ca="1">IFERROR(__xludf.DUMMYFUNCTION("GOOGLEFINANCE( A21, ""volume"")"),56629536)</f>
        <v>56629536</v>
      </c>
      <c r="C27" s="1">
        <f ca="1">IFERROR(__xludf.DUMMYFUNCTION("GOOGLEFINANCE( A21, ""marketcap"")"),390391108117)</f>
        <v>390391108117</v>
      </c>
      <c r="D27" s="1">
        <f ca="1">IFERROR(__xludf.DUMMYFUNCTION("GOOGLEFINANCE(A21 , ""pe"")"),138.47)</f>
        <v>138.47</v>
      </c>
      <c r="E27" s="1">
        <f ca="1">IFERROR(__xludf.DUMMYFUNCTION("GOOGLEFINANCE(A21 , ""eps"")"),1.74)</f>
        <v>1.74</v>
      </c>
      <c r="F27" s="1">
        <f ca="1">IFERROR(__xludf.DUMMYFUNCTION("GOOGLEFINANCE(A21 , ""changepct"")"),3.21)</f>
        <v>3.21</v>
      </c>
      <c r="G27" s="1">
        <f ca="1">IFERROR(__xludf.DUMMYFUNCTION("GOOGLEFINANCE(A21, ""shares"")"),1622844000)</f>
        <v>1622844000</v>
      </c>
      <c r="H27" s="1">
        <f ca="1">IFERROR(__xludf.DUMMYFUNCTION("GOOGLEFINANCE( A21, ""beta"")"),1.9)</f>
        <v>1.9</v>
      </c>
    </row>
    <row r="28" spans="1:8" x14ac:dyDescent="0.25">
      <c r="A28" s="1" t="s">
        <v>14</v>
      </c>
      <c r="B28" s="1">
        <f ca="1">IFERROR(__xludf.DUMMYFUNCTION("GOOGLEFINANCE( A8, ""volume"")"),63511663)</f>
        <v>63511663</v>
      </c>
      <c r="C28" s="1">
        <f ca="1">IFERROR(__xludf.DUMMYFUNCTION("GOOGLEFINANCE( A8, ""marketcap"")"),1402008459149)</f>
        <v>1402008459149</v>
      </c>
      <c r="D28" s="1">
        <f ca="1">IFERROR(__xludf.DUMMYFUNCTION("GOOGLEFINANCE(A8 , ""pe"")"),259.33)</f>
        <v>259.33</v>
      </c>
      <c r="E28" s="1">
        <f ca="1">IFERROR(__xludf.DUMMYFUNCTION("GOOGLEFINANCE(A8 , ""eps"")"),1.73)</f>
        <v>1.73</v>
      </c>
      <c r="F28" s="1">
        <f ca="1">IFERROR(__xludf.DUMMYFUNCTION("GOOGLEFINANCE(A8 , ""changepct"")"),1.85)</f>
        <v>1.85</v>
      </c>
      <c r="G28" s="1">
        <f ca="1">IFERROR(__xludf.DUMMYFUNCTION("GOOGLEFINANCE(A8, ""shares"")"),3325151000)</f>
        <v>3325151000</v>
      </c>
      <c r="H28" s="1">
        <f ca="1">IFERROR(__xludf.DUMMYFUNCTION("GOOGLEFINANCE( A8, ""beta"")"),2.08)</f>
        <v>2.08</v>
      </c>
    </row>
    <row r="29" spans="1:8" x14ac:dyDescent="0.25">
      <c r="A29" s="1" t="s">
        <v>11</v>
      </c>
      <c r="B29" s="1">
        <f ca="1">IFERROR(__xludf.DUMMYFUNCTION("GOOGLEFINANCE( A5, ""volume"")"),128226755)</f>
        <v>128226755</v>
      </c>
      <c r="C29" s="1">
        <f ca="1">IFERROR(__xludf.DUMMYFUNCTION("GOOGLEFINANCE( A5, ""marketcap"")"),4438151985168)</f>
        <v>4438151985168</v>
      </c>
      <c r="D29" s="1">
        <f ca="1">IFERROR(__xludf.DUMMYFUNCTION("GOOGLEFINANCE(A5 , ""pe"")"),51.98)</f>
        <v>51.98</v>
      </c>
      <c r="E29" s="1">
        <f ca="1">IFERROR(__xludf.DUMMYFUNCTION("GOOGLEFINANCE(A5 , ""eps"")"),3.51)</f>
        <v>3.51</v>
      </c>
      <c r="F29" s="1">
        <f ca="1">IFERROR(__xludf.DUMMYFUNCTION("GOOGLEFINANCE(A5 , ""changepct"")"),-0.32)</f>
        <v>-0.32</v>
      </c>
      <c r="G29" s="1">
        <f ca="1">IFERROR(__xludf.DUMMYFUNCTION("GOOGLEFINANCE(A5, ""shares"")"),24300000000)</f>
        <v>24300000000</v>
      </c>
      <c r="H29" s="1">
        <f ca="1">IFERROR(__xludf.DUMMYFUNCTION("GOOGLEFINANCE( A5, ""beta"")"),2.13)</f>
        <v>2.13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k w B d W 7 4 Y B Y 6 k A A A A 9 g A A A B I A H A B D b 2 5 m a W c v U G F j a 2 F n Z S 5 4 b W w g o h g A K K A U A A A A A A A A A A A A A A A A A A A A A A A A A A A A h Y 8 x D o I w G I W v Q r r T F t B o y E 8 Z X C U x a o x r U y s 0 Q j F t s d z N w S N 5 B T G K u j m + 7 3 3 D e / f r D f K + q Y O L N F a 1 O k M R p i i Q W r Q H p c s M d e 4 Y z l H O Y M X F i Z c y G G R t 0 9 4 e M l Q 5 d 0 4 J 8 d 5 j n + D W l C S m N C L 7 Y r k R l W w 4 + s j q v x w q b R 3 X Q i I G u 9 c Y F u N o M s N T m m A K Z I R Q K P 0 V 4 m H v s / 2 B s O h q 1 x n J n A m 3 a y B j B P L + w B 5 Q S w M E F A A C A A g A k w B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A X V t m R D / h J Q I A A H Y G A A A T A B w A R m 9 y b X V s Y X M v U 2 V j d G l v b j E u b S C i G A A o o B Q A A A A A A A A A A A A A A A A A A A A A A A A A A A D d k 9 9 u 2 j A U x u + R e A c r v Q E p T Q o D K r W K p h a 6 0 U 6 b W o G 6 V d W E T H I A K 4 6 d 2 i e 0 F P V N J v E M 3 H M H f a + Z P 1 r p E r R e b d J y E + t 3 j j + f c + x P g 4 9 M C t J a / 0 v H + V w + p w d U Q U B 8 P S Q e 4 Y D 5 H D F f S y b K B 0 P q e u g 0 p J 9 E I L D w F b p O X Q o 0 a 1 2 w B o i x P n L d Q P r a 6 U v Z 5 + D 4 M n J 1 r I A G e g C A 2 g 3 c U q k S f 6 D 7 S a s W D a B 3 k X S j 7 v 1 N 5 f o q g u j w 5 j 5 s n D Q f 9 z v n L M F v S e j 2 h + z R x b v 3 e P f g y Q S P T F l W 0 b 5 t A G c R Q 1 C e Z V s 2 q U u e R E J 7 p Z p N z o Q v A y b 6 X q 1 6 c F C y y V U i E V o 4 4 u C 9 L J 0 v U s D 3 o r 1 u b s + 6 V D I y s Y A 0 T a W g t G U 6 b d O u S d x E N r y w n o N N b j f 8 h P O W T z l V 2 k O V b E v W B 1 T 0 j W J 7 F M O L X F t R o X t S R e u S l 0 F d y D j f H o + t J t M a T H d o k g j C A z 7 Z Z G x d L z c u 8 b n A W s V Z K q z 4 Z 6 p C Q J / G 6 d D l L x W R R F 1 Q K 3 g W 6 w y 6 r j r 2 M S P W W r 4 M n Z Y / B a Q Z 6 a n K O 6 U 0 K q f R u z S q p F E 1 j W p p d P g K P R X z O S Y y L 2 j 7 6 e 9 Z y 8 d f K B e t b Q d 8 o i N B w / / W A W 0 q F l N c T D k V Z P 5 D I z l l v M 8 4 q J 1 W W A / k L V Z o w G L C n i f I l B E U p D 2 f q T 8 6 Y n c 9 / 8 o a H + c z w e e z s L N p h 0 U Z S a v C O m Z A + G a f V M t k Q H t I + W I a E j O e k T l D Q 0 h 6 b E S z b P h 7 f j C f P U / M n p 0 b / q Y R X 1 s s 6 + K P f w J Q S w E C L Q A U A A I A C A C T A F 1 b v h g F j q Q A A A D 2 A A A A E g A A A A A A A A A A A A A A A A A A A A A A Q 2 9 u Z m l n L 1 B h Y 2 t h Z 2 U u e G 1 s U E s B A i 0 A F A A C A A g A k w B d W w / K 6 a u k A A A A 6 Q A A A B M A A A A A A A A A A A A A A A A A 8 A A A A F t D b 2 5 0 Z W 5 0 X 1 R 5 c G V z X S 5 4 b W x Q S w E C L Q A U A A I A C A C T A F 1 b Z k Q / 4 S U C A A B 2 B g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A A A A A A A A A 4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G E 2 Y j k z Y y 0 2 M G Q y L T R i Y m Y t Y T B m Z i 0 w N T M 4 O D Z j Y j I y Y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0 V D I x O j Q 5 O j A x L j I y M T A 4 O D l a I i A v P j x F b n R y e S B U e X B l P S J G a W x s Q 2 9 s d W 1 u V H l w Z X M i I F Z h b H V l P S J z Q m d N R E J R V U Z B d 1 V H Q m d Z R 0 J n W U d C Z z 0 9 I i A v P j x F b n R y e S B U e X B l P S J G a W x s Q 2 9 s d W 1 u T m F t Z X M i I F Z h b H V l P S J z W y Z x d W 9 0 O 0 h p c 3 N l J n F 1 b 3 Q 7 L C Z x d W 9 0 O 1 Z v b H V t Z S Z x d W 9 0 O y w m c X V v d D t N Y X J r Z X R j Y X A m c X V v d D s s J n F 1 b 3 Q 7 U G U m c X V v d D s s J n F 1 b 3 Q 7 R X B z J n F 1 b 3 Q 7 L C Z x d W 9 0 O 0 N o Y W 5 n Z X B j d C Z x d W 9 0 O y w m c X V v d D t T a G F y Z X M m c X V v d D s s J n F 1 b 3 Q 7 Q m V 0 Y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i 9 B d X R v U m V t b 3 Z l Z E N v b H V t b n M x L n t I a X N z Z S w w f S Z x d W 9 0 O y w m c X V v d D t T Z W N 0 a W 9 u M S 9 j c 3 Y v Q X V 0 b 1 J l b W 9 2 Z W R D b 2 x 1 b W 5 z M S 5 7 V m 9 s d W 1 l L D F 9 J n F 1 b 3 Q 7 L C Z x d W 9 0 O 1 N l Y 3 R p b 2 4 x L 2 N z d i 9 B d X R v U m V t b 3 Z l Z E N v b H V t b n M x L n t N Y X J r Z X R j Y X A s M n 0 m c X V v d D s s J n F 1 b 3 Q 7 U 2 V j d G l v b j E v Y 3 N 2 L 0 F 1 d G 9 S Z W 1 v d m V k Q 2 9 s d W 1 u c z E u e 1 B l L D N 9 J n F 1 b 3 Q 7 L C Z x d W 9 0 O 1 N l Y 3 R p b 2 4 x L 2 N z d i 9 B d X R v U m V t b 3 Z l Z E N v b H V t b n M x L n t F c H M s N H 0 m c X V v d D s s J n F 1 b 3 Q 7 U 2 V j d G l v b j E v Y 3 N 2 L 0 F 1 d G 9 S Z W 1 v d m V k Q 2 9 s d W 1 u c z E u e 0 N o Y W 5 n Z X B j d C w 1 f S Z x d W 9 0 O y w m c X V v d D t T Z W N 0 a W 9 u M S 9 j c 3 Y v Q X V 0 b 1 J l b W 9 2 Z W R D b 2 x 1 b W 5 z M S 5 7 U 2 h h c m V z L D Z 9 J n F 1 b 3 Q 7 L C Z x d W 9 0 O 1 N l Y 3 R p b 2 4 x L 2 N z d i 9 B d X R v U m V t b 3 Z l Z E N v b H V t b n M x L n t C Z X R h L D d 9 J n F 1 b 3 Q 7 L C Z x d W 9 0 O 1 N l Y 3 R p b 2 4 x L 2 N z d i 9 B d X R v U m V t b 3 Z l Z E N v b H V t b n M x L n t D b 2 x 1 b W 4 x L D h 9 J n F 1 b 3 Q 7 L C Z x d W 9 0 O 1 N l Y 3 R p b 2 4 x L 2 N z d i 9 B d X R v U m V t b 3 Z l Z E N v b H V t b n M x L n t f M S w 5 f S Z x d W 9 0 O y w m c X V v d D t T Z W N 0 a W 9 u M S 9 j c 3 Y v Q X V 0 b 1 J l b W 9 2 Z W R D b 2 x 1 b W 5 z M S 5 7 X z I s M T B 9 J n F 1 b 3 Q 7 L C Z x d W 9 0 O 1 N l Y 3 R p b 2 4 x L 2 N z d i 9 B d X R v U m V t b 3 Z l Z E N v b H V t b n M x L n t f M y w x M X 0 m c X V v d D s s J n F 1 b 3 Q 7 U 2 V j d G l v b j E v Y 3 N 2 L 0 F 1 d G 9 S Z W 1 v d m V k Q 2 9 s d W 1 u c z E u e 1 8 0 L D E y f S Z x d W 9 0 O y w m c X V v d D t T Z W N 0 a W 9 u M S 9 j c 3 Y v Q X V 0 b 1 J l b W 9 2 Z W R D b 2 x 1 b W 5 z M S 5 7 X z U s M T N 9 J n F 1 b 3 Q 7 L C Z x d W 9 0 O 1 N l Y 3 R p b 2 4 x L 2 N z d i 9 B d X R v U m V t b 3 Z l Z E N v b H V t b n M x L n t f N i w x N H 0 m c X V v d D s s J n F 1 b 3 Q 7 U 2 V j d G l v b j E v Y 3 N 2 L 0 F 1 d G 9 S Z W 1 v d m V k Q 2 9 s d W 1 u c z E u e 1 8 3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N 2 L 0 F 1 d G 9 S Z W 1 v d m V k Q 2 9 s d W 1 u c z E u e 0 h p c 3 N l L D B 9 J n F 1 b 3 Q 7 L C Z x d W 9 0 O 1 N l Y 3 R p b 2 4 x L 2 N z d i 9 B d X R v U m V t b 3 Z l Z E N v b H V t b n M x L n t W b 2 x 1 b W U s M X 0 m c X V v d D s s J n F 1 b 3 Q 7 U 2 V j d G l v b j E v Y 3 N 2 L 0 F 1 d G 9 S Z W 1 v d m V k Q 2 9 s d W 1 u c z E u e 0 1 h c m t l d G N h c C w y f S Z x d W 9 0 O y w m c X V v d D t T Z W N 0 a W 9 u M S 9 j c 3 Y v Q X V 0 b 1 J l b W 9 2 Z W R D b 2 x 1 b W 5 z M S 5 7 U G U s M 3 0 m c X V v d D s s J n F 1 b 3 Q 7 U 2 V j d G l v b j E v Y 3 N 2 L 0 F 1 d G 9 S Z W 1 v d m V k Q 2 9 s d W 1 u c z E u e 0 V w c y w 0 f S Z x d W 9 0 O y w m c X V v d D t T Z W N 0 a W 9 u M S 9 j c 3 Y v Q X V 0 b 1 J l b W 9 2 Z W R D b 2 x 1 b W 5 z M S 5 7 Q 2 h h b m d l c G N 0 L D V 9 J n F 1 b 3 Q 7 L C Z x d W 9 0 O 1 N l Y 3 R p b 2 4 x L 2 N z d i 9 B d X R v U m V t b 3 Z l Z E N v b H V t b n M x L n t T a G F y Z X M s N n 0 m c X V v d D s s J n F 1 b 3 Q 7 U 2 V j d G l v b j E v Y 3 N 2 L 0 F 1 d G 9 S Z W 1 v d m V k Q 2 9 s d W 1 u c z E u e 0 J l d G E s N 3 0 m c X V v d D s s J n F 1 b 3 Q 7 U 2 V j d G l v b j E v Y 3 N 2 L 0 F 1 d G 9 S Z W 1 v d m V k Q 2 9 s d W 1 u c z E u e 0 N v b H V t b j E s O H 0 m c X V v d D s s J n F 1 b 3 Q 7 U 2 V j d G l v b j E v Y 3 N 2 L 0 F 1 d G 9 S Z W 1 v d m V k Q 2 9 s d W 1 u c z E u e 1 8 x L D l 9 J n F 1 b 3 Q 7 L C Z x d W 9 0 O 1 N l Y 3 R p b 2 4 x L 2 N z d i 9 B d X R v U m V t b 3 Z l Z E N v b H V t b n M x L n t f M i w x M H 0 m c X V v d D s s J n F 1 b 3 Q 7 U 2 V j d G l v b j E v Y 3 N 2 L 0 F 1 d G 9 S Z W 1 v d m V k Q 2 9 s d W 1 u c z E u e 1 8 z L D E x f S Z x d W 9 0 O y w m c X V v d D t T Z W N 0 a W 9 u M S 9 j c 3 Y v Q X V 0 b 1 J l b W 9 2 Z W R D b 2 x 1 b W 5 z M S 5 7 X z Q s M T J 9 J n F 1 b 3 Q 7 L C Z x d W 9 0 O 1 N l Y 3 R p b 2 4 x L 2 N z d i 9 B d X R v U m V t b 3 Z l Z E N v b H V t b n M x L n t f N S w x M 3 0 m c X V v d D s s J n F 1 b 3 Q 7 U 2 V j d G l v b j E v Y 3 N 2 L 0 F 1 d G 9 S Z W 1 v d m V k Q 2 9 s d W 1 u c z E u e 1 8 2 L D E 0 f S Z x d W 9 0 O y w m c X V v d D t T Z W N 0 a W 9 u M S 9 j c 3 Y v Q X V 0 b 1 J l b W 9 2 Z W R D b 2 x 1 b W 5 z M S 5 7 X z c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N m I 4 N D M 4 L T R j Z m E t N G Y 4 Y y 0 5 Z D F i L T E 1 Z T h k N T U x M m E 2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h U M j E 6 M D Q 6 M z g u M T c y N T Q 2 M F o i I C 8 + P E V u d H J 5 I F R 5 c G U 9 I k Z p b G x D b 2 x 1 b W 5 U e X B l c y I g V m F s d W U 9 I n N C Z 0 1 E Q l F V R k F 3 V U Z C U V l H Q m d Z R 0 J n P T 0 i I C 8 + P E V u d H J 5 I F R 5 c G U 9 I k Z p b G x D b 2 x 1 b W 5 O Y W 1 l c y I g V m F s d W U 9 I n N b J n F 1 b 3 Q 7 S G l z c 2 U m c X V v d D s s J n F 1 b 3 Q 7 V m 9 s d W 1 l J n F 1 b 3 Q 7 L C Z x d W 9 0 O 0 1 h c m t l d G N h c C Z x d W 9 0 O y w m c X V v d D t Q Z S Z x d W 9 0 O y w m c X V v d D t F c H M m c X V v d D s s J n F 1 b 3 Q 7 R 8 O 8 b m z D v G t f R G X E n 2 n F n 2 l t J n F 1 b 3 Q 7 L C Z x d W 9 0 O 0 h p c 3 N l X 2 F k Z X Q m c X V v d D s s J n F 1 b 3 Q 7 Q m V 0 Y S Z x d W 9 0 O y w m c X V v d D s 1 M i B o Y W Z 0 Y W z E s W s g Z W 4 g e c O 8 a 3 N l a y B m a X l h d C Z x d W 9 0 O y w m c X V v d D s 1 M i B o Y W Z 0 Y W z E s W s g Z W 4 g Z M O 8 x Z / D v G s g Z m l 5 Y X Q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Y g K D I p L 0 F 1 d G 9 S Z W 1 v d m V k Q 2 9 s d W 1 u c z E u e 0 h p c 3 N l L D B 9 J n F 1 b 3 Q 7 L C Z x d W 9 0 O 1 N l Y 3 R p b 2 4 x L 2 N z d i A o M i k v Q X V 0 b 1 J l b W 9 2 Z W R D b 2 x 1 b W 5 z M S 5 7 V m 9 s d W 1 l L D F 9 J n F 1 b 3 Q 7 L C Z x d W 9 0 O 1 N l Y 3 R p b 2 4 x L 2 N z d i A o M i k v Q X V 0 b 1 J l b W 9 2 Z W R D b 2 x 1 b W 5 z M S 5 7 T W F y a 2 V 0 Y 2 F w L D J 9 J n F 1 b 3 Q 7 L C Z x d W 9 0 O 1 N l Y 3 R p b 2 4 x L 2 N z d i A o M i k v Q X V 0 b 1 J l b W 9 2 Z W R D b 2 x 1 b W 5 z M S 5 7 U G U s M 3 0 m c X V v d D s s J n F 1 b 3 Q 7 U 2 V j d G l v b j E v Y 3 N 2 I C g y K S 9 B d X R v U m V t b 3 Z l Z E N v b H V t b n M x L n t F c H M s N H 0 m c X V v d D s s J n F 1 b 3 Q 7 U 2 V j d G l v b j E v Y 3 N 2 I C g y K S 9 B d X R v U m V t b 3 Z l Z E N v b H V t b n M x L n t H w 7 x u b M O 8 a 1 9 E Z c S f a c W f a W 0 s N X 0 m c X V v d D s s J n F 1 b 3 Q 7 U 2 V j d G l v b j E v Y 3 N 2 I C g y K S 9 B d X R v U m V t b 3 Z l Z E N v b H V t b n M x L n t I a X N z Z V 9 h Z G V 0 L D Z 9 J n F 1 b 3 Q 7 L C Z x d W 9 0 O 1 N l Y 3 R p b 2 4 x L 2 N z d i A o M i k v Q X V 0 b 1 J l b W 9 2 Z W R D b 2 x 1 b W 5 z M S 5 7 Q m V 0 Y S w 3 f S Z x d W 9 0 O y w m c X V v d D t T Z W N 0 a W 9 u M S 9 j c 3 Y g K D I p L 0 F 1 d G 9 S Z W 1 v d m V k Q 2 9 s d W 1 u c z E u e z U y I G h h Z n R h b M S x a y B l b i B 5 w 7 x r c 2 V r I G Z p e W F 0 L D h 9 J n F 1 b 3 Q 7 L C Z x d W 9 0 O 1 N l Y 3 R p b 2 4 x L 2 N z d i A o M i k v Q X V 0 b 1 J l b W 9 2 Z W R D b 2 x 1 b W 5 z M S 5 7 N T I g a G F m d G F s x L F r I G V u I G T D v M W f w 7 x r I G Z p e W F 0 L D l 9 J n F 1 b 3 Q 7 L C Z x d W 9 0 O 1 N l Y 3 R p b 2 4 x L 2 N z d i A o M i k v Q X V 0 b 1 J l b W 9 2 Z W R D b 2 x 1 b W 5 z M S 5 7 Q 2 9 s d W 1 u M S w x M H 0 m c X V v d D s s J n F 1 b 3 Q 7 U 2 V j d G l v b j E v Y 3 N 2 I C g y K S 9 B d X R v U m V t b 3 Z l Z E N v b H V t b n M x L n t f M S w x M X 0 m c X V v d D s s J n F 1 b 3 Q 7 U 2 V j d G l v b j E v Y 3 N 2 I C g y K S 9 B d X R v U m V t b 3 Z l Z E N v b H V t b n M x L n t f M i w x M n 0 m c X V v d D s s J n F 1 b 3 Q 7 U 2 V j d G l v b j E v Y 3 N 2 I C g y K S 9 B d X R v U m V t b 3 Z l Z E N v b H V t b n M x L n t f M y w x M 3 0 m c X V v d D s s J n F 1 b 3 Q 7 U 2 V j d G l v b j E v Y 3 N 2 I C g y K S 9 B d X R v U m V t b 3 Z l Z E N v b H V t b n M x L n t f N C w x N H 0 m c X V v d D s s J n F 1 b 3 Q 7 U 2 V j d G l v b j E v Y 3 N 2 I C g y K S 9 B d X R v U m V t b 3 Z l Z E N v b H V t b n M x L n t f N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z d i A o M i k v Q X V 0 b 1 J l b W 9 2 Z W R D b 2 x 1 b W 5 z M S 5 7 S G l z c 2 U s M H 0 m c X V v d D s s J n F 1 b 3 Q 7 U 2 V j d G l v b j E v Y 3 N 2 I C g y K S 9 B d X R v U m V t b 3 Z l Z E N v b H V t b n M x L n t W b 2 x 1 b W U s M X 0 m c X V v d D s s J n F 1 b 3 Q 7 U 2 V j d G l v b j E v Y 3 N 2 I C g y K S 9 B d X R v U m V t b 3 Z l Z E N v b H V t b n M x L n t N Y X J r Z X R j Y X A s M n 0 m c X V v d D s s J n F 1 b 3 Q 7 U 2 V j d G l v b j E v Y 3 N 2 I C g y K S 9 B d X R v U m V t b 3 Z l Z E N v b H V t b n M x L n t Q Z S w z f S Z x d W 9 0 O y w m c X V v d D t T Z W N 0 a W 9 u M S 9 j c 3 Y g K D I p L 0 F 1 d G 9 S Z W 1 v d m V k Q 2 9 s d W 1 u c z E u e 0 V w c y w 0 f S Z x d W 9 0 O y w m c X V v d D t T Z W N 0 a W 9 u M S 9 j c 3 Y g K D I p L 0 F 1 d G 9 S Z W 1 v d m V k Q 2 9 s d W 1 u c z E u e 0 f D v G 5 s w 7 x r X 0 R l x J 9 p x Z 9 p b S w 1 f S Z x d W 9 0 O y w m c X V v d D t T Z W N 0 a W 9 u M S 9 j c 3 Y g K D I p L 0 F 1 d G 9 S Z W 1 v d m V k Q 2 9 s d W 1 u c z E u e 0 h p c 3 N l X 2 F k Z X Q s N n 0 m c X V v d D s s J n F 1 b 3 Q 7 U 2 V j d G l v b j E v Y 3 N 2 I C g y K S 9 B d X R v U m V t b 3 Z l Z E N v b H V t b n M x L n t C Z X R h L D d 9 J n F 1 b 3 Q 7 L C Z x d W 9 0 O 1 N l Y 3 R p b 2 4 x L 2 N z d i A o M i k v Q X V 0 b 1 J l b W 9 2 Z W R D b 2 x 1 b W 5 z M S 5 7 N T I g a G F m d G F s x L F r I G V u I H n D v G t z Z W s g Z m l 5 Y X Q s O H 0 m c X V v d D s s J n F 1 b 3 Q 7 U 2 V j d G l v b j E v Y 3 N 2 I C g y K S 9 B d X R v U m V t b 3 Z l Z E N v b H V t b n M x L n s 1 M i B o Y W Z 0 Y W z E s W s g Z W 4 g Z M O 8 x Z / D v G s g Z m l 5 Y X Q s O X 0 m c X V v d D s s J n F 1 b 3 Q 7 U 2 V j d G l v b j E v Y 3 N 2 I C g y K S 9 B d X R v U m V t b 3 Z l Z E N v b H V t b n M x L n t D b 2 x 1 b W 4 x L D E w f S Z x d W 9 0 O y w m c X V v d D t T Z W N 0 a W 9 u M S 9 j c 3 Y g K D I p L 0 F 1 d G 9 S Z W 1 v d m V k Q 2 9 s d W 1 u c z E u e 1 8 x L D E x f S Z x d W 9 0 O y w m c X V v d D t T Z W N 0 a W 9 u M S 9 j c 3 Y g K D I p L 0 F 1 d G 9 S Z W 1 v d m V k Q 2 9 s d W 1 u c z E u e 1 8 y L D E y f S Z x d W 9 0 O y w m c X V v d D t T Z W N 0 a W 9 u M S 9 j c 3 Y g K D I p L 0 F 1 d G 9 S Z W 1 v d m V k Q 2 9 s d W 1 u c z E u e 1 8 z L D E z f S Z x d W 9 0 O y w m c X V v d D t T Z W N 0 a W 9 u M S 9 j c 3 Y g K D I p L 0 F 1 d G 9 S Z W 1 v d m V k Q 2 9 s d W 1 u c z E u e 1 8 0 L D E 0 f S Z x d W 9 0 O y w m c X V v d D t T Z W N 0 a W 9 u M S 9 j c 3 Y g K D I p L 0 F 1 d G 9 S Z W 1 v d m V k Q 2 9 s d W 1 u c z E u e 1 8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J T I w K D I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y M C g y K S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O 7 p A v 5 9 s k W p + E J 1 B D u g U g A A A A A C A A A A A A A Q Z g A A A A E A A C A A A A D x 9 E n v X I i B J q u 5 S g I b Y r J D b f C Y 0 R q + 2 b 6 S B O G K p l p g 0 w A A A A A O g A A A A A I A A C A A A A D u r Y H o D h + v L a M v 3 L F H f F B u e g 1 b + 1 z 4 b N e q 4 n I b o H j Q L V A A A A B / a m e x H 1 T c + f g n T c 3 r j q n b X k U s l / n k 4 M I r d E 5 x 6 U x g x / 7 g l 9 A T 8 j S I o u f o E 3 o s g G C + k 9 L N t h X 9 V A 0 f k w m g g I 0 B A i d W Q g c 8 v h h t 1 a 9 T P w S L S E A A A A D F U 7 D L f c k m E c k n 0 Y h z 8 y + r V 9 Q g r q W g O i 8 s 7 / C I p R q 4 2 n w s M + c P p 0 C Y z 8 D o + 5 l G x I C L d E C 4 G x P 3 d R P d s D 4 Y P x w D < / D a t a M a s h u p > 
</file>

<file path=customXml/itemProps1.xml><?xml version="1.0" encoding="utf-8"?>
<ds:datastoreItem xmlns:ds="http://schemas.openxmlformats.org/officeDocument/2006/customXml" ds:itemID="{35D7D3AE-E2F1-4B77-BF56-79B83CDF7F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csv (2)</vt:lpstr>
      <vt:lpstr>csv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MESUT U. 223101024</cp:lastModifiedBy>
  <dcterms:modified xsi:type="dcterms:W3CDTF">2025-10-28T21:04:52Z</dcterms:modified>
</cp:coreProperties>
</file>